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GIÁO VỤ\1. TỐT NGHIỆP\tốt nghiệp 06.2025\"/>
    </mc:Choice>
  </mc:AlternateContent>
  <xr:revisionPtr revIDLastSave="0" documentId="13_ncr:1_{B07D9649-A550-4E81-AC7B-C5181C31031D}" xr6:coauthVersionLast="47" xr6:coauthVersionMax="47" xr10:uidLastSave="{00000000-0000-0000-0000-000000000000}"/>
  <bookViews>
    <workbookView xWindow="-120" yWindow="-120" windowWidth="29040" windowHeight="15840" xr2:uid="{00000000-000D-0000-FFFF-FFFF00000000}"/>
  </bookViews>
  <sheets>
    <sheet name="DS SV đăng ký" sheetId="1" r:id="rId1"/>
    <sheet name="đơn vị tt" sheetId="3" r:id="rId2"/>
    <sheet name="XÉT ĐIỀU KIỆN THAM DỰ THỰC TẬP" sheetId="4" r:id="rId3"/>
    <sheet name="chuyển KL-&gt;CĐ" sheetId="5" r:id="rId4"/>
  </sheets>
  <definedNames>
    <definedName name="_xlnm._FilterDatabase" localSheetId="0" hidden="1">'DS SV đăng ký'!$A$6:$S$297</definedName>
    <definedName name="_xlnm._FilterDatabase" localSheetId="2" hidden="1">'XÉT ĐIỀU KIỆN THAM DỰ THỰC TẬP'!$A$9:$AD$998</definedName>
  </definedNames>
  <calcPr calcId="191029"/>
</workbook>
</file>

<file path=xl/calcChain.xml><?xml version="1.0" encoding="utf-8"?>
<calcChain xmlns="http://schemas.openxmlformats.org/spreadsheetml/2006/main">
  <c r="L50" i="5" l="1"/>
  <c r="K50" i="5"/>
  <c r="J50" i="5"/>
  <c r="H50" i="5"/>
  <c r="G50" i="5"/>
  <c r="F50" i="5"/>
  <c r="E50" i="5"/>
  <c r="D50" i="5"/>
  <c r="C50" i="5"/>
  <c r="A50" i="5"/>
  <c r="L49" i="5"/>
  <c r="K49" i="5"/>
  <c r="J49" i="5"/>
  <c r="H49" i="5"/>
  <c r="G49" i="5"/>
  <c r="F49" i="5"/>
  <c r="E49" i="5"/>
  <c r="D49" i="5"/>
  <c r="C49" i="5"/>
  <c r="A49" i="5"/>
  <c r="L48" i="5"/>
  <c r="K48" i="5"/>
  <c r="J48" i="5"/>
  <c r="H48" i="5"/>
  <c r="G48" i="5"/>
  <c r="F48" i="5"/>
  <c r="E48" i="5"/>
  <c r="D48" i="5"/>
  <c r="C48" i="5"/>
  <c r="A48" i="5"/>
  <c r="L47" i="5"/>
  <c r="K47" i="5"/>
  <c r="J47" i="5"/>
  <c r="H47" i="5"/>
  <c r="G47" i="5"/>
  <c r="F47" i="5"/>
  <c r="E47" i="5"/>
  <c r="D47" i="5"/>
  <c r="C47" i="5"/>
  <c r="A47" i="5"/>
  <c r="L46" i="5"/>
  <c r="K46" i="5"/>
  <c r="J46" i="5"/>
  <c r="H46" i="5"/>
  <c r="G46" i="5"/>
  <c r="F46" i="5"/>
  <c r="E46" i="5"/>
  <c r="D46" i="5"/>
  <c r="C46" i="5"/>
  <c r="A46" i="5"/>
  <c r="L45" i="5"/>
  <c r="K45" i="5"/>
  <c r="J45" i="5"/>
  <c r="H45" i="5"/>
  <c r="G45" i="5"/>
  <c r="F45" i="5"/>
  <c r="E45" i="5"/>
  <c r="D45" i="5"/>
  <c r="C45" i="5"/>
  <c r="A45" i="5"/>
  <c r="L44" i="5"/>
  <c r="K44" i="5"/>
  <c r="J44" i="5"/>
  <c r="H44" i="5"/>
  <c r="G44" i="5"/>
  <c r="F44" i="5"/>
  <c r="E44" i="5"/>
  <c r="D44" i="5"/>
  <c r="C44" i="5"/>
  <c r="A44" i="5"/>
  <c r="L43" i="5"/>
  <c r="K43" i="5"/>
  <c r="J43" i="5"/>
  <c r="H43" i="5"/>
  <c r="G43" i="5"/>
  <c r="F43" i="5"/>
  <c r="E43" i="5"/>
  <c r="D43" i="5"/>
  <c r="C43" i="5"/>
  <c r="A43" i="5"/>
  <c r="K42" i="5"/>
  <c r="J42" i="5"/>
  <c r="H42" i="5"/>
  <c r="G42" i="5"/>
  <c r="F42" i="5"/>
  <c r="E42" i="5"/>
  <c r="D42" i="5"/>
  <c r="C42" i="5"/>
  <c r="A42" i="5"/>
  <c r="L41" i="5"/>
  <c r="K41" i="5"/>
  <c r="J41" i="5"/>
  <c r="H41" i="5"/>
  <c r="G41" i="5"/>
  <c r="F41" i="5"/>
  <c r="E41" i="5"/>
  <c r="D41" i="5"/>
  <c r="C41" i="5"/>
  <c r="A41" i="5"/>
  <c r="L40" i="5"/>
  <c r="K40" i="5"/>
  <c r="J40" i="5"/>
  <c r="H40" i="5"/>
  <c r="G40" i="5"/>
  <c r="F40" i="5"/>
  <c r="E40" i="5"/>
  <c r="D40" i="5"/>
  <c r="C40" i="5"/>
  <c r="A40" i="5"/>
  <c r="L39" i="5"/>
  <c r="K39" i="5"/>
  <c r="J39" i="5"/>
  <c r="H39" i="5"/>
  <c r="G39" i="5"/>
  <c r="F39" i="5"/>
  <c r="E39" i="5"/>
  <c r="D39" i="5"/>
  <c r="C39" i="5"/>
  <c r="A39" i="5"/>
  <c r="L38" i="5"/>
  <c r="K38" i="5"/>
  <c r="J38" i="5"/>
  <c r="H38" i="5"/>
  <c r="G38" i="5"/>
  <c r="F38" i="5"/>
  <c r="E38" i="5"/>
  <c r="D38" i="5"/>
  <c r="C38" i="5"/>
  <c r="A38" i="5"/>
  <c r="L37" i="5"/>
  <c r="K37" i="5"/>
  <c r="J37" i="5"/>
  <c r="H37" i="5"/>
  <c r="G37" i="5"/>
  <c r="F37" i="5"/>
  <c r="E37" i="5"/>
  <c r="D37" i="5"/>
  <c r="C37" i="5"/>
  <c r="A37" i="5"/>
  <c r="L36" i="5"/>
  <c r="K36" i="5"/>
  <c r="J36" i="5"/>
  <c r="H36" i="5"/>
  <c r="G36" i="5"/>
  <c r="F36" i="5"/>
  <c r="E36" i="5"/>
  <c r="D36" i="5"/>
  <c r="C36" i="5"/>
  <c r="A36" i="5"/>
  <c r="L35" i="5"/>
  <c r="K35" i="5"/>
  <c r="J35" i="5"/>
  <c r="H35" i="5"/>
  <c r="G35" i="5"/>
  <c r="F35" i="5"/>
  <c r="E35" i="5"/>
  <c r="D35" i="5"/>
  <c r="C35" i="5"/>
  <c r="A35" i="5"/>
  <c r="L34" i="5"/>
  <c r="K34" i="5"/>
  <c r="J34" i="5"/>
  <c r="H34" i="5"/>
  <c r="G34" i="5"/>
  <c r="F34" i="5"/>
  <c r="E34" i="5"/>
  <c r="D34" i="5"/>
  <c r="C34" i="5"/>
  <c r="A34" i="5"/>
  <c r="L33" i="5"/>
  <c r="K33" i="5"/>
  <c r="J33" i="5"/>
  <c r="H33" i="5"/>
  <c r="G33" i="5"/>
  <c r="F33" i="5"/>
  <c r="E33" i="5"/>
  <c r="D33" i="5"/>
  <c r="C33" i="5"/>
  <c r="A33" i="5"/>
  <c r="L32" i="5"/>
  <c r="K32" i="5"/>
  <c r="J32" i="5"/>
  <c r="H32" i="5"/>
  <c r="G32" i="5"/>
  <c r="F32" i="5"/>
  <c r="E32" i="5"/>
  <c r="D32" i="5"/>
  <c r="C32" i="5"/>
  <c r="A32" i="5"/>
  <c r="L31" i="5"/>
  <c r="K31" i="5"/>
  <c r="J31" i="5"/>
  <c r="H31" i="5"/>
  <c r="G31" i="5"/>
  <c r="F31" i="5"/>
  <c r="E31" i="5"/>
  <c r="D31" i="5"/>
  <c r="C31" i="5"/>
  <c r="A31" i="5"/>
  <c r="L30" i="5"/>
  <c r="K30" i="5"/>
  <c r="J30" i="5"/>
  <c r="H30" i="5"/>
  <c r="G30" i="5"/>
  <c r="F30" i="5"/>
  <c r="E30" i="5"/>
  <c r="D30" i="5"/>
  <c r="C30" i="5"/>
  <c r="A30" i="5"/>
  <c r="L29" i="5"/>
  <c r="K29" i="5"/>
  <c r="J29" i="5"/>
  <c r="H29" i="5"/>
  <c r="G29" i="5"/>
  <c r="F29" i="5"/>
  <c r="E29" i="5"/>
  <c r="D29" i="5"/>
  <c r="C29" i="5"/>
  <c r="A29" i="5"/>
  <c r="L28" i="5"/>
  <c r="K28" i="5"/>
  <c r="J28" i="5"/>
  <c r="H28" i="5"/>
  <c r="G28" i="5"/>
  <c r="F28" i="5"/>
  <c r="E28" i="5"/>
  <c r="D28" i="5"/>
  <c r="C28" i="5"/>
  <c r="A28" i="5"/>
  <c r="L27" i="5"/>
  <c r="K27" i="5"/>
  <c r="J27" i="5"/>
  <c r="H27" i="5"/>
  <c r="G27" i="5"/>
  <c r="F27" i="5"/>
  <c r="E27" i="5"/>
  <c r="D27" i="5"/>
  <c r="C27" i="5"/>
  <c r="A27" i="5"/>
  <c r="L26" i="5"/>
  <c r="K26" i="5"/>
  <c r="J26" i="5"/>
  <c r="H26" i="5"/>
  <c r="G26" i="5"/>
  <c r="F26" i="5"/>
  <c r="E26" i="5"/>
  <c r="D26" i="5"/>
  <c r="C26" i="5"/>
  <c r="A26" i="5"/>
  <c r="L25" i="5"/>
  <c r="K25" i="5"/>
  <c r="J25" i="5"/>
  <c r="H25" i="5"/>
  <c r="G25" i="5"/>
  <c r="F25" i="5"/>
  <c r="E25" i="5"/>
  <c r="D25" i="5"/>
  <c r="C25" i="5"/>
  <c r="A25" i="5"/>
  <c r="L24" i="5"/>
  <c r="K24" i="5"/>
  <c r="J24" i="5"/>
  <c r="H24" i="5"/>
  <c r="G24" i="5"/>
  <c r="F24" i="5"/>
  <c r="E24" i="5"/>
  <c r="D24" i="5"/>
  <c r="C24" i="5"/>
  <c r="A24" i="5"/>
  <c r="L23" i="5"/>
  <c r="K23" i="5"/>
  <c r="J23" i="5"/>
  <c r="H23" i="5"/>
  <c r="G23" i="5"/>
  <c r="F23" i="5"/>
  <c r="E23" i="5"/>
  <c r="D23" i="5"/>
  <c r="C23" i="5"/>
  <c r="A23" i="5"/>
  <c r="L22" i="5"/>
  <c r="K22" i="5"/>
  <c r="J22" i="5"/>
  <c r="H22" i="5"/>
  <c r="G22" i="5"/>
  <c r="F22" i="5"/>
  <c r="E22" i="5"/>
  <c r="D22" i="5"/>
  <c r="C22" i="5"/>
  <c r="A22" i="5"/>
  <c r="L21" i="5"/>
  <c r="K21" i="5"/>
  <c r="J21" i="5"/>
  <c r="H21" i="5"/>
  <c r="G21" i="5"/>
  <c r="F21" i="5"/>
  <c r="E21" i="5"/>
  <c r="D21" i="5"/>
  <c r="C21" i="5"/>
  <c r="A21" i="5"/>
  <c r="L20" i="5"/>
  <c r="K20" i="5"/>
  <c r="J20" i="5"/>
  <c r="H20" i="5"/>
  <c r="G20" i="5"/>
  <c r="F20" i="5"/>
  <c r="E20" i="5"/>
  <c r="D20" i="5"/>
  <c r="C20" i="5"/>
  <c r="A20" i="5"/>
  <c r="L19" i="5"/>
  <c r="K19" i="5"/>
  <c r="J19" i="5"/>
  <c r="H19" i="5"/>
  <c r="G19" i="5"/>
  <c r="F19" i="5"/>
  <c r="E19" i="5"/>
  <c r="D19" i="5"/>
  <c r="C19" i="5"/>
  <c r="A19" i="5"/>
  <c r="L18" i="5"/>
  <c r="K18" i="5"/>
  <c r="J18" i="5"/>
  <c r="H18" i="5"/>
  <c r="G18" i="5"/>
  <c r="F18" i="5"/>
  <c r="E18" i="5"/>
  <c r="D18" i="5"/>
  <c r="C18" i="5"/>
  <c r="A18" i="5"/>
  <c r="L17" i="5"/>
  <c r="K17" i="5"/>
  <c r="J17" i="5"/>
  <c r="H17" i="5"/>
  <c r="G17" i="5"/>
  <c r="F17" i="5"/>
  <c r="E17" i="5"/>
  <c r="D17" i="5"/>
  <c r="C17" i="5"/>
  <c r="A17" i="5"/>
  <c r="L16" i="5"/>
  <c r="K16" i="5"/>
  <c r="J16" i="5"/>
  <c r="H16" i="5"/>
  <c r="G16" i="5"/>
  <c r="F16" i="5"/>
  <c r="E16" i="5"/>
  <c r="D16" i="5"/>
  <c r="C16" i="5"/>
  <c r="A16" i="5"/>
  <c r="L15" i="5"/>
  <c r="K15" i="5"/>
  <c r="J15" i="5"/>
  <c r="H15" i="5"/>
  <c r="G15" i="5"/>
  <c r="F15" i="5"/>
  <c r="E15" i="5"/>
  <c r="D15" i="5"/>
  <c r="C15" i="5"/>
  <c r="A15" i="5"/>
  <c r="K14" i="5"/>
  <c r="J14" i="5"/>
  <c r="H14" i="5"/>
  <c r="G14" i="5"/>
  <c r="F14" i="5"/>
  <c r="E14" i="5"/>
  <c r="D14" i="5"/>
  <c r="C14" i="5"/>
  <c r="A14" i="5"/>
  <c r="K13" i="5"/>
  <c r="J13" i="5"/>
  <c r="H13" i="5"/>
  <c r="G13" i="5"/>
  <c r="F13" i="5"/>
  <c r="E13" i="5"/>
  <c r="D13" i="5"/>
  <c r="C13" i="5"/>
  <c r="A13" i="5"/>
  <c r="K12" i="5"/>
  <c r="J12" i="5"/>
  <c r="H12" i="5"/>
  <c r="G12" i="5"/>
  <c r="F12" i="5"/>
  <c r="E12" i="5"/>
  <c r="D12" i="5"/>
  <c r="C12" i="5"/>
  <c r="A12" i="5"/>
  <c r="L11" i="5"/>
  <c r="K11" i="5"/>
  <c r="J11" i="5"/>
  <c r="H11" i="5"/>
  <c r="G11" i="5"/>
  <c r="F11" i="5"/>
  <c r="E11" i="5"/>
  <c r="D11" i="5"/>
  <c r="C11" i="5"/>
  <c r="A11" i="5"/>
  <c r="K10" i="5"/>
  <c r="J10" i="5"/>
  <c r="H10" i="5"/>
  <c r="G10" i="5"/>
  <c r="F10" i="5"/>
  <c r="E10" i="5"/>
  <c r="D10" i="5"/>
  <c r="C10" i="5"/>
  <c r="A10" i="5"/>
  <c r="L9" i="5"/>
  <c r="K9" i="5"/>
  <c r="J9" i="5"/>
  <c r="H9" i="5"/>
  <c r="G9" i="5"/>
  <c r="F9" i="5"/>
  <c r="E9" i="5"/>
  <c r="D9" i="5"/>
  <c r="C9" i="5"/>
  <c r="A9" i="5"/>
  <c r="L8" i="5"/>
  <c r="K8" i="5"/>
  <c r="J8" i="5"/>
  <c r="H8" i="5"/>
  <c r="G8" i="5"/>
  <c r="F8" i="5"/>
  <c r="E8" i="5"/>
  <c r="D8" i="5"/>
  <c r="C8" i="5"/>
  <c r="A8" i="5"/>
  <c r="L7" i="5"/>
  <c r="K7" i="5"/>
  <c r="J7" i="5"/>
  <c r="H7" i="5"/>
  <c r="G7" i="5"/>
  <c r="F7" i="5"/>
  <c r="E7" i="5"/>
  <c r="D7" i="5"/>
  <c r="C7" i="5"/>
  <c r="A7" i="5"/>
  <c r="L6" i="5"/>
  <c r="K6" i="5"/>
  <c r="J6" i="5"/>
  <c r="H6" i="5"/>
  <c r="G6" i="5"/>
  <c r="F6" i="5"/>
  <c r="E6" i="5"/>
  <c r="D6" i="5"/>
  <c r="C6" i="5"/>
  <c r="S169" i="1" s="1"/>
  <c r="A6" i="5"/>
  <c r="L5" i="5"/>
  <c r="K5" i="5"/>
  <c r="J5" i="5"/>
  <c r="H5" i="5"/>
  <c r="G5" i="5"/>
  <c r="F5" i="5"/>
  <c r="E5" i="5"/>
  <c r="D5" i="5"/>
  <c r="C5" i="5"/>
  <c r="A5" i="5"/>
  <c r="L4" i="5"/>
  <c r="S105" i="1" s="1"/>
  <c r="K4" i="5"/>
  <c r="J4" i="5"/>
  <c r="H4" i="5"/>
  <c r="G4" i="5"/>
  <c r="F4" i="5"/>
  <c r="E4" i="5"/>
  <c r="D4" i="5"/>
  <c r="C4" i="5"/>
  <c r="A4" i="5"/>
  <c r="L3" i="5"/>
  <c r="K3" i="5"/>
  <c r="J3" i="5"/>
  <c r="H3" i="5"/>
  <c r="G3" i="5"/>
  <c r="F3" i="5"/>
  <c r="E3" i="5"/>
  <c r="D3" i="5"/>
  <c r="A3" i="5"/>
  <c r="K2" i="5"/>
  <c r="J2" i="5"/>
  <c r="H2" i="5"/>
  <c r="G2" i="5"/>
  <c r="F2" i="5"/>
  <c r="E2" i="5"/>
  <c r="D2" i="5"/>
  <c r="C2" i="5"/>
  <c r="A2" i="5"/>
  <c r="L1" i="5"/>
  <c r="K1" i="5"/>
  <c r="J1" i="5"/>
  <c r="H1" i="5"/>
  <c r="G1" i="5"/>
  <c r="F1" i="5"/>
  <c r="E1" i="5"/>
  <c r="D1" i="5"/>
  <c r="C1" i="5"/>
  <c r="A1" i="5"/>
  <c r="AE243" i="3"/>
  <c r="AD243" i="3"/>
  <c r="AC243" i="3"/>
  <c r="AB243" i="3"/>
  <c r="AA243" i="3"/>
  <c r="Z243" i="3"/>
  <c r="Y243" i="3"/>
  <c r="V243" i="3"/>
  <c r="U243" i="3"/>
  <c r="T243" i="3"/>
  <c r="S243" i="3"/>
  <c r="R243" i="3"/>
  <c r="Q243" i="3"/>
  <c r="O243" i="3"/>
  <c r="N243" i="3"/>
  <c r="M243" i="3"/>
  <c r="L243" i="3"/>
  <c r="K243" i="3"/>
  <c r="J243" i="3"/>
  <c r="H243" i="3"/>
  <c r="G243" i="3"/>
  <c r="F243" i="3"/>
  <c r="D243" i="3"/>
  <c r="C243" i="3"/>
  <c r="A243" i="3"/>
  <c r="AE242" i="3"/>
  <c r="AD242" i="3"/>
  <c r="AC242" i="3"/>
  <c r="AB242" i="3"/>
  <c r="AA242" i="3"/>
  <c r="Z242" i="3"/>
  <c r="Y242" i="3"/>
  <c r="V242" i="3"/>
  <c r="U242" i="3"/>
  <c r="T242" i="3"/>
  <c r="S242" i="3"/>
  <c r="R242" i="3"/>
  <c r="Q242" i="3"/>
  <c r="O242" i="3"/>
  <c r="N242" i="3"/>
  <c r="M242" i="3"/>
  <c r="L242" i="3"/>
  <c r="K242" i="3"/>
  <c r="J242" i="3"/>
  <c r="H242" i="3"/>
  <c r="G242" i="3"/>
  <c r="F242" i="3"/>
  <c r="D242" i="3"/>
  <c r="C242" i="3"/>
  <c r="A242" i="3"/>
  <c r="AE241" i="3"/>
  <c r="AB241" i="3"/>
  <c r="AA241" i="3"/>
  <c r="Z241" i="3"/>
  <c r="Y241" i="3"/>
  <c r="V241" i="3"/>
  <c r="U241" i="3"/>
  <c r="T241" i="3"/>
  <c r="S241" i="3"/>
  <c r="R241" i="3"/>
  <c r="Q241" i="3"/>
  <c r="O241" i="3"/>
  <c r="N241" i="3"/>
  <c r="M241" i="3"/>
  <c r="L241" i="3"/>
  <c r="K241" i="3"/>
  <c r="J241" i="3"/>
  <c r="H241" i="3"/>
  <c r="G241" i="3"/>
  <c r="F241" i="3"/>
  <c r="D241" i="3"/>
  <c r="C241" i="3"/>
  <c r="A241" i="3"/>
  <c r="AE240" i="3"/>
  <c r="AB240" i="3"/>
  <c r="AA240" i="3"/>
  <c r="Z240" i="3"/>
  <c r="Y240" i="3"/>
  <c r="W240" i="3"/>
  <c r="V240" i="3"/>
  <c r="U240" i="3"/>
  <c r="T240" i="3"/>
  <c r="S240" i="3"/>
  <c r="R240" i="3"/>
  <c r="Q240" i="3"/>
  <c r="O240" i="3"/>
  <c r="N240" i="3"/>
  <c r="M240" i="3"/>
  <c r="L240" i="3"/>
  <c r="K240" i="3"/>
  <c r="J240" i="3"/>
  <c r="H240" i="3"/>
  <c r="G240" i="3"/>
  <c r="F240" i="3"/>
  <c r="D240" i="3"/>
  <c r="C240" i="3"/>
  <c r="A240" i="3"/>
  <c r="AE239" i="3"/>
  <c r="AC239" i="3"/>
  <c r="AB239" i="3"/>
  <c r="AA239" i="3"/>
  <c r="Z239" i="3"/>
  <c r="Y239" i="3"/>
  <c r="W239" i="3"/>
  <c r="V239" i="3"/>
  <c r="U239" i="3"/>
  <c r="T239" i="3"/>
  <c r="S239" i="3"/>
  <c r="R239" i="3"/>
  <c r="Q239" i="3"/>
  <c r="O239" i="3"/>
  <c r="N239" i="3"/>
  <c r="M239" i="3"/>
  <c r="K239" i="3"/>
  <c r="J239" i="3"/>
  <c r="H239" i="3"/>
  <c r="G239" i="3"/>
  <c r="F239" i="3"/>
  <c r="D239" i="3"/>
  <c r="C239" i="3"/>
  <c r="A239" i="3"/>
  <c r="AE238" i="3"/>
  <c r="AC238" i="3"/>
  <c r="AB238" i="3"/>
  <c r="AA238" i="3"/>
  <c r="Z238" i="3"/>
  <c r="Y238" i="3"/>
  <c r="W238" i="3"/>
  <c r="V238" i="3"/>
  <c r="U238" i="3"/>
  <c r="T238" i="3"/>
  <c r="S238" i="3"/>
  <c r="R238" i="3"/>
  <c r="Q238" i="3"/>
  <c r="O238" i="3"/>
  <c r="N238" i="3"/>
  <c r="M238" i="3"/>
  <c r="K238" i="3"/>
  <c r="J238" i="3"/>
  <c r="H238" i="3"/>
  <c r="G238" i="3"/>
  <c r="F238" i="3"/>
  <c r="D238" i="3"/>
  <c r="C238" i="3"/>
  <c r="A238" i="3"/>
  <c r="AE237" i="3"/>
  <c r="AC237" i="3"/>
  <c r="AB237" i="3"/>
  <c r="AA237" i="3"/>
  <c r="Z237" i="3"/>
  <c r="Y237" i="3"/>
  <c r="W237" i="3"/>
  <c r="V237" i="3"/>
  <c r="U237" i="3"/>
  <c r="S237" i="3"/>
  <c r="R237" i="3"/>
  <c r="Q237" i="3"/>
  <c r="O237" i="3"/>
  <c r="N237" i="3"/>
  <c r="M237" i="3"/>
  <c r="K237" i="3"/>
  <c r="J237" i="3"/>
  <c r="H237" i="3"/>
  <c r="G237" i="3"/>
  <c r="F237" i="3"/>
  <c r="D237" i="3"/>
  <c r="C237" i="3"/>
  <c r="A237" i="3"/>
  <c r="AE236" i="3"/>
  <c r="AB236" i="3"/>
  <c r="AA236" i="3"/>
  <c r="Z236" i="3"/>
  <c r="Y236" i="3"/>
  <c r="X236" i="3"/>
  <c r="W236" i="3"/>
  <c r="V236" i="3"/>
  <c r="U236" i="3"/>
  <c r="S236" i="3"/>
  <c r="R236" i="3"/>
  <c r="Q236" i="3"/>
  <c r="O236" i="3"/>
  <c r="N236" i="3"/>
  <c r="M236" i="3"/>
  <c r="L236" i="3"/>
  <c r="K236" i="3"/>
  <c r="J236" i="3"/>
  <c r="H236" i="3"/>
  <c r="G236" i="3"/>
  <c r="F236" i="3"/>
  <c r="D236" i="3"/>
  <c r="C236" i="3"/>
  <c r="A236" i="3"/>
  <c r="AE235" i="3"/>
  <c r="AB235" i="3"/>
  <c r="AA235" i="3"/>
  <c r="Z235" i="3"/>
  <c r="Y235" i="3"/>
  <c r="X235" i="3"/>
  <c r="W235" i="3"/>
  <c r="V235" i="3"/>
  <c r="U235" i="3"/>
  <c r="T235" i="3"/>
  <c r="S235" i="3"/>
  <c r="R235" i="3"/>
  <c r="Q235" i="3"/>
  <c r="O235" i="3"/>
  <c r="N235" i="3"/>
  <c r="M235" i="3"/>
  <c r="K235" i="3"/>
  <c r="J235" i="3"/>
  <c r="H235" i="3"/>
  <c r="G235" i="3"/>
  <c r="F235" i="3"/>
  <c r="D235" i="3"/>
  <c r="C235" i="3"/>
  <c r="A235" i="3"/>
  <c r="AE234" i="3"/>
  <c r="AC234" i="3"/>
  <c r="AB234" i="3"/>
  <c r="AA234" i="3"/>
  <c r="Z234" i="3"/>
  <c r="Y234" i="3"/>
  <c r="X234" i="3"/>
  <c r="W234" i="3"/>
  <c r="V234" i="3"/>
  <c r="U234" i="3"/>
  <c r="S234" i="3"/>
  <c r="R234" i="3"/>
  <c r="Q234" i="3"/>
  <c r="O234" i="3"/>
  <c r="N234" i="3"/>
  <c r="M234" i="3"/>
  <c r="K234" i="3"/>
  <c r="J234" i="3"/>
  <c r="H234" i="3"/>
  <c r="G234" i="3"/>
  <c r="F234" i="3"/>
  <c r="D234" i="3"/>
  <c r="C234" i="3"/>
  <c r="A234" i="3"/>
  <c r="AE233" i="3"/>
  <c r="AB233" i="3"/>
  <c r="AA233" i="3"/>
  <c r="Z233" i="3"/>
  <c r="Y233" i="3"/>
  <c r="X233" i="3"/>
  <c r="W233" i="3"/>
  <c r="V233" i="3"/>
  <c r="U233" i="3"/>
  <c r="T233" i="3"/>
  <c r="S233" i="3"/>
  <c r="R233" i="3"/>
  <c r="Q233" i="3"/>
  <c r="O233" i="3"/>
  <c r="N233" i="3"/>
  <c r="M233" i="3"/>
  <c r="K233" i="3"/>
  <c r="J233" i="3"/>
  <c r="H233" i="3"/>
  <c r="G233" i="3"/>
  <c r="F233" i="3"/>
  <c r="D233" i="3"/>
  <c r="C233" i="3"/>
  <c r="A233" i="3"/>
  <c r="AE232" i="3"/>
  <c r="AB232" i="3"/>
  <c r="AA232" i="3"/>
  <c r="Z232" i="3"/>
  <c r="Y232" i="3"/>
  <c r="X232" i="3"/>
  <c r="W232" i="3"/>
  <c r="V232" i="3"/>
  <c r="U232" i="3"/>
  <c r="T232" i="3"/>
  <c r="S232" i="3"/>
  <c r="R232" i="3"/>
  <c r="Q232" i="3"/>
  <c r="O232" i="3"/>
  <c r="N232" i="3"/>
  <c r="M232" i="3"/>
  <c r="L232" i="3"/>
  <c r="K232" i="3"/>
  <c r="J232" i="3"/>
  <c r="H232" i="3"/>
  <c r="G232" i="3"/>
  <c r="F232" i="3"/>
  <c r="D232" i="3"/>
  <c r="C232" i="3"/>
  <c r="A232" i="3"/>
  <c r="AE231" i="3"/>
  <c r="AD231" i="3"/>
  <c r="AC231" i="3"/>
  <c r="AB231" i="3"/>
  <c r="AA231" i="3"/>
  <c r="Z231" i="3"/>
  <c r="Y231" i="3"/>
  <c r="X231" i="3"/>
  <c r="W231" i="3"/>
  <c r="V231" i="3"/>
  <c r="U231" i="3"/>
  <c r="S231" i="3"/>
  <c r="R231" i="3"/>
  <c r="Q231" i="3"/>
  <c r="O231" i="3"/>
  <c r="N231" i="3"/>
  <c r="M231" i="3"/>
  <c r="L231" i="3"/>
  <c r="K231" i="3"/>
  <c r="J231" i="3"/>
  <c r="H231" i="3"/>
  <c r="G231" i="3"/>
  <c r="F231" i="3"/>
  <c r="D231" i="3"/>
  <c r="C231" i="3"/>
  <c r="A231" i="3"/>
  <c r="AE230" i="3"/>
  <c r="AC230" i="3"/>
  <c r="AB230" i="3"/>
  <c r="AA230" i="3"/>
  <c r="Z230" i="3"/>
  <c r="Y230" i="3"/>
  <c r="X230" i="3"/>
  <c r="W230" i="3"/>
  <c r="V230" i="3"/>
  <c r="U230" i="3"/>
  <c r="S230" i="3"/>
  <c r="R230" i="3"/>
  <c r="Q230" i="3"/>
  <c r="O230" i="3"/>
  <c r="N230" i="3"/>
  <c r="M230" i="3"/>
  <c r="L230" i="3"/>
  <c r="K230" i="3"/>
  <c r="J230" i="3"/>
  <c r="H230" i="3"/>
  <c r="G230" i="3"/>
  <c r="F230" i="3"/>
  <c r="D230" i="3"/>
  <c r="C230" i="3"/>
  <c r="A230" i="3"/>
  <c r="AE229" i="3"/>
  <c r="AB229" i="3"/>
  <c r="AA229" i="3"/>
  <c r="Z229" i="3"/>
  <c r="Y229" i="3"/>
  <c r="X229" i="3"/>
  <c r="W229" i="3"/>
  <c r="V229" i="3"/>
  <c r="U229" i="3"/>
  <c r="S229" i="3"/>
  <c r="R229" i="3"/>
  <c r="Q229" i="3"/>
  <c r="O229" i="3"/>
  <c r="N229" i="3"/>
  <c r="M229" i="3"/>
  <c r="K229" i="3"/>
  <c r="J229" i="3"/>
  <c r="H229" i="3"/>
  <c r="G229" i="3"/>
  <c r="F229" i="3"/>
  <c r="D229" i="3"/>
  <c r="C229" i="3"/>
  <c r="A229" i="3"/>
  <c r="AE228" i="3"/>
  <c r="AC228" i="3"/>
  <c r="AB228" i="3"/>
  <c r="AA228" i="3"/>
  <c r="Z228" i="3"/>
  <c r="Y228" i="3"/>
  <c r="W228" i="3"/>
  <c r="V228" i="3"/>
  <c r="U228" i="3"/>
  <c r="S228" i="3"/>
  <c r="R228" i="3"/>
  <c r="Q228" i="3"/>
  <c r="O228" i="3"/>
  <c r="N228" i="3"/>
  <c r="M228" i="3"/>
  <c r="K228" i="3"/>
  <c r="J228" i="3"/>
  <c r="H228" i="3"/>
  <c r="G228" i="3"/>
  <c r="F228" i="3"/>
  <c r="D228" i="3"/>
  <c r="C228" i="3"/>
  <c r="A228" i="3"/>
  <c r="AE227" i="3"/>
  <c r="AB227" i="3"/>
  <c r="AA227" i="3"/>
  <c r="Z227" i="3"/>
  <c r="Y227" i="3"/>
  <c r="X227" i="3"/>
  <c r="W227" i="3"/>
  <c r="V227" i="3"/>
  <c r="U227" i="3"/>
  <c r="S227" i="3"/>
  <c r="R227" i="3"/>
  <c r="Q227" i="3"/>
  <c r="O227" i="3"/>
  <c r="N227" i="3"/>
  <c r="M227" i="3"/>
  <c r="K227" i="3"/>
  <c r="J227" i="3"/>
  <c r="H227" i="3"/>
  <c r="G227" i="3"/>
  <c r="F227" i="3"/>
  <c r="D227" i="3"/>
  <c r="C227" i="3"/>
  <c r="A227" i="3"/>
  <c r="AE226" i="3"/>
  <c r="AD226" i="3"/>
  <c r="AC226" i="3"/>
  <c r="AB226" i="3"/>
  <c r="AA226" i="3"/>
  <c r="Z226" i="3"/>
  <c r="Y226" i="3"/>
  <c r="X226" i="3"/>
  <c r="W226" i="3"/>
  <c r="V226" i="3"/>
  <c r="U226" i="3"/>
  <c r="S226" i="3"/>
  <c r="R226" i="3"/>
  <c r="Q226" i="3"/>
  <c r="O226" i="3"/>
  <c r="N226" i="3"/>
  <c r="M226" i="3"/>
  <c r="L226" i="3"/>
  <c r="K226" i="3"/>
  <c r="J226" i="3"/>
  <c r="H226" i="3"/>
  <c r="G226" i="3"/>
  <c r="F226" i="3"/>
  <c r="D226" i="3"/>
  <c r="C226" i="3"/>
  <c r="A226" i="3"/>
  <c r="AE225" i="3"/>
  <c r="AB225" i="3"/>
  <c r="AA225" i="3"/>
  <c r="Z225" i="3"/>
  <c r="Y225" i="3"/>
  <c r="X225" i="3"/>
  <c r="W225" i="3"/>
  <c r="V225" i="3"/>
  <c r="U225" i="3"/>
  <c r="T225" i="3"/>
  <c r="S225" i="3"/>
  <c r="R225" i="3"/>
  <c r="Q225" i="3"/>
  <c r="O225" i="3"/>
  <c r="N225" i="3"/>
  <c r="M225" i="3"/>
  <c r="K225" i="3"/>
  <c r="J225" i="3"/>
  <c r="H225" i="3"/>
  <c r="G225" i="3"/>
  <c r="F225" i="3"/>
  <c r="D225" i="3"/>
  <c r="C225" i="3"/>
  <c r="A225" i="3"/>
  <c r="AE224" i="3"/>
  <c r="AC224" i="3"/>
  <c r="AB224" i="3"/>
  <c r="AA224" i="3"/>
  <c r="Z224" i="3"/>
  <c r="Y224" i="3"/>
  <c r="X224" i="3"/>
  <c r="W224" i="3"/>
  <c r="V224" i="3"/>
  <c r="U224" i="3"/>
  <c r="S224" i="3"/>
  <c r="R224" i="3"/>
  <c r="Q224" i="3"/>
  <c r="O224" i="3"/>
  <c r="N224" i="3"/>
  <c r="M224" i="3"/>
  <c r="K224" i="3"/>
  <c r="J224" i="3"/>
  <c r="H224" i="3"/>
  <c r="G224" i="3"/>
  <c r="F224" i="3"/>
  <c r="D224" i="3"/>
  <c r="C224" i="3"/>
  <c r="A224" i="3"/>
  <c r="AE223" i="3"/>
  <c r="AB223" i="3"/>
  <c r="AA223" i="3"/>
  <c r="Z223" i="3"/>
  <c r="Y223" i="3"/>
  <c r="X223" i="3"/>
  <c r="W223" i="3"/>
  <c r="V223" i="3"/>
  <c r="U223" i="3"/>
  <c r="T223" i="3"/>
  <c r="S223" i="3"/>
  <c r="R223" i="3"/>
  <c r="Q223" i="3"/>
  <c r="O223" i="3"/>
  <c r="N223" i="3"/>
  <c r="M223" i="3"/>
  <c r="K223" i="3"/>
  <c r="J223" i="3"/>
  <c r="H223" i="3"/>
  <c r="G223" i="3"/>
  <c r="F223" i="3"/>
  <c r="D223" i="3"/>
  <c r="C223" i="3"/>
  <c r="A223" i="3"/>
  <c r="AE222" i="3"/>
  <c r="AD222" i="3"/>
  <c r="AC222" i="3"/>
  <c r="AB222" i="3"/>
  <c r="AA222" i="3"/>
  <c r="Z222" i="3"/>
  <c r="Y222" i="3"/>
  <c r="X222" i="3"/>
  <c r="W222" i="3"/>
  <c r="V222" i="3"/>
  <c r="U222" i="3"/>
  <c r="S222" i="3"/>
  <c r="R222" i="3"/>
  <c r="Q222" i="3"/>
  <c r="O222" i="3"/>
  <c r="N222" i="3"/>
  <c r="M222" i="3"/>
  <c r="K222" i="3"/>
  <c r="J222" i="3"/>
  <c r="H222" i="3"/>
  <c r="G222" i="3"/>
  <c r="F222" i="3"/>
  <c r="D222" i="3"/>
  <c r="C222" i="3"/>
  <c r="A222" i="3"/>
  <c r="AE221" i="3"/>
  <c r="AC221" i="3"/>
  <c r="AB221" i="3"/>
  <c r="AA221" i="3"/>
  <c r="Z221" i="3"/>
  <c r="Y221" i="3"/>
  <c r="X221" i="3"/>
  <c r="W221" i="3"/>
  <c r="V221" i="3"/>
  <c r="U221" i="3"/>
  <c r="T221" i="3"/>
  <c r="S221" i="3"/>
  <c r="R221" i="3"/>
  <c r="Q221" i="3"/>
  <c r="P221" i="3"/>
  <c r="O221" i="3"/>
  <c r="N221" i="3"/>
  <c r="M221" i="3"/>
  <c r="K221" i="3"/>
  <c r="J221" i="3"/>
  <c r="H221" i="3"/>
  <c r="G221" i="3"/>
  <c r="F221" i="3"/>
  <c r="D221" i="3"/>
  <c r="C221" i="3"/>
  <c r="A221" i="3"/>
  <c r="AE220" i="3"/>
  <c r="AC220" i="3"/>
  <c r="AB220" i="3"/>
  <c r="AA220" i="3"/>
  <c r="Z220" i="3"/>
  <c r="Y220" i="3"/>
  <c r="X220" i="3"/>
  <c r="W220" i="3"/>
  <c r="V220" i="3"/>
  <c r="U220" i="3"/>
  <c r="T220" i="3"/>
  <c r="S220" i="3"/>
  <c r="R220" i="3"/>
  <c r="Q220" i="3"/>
  <c r="O220" i="3"/>
  <c r="N220" i="3"/>
  <c r="M220" i="3"/>
  <c r="K220" i="3"/>
  <c r="J220" i="3"/>
  <c r="H220" i="3"/>
  <c r="G220" i="3"/>
  <c r="F220" i="3"/>
  <c r="D220" i="3"/>
  <c r="C220" i="3"/>
  <c r="A220" i="3"/>
  <c r="AE219" i="3"/>
  <c r="AB219" i="3"/>
  <c r="AA219" i="3"/>
  <c r="Z219" i="3"/>
  <c r="Y219" i="3"/>
  <c r="X219" i="3"/>
  <c r="W219" i="3"/>
  <c r="V219" i="3"/>
  <c r="U219" i="3"/>
  <c r="T219" i="3"/>
  <c r="S219" i="3"/>
  <c r="R219" i="3"/>
  <c r="Q219" i="3"/>
  <c r="P219" i="3"/>
  <c r="O219" i="3"/>
  <c r="N219" i="3"/>
  <c r="M219" i="3"/>
  <c r="L219" i="3"/>
  <c r="K219" i="3"/>
  <c r="J219" i="3"/>
  <c r="H219" i="3"/>
  <c r="G219" i="3"/>
  <c r="F219" i="3"/>
  <c r="D219" i="3"/>
  <c r="C219" i="3"/>
  <c r="A219" i="3"/>
  <c r="AE218" i="3"/>
  <c r="AB218" i="3"/>
  <c r="AA218" i="3"/>
  <c r="Z218" i="3"/>
  <c r="Y218" i="3"/>
  <c r="X218" i="3"/>
  <c r="W218" i="3"/>
  <c r="V218" i="3"/>
  <c r="U218" i="3"/>
  <c r="T218" i="3"/>
  <c r="S218" i="3"/>
  <c r="R218" i="3"/>
  <c r="Q218" i="3"/>
  <c r="P218" i="3"/>
  <c r="O218" i="3"/>
  <c r="N218" i="3"/>
  <c r="M218" i="3"/>
  <c r="L218" i="3"/>
  <c r="K218" i="3"/>
  <c r="J218" i="3"/>
  <c r="H218" i="3"/>
  <c r="G218" i="3"/>
  <c r="F218" i="3"/>
  <c r="D218" i="3"/>
  <c r="C218" i="3"/>
  <c r="A218" i="3"/>
  <c r="AE217" i="3"/>
  <c r="AD217" i="3"/>
  <c r="AB217" i="3"/>
  <c r="AA217" i="3"/>
  <c r="Z217" i="3"/>
  <c r="Y217" i="3"/>
  <c r="X217" i="3"/>
  <c r="W217" i="3"/>
  <c r="V217" i="3"/>
  <c r="U217" i="3"/>
  <c r="S217" i="3"/>
  <c r="R217" i="3"/>
  <c r="Q217" i="3"/>
  <c r="O217" i="3"/>
  <c r="N217" i="3"/>
  <c r="M217" i="3"/>
  <c r="L217" i="3"/>
  <c r="K217" i="3"/>
  <c r="J217" i="3"/>
  <c r="H217" i="3"/>
  <c r="G217" i="3"/>
  <c r="F217" i="3"/>
  <c r="D217" i="3"/>
  <c r="C217" i="3"/>
  <c r="A217" i="3"/>
  <c r="AE216" i="3"/>
  <c r="AB216" i="3"/>
  <c r="AA216" i="3"/>
  <c r="Z216" i="3"/>
  <c r="Y216" i="3"/>
  <c r="X216" i="3"/>
  <c r="W216" i="3"/>
  <c r="V216" i="3"/>
  <c r="U216" i="3"/>
  <c r="S216" i="3"/>
  <c r="R216" i="3"/>
  <c r="Q216" i="3"/>
  <c r="O216" i="3"/>
  <c r="N216" i="3"/>
  <c r="M216" i="3"/>
  <c r="K216" i="3"/>
  <c r="J216" i="3"/>
  <c r="H216" i="3"/>
  <c r="G216" i="3"/>
  <c r="F216" i="3"/>
  <c r="D216" i="3"/>
  <c r="C216" i="3"/>
  <c r="A216" i="3"/>
  <c r="AE215" i="3"/>
  <c r="AC215" i="3"/>
  <c r="AB215" i="3"/>
  <c r="AA215" i="3"/>
  <c r="Z215" i="3"/>
  <c r="Y215" i="3"/>
  <c r="X215" i="3"/>
  <c r="W215" i="3"/>
  <c r="V215" i="3"/>
  <c r="U215" i="3"/>
  <c r="S215" i="3"/>
  <c r="R215" i="3"/>
  <c r="Q215" i="3"/>
  <c r="O215" i="3"/>
  <c r="N215" i="3"/>
  <c r="M215" i="3"/>
  <c r="K215" i="3"/>
  <c r="J215" i="3"/>
  <c r="H215" i="3"/>
  <c r="G215" i="3"/>
  <c r="F215" i="3"/>
  <c r="D215" i="3"/>
  <c r="C215" i="3"/>
  <c r="A215" i="3"/>
  <c r="AE214" i="3"/>
  <c r="AB214" i="3"/>
  <c r="AA214" i="3"/>
  <c r="Z214" i="3"/>
  <c r="Y214" i="3"/>
  <c r="X214" i="3"/>
  <c r="W214" i="3"/>
  <c r="V214" i="3"/>
  <c r="U214" i="3"/>
  <c r="T214" i="3"/>
  <c r="S214" i="3"/>
  <c r="R214" i="3"/>
  <c r="Q214" i="3"/>
  <c r="O214" i="3"/>
  <c r="N214" i="3"/>
  <c r="K214" i="3"/>
  <c r="J214" i="3"/>
  <c r="H214" i="3"/>
  <c r="G214" i="3"/>
  <c r="F214" i="3"/>
  <c r="D214" i="3"/>
  <c r="C214" i="3"/>
  <c r="A214" i="3"/>
  <c r="AE213" i="3"/>
  <c r="AB213" i="3"/>
  <c r="AA213" i="3"/>
  <c r="Z213" i="3"/>
  <c r="Y213" i="3"/>
  <c r="X213" i="3"/>
  <c r="W213" i="3"/>
  <c r="V213" i="3"/>
  <c r="U213" i="3"/>
  <c r="S213" i="3"/>
  <c r="R213" i="3"/>
  <c r="Q213" i="3"/>
  <c r="O213" i="3"/>
  <c r="N213" i="3"/>
  <c r="M213" i="3"/>
  <c r="K213" i="3"/>
  <c r="J213" i="3"/>
  <c r="H213" i="3"/>
  <c r="G213" i="3"/>
  <c r="F213" i="3"/>
  <c r="D213" i="3"/>
  <c r="C213" i="3"/>
  <c r="A213" i="3"/>
  <c r="AE212" i="3"/>
  <c r="AB212" i="3"/>
  <c r="AA212" i="3"/>
  <c r="Z212" i="3"/>
  <c r="Y212" i="3"/>
  <c r="X212" i="3"/>
  <c r="W212" i="3"/>
  <c r="V212" i="3"/>
  <c r="U212" i="3"/>
  <c r="S212" i="3"/>
  <c r="R212" i="3"/>
  <c r="Q212" i="3"/>
  <c r="O212" i="3"/>
  <c r="N212" i="3"/>
  <c r="M212" i="3"/>
  <c r="L212" i="3"/>
  <c r="K212" i="3"/>
  <c r="J212" i="3"/>
  <c r="H212" i="3"/>
  <c r="G212" i="3"/>
  <c r="F212" i="3"/>
  <c r="D212" i="3"/>
  <c r="C212" i="3"/>
  <c r="A212" i="3"/>
  <c r="AE211" i="3"/>
  <c r="AD211" i="3"/>
  <c r="AC211" i="3"/>
  <c r="AB211" i="3"/>
  <c r="AA211" i="3"/>
  <c r="Z211" i="3"/>
  <c r="Y211" i="3"/>
  <c r="W211" i="3"/>
  <c r="V211" i="3"/>
  <c r="U211" i="3"/>
  <c r="T211" i="3"/>
  <c r="S211" i="3"/>
  <c r="R211" i="3"/>
  <c r="Q211" i="3"/>
  <c r="O211" i="3"/>
  <c r="N211" i="3"/>
  <c r="M211" i="3"/>
  <c r="L211" i="3"/>
  <c r="K211" i="3"/>
  <c r="J211" i="3"/>
  <c r="H211" i="3"/>
  <c r="G211" i="3"/>
  <c r="F211" i="3"/>
  <c r="D211" i="3"/>
  <c r="C211" i="3"/>
  <c r="A211" i="3"/>
  <c r="AE210" i="3"/>
  <c r="AB210" i="3"/>
  <c r="AA210" i="3"/>
  <c r="Z210" i="3"/>
  <c r="Y210" i="3"/>
  <c r="X210" i="3"/>
  <c r="W210" i="3"/>
  <c r="V210" i="3"/>
  <c r="U210" i="3"/>
  <c r="T210" i="3"/>
  <c r="S210" i="3"/>
  <c r="R210" i="3"/>
  <c r="Q210" i="3"/>
  <c r="O210" i="3"/>
  <c r="N210" i="3"/>
  <c r="M210" i="3"/>
  <c r="K210" i="3"/>
  <c r="J210" i="3"/>
  <c r="H210" i="3"/>
  <c r="G210" i="3"/>
  <c r="F210" i="3"/>
  <c r="D210" i="3"/>
  <c r="C210" i="3"/>
  <c r="A210" i="3"/>
  <c r="AE209" i="3"/>
  <c r="AB209" i="3"/>
  <c r="AA209" i="3"/>
  <c r="Z209" i="3"/>
  <c r="Y209" i="3"/>
  <c r="X209" i="3"/>
  <c r="W209" i="3"/>
  <c r="V209" i="3"/>
  <c r="U209" i="3"/>
  <c r="S209" i="3"/>
  <c r="R209" i="3"/>
  <c r="Q209" i="3"/>
  <c r="O209" i="3"/>
  <c r="N209" i="3"/>
  <c r="M209" i="3"/>
  <c r="K209" i="3"/>
  <c r="J209" i="3"/>
  <c r="H209" i="3"/>
  <c r="G209" i="3"/>
  <c r="F209" i="3"/>
  <c r="D209" i="3"/>
  <c r="C209" i="3"/>
  <c r="A209" i="3"/>
  <c r="AE208" i="3"/>
  <c r="AD208" i="3"/>
  <c r="AB208" i="3"/>
  <c r="AA208" i="3"/>
  <c r="Z208" i="3"/>
  <c r="Y208" i="3"/>
  <c r="W208" i="3"/>
  <c r="V208" i="3"/>
  <c r="U208" i="3"/>
  <c r="S208" i="3"/>
  <c r="R208" i="3"/>
  <c r="Q208" i="3"/>
  <c r="O208" i="3"/>
  <c r="N208" i="3"/>
  <c r="M208" i="3"/>
  <c r="L208" i="3"/>
  <c r="K208" i="3"/>
  <c r="J208" i="3"/>
  <c r="H208" i="3"/>
  <c r="G208" i="3"/>
  <c r="F208" i="3"/>
  <c r="D208" i="3"/>
  <c r="C208" i="3"/>
  <c r="A208" i="3"/>
  <c r="AE207" i="3"/>
  <c r="AB207" i="3"/>
  <c r="AA207" i="3"/>
  <c r="Z207" i="3"/>
  <c r="Y207" i="3"/>
  <c r="X207" i="3"/>
  <c r="W207" i="3"/>
  <c r="V207" i="3"/>
  <c r="U207" i="3"/>
  <c r="S207" i="3"/>
  <c r="R207" i="3"/>
  <c r="Q207" i="3"/>
  <c r="O207" i="3"/>
  <c r="N207" i="3"/>
  <c r="M207" i="3"/>
  <c r="K207" i="3"/>
  <c r="J207" i="3"/>
  <c r="H207" i="3"/>
  <c r="G207" i="3"/>
  <c r="F207" i="3"/>
  <c r="D207" i="3"/>
  <c r="C207" i="3"/>
  <c r="A207" i="3"/>
  <c r="AE206" i="3"/>
  <c r="AC206" i="3"/>
  <c r="AB206" i="3"/>
  <c r="AA206" i="3"/>
  <c r="Z206" i="3"/>
  <c r="Y206" i="3"/>
  <c r="X206" i="3"/>
  <c r="W206" i="3"/>
  <c r="V206" i="3"/>
  <c r="U206" i="3"/>
  <c r="T206" i="3"/>
  <c r="S206" i="3"/>
  <c r="R206" i="3"/>
  <c r="Q206" i="3"/>
  <c r="O206" i="3"/>
  <c r="N206" i="3"/>
  <c r="M206" i="3"/>
  <c r="L206" i="3"/>
  <c r="K206" i="3"/>
  <c r="J206" i="3"/>
  <c r="H206" i="3"/>
  <c r="G206" i="3"/>
  <c r="F206" i="3"/>
  <c r="D206" i="3"/>
  <c r="C206" i="3"/>
  <c r="A206" i="3"/>
  <c r="AE205" i="3"/>
  <c r="AB205" i="3"/>
  <c r="AA205" i="3"/>
  <c r="Z205" i="3"/>
  <c r="Y205" i="3"/>
  <c r="X205" i="3"/>
  <c r="W205" i="3"/>
  <c r="V205" i="3"/>
  <c r="U205" i="3"/>
  <c r="S205" i="3"/>
  <c r="R205" i="3"/>
  <c r="Q205" i="3"/>
  <c r="O205" i="3"/>
  <c r="N205" i="3"/>
  <c r="M205" i="3"/>
  <c r="K205" i="3"/>
  <c r="J205" i="3"/>
  <c r="H205" i="3"/>
  <c r="G205" i="3"/>
  <c r="F205" i="3"/>
  <c r="D205" i="3"/>
  <c r="C205" i="3"/>
  <c r="A205" i="3"/>
  <c r="AE204" i="3"/>
  <c r="AB204" i="3"/>
  <c r="AA204" i="3"/>
  <c r="Z204" i="3"/>
  <c r="Y204" i="3"/>
  <c r="X204" i="3"/>
  <c r="W204" i="3"/>
  <c r="V204" i="3"/>
  <c r="U204" i="3"/>
  <c r="S204" i="3"/>
  <c r="R204" i="3"/>
  <c r="Q204" i="3"/>
  <c r="O204" i="3"/>
  <c r="N204" i="3"/>
  <c r="M204" i="3"/>
  <c r="K204" i="3"/>
  <c r="J204" i="3"/>
  <c r="H204" i="3"/>
  <c r="G204" i="3"/>
  <c r="F204" i="3"/>
  <c r="D204" i="3"/>
  <c r="C204" i="3"/>
  <c r="A204" i="3"/>
  <c r="AE203" i="3"/>
  <c r="AB203" i="3"/>
  <c r="AA203" i="3"/>
  <c r="Z203" i="3"/>
  <c r="Y203" i="3"/>
  <c r="X203" i="3"/>
  <c r="W203" i="3"/>
  <c r="V203" i="3"/>
  <c r="U203" i="3"/>
  <c r="S203" i="3"/>
  <c r="R203" i="3"/>
  <c r="Q203" i="3"/>
  <c r="O203" i="3"/>
  <c r="N203" i="3"/>
  <c r="M203" i="3"/>
  <c r="K203" i="3"/>
  <c r="J203" i="3"/>
  <c r="H203" i="3"/>
  <c r="G203" i="3"/>
  <c r="F203" i="3"/>
  <c r="D203" i="3"/>
  <c r="C203" i="3"/>
  <c r="A203" i="3"/>
  <c r="AE202" i="3"/>
  <c r="AB202" i="3"/>
  <c r="AA202" i="3"/>
  <c r="Z202" i="3"/>
  <c r="Y202" i="3"/>
  <c r="X202" i="3"/>
  <c r="W202" i="3"/>
  <c r="V202" i="3"/>
  <c r="U202" i="3"/>
  <c r="S202" i="3"/>
  <c r="R202" i="3"/>
  <c r="Q202" i="3"/>
  <c r="O202" i="3"/>
  <c r="N202" i="3"/>
  <c r="M202" i="3"/>
  <c r="K202" i="3"/>
  <c r="J202" i="3"/>
  <c r="H202" i="3"/>
  <c r="G202" i="3"/>
  <c r="F202" i="3"/>
  <c r="D202" i="3"/>
  <c r="C202" i="3"/>
  <c r="A202" i="3"/>
  <c r="AE201" i="3"/>
  <c r="AB201" i="3"/>
  <c r="AA201" i="3"/>
  <c r="Z201" i="3"/>
  <c r="Y201" i="3"/>
  <c r="X201" i="3"/>
  <c r="W201" i="3"/>
  <c r="V201" i="3"/>
  <c r="U201" i="3"/>
  <c r="S201" i="3"/>
  <c r="R201" i="3"/>
  <c r="Q201" i="3"/>
  <c r="O201" i="3"/>
  <c r="N201" i="3"/>
  <c r="M201" i="3"/>
  <c r="K201" i="3"/>
  <c r="J201" i="3"/>
  <c r="H201" i="3"/>
  <c r="G201" i="3"/>
  <c r="F201" i="3"/>
  <c r="D201" i="3"/>
  <c r="C201" i="3"/>
  <c r="A201" i="3"/>
  <c r="AE200" i="3"/>
  <c r="AB200" i="3"/>
  <c r="AA200" i="3"/>
  <c r="Z200" i="3"/>
  <c r="Y200" i="3"/>
  <c r="W200" i="3"/>
  <c r="V200" i="3"/>
  <c r="U200" i="3"/>
  <c r="T200" i="3"/>
  <c r="S200" i="3"/>
  <c r="R200" i="3"/>
  <c r="Q200" i="3"/>
  <c r="O200" i="3"/>
  <c r="N200" i="3"/>
  <c r="M200" i="3"/>
  <c r="K200" i="3"/>
  <c r="J200" i="3"/>
  <c r="H200" i="3"/>
  <c r="G200" i="3"/>
  <c r="F200" i="3"/>
  <c r="D200" i="3"/>
  <c r="C200" i="3"/>
  <c r="A200" i="3"/>
  <c r="AE199" i="3"/>
  <c r="AD199" i="3"/>
  <c r="AB199" i="3"/>
  <c r="AA199" i="3"/>
  <c r="Z199" i="3"/>
  <c r="Y199" i="3"/>
  <c r="X199" i="3"/>
  <c r="W199" i="3"/>
  <c r="V199" i="3"/>
  <c r="U199" i="3"/>
  <c r="S199" i="3"/>
  <c r="R199" i="3"/>
  <c r="Q199" i="3"/>
  <c r="O199" i="3"/>
  <c r="N199" i="3"/>
  <c r="M199" i="3"/>
  <c r="K199" i="3"/>
  <c r="J199" i="3"/>
  <c r="H199" i="3"/>
  <c r="G199" i="3"/>
  <c r="F199" i="3"/>
  <c r="D199" i="3"/>
  <c r="C199" i="3"/>
  <c r="A199" i="3"/>
  <c r="AE198" i="3"/>
  <c r="AB198" i="3"/>
  <c r="AA198" i="3"/>
  <c r="Z198" i="3"/>
  <c r="Y198" i="3"/>
  <c r="X198" i="3"/>
  <c r="W198" i="3"/>
  <c r="V198" i="3"/>
  <c r="U198" i="3"/>
  <c r="T198" i="3"/>
  <c r="S198" i="3"/>
  <c r="R198" i="3"/>
  <c r="Q198" i="3"/>
  <c r="O198" i="3"/>
  <c r="N198" i="3"/>
  <c r="M198" i="3"/>
  <c r="K198" i="3"/>
  <c r="J198" i="3"/>
  <c r="H198" i="3"/>
  <c r="G198" i="3"/>
  <c r="F198" i="3"/>
  <c r="D198" i="3"/>
  <c r="C198" i="3"/>
  <c r="A198" i="3"/>
  <c r="AE197" i="3"/>
  <c r="AB197" i="3"/>
  <c r="AA197" i="3"/>
  <c r="Z197" i="3"/>
  <c r="Y197" i="3"/>
  <c r="W197" i="3"/>
  <c r="V197" i="3"/>
  <c r="U197" i="3"/>
  <c r="S197" i="3"/>
  <c r="R197" i="3"/>
  <c r="Q197" i="3"/>
  <c r="O197" i="3"/>
  <c r="N197" i="3"/>
  <c r="M197" i="3"/>
  <c r="K197" i="3"/>
  <c r="J197" i="3"/>
  <c r="H197" i="3"/>
  <c r="G197" i="3"/>
  <c r="F197" i="3"/>
  <c r="D197" i="3"/>
  <c r="C197" i="3"/>
  <c r="A197" i="3"/>
  <c r="AE196" i="3"/>
  <c r="AD196" i="3"/>
  <c r="AB196" i="3"/>
  <c r="AA196" i="3"/>
  <c r="Z196" i="3"/>
  <c r="Y196" i="3"/>
  <c r="X196" i="3"/>
  <c r="W196" i="3"/>
  <c r="V196" i="3"/>
  <c r="U196" i="3"/>
  <c r="S196" i="3"/>
  <c r="R196" i="3"/>
  <c r="Q196" i="3"/>
  <c r="O196" i="3"/>
  <c r="N196" i="3"/>
  <c r="M196" i="3"/>
  <c r="K196" i="3"/>
  <c r="J196" i="3"/>
  <c r="H196" i="3"/>
  <c r="G196" i="3"/>
  <c r="F196" i="3"/>
  <c r="D196" i="3"/>
  <c r="C196" i="3"/>
  <c r="A196" i="3"/>
  <c r="AE195" i="3"/>
  <c r="AB195" i="3"/>
  <c r="AA195" i="3"/>
  <c r="Z195" i="3"/>
  <c r="Y195" i="3"/>
  <c r="X195" i="3"/>
  <c r="W195" i="3"/>
  <c r="V195" i="3"/>
  <c r="U195" i="3"/>
  <c r="S195" i="3"/>
  <c r="R195" i="3"/>
  <c r="Q195" i="3"/>
  <c r="O195" i="3"/>
  <c r="N195" i="3"/>
  <c r="M195" i="3"/>
  <c r="K195" i="3"/>
  <c r="J195" i="3"/>
  <c r="H195" i="3"/>
  <c r="G195" i="3"/>
  <c r="F195" i="3"/>
  <c r="D195" i="3"/>
  <c r="C195" i="3"/>
  <c r="A195" i="3"/>
  <c r="AE194" i="3"/>
  <c r="AD194" i="3"/>
  <c r="AC194" i="3"/>
  <c r="AB194" i="3"/>
  <c r="AA194" i="3"/>
  <c r="Z194" i="3"/>
  <c r="Y194" i="3"/>
  <c r="X194" i="3"/>
  <c r="W194" i="3"/>
  <c r="V194" i="3"/>
  <c r="U194" i="3"/>
  <c r="S194" i="3"/>
  <c r="R194" i="3"/>
  <c r="Q194" i="3"/>
  <c r="O194" i="3"/>
  <c r="N194" i="3"/>
  <c r="M194" i="3"/>
  <c r="K194" i="3"/>
  <c r="J194" i="3"/>
  <c r="H194" i="3"/>
  <c r="G194" i="3"/>
  <c r="F194" i="3"/>
  <c r="D194" i="3"/>
  <c r="C194" i="3"/>
  <c r="A194" i="3"/>
  <c r="AE193" i="3"/>
  <c r="AD193" i="3"/>
  <c r="AC193" i="3"/>
  <c r="AB193" i="3"/>
  <c r="AA193" i="3"/>
  <c r="Z193" i="3"/>
  <c r="Y193" i="3"/>
  <c r="X193" i="3"/>
  <c r="W193" i="3"/>
  <c r="V193" i="3"/>
  <c r="U193" i="3"/>
  <c r="S193" i="3"/>
  <c r="R193" i="3"/>
  <c r="Q193" i="3"/>
  <c r="O193" i="3"/>
  <c r="N193" i="3"/>
  <c r="M193" i="3"/>
  <c r="K193" i="3"/>
  <c r="J193" i="3"/>
  <c r="H193" i="3"/>
  <c r="G193" i="3"/>
  <c r="F193" i="3"/>
  <c r="D193" i="3"/>
  <c r="C193" i="3"/>
  <c r="A193" i="3"/>
  <c r="AE192" i="3"/>
  <c r="AD192" i="3"/>
  <c r="AB192" i="3"/>
  <c r="AA192" i="3"/>
  <c r="Z192" i="3"/>
  <c r="Y192" i="3"/>
  <c r="X192" i="3"/>
  <c r="W192" i="3"/>
  <c r="V192" i="3"/>
  <c r="U192" i="3"/>
  <c r="T192" i="3"/>
  <c r="S192" i="3"/>
  <c r="R192" i="3"/>
  <c r="Q192" i="3"/>
  <c r="O192" i="3"/>
  <c r="N192" i="3"/>
  <c r="M192" i="3"/>
  <c r="K192" i="3"/>
  <c r="J192" i="3"/>
  <c r="H192" i="3"/>
  <c r="G192" i="3"/>
  <c r="F192" i="3"/>
  <c r="D192" i="3"/>
  <c r="C192" i="3"/>
  <c r="A192" i="3"/>
  <c r="AE191" i="3"/>
  <c r="AD191" i="3"/>
  <c r="AB191" i="3"/>
  <c r="AA191" i="3"/>
  <c r="Z191" i="3"/>
  <c r="Y191" i="3"/>
  <c r="X191" i="3"/>
  <c r="W191" i="3"/>
  <c r="V191" i="3"/>
  <c r="U191" i="3"/>
  <c r="T191" i="3"/>
  <c r="S191" i="3"/>
  <c r="R191" i="3"/>
  <c r="Q191" i="3"/>
  <c r="O191" i="3"/>
  <c r="N191" i="3"/>
  <c r="M191" i="3"/>
  <c r="K191" i="3"/>
  <c r="J191" i="3"/>
  <c r="H191" i="3"/>
  <c r="G191" i="3"/>
  <c r="F191" i="3"/>
  <c r="D191" i="3"/>
  <c r="C191" i="3"/>
  <c r="A191" i="3"/>
  <c r="AE190" i="3"/>
  <c r="AD190" i="3"/>
  <c r="AB190" i="3"/>
  <c r="AA190" i="3"/>
  <c r="Z190" i="3"/>
  <c r="Y190" i="3"/>
  <c r="X190" i="3"/>
  <c r="W190" i="3"/>
  <c r="V190" i="3"/>
  <c r="U190" i="3"/>
  <c r="T190" i="3"/>
  <c r="S190" i="3"/>
  <c r="R190" i="3"/>
  <c r="Q190" i="3"/>
  <c r="O190" i="3"/>
  <c r="N190" i="3"/>
  <c r="M190" i="3"/>
  <c r="K190" i="3"/>
  <c r="J190" i="3"/>
  <c r="H190" i="3"/>
  <c r="G190" i="3"/>
  <c r="F190" i="3"/>
  <c r="D190" i="3"/>
  <c r="C190" i="3"/>
  <c r="A190" i="3"/>
  <c r="AE189" i="3"/>
  <c r="AD189" i="3"/>
  <c r="AB189" i="3"/>
  <c r="AA189" i="3"/>
  <c r="Z189" i="3"/>
  <c r="Y189" i="3"/>
  <c r="X189" i="3"/>
  <c r="W189" i="3"/>
  <c r="V189" i="3"/>
  <c r="U189" i="3"/>
  <c r="S189" i="3"/>
  <c r="R189" i="3"/>
  <c r="Q189" i="3"/>
  <c r="P189" i="3"/>
  <c r="O189" i="3"/>
  <c r="N189" i="3"/>
  <c r="M189" i="3"/>
  <c r="L189" i="3"/>
  <c r="K189" i="3"/>
  <c r="J189" i="3"/>
  <c r="H189" i="3"/>
  <c r="G189" i="3"/>
  <c r="F189" i="3"/>
  <c r="D189" i="3"/>
  <c r="C189" i="3"/>
  <c r="A189" i="3"/>
  <c r="AE188" i="3"/>
  <c r="AD188" i="3"/>
  <c r="AB188" i="3"/>
  <c r="AA188" i="3"/>
  <c r="Z188" i="3"/>
  <c r="Y188" i="3"/>
  <c r="X188" i="3"/>
  <c r="W188" i="3"/>
  <c r="V188" i="3"/>
  <c r="U188" i="3"/>
  <c r="S188" i="3"/>
  <c r="R188" i="3"/>
  <c r="Q188" i="3"/>
  <c r="P188" i="3"/>
  <c r="O188" i="3"/>
  <c r="N188" i="3"/>
  <c r="M188" i="3"/>
  <c r="L188" i="3"/>
  <c r="K188" i="3"/>
  <c r="J188" i="3"/>
  <c r="H188" i="3"/>
  <c r="G188" i="3"/>
  <c r="F188" i="3"/>
  <c r="D188" i="3"/>
  <c r="C188" i="3"/>
  <c r="A188" i="3"/>
  <c r="AE187" i="3"/>
  <c r="AD187" i="3"/>
  <c r="AB187" i="3"/>
  <c r="AA187" i="3"/>
  <c r="Z187" i="3"/>
  <c r="Y187" i="3"/>
  <c r="X187" i="3"/>
  <c r="W187" i="3"/>
  <c r="V187" i="3"/>
  <c r="U187" i="3"/>
  <c r="T187" i="3"/>
  <c r="S187" i="3"/>
  <c r="R187" i="3"/>
  <c r="Q187" i="3"/>
  <c r="O187" i="3"/>
  <c r="N187" i="3"/>
  <c r="M187" i="3"/>
  <c r="K187" i="3"/>
  <c r="J187" i="3"/>
  <c r="H187" i="3"/>
  <c r="G187" i="3"/>
  <c r="F187" i="3"/>
  <c r="D187" i="3"/>
  <c r="C187" i="3"/>
  <c r="A187" i="3"/>
  <c r="AE186" i="3"/>
  <c r="AD186" i="3"/>
  <c r="AB186" i="3"/>
  <c r="AA186" i="3"/>
  <c r="Z186" i="3"/>
  <c r="Y186" i="3"/>
  <c r="X186" i="3"/>
  <c r="W186" i="3"/>
  <c r="V186" i="3"/>
  <c r="U186" i="3"/>
  <c r="S186" i="3"/>
  <c r="R186" i="3"/>
  <c r="Q186" i="3"/>
  <c r="O186" i="3"/>
  <c r="N186" i="3"/>
  <c r="M186" i="3"/>
  <c r="K186" i="3"/>
  <c r="J186" i="3"/>
  <c r="H186" i="3"/>
  <c r="G186" i="3"/>
  <c r="F186" i="3"/>
  <c r="D186" i="3"/>
  <c r="C186" i="3"/>
  <c r="A186" i="3"/>
  <c r="AE185" i="3"/>
  <c r="AD185" i="3"/>
  <c r="AB185" i="3"/>
  <c r="AA185" i="3"/>
  <c r="Z185" i="3"/>
  <c r="Y185" i="3"/>
  <c r="X185" i="3"/>
  <c r="W185" i="3"/>
  <c r="V185" i="3"/>
  <c r="U185" i="3"/>
  <c r="T185" i="3"/>
  <c r="S185" i="3"/>
  <c r="R185" i="3"/>
  <c r="Q185" i="3"/>
  <c r="O185" i="3"/>
  <c r="N185" i="3"/>
  <c r="M185" i="3"/>
  <c r="K185" i="3"/>
  <c r="J185" i="3"/>
  <c r="H185" i="3"/>
  <c r="G185" i="3"/>
  <c r="F185" i="3"/>
  <c r="D185" i="3"/>
  <c r="C185" i="3"/>
  <c r="A185" i="3"/>
  <c r="AE184" i="3"/>
  <c r="AC184" i="3"/>
  <c r="AB184" i="3"/>
  <c r="AA184" i="3"/>
  <c r="Z184" i="3"/>
  <c r="Y184" i="3"/>
  <c r="X184" i="3"/>
  <c r="W184" i="3"/>
  <c r="V184" i="3"/>
  <c r="U184" i="3"/>
  <c r="S184" i="3"/>
  <c r="R184" i="3"/>
  <c r="Q184" i="3"/>
  <c r="O184" i="3"/>
  <c r="N184" i="3"/>
  <c r="M184" i="3"/>
  <c r="L184" i="3"/>
  <c r="K184" i="3"/>
  <c r="J184" i="3"/>
  <c r="H184" i="3"/>
  <c r="G184" i="3"/>
  <c r="F184" i="3"/>
  <c r="D184" i="3"/>
  <c r="C184" i="3"/>
  <c r="A184" i="3"/>
  <c r="AE183" i="3"/>
  <c r="AC183" i="3"/>
  <c r="AB183" i="3"/>
  <c r="AA183" i="3"/>
  <c r="Z183" i="3"/>
  <c r="Y183" i="3"/>
  <c r="X183" i="3"/>
  <c r="W183" i="3"/>
  <c r="V183" i="3"/>
  <c r="U183" i="3"/>
  <c r="T183" i="3"/>
  <c r="S183" i="3"/>
  <c r="R183" i="3"/>
  <c r="Q183" i="3"/>
  <c r="O183" i="3"/>
  <c r="N183" i="3"/>
  <c r="M183" i="3"/>
  <c r="K183" i="3"/>
  <c r="J183" i="3"/>
  <c r="H183" i="3"/>
  <c r="G183" i="3"/>
  <c r="F183" i="3"/>
  <c r="D183" i="3"/>
  <c r="C183" i="3"/>
  <c r="A183" i="3"/>
  <c r="AE182" i="3"/>
  <c r="AC182" i="3"/>
  <c r="AB182" i="3"/>
  <c r="AA182" i="3"/>
  <c r="Z182" i="3"/>
  <c r="Y182" i="3"/>
  <c r="X182" i="3"/>
  <c r="W182" i="3"/>
  <c r="V182" i="3"/>
  <c r="U182" i="3"/>
  <c r="S182" i="3"/>
  <c r="R182" i="3"/>
  <c r="Q182" i="3"/>
  <c r="O182" i="3"/>
  <c r="N182" i="3"/>
  <c r="M182" i="3"/>
  <c r="K182" i="3"/>
  <c r="J182" i="3"/>
  <c r="H182" i="3"/>
  <c r="G182" i="3"/>
  <c r="F182" i="3"/>
  <c r="D182" i="3"/>
  <c r="C182" i="3"/>
  <c r="A182" i="3"/>
  <c r="AE181" i="3"/>
  <c r="AB181" i="3"/>
  <c r="AA181" i="3"/>
  <c r="Z181" i="3"/>
  <c r="Y181" i="3"/>
  <c r="X181" i="3"/>
  <c r="W181" i="3"/>
  <c r="V181" i="3"/>
  <c r="U181" i="3"/>
  <c r="S181" i="3"/>
  <c r="R181" i="3"/>
  <c r="Q181" i="3"/>
  <c r="O181" i="3"/>
  <c r="N181" i="3"/>
  <c r="M181" i="3"/>
  <c r="K181" i="3"/>
  <c r="J181" i="3"/>
  <c r="H181" i="3"/>
  <c r="G181" i="3"/>
  <c r="F181" i="3"/>
  <c r="D181" i="3"/>
  <c r="C181" i="3"/>
  <c r="A181" i="3"/>
  <c r="AE180" i="3"/>
  <c r="AD180" i="3"/>
  <c r="AC180" i="3"/>
  <c r="AB180" i="3"/>
  <c r="AA180" i="3"/>
  <c r="Z180" i="3"/>
  <c r="Y180" i="3"/>
  <c r="X180" i="3"/>
  <c r="W180" i="3"/>
  <c r="V180" i="3"/>
  <c r="U180" i="3"/>
  <c r="T180" i="3"/>
  <c r="S180" i="3"/>
  <c r="R180" i="3"/>
  <c r="Q180" i="3"/>
  <c r="O180" i="3"/>
  <c r="N180" i="3"/>
  <c r="M180" i="3"/>
  <c r="K180" i="3"/>
  <c r="J180" i="3"/>
  <c r="H180" i="3"/>
  <c r="G180" i="3"/>
  <c r="F180" i="3"/>
  <c r="D180" i="3"/>
  <c r="C180" i="3"/>
  <c r="A180" i="3"/>
  <c r="AE179" i="3"/>
  <c r="AC179" i="3"/>
  <c r="AB179" i="3"/>
  <c r="AA179" i="3"/>
  <c r="Z179" i="3"/>
  <c r="Y179" i="3"/>
  <c r="X179" i="3"/>
  <c r="W179" i="3"/>
  <c r="V179" i="3"/>
  <c r="U179" i="3"/>
  <c r="T179" i="3"/>
  <c r="S179" i="3"/>
  <c r="R179" i="3"/>
  <c r="Q179" i="3"/>
  <c r="O179" i="3"/>
  <c r="N179" i="3"/>
  <c r="M179" i="3"/>
  <c r="L179" i="3"/>
  <c r="K179" i="3"/>
  <c r="J179" i="3"/>
  <c r="H179" i="3"/>
  <c r="G179" i="3"/>
  <c r="F179" i="3"/>
  <c r="D179" i="3"/>
  <c r="C179" i="3"/>
  <c r="A179" i="3"/>
  <c r="AE178" i="3"/>
  <c r="AB178" i="3"/>
  <c r="AA178" i="3"/>
  <c r="Z178" i="3"/>
  <c r="Y178" i="3"/>
  <c r="X178" i="3"/>
  <c r="W178" i="3"/>
  <c r="V178" i="3"/>
  <c r="U178" i="3"/>
  <c r="S178" i="3"/>
  <c r="R178" i="3"/>
  <c r="Q178" i="3"/>
  <c r="O178" i="3"/>
  <c r="N178" i="3"/>
  <c r="M178" i="3"/>
  <c r="K178" i="3"/>
  <c r="J178" i="3"/>
  <c r="H178" i="3"/>
  <c r="G178" i="3"/>
  <c r="F178" i="3"/>
  <c r="D178" i="3"/>
  <c r="C178" i="3"/>
  <c r="A178" i="3"/>
  <c r="AE177" i="3"/>
  <c r="AD177" i="3"/>
  <c r="AC177" i="3"/>
  <c r="AB177" i="3"/>
  <c r="AA177" i="3"/>
  <c r="Z177" i="3"/>
  <c r="Y177" i="3"/>
  <c r="X177" i="3"/>
  <c r="W177" i="3"/>
  <c r="V177" i="3"/>
  <c r="U177" i="3"/>
  <c r="S177" i="3"/>
  <c r="R177" i="3"/>
  <c r="Q177" i="3"/>
  <c r="O177" i="3"/>
  <c r="N177" i="3"/>
  <c r="M177" i="3"/>
  <c r="L177" i="3"/>
  <c r="K177" i="3"/>
  <c r="J177" i="3"/>
  <c r="H177" i="3"/>
  <c r="G177" i="3"/>
  <c r="F177" i="3"/>
  <c r="D177" i="3"/>
  <c r="C177" i="3"/>
  <c r="A177" i="3"/>
  <c r="AE176" i="3"/>
  <c r="AC176" i="3"/>
  <c r="AB176" i="3"/>
  <c r="AA176" i="3"/>
  <c r="Z176" i="3"/>
  <c r="Y176" i="3"/>
  <c r="X176" i="3"/>
  <c r="W176" i="3"/>
  <c r="V176" i="3"/>
  <c r="U176" i="3"/>
  <c r="S176" i="3"/>
  <c r="R176" i="3"/>
  <c r="Q176" i="3"/>
  <c r="O176" i="3"/>
  <c r="N176" i="3"/>
  <c r="M176" i="3"/>
  <c r="K176" i="3"/>
  <c r="J176" i="3"/>
  <c r="H176" i="3"/>
  <c r="G176" i="3"/>
  <c r="F176" i="3"/>
  <c r="D176" i="3"/>
  <c r="C176" i="3"/>
  <c r="A176" i="3"/>
  <c r="AE175" i="3"/>
  <c r="AD175" i="3"/>
  <c r="AC175" i="3"/>
  <c r="AB175" i="3"/>
  <c r="AA175" i="3"/>
  <c r="Z175" i="3"/>
  <c r="Y175" i="3"/>
  <c r="W175" i="3"/>
  <c r="V175" i="3"/>
  <c r="U175" i="3"/>
  <c r="T175" i="3"/>
  <c r="S175" i="3"/>
  <c r="R175" i="3"/>
  <c r="Q175" i="3"/>
  <c r="P175" i="3"/>
  <c r="O175" i="3"/>
  <c r="N175" i="3"/>
  <c r="M175" i="3"/>
  <c r="K175" i="3"/>
  <c r="J175" i="3"/>
  <c r="H175" i="3"/>
  <c r="G175" i="3"/>
  <c r="F175" i="3"/>
  <c r="D175" i="3"/>
  <c r="C175" i="3"/>
  <c r="A175" i="3"/>
  <c r="AE174" i="3"/>
  <c r="AB174" i="3"/>
  <c r="AA174" i="3"/>
  <c r="Z174" i="3"/>
  <c r="Y174" i="3"/>
  <c r="X174" i="3"/>
  <c r="W174" i="3"/>
  <c r="V174" i="3"/>
  <c r="U174" i="3"/>
  <c r="S174" i="3"/>
  <c r="R174" i="3"/>
  <c r="Q174" i="3"/>
  <c r="O174" i="3"/>
  <c r="N174" i="3"/>
  <c r="M174" i="3"/>
  <c r="L174" i="3"/>
  <c r="K174" i="3"/>
  <c r="J174" i="3"/>
  <c r="H174" i="3"/>
  <c r="G174" i="3"/>
  <c r="F174" i="3"/>
  <c r="D174" i="3"/>
  <c r="C174" i="3"/>
  <c r="A174" i="3"/>
  <c r="AE173" i="3"/>
  <c r="AB173" i="3"/>
  <c r="AA173" i="3"/>
  <c r="Z173" i="3"/>
  <c r="Y173" i="3"/>
  <c r="X173" i="3"/>
  <c r="W173" i="3"/>
  <c r="V173" i="3"/>
  <c r="U173" i="3"/>
  <c r="S173" i="3"/>
  <c r="R173" i="3"/>
  <c r="Q173" i="3"/>
  <c r="O173" i="3"/>
  <c r="N173" i="3"/>
  <c r="M173" i="3"/>
  <c r="L173" i="3"/>
  <c r="K173" i="3"/>
  <c r="J173" i="3"/>
  <c r="H173" i="3"/>
  <c r="G173" i="3"/>
  <c r="F173" i="3"/>
  <c r="D173" i="3"/>
  <c r="C173" i="3"/>
  <c r="A173" i="3"/>
  <c r="AE172" i="3"/>
  <c r="AB172" i="3"/>
  <c r="AA172" i="3"/>
  <c r="Z172" i="3"/>
  <c r="Y172" i="3"/>
  <c r="X172" i="3"/>
  <c r="W172" i="3"/>
  <c r="V172" i="3"/>
  <c r="U172" i="3"/>
  <c r="T172" i="3"/>
  <c r="S172" i="3"/>
  <c r="R172" i="3"/>
  <c r="Q172" i="3"/>
  <c r="O172" i="3"/>
  <c r="N172" i="3"/>
  <c r="M172" i="3"/>
  <c r="K172" i="3"/>
  <c r="J172" i="3"/>
  <c r="H172" i="3"/>
  <c r="G172" i="3"/>
  <c r="F172" i="3"/>
  <c r="D172" i="3"/>
  <c r="C172" i="3"/>
  <c r="A172" i="3"/>
  <c r="AE171" i="3"/>
  <c r="AC171" i="3"/>
  <c r="AB171" i="3"/>
  <c r="AA171" i="3"/>
  <c r="Z171" i="3"/>
  <c r="Y171" i="3"/>
  <c r="X171" i="3"/>
  <c r="W171" i="3"/>
  <c r="V171" i="3"/>
  <c r="U171" i="3"/>
  <c r="T171" i="3"/>
  <c r="S171" i="3"/>
  <c r="R171" i="3"/>
  <c r="Q171" i="3"/>
  <c r="O171" i="3"/>
  <c r="N171" i="3"/>
  <c r="M171" i="3"/>
  <c r="K171" i="3"/>
  <c r="J171" i="3"/>
  <c r="H171" i="3"/>
  <c r="G171" i="3"/>
  <c r="F171" i="3"/>
  <c r="D171" i="3"/>
  <c r="C171" i="3"/>
  <c r="A171" i="3"/>
  <c r="AE170" i="3"/>
  <c r="AD170" i="3"/>
  <c r="AB170" i="3"/>
  <c r="AA170" i="3"/>
  <c r="Z170" i="3"/>
  <c r="Y170" i="3"/>
  <c r="X170" i="3"/>
  <c r="W170" i="3"/>
  <c r="V170" i="3"/>
  <c r="U170" i="3"/>
  <c r="T170" i="3"/>
  <c r="S170" i="3"/>
  <c r="R170" i="3"/>
  <c r="Q170" i="3"/>
  <c r="O170" i="3"/>
  <c r="N170" i="3"/>
  <c r="M170" i="3"/>
  <c r="K170" i="3"/>
  <c r="J170" i="3"/>
  <c r="H170" i="3"/>
  <c r="G170" i="3"/>
  <c r="F170" i="3"/>
  <c r="D170" i="3"/>
  <c r="C170" i="3"/>
  <c r="A170" i="3"/>
  <c r="AE169" i="3"/>
  <c r="AD169" i="3"/>
  <c r="AB169" i="3"/>
  <c r="AA169" i="3"/>
  <c r="Z169" i="3"/>
  <c r="Y169" i="3"/>
  <c r="X169" i="3"/>
  <c r="W169" i="3"/>
  <c r="V169" i="3"/>
  <c r="U169" i="3"/>
  <c r="S169" i="3"/>
  <c r="R169" i="3"/>
  <c r="Q169" i="3"/>
  <c r="O169" i="3"/>
  <c r="N169" i="3"/>
  <c r="M169" i="3"/>
  <c r="K169" i="3"/>
  <c r="J169" i="3"/>
  <c r="H169" i="3"/>
  <c r="G169" i="3"/>
  <c r="F169" i="3"/>
  <c r="D169" i="3"/>
  <c r="C169" i="3"/>
  <c r="A169" i="3"/>
  <c r="AE168" i="3"/>
  <c r="AD168" i="3"/>
  <c r="AB168" i="3"/>
  <c r="AA168" i="3"/>
  <c r="Z168" i="3"/>
  <c r="Y168" i="3"/>
  <c r="X168" i="3"/>
  <c r="W168" i="3"/>
  <c r="V168" i="3"/>
  <c r="U168" i="3"/>
  <c r="S168" i="3"/>
  <c r="R168" i="3"/>
  <c r="Q168" i="3"/>
  <c r="O168" i="3"/>
  <c r="N168" i="3"/>
  <c r="M168" i="3"/>
  <c r="K168" i="3"/>
  <c r="J168" i="3"/>
  <c r="H168" i="3"/>
  <c r="G168" i="3"/>
  <c r="F168" i="3"/>
  <c r="D168" i="3"/>
  <c r="C168" i="3"/>
  <c r="A168" i="3"/>
  <c r="AE167" i="3"/>
  <c r="AB167" i="3"/>
  <c r="AA167" i="3"/>
  <c r="Z167" i="3"/>
  <c r="Y167" i="3"/>
  <c r="X167" i="3"/>
  <c r="W167" i="3"/>
  <c r="V167" i="3"/>
  <c r="U167" i="3"/>
  <c r="S167" i="3"/>
  <c r="R167" i="3"/>
  <c r="Q167" i="3"/>
  <c r="O167" i="3"/>
  <c r="N167" i="3"/>
  <c r="M167" i="3"/>
  <c r="K167" i="3"/>
  <c r="J167" i="3"/>
  <c r="H167" i="3"/>
  <c r="G167" i="3"/>
  <c r="F167" i="3"/>
  <c r="D167" i="3"/>
  <c r="C167" i="3"/>
  <c r="A167" i="3"/>
  <c r="AE166" i="3"/>
  <c r="AD166" i="3"/>
  <c r="AB166" i="3"/>
  <c r="AA166" i="3"/>
  <c r="Z166" i="3"/>
  <c r="Y166" i="3"/>
  <c r="X166" i="3"/>
  <c r="W166" i="3"/>
  <c r="V166" i="3"/>
  <c r="U166" i="3"/>
  <c r="S166" i="3"/>
  <c r="R166" i="3"/>
  <c r="Q166" i="3"/>
  <c r="O166" i="3"/>
  <c r="N166" i="3"/>
  <c r="M166" i="3"/>
  <c r="K166" i="3"/>
  <c r="J166" i="3"/>
  <c r="H166" i="3"/>
  <c r="G166" i="3"/>
  <c r="F166" i="3"/>
  <c r="D166" i="3"/>
  <c r="C166" i="3"/>
  <c r="A166" i="3"/>
  <c r="AE165" i="3"/>
  <c r="AB165" i="3"/>
  <c r="AA165" i="3"/>
  <c r="Z165" i="3"/>
  <c r="Y165" i="3"/>
  <c r="X165" i="3"/>
  <c r="W165" i="3"/>
  <c r="V165" i="3"/>
  <c r="U165" i="3"/>
  <c r="T165" i="3"/>
  <c r="S165" i="3"/>
  <c r="R165" i="3"/>
  <c r="Q165" i="3"/>
  <c r="O165" i="3"/>
  <c r="N165" i="3"/>
  <c r="M165" i="3"/>
  <c r="K165" i="3"/>
  <c r="J165" i="3"/>
  <c r="H165" i="3"/>
  <c r="G165" i="3"/>
  <c r="F165" i="3"/>
  <c r="D165" i="3"/>
  <c r="C165" i="3"/>
  <c r="A165" i="3"/>
  <c r="AE164" i="3"/>
  <c r="AD164" i="3"/>
  <c r="AB164" i="3"/>
  <c r="AA164" i="3"/>
  <c r="Z164" i="3"/>
  <c r="Y164" i="3"/>
  <c r="X164" i="3"/>
  <c r="W164" i="3"/>
  <c r="V164" i="3"/>
  <c r="U164" i="3"/>
  <c r="T164" i="3"/>
  <c r="S164" i="3"/>
  <c r="R164" i="3"/>
  <c r="Q164" i="3"/>
  <c r="O164" i="3"/>
  <c r="N164" i="3"/>
  <c r="M164" i="3"/>
  <c r="K164" i="3"/>
  <c r="J164" i="3"/>
  <c r="H164" i="3"/>
  <c r="G164" i="3"/>
  <c r="F164" i="3"/>
  <c r="D164" i="3"/>
  <c r="C164" i="3"/>
  <c r="A164" i="3"/>
  <c r="AE163" i="3"/>
  <c r="AB163" i="3"/>
  <c r="AA163" i="3"/>
  <c r="Z163" i="3"/>
  <c r="Y163" i="3"/>
  <c r="X163" i="3"/>
  <c r="W163" i="3"/>
  <c r="V163" i="3"/>
  <c r="U163" i="3"/>
  <c r="S163" i="3"/>
  <c r="R163" i="3"/>
  <c r="Q163" i="3"/>
  <c r="O163" i="3"/>
  <c r="N163" i="3"/>
  <c r="M163" i="3"/>
  <c r="K163" i="3"/>
  <c r="J163" i="3"/>
  <c r="H163" i="3"/>
  <c r="G163" i="3"/>
  <c r="F163" i="3"/>
  <c r="D163" i="3"/>
  <c r="C163" i="3"/>
  <c r="A163" i="3"/>
  <c r="AE162" i="3"/>
  <c r="AC162" i="3"/>
  <c r="AB162" i="3"/>
  <c r="AA162" i="3"/>
  <c r="Z162" i="3"/>
  <c r="Y162" i="3"/>
  <c r="X162" i="3"/>
  <c r="W162" i="3"/>
  <c r="V162" i="3"/>
  <c r="U162" i="3"/>
  <c r="S162" i="3"/>
  <c r="R162" i="3"/>
  <c r="Q162" i="3"/>
  <c r="O162" i="3"/>
  <c r="N162" i="3"/>
  <c r="M162" i="3"/>
  <c r="K162" i="3"/>
  <c r="J162" i="3"/>
  <c r="H162" i="3"/>
  <c r="G162" i="3"/>
  <c r="F162" i="3"/>
  <c r="D162" i="3"/>
  <c r="C162" i="3"/>
  <c r="A162" i="3"/>
  <c r="AE161" i="3"/>
  <c r="AD161" i="3"/>
  <c r="AB161" i="3"/>
  <c r="AA161" i="3"/>
  <c r="Z161" i="3"/>
  <c r="Y161" i="3"/>
  <c r="X161" i="3"/>
  <c r="W161" i="3"/>
  <c r="V161" i="3"/>
  <c r="U161" i="3"/>
  <c r="T161" i="3"/>
  <c r="S161" i="3"/>
  <c r="R161" i="3"/>
  <c r="Q161" i="3"/>
  <c r="O161" i="3"/>
  <c r="N161" i="3"/>
  <c r="M161" i="3"/>
  <c r="K161" i="3"/>
  <c r="J161" i="3"/>
  <c r="H161" i="3"/>
  <c r="G161" i="3"/>
  <c r="F161" i="3"/>
  <c r="D161" i="3"/>
  <c r="C161" i="3"/>
  <c r="A161" i="3"/>
  <c r="AE160" i="3"/>
  <c r="AC160" i="3"/>
  <c r="AB160" i="3"/>
  <c r="AA160" i="3"/>
  <c r="Z160" i="3"/>
  <c r="Y160" i="3"/>
  <c r="X160" i="3"/>
  <c r="W160" i="3"/>
  <c r="V160" i="3"/>
  <c r="U160" i="3"/>
  <c r="S160" i="3"/>
  <c r="R160" i="3"/>
  <c r="Q160" i="3"/>
  <c r="O160" i="3"/>
  <c r="N160" i="3"/>
  <c r="M160" i="3"/>
  <c r="K160" i="3"/>
  <c r="J160" i="3"/>
  <c r="H160" i="3"/>
  <c r="G160" i="3"/>
  <c r="F160" i="3"/>
  <c r="D160" i="3"/>
  <c r="C160" i="3"/>
  <c r="A160" i="3"/>
  <c r="AE159" i="3"/>
  <c r="AC159" i="3"/>
  <c r="AB159" i="3"/>
  <c r="AA159" i="3"/>
  <c r="Z159" i="3"/>
  <c r="Y159" i="3"/>
  <c r="X159" i="3"/>
  <c r="W159" i="3"/>
  <c r="V159" i="3"/>
  <c r="U159" i="3"/>
  <c r="T159" i="3"/>
  <c r="S159" i="3"/>
  <c r="R159" i="3"/>
  <c r="Q159" i="3"/>
  <c r="O159" i="3"/>
  <c r="N159" i="3"/>
  <c r="M159" i="3"/>
  <c r="L159" i="3"/>
  <c r="K159" i="3"/>
  <c r="J159" i="3"/>
  <c r="H159" i="3"/>
  <c r="G159" i="3"/>
  <c r="F159" i="3"/>
  <c r="D159" i="3"/>
  <c r="C159" i="3"/>
  <c r="A159" i="3"/>
  <c r="AE158" i="3"/>
  <c r="AB158" i="3"/>
  <c r="AA158" i="3"/>
  <c r="Z158" i="3"/>
  <c r="Y158" i="3"/>
  <c r="X158" i="3"/>
  <c r="W158" i="3"/>
  <c r="V158" i="3"/>
  <c r="U158" i="3"/>
  <c r="T158" i="3"/>
  <c r="S158" i="3"/>
  <c r="R158" i="3"/>
  <c r="Q158" i="3"/>
  <c r="P158" i="3"/>
  <c r="O158" i="3"/>
  <c r="N158" i="3"/>
  <c r="M158" i="3"/>
  <c r="L158" i="3"/>
  <c r="K158" i="3"/>
  <c r="J158" i="3"/>
  <c r="H158" i="3"/>
  <c r="G158" i="3"/>
  <c r="F158" i="3"/>
  <c r="D158" i="3"/>
  <c r="C158" i="3"/>
  <c r="A158" i="3"/>
  <c r="AE157" i="3"/>
  <c r="AB157" i="3"/>
  <c r="AA157" i="3"/>
  <c r="Z157" i="3"/>
  <c r="Y157" i="3"/>
  <c r="X157" i="3"/>
  <c r="W157" i="3"/>
  <c r="V157" i="3"/>
  <c r="U157" i="3"/>
  <c r="S157" i="3"/>
  <c r="R157" i="3"/>
  <c r="Q157" i="3"/>
  <c r="O157" i="3"/>
  <c r="N157" i="3"/>
  <c r="M157" i="3"/>
  <c r="K157" i="3"/>
  <c r="J157" i="3"/>
  <c r="H157" i="3"/>
  <c r="G157" i="3"/>
  <c r="F157" i="3"/>
  <c r="D157" i="3"/>
  <c r="C157" i="3"/>
  <c r="A157" i="3"/>
  <c r="AE156" i="3"/>
  <c r="AB156" i="3"/>
  <c r="AA156" i="3"/>
  <c r="Z156" i="3"/>
  <c r="Y156" i="3"/>
  <c r="X156" i="3"/>
  <c r="W156" i="3"/>
  <c r="V156" i="3"/>
  <c r="U156" i="3"/>
  <c r="S156" i="3"/>
  <c r="R156" i="3"/>
  <c r="Q156" i="3"/>
  <c r="O156" i="3"/>
  <c r="N156" i="3"/>
  <c r="M156" i="3"/>
  <c r="L156" i="3"/>
  <c r="K156" i="3"/>
  <c r="J156" i="3"/>
  <c r="H156" i="3"/>
  <c r="G156" i="3"/>
  <c r="F156" i="3"/>
  <c r="D156" i="3"/>
  <c r="C156" i="3"/>
  <c r="A156" i="3"/>
  <c r="AE155" i="3"/>
  <c r="AB155" i="3"/>
  <c r="AA155" i="3"/>
  <c r="Z155" i="3"/>
  <c r="Y155" i="3"/>
  <c r="X155" i="3"/>
  <c r="W155" i="3"/>
  <c r="V155" i="3"/>
  <c r="U155" i="3"/>
  <c r="S155" i="3"/>
  <c r="R155" i="3"/>
  <c r="Q155" i="3"/>
  <c r="O155" i="3"/>
  <c r="N155" i="3"/>
  <c r="M155" i="3"/>
  <c r="K155" i="3"/>
  <c r="J155" i="3"/>
  <c r="H155" i="3"/>
  <c r="G155" i="3"/>
  <c r="F155" i="3"/>
  <c r="D155" i="3"/>
  <c r="C155" i="3"/>
  <c r="A155" i="3"/>
  <c r="AE154" i="3"/>
  <c r="AB154" i="3"/>
  <c r="AA154" i="3"/>
  <c r="Z154" i="3"/>
  <c r="Y154" i="3"/>
  <c r="X154" i="3"/>
  <c r="W154" i="3"/>
  <c r="V154" i="3"/>
  <c r="U154" i="3"/>
  <c r="T154" i="3"/>
  <c r="S154" i="3"/>
  <c r="R154" i="3"/>
  <c r="Q154" i="3"/>
  <c r="O154" i="3"/>
  <c r="N154" i="3"/>
  <c r="M154" i="3"/>
  <c r="K154" i="3"/>
  <c r="J154" i="3"/>
  <c r="H154" i="3"/>
  <c r="G154" i="3"/>
  <c r="F154" i="3"/>
  <c r="D154" i="3"/>
  <c r="C154" i="3"/>
  <c r="A154" i="3"/>
  <c r="AE153" i="3"/>
  <c r="AB153" i="3"/>
  <c r="AA153" i="3"/>
  <c r="Z153" i="3"/>
  <c r="Y153" i="3"/>
  <c r="X153" i="3"/>
  <c r="W153" i="3"/>
  <c r="V153" i="3"/>
  <c r="U153" i="3"/>
  <c r="T153" i="3"/>
  <c r="S153" i="3"/>
  <c r="R153" i="3"/>
  <c r="Q153" i="3"/>
  <c r="O153" i="3"/>
  <c r="N153" i="3"/>
  <c r="M153" i="3"/>
  <c r="K153" i="3"/>
  <c r="J153" i="3"/>
  <c r="H153" i="3"/>
  <c r="G153" i="3"/>
  <c r="F153" i="3"/>
  <c r="D153" i="3"/>
  <c r="C153" i="3"/>
  <c r="A153" i="3"/>
  <c r="AE152" i="3"/>
  <c r="AD152" i="3"/>
  <c r="AC152" i="3"/>
  <c r="AB152" i="3"/>
  <c r="AA152" i="3"/>
  <c r="Z152" i="3"/>
  <c r="Y152" i="3"/>
  <c r="X152" i="3"/>
  <c r="W152" i="3"/>
  <c r="V152" i="3"/>
  <c r="U152" i="3"/>
  <c r="S152" i="3"/>
  <c r="R152" i="3"/>
  <c r="Q152" i="3"/>
  <c r="O152" i="3"/>
  <c r="N152" i="3"/>
  <c r="M152" i="3"/>
  <c r="K152" i="3"/>
  <c r="J152" i="3"/>
  <c r="H152" i="3"/>
  <c r="G152" i="3"/>
  <c r="F152" i="3"/>
  <c r="D152" i="3"/>
  <c r="C152" i="3"/>
  <c r="A152" i="3"/>
  <c r="AE151" i="3"/>
  <c r="AD151" i="3"/>
  <c r="AC151" i="3"/>
  <c r="AB151" i="3"/>
  <c r="AA151" i="3"/>
  <c r="Z151" i="3"/>
  <c r="Y151" i="3"/>
  <c r="X151" i="3"/>
  <c r="W151" i="3"/>
  <c r="V151" i="3"/>
  <c r="U151" i="3"/>
  <c r="T151" i="3"/>
  <c r="S151" i="3"/>
  <c r="R151" i="3"/>
  <c r="Q151" i="3"/>
  <c r="O151" i="3"/>
  <c r="N151" i="3"/>
  <c r="M151" i="3"/>
  <c r="K151" i="3"/>
  <c r="J151" i="3"/>
  <c r="H151" i="3"/>
  <c r="G151" i="3"/>
  <c r="F151" i="3"/>
  <c r="D151" i="3"/>
  <c r="C151" i="3"/>
  <c r="A151" i="3"/>
  <c r="AE150" i="3"/>
  <c r="AC150" i="3"/>
  <c r="AB150" i="3"/>
  <c r="AA150" i="3"/>
  <c r="Z150" i="3"/>
  <c r="Y150" i="3"/>
  <c r="X150" i="3"/>
  <c r="W150" i="3"/>
  <c r="V150" i="3"/>
  <c r="U150" i="3"/>
  <c r="T150" i="3"/>
  <c r="S150" i="3"/>
  <c r="R150" i="3"/>
  <c r="Q150" i="3"/>
  <c r="O150" i="3"/>
  <c r="N150" i="3"/>
  <c r="M150" i="3"/>
  <c r="K150" i="3"/>
  <c r="J150" i="3"/>
  <c r="H150" i="3"/>
  <c r="G150" i="3"/>
  <c r="F150" i="3"/>
  <c r="D150" i="3"/>
  <c r="C150" i="3"/>
  <c r="A150" i="3"/>
  <c r="AE149" i="3"/>
  <c r="AB149" i="3"/>
  <c r="AA149" i="3"/>
  <c r="Z149" i="3"/>
  <c r="Y149" i="3"/>
  <c r="X149" i="3"/>
  <c r="W149" i="3"/>
  <c r="V149" i="3"/>
  <c r="U149" i="3"/>
  <c r="T149" i="3"/>
  <c r="S149" i="3"/>
  <c r="R149" i="3"/>
  <c r="Q149" i="3"/>
  <c r="O149" i="3"/>
  <c r="N149" i="3"/>
  <c r="M149" i="3"/>
  <c r="K149" i="3"/>
  <c r="J149" i="3"/>
  <c r="H149" i="3"/>
  <c r="G149" i="3"/>
  <c r="F149" i="3"/>
  <c r="D149" i="3"/>
  <c r="C149" i="3"/>
  <c r="A149" i="3"/>
  <c r="AE148" i="3"/>
  <c r="AB148" i="3"/>
  <c r="AA148" i="3"/>
  <c r="Z148" i="3"/>
  <c r="Y148" i="3"/>
  <c r="X148" i="3"/>
  <c r="W148" i="3"/>
  <c r="V148" i="3"/>
  <c r="U148" i="3"/>
  <c r="S148" i="3"/>
  <c r="R148" i="3"/>
  <c r="Q148" i="3"/>
  <c r="O148" i="3"/>
  <c r="N148" i="3"/>
  <c r="M148" i="3"/>
  <c r="K148" i="3"/>
  <c r="J148" i="3"/>
  <c r="H148" i="3"/>
  <c r="G148" i="3"/>
  <c r="F148" i="3"/>
  <c r="D148" i="3"/>
  <c r="C148" i="3"/>
  <c r="A148" i="3"/>
  <c r="AE147" i="3"/>
  <c r="AC147" i="3"/>
  <c r="AB147" i="3"/>
  <c r="AA147" i="3"/>
  <c r="Z147" i="3"/>
  <c r="Y147" i="3"/>
  <c r="X147" i="3"/>
  <c r="W147" i="3"/>
  <c r="V147" i="3"/>
  <c r="U147" i="3"/>
  <c r="T147" i="3"/>
  <c r="S147" i="3"/>
  <c r="R147" i="3"/>
  <c r="Q147" i="3"/>
  <c r="O147" i="3"/>
  <c r="N147" i="3"/>
  <c r="M147" i="3"/>
  <c r="K147" i="3"/>
  <c r="J147" i="3"/>
  <c r="H147" i="3"/>
  <c r="G147" i="3"/>
  <c r="F147" i="3"/>
  <c r="D147" i="3"/>
  <c r="C147" i="3"/>
  <c r="A147" i="3"/>
  <c r="AE146" i="3"/>
  <c r="AB146" i="3"/>
  <c r="AA146" i="3"/>
  <c r="Z146" i="3"/>
  <c r="Y146" i="3"/>
  <c r="X146" i="3"/>
  <c r="W146" i="3"/>
  <c r="V146" i="3"/>
  <c r="U146" i="3"/>
  <c r="S146" i="3"/>
  <c r="R146" i="3"/>
  <c r="Q146" i="3"/>
  <c r="O146" i="3"/>
  <c r="N146" i="3"/>
  <c r="M146" i="3"/>
  <c r="K146" i="3"/>
  <c r="J146" i="3"/>
  <c r="H146" i="3"/>
  <c r="G146" i="3"/>
  <c r="F146" i="3"/>
  <c r="D146" i="3"/>
  <c r="C146" i="3"/>
  <c r="A146" i="3"/>
  <c r="AE145" i="3"/>
  <c r="AD145" i="3"/>
  <c r="AB145" i="3"/>
  <c r="AA145" i="3"/>
  <c r="Z145" i="3"/>
  <c r="Y145" i="3"/>
  <c r="X145" i="3"/>
  <c r="W145" i="3"/>
  <c r="V145" i="3"/>
  <c r="U145" i="3"/>
  <c r="T145" i="3"/>
  <c r="S145" i="3"/>
  <c r="R145" i="3"/>
  <c r="Q145" i="3"/>
  <c r="O145" i="3"/>
  <c r="N145" i="3"/>
  <c r="M145" i="3"/>
  <c r="K145" i="3"/>
  <c r="J145" i="3"/>
  <c r="H145" i="3"/>
  <c r="G145" i="3"/>
  <c r="F145" i="3"/>
  <c r="D145" i="3"/>
  <c r="C145" i="3"/>
  <c r="A145" i="3"/>
  <c r="AE144" i="3"/>
  <c r="AB144" i="3"/>
  <c r="AA144" i="3"/>
  <c r="Z144" i="3"/>
  <c r="Y144" i="3"/>
  <c r="X144" i="3"/>
  <c r="W144" i="3"/>
  <c r="V144" i="3"/>
  <c r="U144" i="3"/>
  <c r="T144" i="3"/>
  <c r="S144" i="3"/>
  <c r="R144" i="3"/>
  <c r="Q144" i="3"/>
  <c r="O144" i="3"/>
  <c r="N144" i="3"/>
  <c r="M144" i="3"/>
  <c r="L144" i="3"/>
  <c r="K144" i="3"/>
  <c r="J144" i="3"/>
  <c r="H144" i="3"/>
  <c r="G144" i="3"/>
  <c r="F144" i="3"/>
  <c r="D144" i="3"/>
  <c r="C144" i="3"/>
  <c r="A144" i="3"/>
  <c r="AE143" i="3"/>
  <c r="AD143" i="3"/>
  <c r="AB143" i="3"/>
  <c r="AA143" i="3"/>
  <c r="Z143" i="3"/>
  <c r="Y143" i="3"/>
  <c r="X143" i="3"/>
  <c r="W143" i="3"/>
  <c r="V143" i="3"/>
  <c r="U143" i="3"/>
  <c r="T143" i="3"/>
  <c r="S143" i="3"/>
  <c r="R143" i="3"/>
  <c r="Q143" i="3"/>
  <c r="O143" i="3"/>
  <c r="N143" i="3"/>
  <c r="M143" i="3"/>
  <c r="K143" i="3"/>
  <c r="J143" i="3"/>
  <c r="H143" i="3"/>
  <c r="G143" i="3"/>
  <c r="F143" i="3"/>
  <c r="D143" i="3"/>
  <c r="C143" i="3"/>
  <c r="A143" i="3"/>
  <c r="AE142" i="3"/>
  <c r="AB142" i="3"/>
  <c r="AA142" i="3"/>
  <c r="Z142" i="3"/>
  <c r="Y142" i="3"/>
  <c r="X142" i="3"/>
  <c r="W142" i="3"/>
  <c r="V142" i="3"/>
  <c r="U142" i="3"/>
  <c r="T142" i="3"/>
  <c r="S142" i="3"/>
  <c r="R142" i="3"/>
  <c r="Q142" i="3"/>
  <c r="O142" i="3"/>
  <c r="N142" i="3"/>
  <c r="M142" i="3"/>
  <c r="L142" i="3"/>
  <c r="K142" i="3"/>
  <c r="J142" i="3"/>
  <c r="H142" i="3"/>
  <c r="G142" i="3"/>
  <c r="F142" i="3"/>
  <c r="D142" i="3"/>
  <c r="C142" i="3"/>
  <c r="A142" i="3"/>
  <c r="AE141" i="3"/>
  <c r="AB141" i="3"/>
  <c r="AA141" i="3"/>
  <c r="Z141" i="3"/>
  <c r="Y141" i="3"/>
  <c r="X141" i="3"/>
  <c r="W141" i="3"/>
  <c r="V141" i="3"/>
  <c r="U141" i="3"/>
  <c r="T141" i="3"/>
  <c r="S141" i="3"/>
  <c r="R141" i="3"/>
  <c r="Q141" i="3"/>
  <c r="O141" i="3"/>
  <c r="N141" i="3"/>
  <c r="M141" i="3"/>
  <c r="L141" i="3"/>
  <c r="K141" i="3"/>
  <c r="J141" i="3"/>
  <c r="H141" i="3"/>
  <c r="G141" i="3"/>
  <c r="F141" i="3"/>
  <c r="D141" i="3"/>
  <c r="C141" i="3"/>
  <c r="A141" i="3"/>
  <c r="AE140" i="3"/>
  <c r="AB140" i="3"/>
  <c r="AA140" i="3"/>
  <c r="Z140" i="3"/>
  <c r="Y140" i="3"/>
  <c r="X140" i="3"/>
  <c r="W140" i="3"/>
  <c r="V140" i="3"/>
  <c r="U140" i="3"/>
  <c r="T140" i="3"/>
  <c r="S140" i="3"/>
  <c r="R140" i="3"/>
  <c r="Q140" i="3"/>
  <c r="O140" i="3"/>
  <c r="N140" i="3"/>
  <c r="M140" i="3"/>
  <c r="L140" i="3"/>
  <c r="K140" i="3"/>
  <c r="J140" i="3"/>
  <c r="H140" i="3"/>
  <c r="G140" i="3"/>
  <c r="F140" i="3"/>
  <c r="D140" i="3"/>
  <c r="C140" i="3"/>
  <c r="A140" i="3"/>
  <c r="AE139" i="3"/>
  <c r="AB139" i="3"/>
  <c r="AA139" i="3"/>
  <c r="Z139" i="3"/>
  <c r="Y139" i="3"/>
  <c r="X139" i="3"/>
  <c r="W139" i="3"/>
  <c r="V139" i="3"/>
  <c r="U139" i="3"/>
  <c r="T139" i="3"/>
  <c r="S139" i="3"/>
  <c r="R139" i="3"/>
  <c r="Q139" i="3"/>
  <c r="O139" i="3"/>
  <c r="N139" i="3"/>
  <c r="M139" i="3"/>
  <c r="L139" i="3"/>
  <c r="K139" i="3"/>
  <c r="J139" i="3"/>
  <c r="H139" i="3"/>
  <c r="G139" i="3"/>
  <c r="F139" i="3"/>
  <c r="D139" i="3"/>
  <c r="C139" i="3"/>
  <c r="A139" i="3"/>
  <c r="AE138" i="3"/>
  <c r="AC138" i="3"/>
  <c r="AB138" i="3"/>
  <c r="AA138" i="3"/>
  <c r="Z138" i="3"/>
  <c r="Y138" i="3"/>
  <c r="X138" i="3"/>
  <c r="W138" i="3"/>
  <c r="V138" i="3"/>
  <c r="U138" i="3"/>
  <c r="T138" i="3"/>
  <c r="S138" i="3"/>
  <c r="R138" i="3"/>
  <c r="Q138" i="3"/>
  <c r="P138" i="3"/>
  <c r="O138" i="3"/>
  <c r="N138" i="3"/>
  <c r="M138" i="3"/>
  <c r="L138" i="3"/>
  <c r="K138" i="3"/>
  <c r="J138" i="3"/>
  <c r="H138" i="3"/>
  <c r="G138" i="3"/>
  <c r="F138" i="3"/>
  <c r="D138" i="3"/>
  <c r="C138" i="3"/>
  <c r="A138" i="3"/>
  <c r="AE137" i="3"/>
  <c r="AC137" i="3"/>
  <c r="AB137" i="3"/>
  <c r="AA137" i="3"/>
  <c r="Z137" i="3"/>
  <c r="Y137" i="3"/>
  <c r="X137" i="3"/>
  <c r="W137" i="3"/>
  <c r="V137" i="3"/>
  <c r="U137" i="3"/>
  <c r="S137" i="3"/>
  <c r="R137" i="3"/>
  <c r="Q137" i="3"/>
  <c r="O137" i="3"/>
  <c r="N137" i="3"/>
  <c r="M137" i="3"/>
  <c r="L137" i="3"/>
  <c r="K137" i="3"/>
  <c r="J137" i="3"/>
  <c r="H137" i="3"/>
  <c r="G137" i="3"/>
  <c r="F137" i="3"/>
  <c r="D137" i="3"/>
  <c r="C137" i="3"/>
  <c r="A137" i="3"/>
  <c r="AE136" i="3"/>
  <c r="AB136" i="3"/>
  <c r="AA136" i="3"/>
  <c r="Z136" i="3"/>
  <c r="Y136" i="3"/>
  <c r="W136" i="3"/>
  <c r="V136" i="3"/>
  <c r="U136" i="3"/>
  <c r="S136" i="3"/>
  <c r="R136" i="3"/>
  <c r="Q136" i="3"/>
  <c r="O136" i="3"/>
  <c r="N136" i="3"/>
  <c r="M136" i="3"/>
  <c r="K136" i="3"/>
  <c r="J136" i="3"/>
  <c r="H136" i="3"/>
  <c r="G136" i="3"/>
  <c r="F136" i="3"/>
  <c r="D136" i="3"/>
  <c r="C136" i="3"/>
  <c r="A136" i="3"/>
  <c r="AE135" i="3"/>
  <c r="AB135" i="3"/>
  <c r="AA135" i="3"/>
  <c r="Z135" i="3"/>
  <c r="Y135" i="3"/>
  <c r="X135" i="3"/>
  <c r="W135" i="3"/>
  <c r="V135" i="3"/>
  <c r="U135" i="3"/>
  <c r="S135" i="3"/>
  <c r="R135" i="3"/>
  <c r="Q135" i="3"/>
  <c r="O135" i="3"/>
  <c r="N135" i="3"/>
  <c r="M135" i="3"/>
  <c r="L135" i="3"/>
  <c r="K135" i="3"/>
  <c r="J135" i="3"/>
  <c r="H135" i="3"/>
  <c r="G135" i="3"/>
  <c r="F135" i="3"/>
  <c r="D135" i="3"/>
  <c r="C135" i="3"/>
  <c r="A135" i="3"/>
  <c r="AE134" i="3"/>
  <c r="AB134" i="3"/>
  <c r="AA134" i="3"/>
  <c r="Z134" i="3"/>
  <c r="Y134" i="3"/>
  <c r="X134" i="3"/>
  <c r="W134" i="3"/>
  <c r="V134" i="3"/>
  <c r="U134" i="3"/>
  <c r="S134" i="3"/>
  <c r="R134" i="3"/>
  <c r="Q134" i="3"/>
  <c r="O134" i="3"/>
  <c r="N134" i="3"/>
  <c r="M134" i="3"/>
  <c r="K134" i="3"/>
  <c r="J134" i="3"/>
  <c r="H134" i="3"/>
  <c r="G134" i="3"/>
  <c r="F134" i="3"/>
  <c r="D134" i="3"/>
  <c r="C134" i="3"/>
  <c r="A134" i="3"/>
  <c r="AE133" i="3"/>
  <c r="AB133" i="3"/>
  <c r="AA133" i="3"/>
  <c r="Z133" i="3"/>
  <c r="Y133" i="3"/>
  <c r="X133" i="3"/>
  <c r="W133" i="3"/>
  <c r="V133" i="3"/>
  <c r="U133" i="3"/>
  <c r="T133" i="3"/>
  <c r="S133" i="3"/>
  <c r="R133" i="3"/>
  <c r="Q133" i="3"/>
  <c r="O133" i="3"/>
  <c r="N133" i="3"/>
  <c r="M133" i="3"/>
  <c r="K133" i="3"/>
  <c r="J133" i="3"/>
  <c r="H133" i="3"/>
  <c r="G133" i="3"/>
  <c r="F133" i="3"/>
  <c r="D133" i="3"/>
  <c r="C133" i="3"/>
  <c r="A133" i="3"/>
  <c r="AE132" i="3"/>
  <c r="AB132" i="3"/>
  <c r="AA132" i="3"/>
  <c r="Z132" i="3"/>
  <c r="Y132" i="3"/>
  <c r="X132" i="3"/>
  <c r="W132" i="3"/>
  <c r="V132" i="3"/>
  <c r="U132" i="3"/>
  <c r="T132" i="3"/>
  <c r="S132" i="3"/>
  <c r="R132" i="3"/>
  <c r="Q132" i="3"/>
  <c r="O132" i="3"/>
  <c r="N132" i="3"/>
  <c r="M132" i="3"/>
  <c r="K132" i="3"/>
  <c r="J132" i="3"/>
  <c r="H132" i="3"/>
  <c r="G132" i="3"/>
  <c r="F132" i="3"/>
  <c r="D132" i="3"/>
  <c r="C132" i="3"/>
  <c r="A132" i="3"/>
  <c r="AE131" i="3"/>
  <c r="AC131" i="3"/>
  <c r="AB131" i="3"/>
  <c r="AA131" i="3"/>
  <c r="Z131" i="3"/>
  <c r="Y131" i="3"/>
  <c r="X131" i="3"/>
  <c r="W131" i="3"/>
  <c r="V131" i="3"/>
  <c r="U131" i="3"/>
  <c r="S131" i="3"/>
  <c r="R131" i="3"/>
  <c r="Q131" i="3"/>
  <c r="O131" i="3"/>
  <c r="N131" i="3"/>
  <c r="M131" i="3"/>
  <c r="L131" i="3"/>
  <c r="K131" i="3"/>
  <c r="J131" i="3"/>
  <c r="H131" i="3"/>
  <c r="G131" i="3"/>
  <c r="F131" i="3"/>
  <c r="D131" i="3"/>
  <c r="C131" i="3"/>
  <c r="A131" i="3"/>
  <c r="AE130" i="3"/>
  <c r="AC130" i="3"/>
  <c r="AB130" i="3"/>
  <c r="AA130" i="3"/>
  <c r="Z130" i="3"/>
  <c r="Y130" i="3"/>
  <c r="X130" i="3"/>
  <c r="W130" i="3"/>
  <c r="V130" i="3"/>
  <c r="U130" i="3"/>
  <c r="T130" i="3"/>
  <c r="S130" i="3"/>
  <c r="R130" i="3"/>
  <c r="Q130" i="3"/>
  <c r="O130" i="3"/>
  <c r="N130" i="3"/>
  <c r="M130" i="3"/>
  <c r="K130" i="3"/>
  <c r="J130" i="3"/>
  <c r="H130" i="3"/>
  <c r="G130" i="3"/>
  <c r="F130" i="3"/>
  <c r="D130" i="3"/>
  <c r="C130" i="3"/>
  <c r="A130" i="3"/>
  <c r="AE129" i="3"/>
  <c r="AB129" i="3"/>
  <c r="AA129" i="3"/>
  <c r="Z129" i="3"/>
  <c r="Y129" i="3"/>
  <c r="X129" i="3"/>
  <c r="W129" i="3"/>
  <c r="V129" i="3"/>
  <c r="U129" i="3"/>
  <c r="S129" i="3"/>
  <c r="R129" i="3"/>
  <c r="Q129" i="3"/>
  <c r="O129" i="3"/>
  <c r="N129" i="3"/>
  <c r="M129" i="3"/>
  <c r="K129" i="3"/>
  <c r="J129" i="3"/>
  <c r="H129" i="3"/>
  <c r="G129" i="3"/>
  <c r="F129" i="3"/>
  <c r="D129" i="3"/>
  <c r="C129" i="3"/>
  <c r="A129" i="3"/>
  <c r="AE128" i="3"/>
  <c r="AB128" i="3"/>
  <c r="AA128" i="3"/>
  <c r="Z128" i="3"/>
  <c r="Y128" i="3"/>
  <c r="X128" i="3"/>
  <c r="W128" i="3"/>
  <c r="V128" i="3"/>
  <c r="U128" i="3"/>
  <c r="S128" i="3"/>
  <c r="R128" i="3"/>
  <c r="Q128" i="3"/>
  <c r="O128" i="3"/>
  <c r="N128" i="3"/>
  <c r="M128" i="3"/>
  <c r="L128" i="3"/>
  <c r="K128" i="3"/>
  <c r="J128" i="3"/>
  <c r="H128" i="3"/>
  <c r="G128" i="3"/>
  <c r="F128" i="3"/>
  <c r="D128" i="3"/>
  <c r="C128" i="3"/>
  <c r="A128" i="3"/>
  <c r="AE127" i="3"/>
  <c r="AB127" i="3"/>
  <c r="AA127" i="3"/>
  <c r="Z127" i="3"/>
  <c r="Y127" i="3"/>
  <c r="X127" i="3"/>
  <c r="W127" i="3"/>
  <c r="V127" i="3"/>
  <c r="U127" i="3"/>
  <c r="S127" i="3"/>
  <c r="R127" i="3"/>
  <c r="Q127" i="3"/>
  <c r="O127" i="3"/>
  <c r="N127" i="3"/>
  <c r="M127" i="3"/>
  <c r="K127" i="3"/>
  <c r="J127" i="3"/>
  <c r="H127" i="3"/>
  <c r="G127" i="3"/>
  <c r="F127" i="3"/>
  <c r="D127" i="3"/>
  <c r="C127" i="3"/>
  <c r="A127" i="3"/>
  <c r="AE126" i="3"/>
  <c r="AB126" i="3"/>
  <c r="AA126" i="3"/>
  <c r="Z126" i="3"/>
  <c r="Y126" i="3"/>
  <c r="X126" i="3"/>
  <c r="W126" i="3"/>
  <c r="V126" i="3"/>
  <c r="U126" i="3"/>
  <c r="S126" i="3"/>
  <c r="R126" i="3"/>
  <c r="Q126" i="3"/>
  <c r="O126" i="3"/>
  <c r="N126" i="3"/>
  <c r="M126" i="3"/>
  <c r="K126" i="3"/>
  <c r="J126" i="3"/>
  <c r="H126" i="3"/>
  <c r="G126" i="3"/>
  <c r="F126" i="3"/>
  <c r="D126" i="3"/>
  <c r="C126" i="3"/>
  <c r="A126" i="3"/>
  <c r="AE125" i="3"/>
  <c r="AB125" i="3"/>
  <c r="AA125" i="3"/>
  <c r="Z125" i="3"/>
  <c r="Y125" i="3"/>
  <c r="X125" i="3"/>
  <c r="W125" i="3"/>
  <c r="V125" i="3"/>
  <c r="U125" i="3"/>
  <c r="S125" i="3"/>
  <c r="R125" i="3"/>
  <c r="Q125" i="3"/>
  <c r="O125" i="3"/>
  <c r="N125" i="3"/>
  <c r="M125" i="3"/>
  <c r="K125" i="3"/>
  <c r="J125" i="3"/>
  <c r="H125" i="3"/>
  <c r="G125" i="3"/>
  <c r="F125" i="3"/>
  <c r="D125" i="3"/>
  <c r="C125" i="3"/>
  <c r="A125" i="3"/>
  <c r="AE124" i="3"/>
  <c r="AB124" i="3"/>
  <c r="AA124" i="3"/>
  <c r="Z124" i="3"/>
  <c r="Y124" i="3"/>
  <c r="X124" i="3"/>
  <c r="W124" i="3"/>
  <c r="V124" i="3"/>
  <c r="U124" i="3"/>
  <c r="S124" i="3"/>
  <c r="R124" i="3"/>
  <c r="Q124" i="3"/>
  <c r="O124" i="3"/>
  <c r="N124" i="3"/>
  <c r="M124" i="3"/>
  <c r="K124" i="3"/>
  <c r="J124" i="3"/>
  <c r="H124" i="3"/>
  <c r="G124" i="3"/>
  <c r="F124" i="3"/>
  <c r="D124" i="3"/>
  <c r="C124" i="3"/>
  <c r="A124" i="3"/>
  <c r="AE123" i="3"/>
  <c r="AB123" i="3"/>
  <c r="AA123" i="3"/>
  <c r="Z123" i="3"/>
  <c r="Y123" i="3"/>
  <c r="X123" i="3"/>
  <c r="W123" i="3"/>
  <c r="V123" i="3"/>
  <c r="U123" i="3"/>
  <c r="T123" i="3"/>
  <c r="S123" i="3"/>
  <c r="R123" i="3"/>
  <c r="Q123" i="3"/>
  <c r="O123" i="3"/>
  <c r="N123" i="3"/>
  <c r="M123" i="3"/>
  <c r="K123" i="3"/>
  <c r="J123" i="3"/>
  <c r="H123" i="3"/>
  <c r="G123" i="3"/>
  <c r="F123" i="3"/>
  <c r="D123" i="3"/>
  <c r="C123" i="3"/>
  <c r="A123" i="3"/>
  <c r="AE122" i="3"/>
  <c r="AB122" i="3"/>
  <c r="AA122" i="3"/>
  <c r="Z122" i="3"/>
  <c r="Y122" i="3"/>
  <c r="X122" i="3"/>
  <c r="W122" i="3"/>
  <c r="V122" i="3"/>
  <c r="U122" i="3"/>
  <c r="T122" i="3"/>
  <c r="S122" i="3"/>
  <c r="R122" i="3"/>
  <c r="Q122" i="3"/>
  <c r="O122" i="3"/>
  <c r="N122" i="3"/>
  <c r="M122" i="3"/>
  <c r="L122" i="3"/>
  <c r="K122" i="3"/>
  <c r="J122" i="3"/>
  <c r="H122" i="3"/>
  <c r="G122" i="3"/>
  <c r="F122" i="3"/>
  <c r="D122" i="3"/>
  <c r="C122" i="3"/>
  <c r="A122" i="3"/>
  <c r="AE121" i="3"/>
  <c r="AB121" i="3"/>
  <c r="AA121" i="3"/>
  <c r="Z121" i="3"/>
  <c r="Y121" i="3"/>
  <c r="X121" i="3"/>
  <c r="W121" i="3"/>
  <c r="V121" i="3"/>
  <c r="U121" i="3"/>
  <c r="S121" i="3"/>
  <c r="R121" i="3"/>
  <c r="Q121" i="3"/>
  <c r="O121" i="3"/>
  <c r="N121" i="3"/>
  <c r="M121" i="3"/>
  <c r="K121" i="3"/>
  <c r="J121" i="3"/>
  <c r="H121" i="3"/>
  <c r="G121" i="3"/>
  <c r="F121" i="3"/>
  <c r="D121" i="3"/>
  <c r="C121" i="3"/>
  <c r="A121" i="3"/>
  <c r="AE120" i="3"/>
  <c r="AD120" i="3"/>
  <c r="AC120" i="3"/>
  <c r="AB120" i="3"/>
  <c r="AA120" i="3"/>
  <c r="Z120" i="3"/>
  <c r="Y120" i="3"/>
  <c r="X120" i="3"/>
  <c r="W120" i="3"/>
  <c r="V120" i="3"/>
  <c r="U120" i="3"/>
  <c r="T120" i="3"/>
  <c r="S120" i="3"/>
  <c r="R120" i="3"/>
  <c r="Q120" i="3"/>
  <c r="O120" i="3"/>
  <c r="N120" i="3"/>
  <c r="M120" i="3"/>
  <c r="K120" i="3"/>
  <c r="J120" i="3"/>
  <c r="H120" i="3"/>
  <c r="G120" i="3"/>
  <c r="F120" i="3"/>
  <c r="D120" i="3"/>
  <c r="C120" i="3"/>
  <c r="A120" i="3"/>
  <c r="AE119" i="3"/>
  <c r="AD119" i="3"/>
  <c r="AC119" i="3"/>
  <c r="AB119" i="3"/>
  <c r="AA119" i="3"/>
  <c r="Z119" i="3"/>
  <c r="Y119" i="3"/>
  <c r="X119" i="3"/>
  <c r="W119" i="3"/>
  <c r="V119" i="3"/>
  <c r="U119" i="3"/>
  <c r="T119" i="3"/>
  <c r="S119" i="3"/>
  <c r="R119" i="3"/>
  <c r="Q119" i="3"/>
  <c r="O119" i="3"/>
  <c r="N119" i="3"/>
  <c r="M119" i="3"/>
  <c r="K119" i="3"/>
  <c r="J119" i="3"/>
  <c r="H119" i="3"/>
  <c r="G119" i="3"/>
  <c r="F119" i="3"/>
  <c r="D119" i="3"/>
  <c r="C119" i="3"/>
  <c r="A119" i="3"/>
  <c r="AE118" i="3"/>
  <c r="AD118" i="3"/>
  <c r="AC118" i="3"/>
  <c r="AB118" i="3"/>
  <c r="AA118" i="3"/>
  <c r="Z118" i="3"/>
  <c r="Y118" i="3"/>
  <c r="X118" i="3"/>
  <c r="W118" i="3"/>
  <c r="V118" i="3"/>
  <c r="U118" i="3"/>
  <c r="T118" i="3"/>
  <c r="S118" i="3"/>
  <c r="R118" i="3"/>
  <c r="Q118" i="3"/>
  <c r="O118" i="3"/>
  <c r="N118" i="3"/>
  <c r="M118" i="3"/>
  <c r="K118" i="3"/>
  <c r="J118" i="3"/>
  <c r="H118" i="3"/>
  <c r="G118" i="3"/>
  <c r="F118" i="3"/>
  <c r="D118" i="3"/>
  <c r="C118" i="3"/>
  <c r="A118" i="3"/>
  <c r="AE117" i="3"/>
  <c r="AD117" i="3"/>
  <c r="AB117" i="3"/>
  <c r="AA117" i="3"/>
  <c r="Z117" i="3"/>
  <c r="Y117" i="3"/>
  <c r="X117" i="3"/>
  <c r="W117" i="3"/>
  <c r="V117" i="3"/>
  <c r="U117" i="3"/>
  <c r="T117" i="3"/>
  <c r="S117" i="3"/>
  <c r="R117" i="3"/>
  <c r="Q117" i="3"/>
  <c r="O117" i="3"/>
  <c r="N117" i="3"/>
  <c r="M117" i="3"/>
  <c r="K117" i="3"/>
  <c r="J117" i="3"/>
  <c r="H117" i="3"/>
  <c r="G117" i="3"/>
  <c r="F117" i="3"/>
  <c r="D117" i="3"/>
  <c r="C117" i="3"/>
  <c r="A117" i="3"/>
  <c r="AE116" i="3"/>
  <c r="AD116" i="3"/>
  <c r="AB116" i="3"/>
  <c r="AA116" i="3"/>
  <c r="Z116" i="3"/>
  <c r="Y116" i="3"/>
  <c r="X116" i="3"/>
  <c r="W116" i="3"/>
  <c r="V116" i="3"/>
  <c r="U116" i="3"/>
  <c r="T116" i="3"/>
  <c r="S116" i="3"/>
  <c r="R116" i="3"/>
  <c r="Q116" i="3"/>
  <c r="O116" i="3"/>
  <c r="N116" i="3"/>
  <c r="M116" i="3"/>
  <c r="K116" i="3"/>
  <c r="J116" i="3"/>
  <c r="H116" i="3"/>
  <c r="G116" i="3"/>
  <c r="F116" i="3"/>
  <c r="D116" i="3"/>
  <c r="C116" i="3"/>
  <c r="A116" i="3"/>
  <c r="AE115" i="3"/>
  <c r="AB115" i="3"/>
  <c r="AA115" i="3"/>
  <c r="Z115" i="3"/>
  <c r="Y115" i="3"/>
  <c r="X115" i="3"/>
  <c r="W115" i="3"/>
  <c r="V115" i="3"/>
  <c r="U115" i="3"/>
  <c r="S115" i="3"/>
  <c r="R115" i="3"/>
  <c r="Q115" i="3"/>
  <c r="P115" i="3"/>
  <c r="O115" i="3"/>
  <c r="N115" i="3"/>
  <c r="M115" i="3"/>
  <c r="K115" i="3"/>
  <c r="J115" i="3"/>
  <c r="H115" i="3"/>
  <c r="G115" i="3"/>
  <c r="F115" i="3"/>
  <c r="D115" i="3"/>
  <c r="C115" i="3"/>
  <c r="A115" i="3"/>
  <c r="AE114" i="3"/>
  <c r="AB114" i="3"/>
  <c r="AA114" i="3"/>
  <c r="Z114" i="3"/>
  <c r="Y114" i="3"/>
  <c r="X114" i="3"/>
  <c r="W114" i="3"/>
  <c r="V114" i="3"/>
  <c r="U114" i="3"/>
  <c r="S114" i="3"/>
  <c r="R114" i="3"/>
  <c r="Q114" i="3"/>
  <c r="O114" i="3"/>
  <c r="N114" i="3"/>
  <c r="M114" i="3"/>
  <c r="K114" i="3"/>
  <c r="J114" i="3"/>
  <c r="H114" i="3"/>
  <c r="G114" i="3"/>
  <c r="F114" i="3"/>
  <c r="D114" i="3"/>
  <c r="C114" i="3"/>
  <c r="A114" i="3"/>
  <c r="AE113" i="3"/>
  <c r="AB113" i="3"/>
  <c r="AA113" i="3"/>
  <c r="Z113" i="3"/>
  <c r="Y113" i="3"/>
  <c r="X113" i="3"/>
  <c r="W113" i="3"/>
  <c r="V113" i="3"/>
  <c r="U113" i="3"/>
  <c r="T113" i="3"/>
  <c r="S113" i="3"/>
  <c r="R113" i="3"/>
  <c r="Q113" i="3"/>
  <c r="O113" i="3"/>
  <c r="N113" i="3"/>
  <c r="M113" i="3"/>
  <c r="K113" i="3"/>
  <c r="J113" i="3"/>
  <c r="H113" i="3"/>
  <c r="G113" i="3"/>
  <c r="F113" i="3"/>
  <c r="D113" i="3"/>
  <c r="C113" i="3"/>
  <c r="A113" i="3"/>
  <c r="AE112" i="3"/>
  <c r="AC112" i="3"/>
  <c r="AB112" i="3"/>
  <c r="AA112" i="3"/>
  <c r="Z112" i="3"/>
  <c r="Y112" i="3"/>
  <c r="X112" i="3"/>
  <c r="W112" i="3"/>
  <c r="V112" i="3"/>
  <c r="U112" i="3"/>
  <c r="S112" i="3"/>
  <c r="R112" i="3"/>
  <c r="Q112" i="3"/>
  <c r="O112" i="3"/>
  <c r="N112" i="3"/>
  <c r="M112" i="3"/>
  <c r="K112" i="3"/>
  <c r="J112" i="3"/>
  <c r="H112" i="3"/>
  <c r="G112" i="3"/>
  <c r="F112" i="3"/>
  <c r="D112" i="3"/>
  <c r="C112" i="3"/>
  <c r="A112" i="3"/>
  <c r="AE111" i="3"/>
  <c r="AB111" i="3"/>
  <c r="AA111" i="3"/>
  <c r="Z111" i="3"/>
  <c r="Y111" i="3"/>
  <c r="X111" i="3"/>
  <c r="W111" i="3"/>
  <c r="V111" i="3"/>
  <c r="U111" i="3"/>
  <c r="S111" i="3"/>
  <c r="R111" i="3"/>
  <c r="Q111" i="3"/>
  <c r="O111" i="3"/>
  <c r="N111" i="3"/>
  <c r="M111" i="3"/>
  <c r="K111" i="3"/>
  <c r="J111" i="3"/>
  <c r="H111" i="3"/>
  <c r="G111" i="3"/>
  <c r="F111" i="3"/>
  <c r="D111" i="3"/>
  <c r="C111" i="3"/>
  <c r="A111" i="3"/>
  <c r="AE110" i="3"/>
  <c r="AB110" i="3"/>
  <c r="AA110" i="3"/>
  <c r="Z110" i="3"/>
  <c r="Y110" i="3"/>
  <c r="X110" i="3"/>
  <c r="W110" i="3"/>
  <c r="V110" i="3"/>
  <c r="U110" i="3"/>
  <c r="T110" i="3"/>
  <c r="S110" i="3"/>
  <c r="R110" i="3"/>
  <c r="Q110" i="3"/>
  <c r="O110" i="3"/>
  <c r="N110" i="3"/>
  <c r="M110" i="3"/>
  <c r="K110" i="3"/>
  <c r="J110" i="3"/>
  <c r="H110" i="3"/>
  <c r="G110" i="3"/>
  <c r="F110" i="3"/>
  <c r="D110" i="3"/>
  <c r="C110" i="3"/>
  <c r="A110" i="3"/>
  <c r="AE109" i="3"/>
  <c r="AB109" i="3"/>
  <c r="AA109" i="3"/>
  <c r="Z109" i="3"/>
  <c r="Y109" i="3"/>
  <c r="X109" i="3"/>
  <c r="W109" i="3"/>
  <c r="V109" i="3"/>
  <c r="U109" i="3"/>
  <c r="S109" i="3"/>
  <c r="R109" i="3"/>
  <c r="Q109" i="3"/>
  <c r="O109" i="3"/>
  <c r="N109" i="3"/>
  <c r="M109" i="3"/>
  <c r="K109" i="3"/>
  <c r="J109" i="3"/>
  <c r="H109" i="3"/>
  <c r="G109" i="3"/>
  <c r="F109" i="3"/>
  <c r="D109" i="3"/>
  <c r="C109" i="3"/>
  <c r="A109" i="3"/>
  <c r="AE108" i="3"/>
  <c r="AB108" i="3"/>
  <c r="AA108" i="3"/>
  <c r="Z108" i="3"/>
  <c r="Y108" i="3"/>
  <c r="X108" i="3"/>
  <c r="W108" i="3"/>
  <c r="V108" i="3"/>
  <c r="U108" i="3"/>
  <c r="T108" i="3"/>
  <c r="S108" i="3"/>
  <c r="R108" i="3"/>
  <c r="Q108" i="3"/>
  <c r="O108" i="3"/>
  <c r="N108" i="3"/>
  <c r="M108" i="3"/>
  <c r="K108" i="3"/>
  <c r="J108" i="3"/>
  <c r="H108" i="3"/>
  <c r="G108" i="3"/>
  <c r="F108" i="3"/>
  <c r="D108" i="3"/>
  <c r="C108" i="3"/>
  <c r="A108" i="3"/>
  <c r="AE107" i="3"/>
  <c r="AD107" i="3"/>
  <c r="AB107" i="3"/>
  <c r="AA107" i="3"/>
  <c r="Z107" i="3"/>
  <c r="Y107" i="3"/>
  <c r="X107" i="3"/>
  <c r="W107" i="3"/>
  <c r="V107" i="3"/>
  <c r="U107" i="3"/>
  <c r="S107" i="3"/>
  <c r="R107" i="3"/>
  <c r="Q107" i="3"/>
  <c r="O107" i="3"/>
  <c r="N107" i="3"/>
  <c r="M107" i="3"/>
  <c r="K107" i="3"/>
  <c r="J107" i="3"/>
  <c r="H107" i="3"/>
  <c r="G107" i="3"/>
  <c r="F107" i="3"/>
  <c r="D107" i="3"/>
  <c r="C107" i="3"/>
  <c r="A107" i="3"/>
  <c r="AE106" i="3"/>
  <c r="AC106" i="3"/>
  <c r="AB106" i="3"/>
  <c r="AA106" i="3"/>
  <c r="Z106" i="3"/>
  <c r="Y106" i="3"/>
  <c r="X106" i="3"/>
  <c r="W106" i="3"/>
  <c r="V106" i="3"/>
  <c r="U106" i="3"/>
  <c r="T106" i="3"/>
  <c r="S106" i="3"/>
  <c r="R106" i="3"/>
  <c r="Q106" i="3"/>
  <c r="O106" i="3"/>
  <c r="N106" i="3"/>
  <c r="M106" i="3"/>
  <c r="K106" i="3"/>
  <c r="J106" i="3"/>
  <c r="H106" i="3"/>
  <c r="G106" i="3"/>
  <c r="F106" i="3"/>
  <c r="D106" i="3"/>
  <c r="C106" i="3"/>
  <c r="A106" i="3"/>
  <c r="AE105" i="3"/>
  <c r="AB105" i="3"/>
  <c r="AA105" i="3"/>
  <c r="Z105" i="3"/>
  <c r="Y105" i="3"/>
  <c r="X105" i="3"/>
  <c r="W105" i="3"/>
  <c r="V105" i="3"/>
  <c r="U105" i="3"/>
  <c r="S105" i="3"/>
  <c r="R105" i="3"/>
  <c r="Q105" i="3"/>
  <c r="O105" i="3"/>
  <c r="N105" i="3"/>
  <c r="M105" i="3"/>
  <c r="K105" i="3"/>
  <c r="J105" i="3"/>
  <c r="H105" i="3"/>
  <c r="G105" i="3"/>
  <c r="F105" i="3"/>
  <c r="D105" i="3"/>
  <c r="C105" i="3"/>
  <c r="A105" i="3"/>
  <c r="AE104" i="3"/>
  <c r="AB104" i="3"/>
  <c r="AA104" i="3"/>
  <c r="Z104" i="3"/>
  <c r="Y104" i="3"/>
  <c r="X104" i="3"/>
  <c r="W104" i="3"/>
  <c r="V104" i="3"/>
  <c r="U104" i="3"/>
  <c r="T104" i="3"/>
  <c r="S104" i="3"/>
  <c r="R104" i="3"/>
  <c r="Q104" i="3"/>
  <c r="O104" i="3"/>
  <c r="N104" i="3"/>
  <c r="M104" i="3"/>
  <c r="L104" i="3"/>
  <c r="K104" i="3"/>
  <c r="J104" i="3"/>
  <c r="H104" i="3"/>
  <c r="G104" i="3"/>
  <c r="F104" i="3"/>
  <c r="D104" i="3"/>
  <c r="C104" i="3"/>
  <c r="A104" i="3"/>
  <c r="AE103" i="3"/>
  <c r="AB103" i="3"/>
  <c r="AA103" i="3"/>
  <c r="Z103" i="3"/>
  <c r="Y103" i="3"/>
  <c r="X103" i="3"/>
  <c r="W103" i="3"/>
  <c r="V103" i="3"/>
  <c r="U103" i="3"/>
  <c r="T103" i="3"/>
  <c r="S103" i="3"/>
  <c r="R103" i="3"/>
  <c r="Q103" i="3"/>
  <c r="O103" i="3"/>
  <c r="N103" i="3"/>
  <c r="M103" i="3"/>
  <c r="K103" i="3"/>
  <c r="J103" i="3"/>
  <c r="H103" i="3"/>
  <c r="G103" i="3"/>
  <c r="F103" i="3"/>
  <c r="D103" i="3"/>
  <c r="C103" i="3"/>
  <c r="A103" i="3"/>
  <c r="AE102" i="3"/>
  <c r="AC102" i="3"/>
  <c r="AB102" i="3"/>
  <c r="AA102" i="3"/>
  <c r="Z102" i="3"/>
  <c r="Y102" i="3"/>
  <c r="X102" i="3"/>
  <c r="W102" i="3"/>
  <c r="V102" i="3"/>
  <c r="U102" i="3"/>
  <c r="T102" i="3"/>
  <c r="S102" i="3"/>
  <c r="R102" i="3"/>
  <c r="Q102" i="3"/>
  <c r="O102" i="3"/>
  <c r="N102" i="3"/>
  <c r="M102" i="3"/>
  <c r="L102" i="3"/>
  <c r="K102" i="3"/>
  <c r="J102" i="3"/>
  <c r="H102" i="3"/>
  <c r="G102" i="3"/>
  <c r="F102" i="3"/>
  <c r="D102" i="3"/>
  <c r="C102" i="3"/>
  <c r="A102" i="3"/>
  <c r="AE101" i="3"/>
  <c r="AD101" i="3"/>
  <c r="AB101" i="3"/>
  <c r="AA101" i="3"/>
  <c r="Z101" i="3"/>
  <c r="Y101" i="3"/>
  <c r="X101" i="3"/>
  <c r="W101" i="3"/>
  <c r="V101" i="3"/>
  <c r="U101" i="3"/>
  <c r="S101" i="3"/>
  <c r="R101" i="3"/>
  <c r="Q101" i="3"/>
  <c r="O101" i="3"/>
  <c r="N101" i="3"/>
  <c r="M101" i="3"/>
  <c r="L101" i="3"/>
  <c r="K101" i="3"/>
  <c r="J101" i="3"/>
  <c r="H101" i="3"/>
  <c r="G101" i="3"/>
  <c r="F101" i="3"/>
  <c r="D101" i="3"/>
  <c r="C101" i="3"/>
  <c r="A101" i="3"/>
  <c r="AE100" i="3"/>
  <c r="AB100" i="3"/>
  <c r="AA100" i="3"/>
  <c r="Z100" i="3"/>
  <c r="Y100" i="3"/>
  <c r="X100" i="3"/>
  <c r="W100" i="3"/>
  <c r="V100" i="3"/>
  <c r="U100" i="3"/>
  <c r="S100" i="3"/>
  <c r="R100" i="3"/>
  <c r="Q100" i="3"/>
  <c r="P100" i="3"/>
  <c r="O100" i="3"/>
  <c r="N100" i="3"/>
  <c r="M100" i="3"/>
  <c r="K100" i="3"/>
  <c r="J100" i="3"/>
  <c r="H100" i="3"/>
  <c r="G100" i="3"/>
  <c r="F100" i="3"/>
  <c r="D100" i="3"/>
  <c r="C100" i="3"/>
  <c r="A100" i="3"/>
  <c r="AE99" i="3"/>
  <c r="AB99" i="3"/>
  <c r="AA99" i="3"/>
  <c r="Z99" i="3"/>
  <c r="Y99" i="3"/>
  <c r="X99" i="3"/>
  <c r="W99" i="3"/>
  <c r="V99" i="3"/>
  <c r="U99" i="3"/>
  <c r="S99" i="3"/>
  <c r="R99" i="3"/>
  <c r="Q99" i="3"/>
  <c r="O99" i="3"/>
  <c r="N99" i="3"/>
  <c r="M99" i="3"/>
  <c r="K99" i="3"/>
  <c r="J99" i="3"/>
  <c r="H99" i="3"/>
  <c r="G99" i="3"/>
  <c r="F99" i="3"/>
  <c r="D99" i="3"/>
  <c r="C99" i="3"/>
  <c r="A99" i="3"/>
  <c r="AE98" i="3"/>
  <c r="AB98" i="3"/>
  <c r="AA98" i="3"/>
  <c r="Z98" i="3"/>
  <c r="Y98" i="3"/>
  <c r="X98" i="3"/>
  <c r="W98" i="3"/>
  <c r="V98" i="3"/>
  <c r="U98" i="3"/>
  <c r="S98" i="3"/>
  <c r="R98" i="3"/>
  <c r="Q98" i="3"/>
  <c r="O98" i="3"/>
  <c r="N98" i="3"/>
  <c r="M98" i="3"/>
  <c r="K98" i="3"/>
  <c r="J98" i="3"/>
  <c r="H98" i="3"/>
  <c r="G98" i="3"/>
  <c r="F98" i="3"/>
  <c r="D98" i="3"/>
  <c r="C98" i="3"/>
  <c r="A98" i="3"/>
  <c r="AE97" i="3"/>
  <c r="AD97" i="3"/>
  <c r="AB97" i="3"/>
  <c r="AA97" i="3"/>
  <c r="Z97" i="3"/>
  <c r="Y97" i="3"/>
  <c r="X97" i="3"/>
  <c r="W97" i="3"/>
  <c r="V97" i="3"/>
  <c r="U97" i="3"/>
  <c r="T97" i="3"/>
  <c r="S97" i="3"/>
  <c r="R97" i="3"/>
  <c r="Q97" i="3"/>
  <c r="O97" i="3"/>
  <c r="N97" i="3"/>
  <c r="M97" i="3"/>
  <c r="L97" i="3"/>
  <c r="K97" i="3"/>
  <c r="J97" i="3"/>
  <c r="H97" i="3"/>
  <c r="G97" i="3"/>
  <c r="F97" i="3"/>
  <c r="D97" i="3"/>
  <c r="C97" i="3"/>
  <c r="A97" i="3"/>
  <c r="AE96" i="3"/>
  <c r="AB96" i="3"/>
  <c r="AA96" i="3"/>
  <c r="Z96" i="3"/>
  <c r="Y96" i="3"/>
  <c r="X96" i="3"/>
  <c r="W96" i="3"/>
  <c r="V96" i="3"/>
  <c r="U96" i="3"/>
  <c r="S96" i="3"/>
  <c r="R96" i="3"/>
  <c r="Q96" i="3"/>
  <c r="O96" i="3"/>
  <c r="N96" i="3"/>
  <c r="M96" i="3"/>
  <c r="K96" i="3"/>
  <c r="J96" i="3"/>
  <c r="H96" i="3"/>
  <c r="G96" i="3"/>
  <c r="F96" i="3"/>
  <c r="D96" i="3"/>
  <c r="C96" i="3"/>
  <c r="A96" i="3"/>
  <c r="AE95" i="3"/>
  <c r="AB95" i="3"/>
  <c r="AA95" i="3"/>
  <c r="Z95" i="3"/>
  <c r="Y95" i="3"/>
  <c r="X95" i="3"/>
  <c r="W95" i="3"/>
  <c r="V95" i="3"/>
  <c r="U95" i="3"/>
  <c r="S95" i="3"/>
  <c r="R95" i="3"/>
  <c r="Q95" i="3"/>
  <c r="O95" i="3"/>
  <c r="N95" i="3"/>
  <c r="M95" i="3"/>
  <c r="K95" i="3"/>
  <c r="J95" i="3"/>
  <c r="H95" i="3"/>
  <c r="G95" i="3"/>
  <c r="F95" i="3"/>
  <c r="D95" i="3"/>
  <c r="C95" i="3"/>
  <c r="A95" i="3"/>
  <c r="AE94" i="3"/>
  <c r="AD94" i="3"/>
  <c r="AB94" i="3"/>
  <c r="AA94" i="3"/>
  <c r="Z94" i="3"/>
  <c r="Y94" i="3"/>
  <c r="X94" i="3"/>
  <c r="W94" i="3"/>
  <c r="V94" i="3"/>
  <c r="U94" i="3"/>
  <c r="S94" i="3"/>
  <c r="R94" i="3"/>
  <c r="Q94" i="3"/>
  <c r="O94" i="3"/>
  <c r="N94" i="3"/>
  <c r="M94" i="3"/>
  <c r="K94" i="3"/>
  <c r="J94" i="3"/>
  <c r="H94" i="3"/>
  <c r="G94" i="3"/>
  <c r="F94" i="3"/>
  <c r="D94" i="3"/>
  <c r="C94" i="3"/>
  <c r="A94" i="3"/>
  <c r="AE93" i="3"/>
  <c r="AB93" i="3"/>
  <c r="AA93" i="3"/>
  <c r="Z93" i="3"/>
  <c r="Y93" i="3"/>
  <c r="X93" i="3"/>
  <c r="W93" i="3"/>
  <c r="V93" i="3"/>
  <c r="U93" i="3"/>
  <c r="S93" i="3"/>
  <c r="R93" i="3"/>
  <c r="Q93" i="3"/>
  <c r="O93" i="3"/>
  <c r="N93" i="3"/>
  <c r="M93" i="3"/>
  <c r="K93" i="3"/>
  <c r="J93" i="3"/>
  <c r="H93" i="3"/>
  <c r="G93" i="3"/>
  <c r="F93" i="3"/>
  <c r="D93" i="3"/>
  <c r="C93" i="3"/>
  <c r="A93" i="3"/>
  <c r="AE92" i="3"/>
  <c r="AB92" i="3"/>
  <c r="AA92" i="3"/>
  <c r="Z92" i="3"/>
  <c r="Y92" i="3"/>
  <c r="X92" i="3"/>
  <c r="W92" i="3"/>
  <c r="V92" i="3"/>
  <c r="U92" i="3"/>
  <c r="T92" i="3"/>
  <c r="S92" i="3"/>
  <c r="R92" i="3"/>
  <c r="Q92" i="3"/>
  <c r="O92" i="3"/>
  <c r="N92" i="3"/>
  <c r="M92" i="3"/>
  <c r="K92" i="3"/>
  <c r="J92" i="3"/>
  <c r="H92" i="3"/>
  <c r="G92" i="3"/>
  <c r="F92" i="3"/>
  <c r="D92" i="3"/>
  <c r="C92" i="3"/>
  <c r="A92" i="3"/>
  <c r="AE91" i="3"/>
  <c r="AB91" i="3"/>
  <c r="AA91" i="3"/>
  <c r="Z91" i="3"/>
  <c r="Y91" i="3"/>
  <c r="X91" i="3"/>
  <c r="W91" i="3"/>
  <c r="V91" i="3"/>
  <c r="U91" i="3"/>
  <c r="S91" i="3"/>
  <c r="R91" i="3"/>
  <c r="Q91" i="3"/>
  <c r="O91" i="3"/>
  <c r="N91" i="3"/>
  <c r="M91" i="3"/>
  <c r="L91" i="3"/>
  <c r="K91" i="3"/>
  <c r="J91" i="3"/>
  <c r="H91" i="3"/>
  <c r="G91" i="3"/>
  <c r="F91" i="3"/>
  <c r="D91" i="3"/>
  <c r="C91" i="3"/>
  <c r="A91" i="3"/>
  <c r="AE90" i="3"/>
  <c r="AB90" i="3"/>
  <c r="AA90" i="3"/>
  <c r="Z90" i="3"/>
  <c r="Y90" i="3"/>
  <c r="X90" i="3"/>
  <c r="W90" i="3"/>
  <c r="V90" i="3"/>
  <c r="U90" i="3"/>
  <c r="S90" i="3"/>
  <c r="R90" i="3"/>
  <c r="Q90" i="3"/>
  <c r="O90" i="3"/>
  <c r="N90" i="3"/>
  <c r="M90" i="3"/>
  <c r="K90" i="3"/>
  <c r="J90" i="3"/>
  <c r="H90" i="3"/>
  <c r="G90" i="3"/>
  <c r="F90" i="3"/>
  <c r="D90" i="3"/>
  <c r="C90" i="3"/>
  <c r="A90" i="3"/>
  <c r="AE89" i="3"/>
  <c r="AB89" i="3"/>
  <c r="AA89" i="3"/>
  <c r="Z89" i="3"/>
  <c r="Y89" i="3"/>
  <c r="X89" i="3"/>
  <c r="W89" i="3"/>
  <c r="V89" i="3"/>
  <c r="U89" i="3"/>
  <c r="S89" i="3"/>
  <c r="R89" i="3"/>
  <c r="Q89" i="3"/>
  <c r="O89" i="3"/>
  <c r="N89" i="3"/>
  <c r="M89" i="3"/>
  <c r="K89" i="3"/>
  <c r="J89" i="3"/>
  <c r="H89" i="3"/>
  <c r="G89" i="3"/>
  <c r="F89" i="3"/>
  <c r="D89" i="3"/>
  <c r="C89" i="3"/>
  <c r="A89" i="3"/>
  <c r="AE88" i="3"/>
  <c r="AB88" i="3"/>
  <c r="AA88" i="3"/>
  <c r="Z88" i="3"/>
  <c r="Y88" i="3"/>
  <c r="X88" i="3"/>
  <c r="W88" i="3"/>
  <c r="V88" i="3"/>
  <c r="U88" i="3"/>
  <c r="T88" i="3"/>
  <c r="S88" i="3"/>
  <c r="R88" i="3"/>
  <c r="Q88" i="3"/>
  <c r="O88" i="3"/>
  <c r="N88" i="3"/>
  <c r="M88" i="3"/>
  <c r="K88" i="3"/>
  <c r="J88" i="3"/>
  <c r="H88" i="3"/>
  <c r="G88" i="3"/>
  <c r="F88" i="3"/>
  <c r="D88" i="3"/>
  <c r="C88" i="3"/>
  <c r="A88" i="3"/>
  <c r="AE87" i="3"/>
  <c r="AB87" i="3"/>
  <c r="AA87" i="3"/>
  <c r="Z87" i="3"/>
  <c r="Y87" i="3"/>
  <c r="X87" i="3"/>
  <c r="W87" i="3"/>
  <c r="V87" i="3"/>
  <c r="U87" i="3"/>
  <c r="S87" i="3"/>
  <c r="R87" i="3"/>
  <c r="Q87" i="3"/>
  <c r="O87" i="3"/>
  <c r="N87" i="3"/>
  <c r="M87" i="3"/>
  <c r="K87" i="3"/>
  <c r="J87" i="3"/>
  <c r="H87" i="3"/>
  <c r="G87" i="3"/>
  <c r="F87" i="3"/>
  <c r="D87" i="3"/>
  <c r="C87" i="3"/>
  <c r="A87" i="3"/>
  <c r="AE86" i="3"/>
  <c r="AB86" i="3"/>
  <c r="AA86" i="3"/>
  <c r="Z86" i="3"/>
  <c r="Y86" i="3"/>
  <c r="X86" i="3"/>
  <c r="W86" i="3"/>
  <c r="V86" i="3"/>
  <c r="U86" i="3"/>
  <c r="T86" i="3"/>
  <c r="S86" i="3"/>
  <c r="R86" i="3"/>
  <c r="Q86" i="3"/>
  <c r="O86" i="3"/>
  <c r="N86" i="3"/>
  <c r="M86" i="3"/>
  <c r="K86" i="3"/>
  <c r="J86" i="3"/>
  <c r="H86" i="3"/>
  <c r="G86" i="3"/>
  <c r="F86" i="3"/>
  <c r="D86" i="3"/>
  <c r="C86" i="3"/>
  <c r="A86" i="3"/>
  <c r="AE85" i="3"/>
  <c r="AC85" i="3"/>
  <c r="AB85" i="3"/>
  <c r="AA85" i="3"/>
  <c r="Z85" i="3"/>
  <c r="Y85" i="3"/>
  <c r="V85" i="3"/>
  <c r="U85" i="3"/>
  <c r="T85" i="3"/>
  <c r="S85" i="3"/>
  <c r="R85" i="3"/>
  <c r="Q85" i="3"/>
  <c r="O85" i="3"/>
  <c r="N85" i="3"/>
  <c r="M85" i="3"/>
  <c r="L85" i="3"/>
  <c r="K85" i="3"/>
  <c r="J85" i="3"/>
  <c r="H85" i="3"/>
  <c r="G85" i="3"/>
  <c r="F85" i="3"/>
  <c r="D85" i="3"/>
  <c r="C85" i="3"/>
  <c r="A85" i="3"/>
  <c r="AE84" i="3"/>
  <c r="AD84" i="3"/>
  <c r="AB84" i="3"/>
  <c r="AA84" i="3"/>
  <c r="Z84" i="3"/>
  <c r="Y84" i="3"/>
  <c r="X84" i="3"/>
  <c r="W84" i="3"/>
  <c r="V84" i="3"/>
  <c r="U84" i="3"/>
  <c r="S84" i="3"/>
  <c r="R84" i="3"/>
  <c r="Q84" i="3"/>
  <c r="O84" i="3"/>
  <c r="N84" i="3"/>
  <c r="M84" i="3"/>
  <c r="K84" i="3"/>
  <c r="J84" i="3"/>
  <c r="H84" i="3"/>
  <c r="G84" i="3"/>
  <c r="F84" i="3"/>
  <c r="D84" i="3"/>
  <c r="C84" i="3"/>
  <c r="A84" i="3"/>
  <c r="AE83" i="3"/>
  <c r="AD83" i="3"/>
  <c r="AB83" i="3"/>
  <c r="AA83" i="3"/>
  <c r="Z83" i="3"/>
  <c r="Y83" i="3"/>
  <c r="X83" i="3"/>
  <c r="W83" i="3"/>
  <c r="V83" i="3"/>
  <c r="U83" i="3"/>
  <c r="S83" i="3"/>
  <c r="R83" i="3"/>
  <c r="Q83" i="3"/>
  <c r="P83" i="3"/>
  <c r="O83" i="3"/>
  <c r="N83" i="3"/>
  <c r="M83" i="3"/>
  <c r="L83" i="3"/>
  <c r="K83" i="3"/>
  <c r="J83" i="3"/>
  <c r="H83" i="3"/>
  <c r="G83" i="3"/>
  <c r="F83" i="3"/>
  <c r="D83" i="3"/>
  <c r="C83" i="3"/>
  <c r="A83" i="3"/>
  <c r="AE82" i="3"/>
  <c r="AB82" i="3"/>
  <c r="AA82" i="3"/>
  <c r="Z82" i="3"/>
  <c r="Y82" i="3"/>
  <c r="X82" i="3"/>
  <c r="W82" i="3"/>
  <c r="V82" i="3"/>
  <c r="U82" i="3"/>
  <c r="S82" i="3"/>
  <c r="R82" i="3"/>
  <c r="Q82" i="3"/>
  <c r="O82" i="3"/>
  <c r="N82" i="3"/>
  <c r="M82" i="3"/>
  <c r="K82" i="3"/>
  <c r="J82" i="3"/>
  <c r="H82" i="3"/>
  <c r="G82" i="3"/>
  <c r="F82" i="3"/>
  <c r="D82" i="3"/>
  <c r="C82" i="3"/>
  <c r="A82" i="3"/>
  <c r="AE81" i="3"/>
  <c r="AB81" i="3"/>
  <c r="AA81" i="3"/>
  <c r="Z81" i="3"/>
  <c r="Y81" i="3"/>
  <c r="X81" i="3"/>
  <c r="W81" i="3"/>
  <c r="V81" i="3"/>
  <c r="U81" i="3"/>
  <c r="S81" i="3"/>
  <c r="R81" i="3"/>
  <c r="Q81" i="3"/>
  <c r="O81" i="3"/>
  <c r="N81" i="3"/>
  <c r="M81" i="3"/>
  <c r="K81" i="3"/>
  <c r="J81" i="3"/>
  <c r="H81" i="3"/>
  <c r="G81" i="3"/>
  <c r="F81" i="3"/>
  <c r="D81" i="3"/>
  <c r="C81" i="3"/>
  <c r="A81" i="3"/>
  <c r="AE80" i="3"/>
  <c r="AD80" i="3"/>
  <c r="AB80" i="3"/>
  <c r="AA80" i="3"/>
  <c r="Z80" i="3"/>
  <c r="Y80" i="3"/>
  <c r="X80" i="3"/>
  <c r="W80" i="3"/>
  <c r="V80" i="3"/>
  <c r="U80" i="3"/>
  <c r="T80" i="3"/>
  <c r="S80" i="3"/>
  <c r="R80" i="3"/>
  <c r="Q80" i="3"/>
  <c r="O80" i="3"/>
  <c r="N80" i="3"/>
  <c r="M80" i="3"/>
  <c r="K80" i="3"/>
  <c r="J80" i="3"/>
  <c r="H80" i="3"/>
  <c r="G80" i="3"/>
  <c r="F80" i="3"/>
  <c r="D80" i="3"/>
  <c r="C80" i="3"/>
  <c r="A80" i="3"/>
  <c r="AE79" i="3"/>
  <c r="AB79" i="3"/>
  <c r="AA79" i="3"/>
  <c r="Z79" i="3"/>
  <c r="Y79" i="3"/>
  <c r="X79" i="3"/>
  <c r="W79" i="3"/>
  <c r="V79" i="3"/>
  <c r="U79" i="3"/>
  <c r="S79" i="3"/>
  <c r="R79" i="3"/>
  <c r="Q79" i="3"/>
  <c r="O79" i="3"/>
  <c r="N79" i="3"/>
  <c r="M79" i="3"/>
  <c r="K79" i="3"/>
  <c r="J79" i="3"/>
  <c r="H79" i="3"/>
  <c r="G79" i="3"/>
  <c r="F79" i="3"/>
  <c r="D79" i="3"/>
  <c r="C79" i="3"/>
  <c r="A79" i="3"/>
  <c r="AE78" i="3"/>
  <c r="AB78" i="3"/>
  <c r="AA78" i="3"/>
  <c r="Z78" i="3"/>
  <c r="Y78" i="3"/>
  <c r="X78" i="3"/>
  <c r="W78" i="3"/>
  <c r="V78" i="3"/>
  <c r="U78" i="3"/>
  <c r="S78" i="3"/>
  <c r="R78" i="3"/>
  <c r="Q78" i="3"/>
  <c r="O78" i="3"/>
  <c r="N78" i="3"/>
  <c r="M78" i="3"/>
  <c r="K78" i="3"/>
  <c r="J78" i="3"/>
  <c r="H78" i="3"/>
  <c r="G78" i="3"/>
  <c r="F78" i="3"/>
  <c r="D78" i="3"/>
  <c r="C78" i="3"/>
  <c r="A78" i="3"/>
  <c r="AE77" i="3"/>
  <c r="AB77" i="3"/>
  <c r="AA77" i="3"/>
  <c r="Z77" i="3"/>
  <c r="Y77" i="3"/>
  <c r="X77" i="3"/>
  <c r="W77" i="3"/>
  <c r="V77" i="3"/>
  <c r="U77" i="3"/>
  <c r="S77" i="3"/>
  <c r="R77" i="3"/>
  <c r="Q77" i="3"/>
  <c r="O77" i="3"/>
  <c r="N77" i="3"/>
  <c r="M77" i="3"/>
  <c r="K77" i="3"/>
  <c r="J77" i="3"/>
  <c r="H77" i="3"/>
  <c r="G77" i="3"/>
  <c r="F77" i="3"/>
  <c r="D77" i="3"/>
  <c r="C77" i="3"/>
  <c r="A77" i="3"/>
  <c r="AE76" i="3"/>
  <c r="AB76" i="3"/>
  <c r="AA76" i="3"/>
  <c r="Z76" i="3"/>
  <c r="Y76" i="3"/>
  <c r="X76" i="3"/>
  <c r="W76" i="3"/>
  <c r="V76" i="3"/>
  <c r="U76" i="3"/>
  <c r="S76" i="3"/>
  <c r="R76" i="3"/>
  <c r="Q76" i="3"/>
  <c r="O76" i="3"/>
  <c r="N76" i="3"/>
  <c r="M76" i="3"/>
  <c r="K76" i="3"/>
  <c r="J76" i="3"/>
  <c r="H76" i="3"/>
  <c r="G76" i="3"/>
  <c r="F76" i="3"/>
  <c r="D76" i="3"/>
  <c r="C76" i="3"/>
  <c r="A76" i="3"/>
  <c r="AE75" i="3"/>
  <c r="AD75" i="3"/>
  <c r="AB75" i="3"/>
  <c r="AA75" i="3"/>
  <c r="Z75" i="3"/>
  <c r="Y75" i="3"/>
  <c r="X75" i="3"/>
  <c r="W75" i="3"/>
  <c r="V75" i="3"/>
  <c r="U75" i="3"/>
  <c r="S75" i="3"/>
  <c r="R75" i="3"/>
  <c r="Q75" i="3"/>
  <c r="O75" i="3"/>
  <c r="N75" i="3"/>
  <c r="M75" i="3"/>
  <c r="K75" i="3"/>
  <c r="J75" i="3"/>
  <c r="H75" i="3"/>
  <c r="G75" i="3"/>
  <c r="F75" i="3"/>
  <c r="D75" i="3"/>
  <c r="C75" i="3"/>
  <c r="A75" i="3"/>
  <c r="AE74" i="3"/>
  <c r="AD74" i="3"/>
  <c r="AB74" i="3"/>
  <c r="AA74" i="3"/>
  <c r="Z74" i="3"/>
  <c r="Y74" i="3"/>
  <c r="X74" i="3"/>
  <c r="W74" i="3"/>
  <c r="V74" i="3"/>
  <c r="U74" i="3"/>
  <c r="T74" i="3"/>
  <c r="S74" i="3"/>
  <c r="R74" i="3"/>
  <c r="Q74" i="3"/>
  <c r="O74" i="3"/>
  <c r="N74" i="3"/>
  <c r="M74" i="3"/>
  <c r="K74" i="3"/>
  <c r="J74" i="3"/>
  <c r="H74" i="3"/>
  <c r="G74" i="3"/>
  <c r="F74" i="3"/>
  <c r="D74" i="3"/>
  <c r="C74" i="3"/>
  <c r="A74" i="3"/>
  <c r="AE73" i="3"/>
  <c r="AD73" i="3"/>
  <c r="AB73" i="3"/>
  <c r="AA73" i="3"/>
  <c r="Z73" i="3"/>
  <c r="Y73" i="3"/>
  <c r="X73" i="3"/>
  <c r="W73" i="3"/>
  <c r="V73" i="3"/>
  <c r="U73" i="3"/>
  <c r="T73" i="3"/>
  <c r="S73" i="3"/>
  <c r="R73" i="3"/>
  <c r="Q73" i="3"/>
  <c r="O73" i="3"/>
  <c r="N73" i="3"/>
  <c r="M73" i="3"/>
  <c r="K73" i="3"/>
  <c r="J73" i="3"/>
  <c r="H73" i="3"/>
  <c r="G73" i="3"/>
  <c r="F73" i="3"/>
  <c r="D73" i="3"/>
  <c r="C73" i="3"/>
  <c r="A73" i="3"/>
  <c r="AE72" i="3"/>
  <c r="AB72" i="3"/>
  <c r="AA72" i="3"/>
  <c r="Z72" i="3"/>
  <c r="Y72" i="3"/>
  <c r="X72" i="3"/>
  <c r="W72" i="3"/>
  <c r="V72" i="3"/>
  <c r="U72" i="3"/>
  <c r="S72" i="3"/>
  <c r="R72" i="3"/>
  <c r="Q72" i="3"/>
  <c r="O72" i="3"/>
  <c r="N72" i="3"/>
  <c r="M72" i="3"/>
  <c r="L72" i="3"/>
  <c r="K72" i="3"/>
  <c r="J72" i="3"/>
  <c r="H72" i="3"/>
  <c r="G72" i="3"/>
  <c r="F72" i="3"/>
  <c r="D72" i="3"/>
  <c r="C72" i="3"/>
  <c r="A72" i="3"/>
  <c r="AE71" i="3"/>
  <c r="AD71" i="3"/>
  <c r="AB71" i="3"/>
  <c r="AA71" i="3"/>
  <c r="Z71" i="3"/>
  <c r="Y71" i="3"/>
  <c r="X71" i="3"/>
  <c r="W71" i="3"/>
  <c r="V71" i="3"/>
  <c r="U71" i="3"/>
  <c r="T71" i="3"/>
  <c r="S71" i="3"/>
  <c r="R71" i="3"/>
  <c r="Q71" i="3"/>
  <c r="O71" i="3"/>
  <c r="N71" i="3"/>
  <c r="M71" i="3"/>
  <c r="L71" i="3"/>
  <c r="K71" i="3"/>
  <c r="J71" i="3"/>
  <c r="H71" i="3"/>
  <c r="G71" i="3"/>
  <c r="F71" i="3"/>
  <c r="D71" i="3"/>
  <c r="C71" i="3"/>
  <c r="A71" i="3"/>
  <c r="AE70" i="3"/>
  <c r="AB70" i="3"/>
  <c r="AA70" i="3"/>
  <c r="Z70" i="3"/>
  <c r="Y70" i="3"/>
  <c r="X70" i="3"/>
  <c r="W70" i="3"/>
  <c r="V70" i="3"/>
  <c r="U70" i="3"/>
  <c r="S70" i="3"/>
  <c r="R70" i="3"/>
  <c r="Q70" i="3"/>
  <c r="O70" i="3"/>
  <c r="N70" i="3"/>
  <c r="M70" i="3"/>
  <c r="L70" i="3"/>
  <c r="K70" i="3"/>
  <c r="J70" i="3"/>
  <c r="H70" i="3"/>
  <c r="G70" i="3"/>
  <c r="F70" i="3"/>
  <c r="D70" i="3"/>
  <c r="C70" i="3"/>
  <c r="A70" i="3"/>
  <c r="AE69" i="3"/>
  <c r="AB69" i="3"/>
  <c r="AA69" i="3"/>
  <c r="Z69" i="3"/>
  <c r="Y69" i="3"/>
  <c r="X69" i="3"/>
  <c r="W69" i="3"/>
  <c r="V69" i="3"/>
  <c r="U69" i="3"/>
  <c r="S69" i="3"/>
  <c r="R69" i="3"/>
  <c r="Q69" i="3"/>
  <c r="O69" i="3"/>
  <c r="N69" i="3"/>
  <c r="M69" i="3"/>
  <c r="L69" i="3"/>
  <c r="K69" i="3"/>
  <c r="J69" i="3"/>
  <c r="H69" i="3"/>
  <c r="G69" i="3"/>
  <c r="F69" i="3"/>
  <c r="D69" i="3"/>
  <c r="C69" i="3"/>
  <c r="A69" i="3"/>
  <c r="AE68" i="3"/>
  <c r="AD68" i="3"/>
  <c r="AB68" i="3"/>
  <c r="AA68" i="3"/>
  <c r="Z68" i="3"/>
  <c r="Y68" i="3"/>
  <c r="X68" i="3"/>
  <c r="W68" i="3"/>
  <c r="V68" i="3"/>
  <c r="U68" i="3"/>
  <c r="S68" i="3"/>
  <c r="R68" i="3"/>
  <c r="Q68" i="3"/>
  <c r="O68" i="3"/>
  <c r="N68" i="3"/>
  <c r="M68" i="3"/>
  <c r="K68" i="3"/>
  <c r="J68" i="3"/>
  <c r="H68" i="3"/>
  <c r="G68" i="3"/>
  <c r="F68" i="3"/>
  <c r="D68" i="3"/>
  <c r="C68" i="3"/>
  <c r="A68" i="3"/>
  <c r="AE67" i="3"/>
  <c r="AD67" i="3"/>
  <c r="AB67" i="3"/>
  <c r="AA67" i="3"/>
  <c r="Z67" i="3"/>
  <c r="Y67" i="3"/>
  <c r="W67" i="3"/>
  <c r="V67" i="3"/>
  <c r="U67" i="3"/>
  <c r="S67" i="3"/>
  <c r="R67" i="3"/>
  <c r="Q67" i="3"/>
  <c r="O67" i="3"/>
  <c r="N67" i="3"/>
  <c r="M67" i="3"/>
  <c r="K67" i="3"/>
  <c r="J67" i="3"/>
  <c r="H67" i="3"/>
  <c r="G67" i="3"/>
  <c r="F67" i="3"/>
  <c r="D67" i="3"/>
  <c r="C67" i="3"/>
  <c r="A67" i="3"/>
  <c r="AE66" i="3"/>
  <c r="AB66" i="3"/>
  <c r="AA66" i="3"/>
  <c r="Z66" i="3"/>
  <c r="Y66" i="3"/>
  <c r="X66" i="3"/>
  <c r="W66" i="3"/>
  <c r="V66" i="3"/>
  <c r="U66" i="3"/>
  <c r="T66" i="3"/>
  <c r="S66" i="3"/>
  <c r="R66" i="3"/>
  <c r="Q66" i="3"/>
  <c r="O66" i="3"/>
  <c r="N66" i="3"/>
  <c r="M66" i="3"/>
  <c r="K66" i="3"/>
  <c r="J66" i="3"/>
  <c r="H66" i="3"/>
  <c r="G66" i="3"/>
  <c r="F66" i="3"/>
  <c r="D66" i="3"/>
  <c r="C66" i="3"/>
  <c r="A66" i="3"/>
  <c r="AE65" i="3"/>
  <c r="AB65" i="3"/>
  <c r="AA65" i="3"/>
  <c r="Z65" i="3"/>
  <c r="Y65" i="3"/>
  <c r="X65" i="3"/>
  <c r="W65" i="3"/>
  <c r="V65" i="3"/>
  <c r="U65" i="3"/>
  <c r="T65" i="3"/>
  <c r="S65" i="3"/>
  <c r="R65" i="3"/>
  <c r="Q65" i="3"/>
  <c r="O65" i="3"/>
  <c r="N65" i="3"/>
  <c r="M65" i="3"/>
  <c r="L65" i="3"/>
  <c r="K65" i="3"/>
  <c r="J65" i="3"/>
  <c r="H65" i="3"/>
  <c r="G65" i="3"/>
  <c r="F65" i="3"/>
  <c r="D65" i="3"/>
  <c r="C65" i="3"/>
  <c r="A65" i="3"/>
  <c r="AE64" i="3"/>
  <c r="AD64" i="3"/>
  <c r="AB64" i="3"/>
  <c r="AA64" i="3"/>
  <c r="Z64" i="3"/>
  <c r="Y64" i="3"/>
  <c r="X64" i="3"/>
  <c r="W64" i="3"/>
  <c r="V64" i="3"/>
  <c r="U64" i="3"/>
  <c r="T64" i="3"/>
  <c r="S64" i="3"/>
  <c r="R64" i="3"/>
  <c r="Q64" i="3"/>
  <c r="O64" i="3"/>
  <c r="N64" i="3"/>
  <c r="M64" i="3"/>
  <c r="K64" i="3"/>
  <c r="J64" i="3"/>
  <c r="H64" i="3"/>
  <c r="G64" i="3"/>
  <c r="F64" i="3"/>
  <c r="D64" i="3"/>
  <c r="C64" i="3"/>
  <c r="A64" i="3"/>
  <c r="AE63" i="3"/>
  <c r="AB63" i="3"/>
  <c r="AA63" i="3"/>
  <c r="Z63" i="3"/>
  <c r="Y63" i="3"/>
  <c r="X63" i="3"/>
  <c r="W63" i="3"/>
  <c r="V63" i="3"/>
  <c r="U63" i="3"/>
  <c r="S63" i="3"/>
  <c r="R63" i="3"/>
  <c r="Q63" i="3"/>
  <c r="O63" i="3"/>
  <c r="N63" i="3"/>
  <c r="M63" i="3"/>
  <c r="K63" i="3"/>
  <c r="J63" i="3"/>
  <c r="H63" i="3"/>
  <c r="G63" i="3"/>
  <c r="F63" i="3"/>
  <c r="D63" i="3"/>
  <c r="C63" i="3"/>
  <c r="A63" i="3"/>
  <c r="AE62" i="3"/>
  <c r="AB62" i="3"/>
  <c r="AA62" i="3"/>
  <c r="Z62" i="3"/>
  <c r="Y62" i="3"/>
  <c r="X62" i="3"/>
  <c r="W62" i="3"/>
  <c r="V62" i="3"/>
  <c r="U62" i="3"/>
  <c r="S62" i="3"/>
  <c r="R62" i="3"/>
  <c r="Q62" i="3"/>
  <c r="O62" i="3"/>
  <c r="N62" i="3"/>
  <c r="M62" i="3"/>
  <c r="K62" i="3"/>
  <c r="J62" i="3"/>
  <c r="H62" i="3"/>
  <c r="G62" i="3"/>
  <c r="F62" i="3"/>
  <c r="D62" i="3"/>
  <c r="C62" i="3"/>
  <c r="A62" i="3"/>
  <c r="AE61" i="3"/>
  <c r="AC61" i="3"/>
  <c r="AB61" i="3"/>
  <c r="AA61" i="3"/>
  <c r="Z61" i="3"/>
  <c r="Y61" i="3"/>
  <c r="X61" i="3"/>
  <c r="W61" i="3"/>
  <c r="V61" i="3"/>
  <c r="U61" i="3"/>
  <c r="T61" i="3"/>
  <c r="S61" i="3"/>
  <c r="R61" i="3"/>
  <c r="Q61" i="3"/>
  <c r="O61" i="3"/>
  <c r="N61" i="3"/>
  <c r="M61" i="3"/>
  <c r="K61" i="3"/>
  <c r="J61" i="3"/>
  <c r="H61" i="3"/>
  <c r="G61" i="3"/>
  <c r="F61" i="3"/>
  <c r="D61" i="3"/>
  <c r="C61" i="3"/>
  <c r="A61" i="3"/>
  <c r="AE60" i="3"/>
  <c r="AD60" i="3"/>
  <c r="AC60" i="3"/>
  <c r="AB60" i="3"/>
  <c r="AA60" i="3"/>
  <c r="Z60" i="3"/>
  <c r="Y60" i="3"/>
  <c r="X60" i="3"/>
  <c r="W60" i="3"/>
  <c r="V60" i="3"/>
  <c r="U60" i="3"/>
  <c r="T60" i="3"/>
  <c r="S60" i="3"/>
  <c r="R60" i="3"/>
  <c r="Q60" i="3"/>
  <c r="O60" i="3"/>
  <c r="N60" i="3"/>
  <c r="M60" i="3"/>
  <c r="K60" i="3"/>
  <c r="J60" i="3"/>
  <c r="H60" i="3"/>
  <c r="G60" i="3"/>
  <c r="F60" i="3"/>
  <c r="D60" i="3"/>
  <c r="C60" i="3"/>
  <c r="A60" i="3"/>
  <c r="AE59" i="3"/>
  <c r="AD59" i="3"/>
  <c r="AB59" i="3"/>
  <c r="AA59" i="3"/>
  <c r="Z59" i="3"/>
  <c r="Y59" i="3"/>
  <c r="X59" i="3"/>
  <c r="W59" i="3"/>
  <c r="V59" i="3"/>
  <c r="U59" i="3"/>
  <c r="S59" i="3"/>
  <c r="R59" i="3"/>
  <c r="Q59" i="3"/>
  <c r="O59" i="3"/>
  <c r="N59" i="3"/>
  <c r="M59" i="3"/>
  <c r="K59" i="3"/>
  <c r="J59" i="3"/>
  <c r="H59" i="3"/>
  <c r="G59" i="3"/>
  <c r="F59" i="3"/>
  <c r="D59" i="3"/>
  <c r="C59" i="3"/>
  <c r="A59" i="3"/>
  <c r="AE58" i="3"/>
  <c r="AD58" i="3"/>
  <c r="AB58" i="3"/>
  <c r="AA58" i="3"/>
  <c r="Z58" i="3"/>
  <c r="Y58" i="3"/>
  <c r="X58" i="3"/>
  <c r="W58" i="3"/>
  <c r="V58" i="3"/>
  <c r="U58" i="3"/>
  <c r="S58" i="3"/>
  <c r="R58" i="3"/>
  <c r="Q58" i="3"/>
  <c r="O58" i="3"/>
  <c r="N58" i="3"/>
  <c r="M58" i="3"/>
  <c r="K58" i="3"/>
  <c r="J58" i="3"/>
  <c r="H58" i="3"/>
  <c r="G58" i="3"/>
  <c r="F58" i="3"/>
  <c r="D58" i="3"/>
  <c r="C58" i="3"/>
  <c r="A58" i="3"/>
  <c r="AE57" i="3"/>
  <c r="AB57" i="3"/>
  <c r="AA57" i="3"/>
  <c r="Z57" i="3"/>
  <c r="Y57" i="3"/>
  <c r="W57" i="3"/>
  <c r="V57" i="3"/>
  <c r="U57" i="3"/>
  <c r="S57" i="3"/>
  <c r="R57" i="3"/>
  <c r="Q57" i="3"/>
  <c r="O57" i="3"/>
  <c r="N57" i="3"/>
  <c r="M57" i="3"/>
  <c r="K57" i="3"/>
  <c r="J57" i="3"/>
  <c r="H57" i="3"/>
  <c r="G57" i="3"/>
  <c r="F57" i="3"/>
  <c r="D57" i="3"/>
  <c r="C57" i="3"/>
  <c r="A57" i="3"/>
  <c r="AE56" i="3"/>
  <c r="AB56" i="3"/>
  <c r="AA56" i="3"/>
  <c r="Z56" i="3"/>
  <c r="Y56" i="3"/>
  <c r="X56" i="3"/>
  <c r="W56" i="3"/>
  <c r="V56" i="3"/>
  <c r="U56" i="3"/>
  <c r="S56" i="3"/>
  <c r="R56" i="3"/>
  <c r="Q56" i="3"/>
  <c r="O56" i="3"/>
  <c r="N56" i="3"/>
  <c r="M56" i="3"/>
  <c r="K56" i="3"/>
  <c r="J56" i="3"/>
  <c r="H56" i="3"/>
  <c r="G56" i="3"/>
  <c r="F56" i="3"/>
  <c r="D56" i="3"/>
  <c r="C56" i="3"/>
  <c r="A56" i="3"/>
  <c r="AE55" i="3"/>
  <c r="AB55" i="3"/>
  <c r="AA55" i="3"/>
  <c r="Z55" i="3"/>
  <c r="Y55" i="3"/>
  <c r="X55" i="3"/>
  <c r="W55" i="3"/>
  <c r="V55" i="3"/>
  <c r="U55" i="3"/>
  <c r="S55" i="3"/>
  <c r="R55" i="3"/>
  <c r="Q55" i="3"/>
  <c r="O55" i="3"/>
  <c r="N55" i="3"/>
  <c r="M55" i="3"/>
  <c r="K55" i="3"/>
  <c r="J55" i="3"/>
  <c r="H55" i="3"/>
  <c r="G55" i="3"/>
  <c r="F55" i="3"/>
  <c r="D55" i="3"/>
  <c r="C55" i="3"/>
  <c r="A55" i="3"/>
  <c r="AE54" i="3"/>
  <c r="AD54" i="3"/>
  <c r="AB54" i="3"/>
  <c r="AA54" i="3"/>
  <c r="Z54" i="3"/>
  <c r="Y54" i="3"/>
  <c r="X54" i="3"/>
  <c r="W54" i="3"/>
  <c r="V54" i="3"/>
  <c r="U54" i="3"/>
  <c r="T54" i="3"/>
  <c r="S54" i="3"/>
  <c r="R54" i="3"/>
  <c r="Q54" i="3"/>
  <c r="O54" i="3"/>
  <c r="N54" i="3"/>
  <c r="M54" i="3"/>
  <c r="K54" i="3"/>
  <c r="J54" i="3"/>
  <c r="H54" i="3"/>
  <c r="G54" i="3"/>
  <c r="F54" i="3"/>
  <c r="D54" i="3"/>
  <c r="C54" i="3"/>
  <c r="A54" i="3"/>
  <c r="AE53" i="3"/>
  <c r="AB53" i="3"/>
  <c r="AA53" i="3"/>
  <c r="Z53" i="3"/>
  <c r="Y53" i="3"/>
  <c r="X53" i="3"/>
  <c r="W53" i="3"/>
  <c r="V53" i="3"/>
  <c r="U53" i="3"/>
  <c r="S53" i="3"/>
  <c r="R53" i="3"/>
  <c r="Q53" i="3"/>
  <c r="O53" i="3"/>
  <c r="N53" i="3"/>
  <c r="M53" i="3"/>
  <c r="K53" i="3"/>
  <c r="J53" i="3"/>
  <c r="H53" i="3"/>
  <c r="G53" i="3"/>
  <c r="F53" i="3"/>
  <c r="D53" i="3"/>
  <c r="C53" i="3"/>
  <c r="A53" i="3"/>
  <c r="AE52" i="3"/>
  <c r="AB52" i="3"/>
  <c r="AA52" i="3"/>
  <c r="Z52" i="3"/>
  <c r="Y52" i="3"/>
  <c r="X52" i="3"/>
  <c r="W52" i="3"/>
  <c r="V52" i="3"/>
  <c r="U52" i="3"/>
  <c r="S52" i="3"/>
  <c r="R52" i="3"/>
  <c r="Q52" i="3"/>
  <c r="O52" i="3"/>
  <c r="N52" i="3"/>
  <c r="M52" i="3"/>
  <c r="K52" i="3"/>
  <c r="J52" i="3"/>
  <c r="H52" i="3"/>
  <c r="G52" i="3"/>
  <c r="F52" i="3"/>
  <c r="D52" i="3"/>
  <c r="C52" i="3"/>
  <c r="A52" i="3"/>
  <c r="AE51" i="3"/>
  <c r="AD51" i="3"/>
  <c r="AB51" i="3"/>
  <c r="AA51" i="3"/>
  <c r="Z51" i="3"/>
  <c r="Y51" i="3"/>
  <c r="X51" i="3"/>
  <c r="W51" i="3"/>
  <c r="V51" i="3"/>
  <c r="U51" i="3"/>
  <c r="S51" i="3"/>
  <c r="R51" i="3"/>
  <c r="Q51" i="3"/>
  <c r="O51" i="3"/>
  <c r="N51" i="3"/>
  <c r="M51" i="3"/>
  <c r="K51" i="3"/>
  <c r="J51" i="3"/>
  <c r="H51" i="3"/>
  <c r="G51" i="3"/>
  <c r="F51" i="3"/>
  <c r="D51" i="3"/>
  <c r="C51" i="3"/>
  <c r="A51" i="3"/>
  <c r="AE50" i="3"/>
  <c r="AB50" i="3"/>
  <c r="AA50" i="3"/>
  <c r="Z50" i="3"/>
  <c r="Y50" i="3"/>
  <c r="X50" i="3"/>
  <c r="W50" i="3"/>
  <c r="V50" i="3"/>
  <c r="U50" i="3"/>
  <c r="S50" i="3"/>
  <c r="R50" i="3"/>
  <c r="Q50" i="3"/>
  <c r="O50" i="3"/>
  <c r="N50" i="3"/>
  <c r="M50" i="3"/>
  <c r="K50" i="3"/>
  <c r="J50" i="3"/>
  <c r="H50" i="3"/>
  <c r="G50" i="3"/>
  <c r="F50" i="3"/>
  <c r="D50" i="3"/>
  <c r="C50" i="3"/>
  <c r="A50" i="3"/>
  <c r="AE49" i="3"/>
  <c r="AD49" i="3"/>
  <c r="AB49" i="3"/>
  <c r="AA49" i="3"/>
  <c r="Z49" i="3"/>
  <c r="Y49" i="3"/>
  <c r="X49" i="3"/>
  <c r="W49" i="3"/>
  <c r="V49" i="3"/>
  <c r="U49" i="3"/>
  <c r="S49" i="3"/>
  <c r="R49" i="3"/>
  <c r="Q49" i="3"/>
  <c r="O49" i="3"/>
  <c r="N49" i="3"/>
  <c r="M49" i="3"/>
  <c r="K49" i="3"/>
  <c r="J49" i="3"/>
  <c r="H49" i="3"/>
  <c r="G49" i="3"/>
  <c r="F49" i="3"/>
  <c r="D49" i="3"/>
  <c r="C49" i="3"/>
  <c r="A49" i="3"/>
  <c r="AE48" i="3"/>
  <c r="AD48" i="3"/>
  <c r="AB48" i="3"/>
  <c r="AA48" i="3"/>
  <c r="Z48" i="3"/>
  <c r="Y48" i="3"/>
  <c r="W48" i="3"/>
  <c r="V48" i="3"/>
  <c r="U48" i="3"/>
  <c r="S48" i="3"/>
  <c r="R48" i="3"/>
  <c r="Q48" i="3"/>
  <c r="O48" i="3"/>
  <c r="N48" i="3"/>
  <c r="M48" i="3"/>
  <c r="K48" i="3"/>
  <c r="J48" i="3"/>
  <c r="H48" i="3"/>
  <c r="G48" i="3"/>
  <c r="F48" i="3"/>
  <c r="D48" i="3"/>
  <c r="C48" i="3"/>
  <c r="A48" i="3"/>
  <c r="AE47" i="3"/>
  <c r="AB47" i="3"/>
  <c r="AA47" i="3"/>
  <c r="Z47" i="3"/>
  <c r="Y47" i="3"/>
  <c r="X47" i="3"/>
  <c r="W47" i="3"/>
  <c r="V47" i="3"/>
  <c r="U47" i="3"/>
  <c r="S47" i="3"/>
  <c r="R47" i="3"/>
  <c r="Q47" i="3"/>
  <c r="O47" i="3"/>
  <c r="N47" i="3"/>
  <c r="M47" i="3"/>
  <c r="L47" i="3"/>
  <c r="K47" i="3"/>
  <c r="J47" i="3"/>
  <c r="H47" i="3"/>
  <c r="G47" i="3"/>
  <c r="F47" i="3"/>
  <c r="D47" i="3"/>
  <c r="C47" i="3"/>
  <c r="A47" i="3"/>
  <c r="AE46" i="3"/>
  <c r="AB46" i="3"/>
  <c r="AA46" i="3"/>
  <c r="Z46" i="3"/>
  <c r="Y46" i="3"/>
  <c r="X46" i="3"/>
  <c r="W46" i="3"/>
  <c r="V46" i="3"/>
  <c r="U46" i="3"/>
  <c r="S46" i="3"/>
  <c r="R46" i="3"/>
  <c r="Q46" i="3"/>
  <c r="O46" i="3"/>
  <c r="N46" i="3"/>
  <c r="M46" i="3"/>
  <c r="K46" i="3"/>
  <c r="J46" i="3"/>
  <c r="H46" i="3"/>
  <c r="G46" i="3"/>
  <c r="F46" i="3"/>
  <c r="D46" i="3"/>
  <c r="C46" i="3"/>
  <c r="A46" i="3"/>
  <c r="AE45" i="3"/>
  <c r="AD45" i="3"/>
  <c r="AB45" i="3"/>
  <c r="AA45" i="3"/>
  <c r="Z45" i="3"/>
  <c r="Y45" i="3"/>
  <c r="X45" i="3"/>
  <c r="W45" i="3"/>
  <c r="V45" i="3"/>
  <c r="U45" i="3"/>
  <c r="T45" i="3"/>
  <c r="S45" i="3"/>
  <c r="R45" i="3"/>
  <c r="Q45" i="3"/>
  <c r="O45" i="3"/>
  <c r="N45" i="3"/>
  <c r="M45" i="3"/>
  <c r="K45" i="3"/>
  <c r="J45" i="3"/>
  <c r="H45" i="3"/>
  <c r="G45" i="3"/>
  <c r="F45" i="3"/>
  <c r="D45" i="3"/>
  <c r="C45" i="3"/>
  <c r="A45" i="3"/>
  <c r="AE44" i="3"/>
  <c r="AB44" i="3"/>
  <c r="AA44" i="3"/>
  <c r="Z44" i="3"/>
  <c r="Y44" i="3"/>
  <c r="X44" i="3"/>
  <c r="W44" i="3"/>
  <c r="V44" i="3"/>
  <c r="U44" i="3"/>
  <c r="S44" i="3"/>
  <c r="R44" i="3"/>
  <c r="Q44" i="3"/>
  <c r="O44" i="3"/>
  <c r="N44" i="3"/>
  <c r="M44" i="3"/>
  <c r="K44" i="3"/>
  <c r="J44" i="3"/>
  <c r="H44" i="3"/>
  <c r="G44" i="3"/>
  <c r="F44" i="3"/>
  <c r="D44" i="3"/>
  <c r="C44" i="3"/>
  <c r="A44" i="3"/>
  <c r="AE43" i="3"/>
  <c r="AB43" i="3"/>
  <c r="AA43" i="3"/>
  <c r="Z43" i="3"/>
  <c r="Y43" i="3"/>
  <c r="X43" i="3"/>
  <c r="W43" i="3"/>
  <c r="V43" i="3"/>
  <c r="U43" i="3"/>
  <c r="S43" i="3"/>
  <c r="R43" i="3"/>
  <c r="Q43" i="3"/>
  <c r="O43" i="3"/>
  <c r="N43" i="3"/>
  <c r="M43" i="3"/>
  <c r="K43" i="3"/>
  <c r="J43" i="3"/>
  <c r="H43" i="3"/>
  <c r="G43" i="3"/>
  <c r="F43" i="3"/>
  <c r="D43" i="3"/>
  <c r="C43" i="3"/>
  <c r="A43" i="3"/>
  <c r="AE42" i="3"/>
  <c r="AD42" i="3"/>
  <c r="AB42" i="3"/>
  <c r="AA42" i="3"/>
  <c r="Z42" i="3"/>
  <c r="Y42" i="3"/>
  <c r="X42" i="3"/>
  <c r="W42" i="3"/>
  <c r="V42" i="3"/>
  <c r="U42" i="3"/>
  <c r="S42" i="3"/>
  <c r="R42" i="3"/>
  <c r="Q42" i="3"/>
  <c r="O42" i="3"/>
  <c r="N42" i="3"/>
  <c r="M42" i="3"/>
  <c r="K42" i="3"/>
  <c r="J42" i="3"/>
  <c r="H42" i="3"/>
  <c r="G42" i="3"/>
  <c r="F42" i="3"/>
  <c r="D42" i="3"/>
  <c r="C42" i="3"/>
  <c r="A42" i="3"/>
  <c r="AE41" i="3"/>
  <c r="AD41" i="3"/>
  <c r="AB41" i="3"/>
  <c r="AA41" i="3"/>
  <c r="Z41" i="3"/>
  <c r="Y41" i="3"/>
  <c r="X41" i="3"/>
  <c r="W41" i="3"/>
  <c r="V41" i="3"/>
  <c r="U41" i="3"/>
  <c r="S41" i="3"/>
  <c r="R41" i="3"/>
  <c r="Q41" i="3"/>
  <c r="O41" i="3"/>
  <c r="N41" i="3"/>
  <c r="M41" i="3"/>
  <c r="K41" i="3"/>
  <c r="J41" i="3"/>
  <c r="H41" i="3"/>
  <c r="G41" i="3"/>
  <c r="F41" i="3"/>
  <c r="D41" i="3"/>
  <c r="C41" i="3"/>
  <c r="A41" i="3"/>
  <c r="AE40" i="3"/>
  <c r="AD40" i="3"/>
  <c r="AB40" i="3"/>
  <c r="AA40" i="3"/>
  <c r="Z40" i="3"/>
  <c r="Y40" i="3"/>
  <c r="X40" i="3"/>
  <c r="W40" i="3"/>
  <c r="V40" i="3"/>
  <c r="U40" i="3"/>
  <c r="T40" i="3"/>
  <c r="S40" i="3"/>
  <c r="R40" i="3"/>
  <c r="Q40" i="3"/>
  <c r="O40" i="3"/>
  <c r="N40" i="3"/>
  <c r="M40" i="3"/>
  <c r="K40" i="3"/>
  <c r="J40" i="3"/>
  <c r="H40" i="3"/>
  <c r="G40" i="3"/>
  <c r="F40" i="3"/>
  <c r="D40" i="3"/>
  <c r="C40" i="3"/>
  <c r="A40" i="3"/>
  <c r="AE39" i="3"/>
  <c r="AD39" i="3"/>
  <c r="AB39" i="3"/>
  <c r="AA39" i="3"/>
  <c r="Z39" i="3"/>
  <c r="Y39" i="3"/>
  <c r="X39" i="3"/>
  <c r="W39" i="3"/>
  <c r="V39" i="3"/>
  <c r="U39" i="3"/>
  <c r="S39" i="3"/>
  <c r="R39" i="3"/>
  <c r="Q39" i="3"/>
  <c r="O39" i="3"/>
  <c r="N39" i="3"/>
  <c r="M39" i="3"/>
  <c r="K39" i="3"/>
  <c r="J39" i="3"/>
  <c r="H39" i="3"/>
  <c r="G39" i="3"/>
  <c r="F39" i="3"/>
  <c r="D39" i="3"/>
  <c r="C39" i="3"/>
  <c r="A39" i="3"/>
  <c r="AE38" i="3"/>
  <c r="AB38" i="3"/>
  <c r="AA38" i="3"/>
  <c r="Z38" i="3"/>
  <c r="Y38" i="3"/>
  <c r="X38" i="3"/>
  <c r="W38" i="3"/>
  <c r="V38" i="3"/>
  <c r="U38" i="3"/>
  <c r="S38" i="3"/>
  <c r="R38" i="3"/>
  <c r="Q38" i="3"/>
  <c r="O38" i="3"/>
  <c r="N38" i="3"/>
  <c r="M38" i="3"/>
  <c r="K38" i="3"/>
  <c r="J38" i="3"/>
  <c r="H38" i="3"/>
  <c r="G38" i="3"/>
  <c r="F38" i="3"/>
  <c r="D38" i="3"/>
  <c r="C38" i="3"/>
  <c r="A38" i="3"/>
  <c r="AE37" i="3"/>
  <c r="AB37" i="3"/>
  <c r="AA37" i="3"/>
  <c r="Z37" i="3"/>
  <c r="Y37" i="3"/>
  <c r="X37" i="3"/>
  <c r="W37" i="3"/>
  <c r="V37" i="3"/>
  <c r="U37" i="3"/>
  <c r="S37" i="3"/>
  <c r="R37" i="3"/>
  <c r="Q37" i="3"/>
  <c r="O37" i="3"/>
  <c r="N37" i="3"/>
  <c r="M37" i="3"/>
  <c r="K37" i="3"/>
  <c r="J37" i="3"/>
  <c r="H37" i="3"/>
  <c r="G37" i="3"/>
  <c r="F37" i="3"/>
  <c r="D37" i="3"/>
  <c r="C37" i="3"/>
  <c r="A37" i="3"/>
  <c r="AE36" i="3"/>
  <c r="AD36" i="3"/>
  <c r="AC36" i="3"/>
  <c r="AB36" i="3"/>
  <c r="AA36" i="3"/>
  <c r="Z36" i="3"/>
  <c r="Y36" i="3"/>
  <c r="X36" i="3"/>
  <c r="W36" i="3"/>
  <c r="V36" i="3"/>
  <c r="U36" i="3"/>
  <c r="S36" i="3"/>
  <c r="R36" i="3"/>
  <c r="Q36" i="3"/>
  <c r="O36" i="3"/>
  <c r="N36" i="3"/>
  <c r="M36" i="3"/>
  <c r="K36" i="3"/>
  <c r="J36" i="3"/>
  <c r="H36" i="3"/>
  <c r="G36" i="3"/>
  <c r="F36" i="3"/>
  <c r="D36" i="3"/>
  <c r="C36" i="3"/>
  <c r="A36" i="3"/>
  <c r="AE35" i="3"/>
  <c r="AD35" i="3"/>
  <c r="AB35" i="3"/>
  <c r="AA35" i="3"/>
  <c r="Z35" i="3"/>
  <c r="Y35" i="3"/>
  <c r="X35" i="3"/>
  <c r="W35" i="3"/>
  <c r="V35" i="3"/>
  <c r="U35" i="3"/>
  <c r="S35" i="3"/>
  <c r="R35" i="3"/>
  <c r="Q35" i="3"/>
  <c r="O35" i="3"/>
  <c r="N35" i="3"/>
  <c r="M35" i="3"/>
  <c r="K35" i="3"/>
  <c r="J35" i="3"/>
  <c r="H35" i="3"/>
  <c r="G35" i="3"/>
  <c r="F35" i="3"/>
  <c r="D35" i="3"/>
  <c r="C35" i="3"/>
  <c r="A35" i="3"/>
  <c r="AE34" i="3"/>
  <c r="AD34" i="3"/>
  <c r="AB34" i="3"/>
  <c r="AA34" i="3"/>
  <c r="Z34" i="3"/>
  <c r="Y34" i="3"/>
  <c r="X34" i="3"/>
  <c r="W34" i="3"/>
  <c r="V34" i="3"/>
  <c r="U34" i="3"/>
  <c r="S34" i="3"/>
  <c r="R34" i="3"/>
  <c r="Q34" i="3"/>
  <c r="O34" i="3"/>
  <c r="N34" i="3"/>
  <c r="M34" i="3"/>
  <c r="K34" i="3"/>
  <c r="J34" i="3"/>
  <c r="H34" i="3"/>
  <c r="G34" i="3"/>
  <c r="F34" i="3"/>
  <c r="D34" i="3"/>
  <c r="C34" i="3"/>
  <c r="A34" i="3"/>
  <c r="AE33" i="3"/>
  <c r="AD33" i="3"/>
  <c r="AC33" i="3"/>
  <c r="AB33" i="3"/>
  <c r="AA33" i="3"/>
  <c r="Z33" i="3"/>
  <c r="Y33" i="3"/>
  <c r="W33" i="3"/>
  <c r="V33" i="3"/>
  <c r="U33" i="3"/>
  <c r="T33" i="3"/>
  <c r="S33" i="3"/>
  <c r="R33" i="3"/>
  <c r="Q33" i="3"/>
  <c r="O33" i="3"/>
  <c r="N33" i="3"/>
  <c r="M33" i="3"/>
  <c r="L33" i="3"/>
  <c r="K33" i="3"/>
  <c r="J33" i="3"/>
  <c r="H33" i="3"/>
  <c r="G33" i="3"/>
  <c r="F33" i="3"/>
  <c r="D33" i="3"/>
  <c r="C33" i="3"/>
  <c r="A33" i="3"/>
  <c r="AE32" i="3"/>
  <c r="AB32" i="3"/>
  <c r="AA32" i="3"/>
  <c r="Z32" i="3"/>
  <c r="Y32" i="3"/>
  <c r="X32" i="3"/>
  <c r="W32" i="3"/>
  <c r="V32" i="3"/>
  <c r="U32" i="3"/>
  <c r="T32" i="3"/>
  <c r="S32" i="3"/>
  <c r="R32" i="3"/>
  <c r="Q32" i="3"/>
  <c r="O32" i="3"/>
  <c r="N32" i="3"/>
  <c r="M32" i="3"/>
  <c r="K32" i="3"/>
  <c r="J32" i="3"/>
  <c r="H32" i="3"/>
  <c r="G32" i="3"/>
  <c r="F32" i="3"/>
  <c r="D32" i="3"/>
  <c r="C32" i="3"/>
  <c r="A32" i="3"/>
  <c r="AE31" i="3"/>
  <c r="AD31" i="3"/>
  <c r="AB31" i="3"/>
  <c r="AA31" i="3"/>
  <c r="Z31" i="3"/>
  <c r="Y31" i="3"/>
  <c r="X31" i="3"/>
  <c r="W31" i="3"/>
  <c r="V31" i="3"/>
  <c r="U31" i="3"/>
  <c r="S31" i="3"/>
  <c r="R31" i="3"/>
  <c r="Q31" i="3"/>
  <c r="O31" i="3"/>
  <c r="N31" i="3"/>
  <c r="M31" i="3"/>
  <c r="K31" i="3"/>
  <c r="J31" i="3"/>
  <c r="H31" i="3"/>
  <c r="G31" i="3"/>
  <c r="F31" i="3"/>
  <c r="D31" i="3"/>
  <c r="C31" i="3"/>
  <c r="A31" i="3"/>
  <c r="AE30" i="3"/>
  <c r="AB30" i="3"/>
  <c r="AA30" i="3"/>
  <c r="Z30" i="3"/>
  <c r="Y30" i="3"/>
  <c r="X30" i="3"/>
  <c r="W30" i="3"/>
  <c r="V30" i="3"/>
  <c r="U30" i="3"/>
  <c r="S30" i="3"/>
  <c r="R30" i="3"/>
  <c r="Q30" i="3"/>
  <c r="O30" i="3"/>
  <c r="N30" i="3"/>
  <c r="M30" i="3"/>
  <c r="K30" i="3"/>
  <c r="J30" i="3"/>
  <c r="H30" i="3"/>
  <c r="G30" i="3"/>
  <c r="F30" i="3"/>
  <c r="D30" i="3"/>
  <c r="C30" i="3"/>
  <c r="A30" i="3"/>
  <c r="AE29" i="3"/>
  <c r="AC29" i="3"/>
  <c r="AB29" i="3"/>
  <c r="AA29" i="3"/>
  <c r="Z29" i="3"/>
  <c r="Y29" i="3"/>
  <c r="X29" i="3"/>
  <c r="W29" i="3"/>
  <c r="V29" i="3"/>
  <c r="U29" i="3"/>
  <c r="T29" i="3"/>
  <c r="S29" i="3"/>
  <c r="R29" i="3"/>
  <c r="Q29" i="3"/>
  <c r="O29" i="3"/>
  <c r="N29" i="3"/>
  <c r="M29" i="3"/>
  <c r="K29" i="3"/>
  <c r="J29" i="3"/>
  <c r="H29" i="3"/>
  <c r="G29" i="3"/>
  <c r="F29" i="3"/>
  <c r="D29" i="3"/>
  <c r="C29" i="3"/>
  <c r="A29" i="3"/>
  <c r="AE28" i="3"/>
  <c r="AD28" i="3"/>
  <c r="AB28" i="3"/>
  <c r="AA28" i="3"/>
  <c r="Z28" i="3"/>
  <c r="Y28" i="3"/>
  <c r="X28" i="3"/>
  <c r="W28" i="3"/>
  <c r="V28" i="3"/>
  <c r="U28" i="3"/>
  <c r="S28" i="3"/>
  <c r="R28" i="3"/>
  <c r="Q28" i="3"/>
  <c r="O28" i="3"/>
  <c r="N28" i="3"/>
  <c r="M28" i="3"/>
  <c r="K28" i="3"/>
  <c r="J28" i="3"/>
  <c r="H28" i="3"/>
  <c r="G28" i="3"/>
  <c r="F28" i="3"/>
  <c r="D28" i="3"/>
  <c r="C28" i="3"/>
  <c r="A28" i="3"/>
  <c r="AE27" i="3"/>
  <c r="AD27" i="3"/>
  <c r="AC27" i="3"/>
  <c r="AB27" i="3"/>
  <c r="AA27" i="3"/>
  <c r="Z27" i="3"/>
  <c r="Y27" i="3"/>
  <c r="X27" i="3"/>
  <c r="W27" i="3"/>
  <c r="V27" i="3"/>
  <c r="U27" i="3"/>
  <c r="T27" i="3"/>
  <c r="S27" i="3"/>
  <c r="R27" i="3"/>
  <c r="Q27" i="3"/>
  <c r="O27" i="3"/>
  <c r="N27" i="3"/>
  <c r="M27" i="3"/>
  <c r="K27" i="3"/>
  <c r="J27" i="3"/>
  <c r="H27" i="3"/>
  <c r="G27" i="3"/>
  <c r="F27" i="3"/>
  <c r="D27" i="3"/>
  <c r="C27" i="3"/>
  <c r="A27" i="3"/>
  <c r="AE26" i="3"/>
  <c r="AD26" i="3"/>
  <c r="AB26" i="3"/>
  <c r="AA26" i="3"/>
  <c r="Z26" i="3"/>
  <c r="Y26" i="3"/>
  <c r="X26" i="3"/>
  <c r="W26" i="3"/>
  <c r="V26" i="3"/>
  <c r="U26" i="3"/>
  <c r="S26" i="3"/>
  <c r="R26" i="3"/>
  <c r="Q26" i="3"/>
  <c r="O26" i="3"/>
  <c r="N26" i="3"/>
  <c r="M26" i="3"/>
  <c r="K26" i="3"/>
  <c r="J26" i="3"/>
  <c r="H26" i="3"/>
  <c r="G26" i="3"/>
  <c r="F26" i="3"/>
  <c r="D26" i="3"/>
  <c r="C26" i="3"/>
  <c r="A26" i="3"/>
  <c r="AE25" i="3"/>
  <c r="AB25" i="3"/>
  <c r="AA25" i="3"/>
  <c r="Z25" i="3"/>
  <c r="Y25" i="3"/>
  <c r="X25" i="3"/>
  <c r="W25" i="3"/>
  <c r="V25" i="3"/>
  <c r="U25" i="3"/>
  <c r="S25" i="3"/>
  <c r="R25" i="3"/>
  <c r="Q25" i="3"/>
  <c r="O25" i="3"/>
  <c r="N25" i="3"/>
  <c r="M25" i="3"/>
  <c r="L25" i="3"/>
  <c r="K25" i="3"/>
  <c r="J25" i="3"/>
  <c r="H25" i="3"/>
  <c r="G25" i="3"/>
  <c r="F25" i="3"/>
  <c r="D25" i="3"/>
  <c r="C25" i="3"/>
  <c r="A25" i="3"/>
  <c r="AE24" i="3"/>
  <c r="AB24" i="3"/>
  <c r="AA24" i="3"/>
  <c r="Z24" i="3"/>
  <c r="Y24" i="3"/>
  <c r="X24" i="3"/>
  <c r="W24" i="3"/>
  <c r="V24" i="3"/>
  <c r="U24" i="3"/>
  <c r="S24" i="3"/>
  <c r="R24" i="3"/>
  <c r="Q24" i="3"/>
  <c r="O24" i="3"/>
  <c r="N24" i="3"/>
  <c r="M24" i="3"/>
  <c r="K24" i="3"/>
  <c r="J24" i="3"/>
  <c r="H24" i="3"/>
  <c r="G24" i="3"/>
  <c r="F24" i="3"/>
  <c r="D24" i="3"/>
  <c r="C24" i="3"/>
  <c r="A24" i="3"/>
  <c r="AE23" i="3"/>
  <c r="AB23" i="3"/>
  <c r="AA23" i="3"/>
  <c r="Z23" i="3"/>
  <c r="Y23" i="3"/>
  <c r="X23" i="3"/>
  <c r="W23" i="3"/>
  <c r="V23" i="3"/>
  <c r="U23" i="3"/>
  <c r="S23" i="3"/>
  <c r="R23" i="3"/>
  <c r="Q23" i="3"/>
  <c r="P23" i="3"/>
  <c r="O23" i="3"/>
  <c r="N23" i="3"/>
  <c r="M23" i="3"/>
  <c r="L23" i="3"/>
  <c r="K23" i="3"/>
  <c r="J23" i="3"/>
  <c r="H23" i="3"/>
  <c r="G23" i="3"/>
  <c r="F23" i="3"/>
  <c r="D23" i="3"/>
  <c r="C23" i="3"/>
  <c r="A23" i="3"/>
  <c r="AE22" i="3"/>
  <c r="AB22" i="3"/>
  <c r="AA22" i="3"/>
  <c r="Z22" i="3"/>
  <c r="Y22" i="3"/>
  <c r="X22" i="3"/>
  <c r="W22" i="3"/>
  <c r="V22" i="3"/>
  <c r="U22" i="3"/>
  <c r="T22" i="3"/>
  <c r="S22" i="3"/>
  <c r="R22" i="3"/>
  <c r="Q22" i="3"/>
  <c r="O22" i="3"/>
  <c r="N22" i="3"/>
  <c r="M22" i="3"/>
  <c r="K22" i="3"/>
  <c r="J22" i="3"/>
  <c r="H22" i="3"/>
  <c r="G22" i="3"/>
  <c r="F22" i="3"/>
  <c r="D22" i="3"/>
  <c r="C22" i="3"/>
  <c r="A22" i="3"/>
  <c r="AE21" i="3"/>
  <c r="AB21" i="3"/>
  <c r="AA21" i="3"/>
  <c r="Z21" i="3"/>
  <c r="Y21" i="3"/>
  <c r="X21" i="3"/>
  <c r="W21" i="3"/>
  <c r="V21" i="3"/>
  <c r="U21" i="3"/>
  <c r="T21" i="3"/>
  <c r="S21" i="3"/>
  <c r="R21" i="3"/>
  <c r="Q21" i="3"/>
  <c r="O21" i="3"/>
  <c r="N21" i="3"/>
  <c r="M21" i="3"/>
  <c r="K21" i="3"/>
  <c r="J21" i="3"/>
  <c r="H21" i="3"/>
  <c r="G21" i="3"/>
  <c r="F21" i="3"/>
  <c r="D21" i="3"/>
  <c r="C21" i="3"/>
  <c r="A21" i="3"/>
  <c r="AE20" i="3"/>
  <c r="AD20" i="3"/>
  <c r="AB20" i="3"/>
  <c r="AA20" i="3"/>
  <c r="Z20" i="3"/>
  <c r="Y20" i="3"/>
  <c r="X20" i="3"/>
  <c r="W20" i="3"/>
  <c r="V20" i="3"/>
  <c r="U20" i="3"/>
  <c r="S20" i="3"/>
  <c r="R20" i="3"/>
  <c r="Q20" i="3"/>
  <c r="O20" i="3"/>
  <c r="N20" i="3"/>
  <c r="M20" i="3"/>
  <c r="K20" i="3"/>
  <c r="J20" i="3"/>
  <c r="H20" i="3"/>
  <c r="G20" i="3"/>
  <c r="F20" i="3"/>
  <c r="D20" i="3"/>
  <c r="C20" i="3"/>
  <c r="A20" i="3"/>
  <c r="AE19" i="3"/>
  <c r="AD19" i="3"/>
  <c r="AB19" i="3"/>
  <c r="AA19" i="3"/>
  <c r="Z19" i="3"/>
  <c r="Y19" i="3"/>
  <c r="X19" i="3"/>
  <c r="W19" i="3"/>
  <c r="V19" i="3"/>
  <c r="U19" i="3"/>
  <c r="S19" i="3"/>
  <c r="R19" i="3"/>
  <c r="Q19" i="3"/>
  <c r="O19" i="3"/>
  <c r="N19" i="3"/>
  <c r="M19" i="3"/>
  <c r="K19" i="3"/>
  <c r="J19" i="3"/>
  <c r="H19" i="3"/>
  <c r="G19" i="3"/>
  <c r="F19" i="3"/>
  <c r="D19" i="3"/>
  <c r="C19" i="3"/>
  <c r="A19" i="3"/>
  <c r="AE18" i="3"/>
  <c r="AD18" i="3"/>
  <c r="AB18" i="3"/>
  <c r="AA18" i="3"/>
  <c r="Z18" i="3"/>
  <c r="Y18" i="3"/>
  <c r="X18" i="3"/>
  <c r="W18" i="3"/>
  <c r="V18" i="3"/>
  <c r="U18" i="3"/>
  <c r="S18" i="3"/>
  <c r="R18" i="3"/>
  <c r="Q18" i="3"/>
  <c r="O18" i="3"/>
  <c r="N18" i="3"/>
  <c r="M18" i="3"/>
  <c r="K18" i="3"/>
  <c r="J18" i="3"/>
  <c r="H18" i="3"/>
  <c r="G18" i="3"/>
  <c r="F18" i="3"/>
  <c r="D18" i="3"/>
  <c r="C18" i="3"/>
  <c r="A18" i="3"/>
  <c r="AE17" i="3"/>
  <c r="AB17" i="3"/>
  <c r="AA17" i="3"/>
  <c r="Z17" i="3"/>
  <c r="Y17" i="3"/>
  <c r="X17" i="3"/>
  <c r="W17" i="3"/>
  <c r="V17" i="3"/>
  <c r="U17" i="3"/>
  <c r="S17" i="3"/>
  <c r="R17" i="3"/>
  <c r="Q17" i="3"/>
  <c r="O17" i="3"/>
  <c r="N17" i="3"/>
  <c r="M17" i="3"/>
  <c r="K17" i="3"/>
  <c r="J17" i="3"/>
  <c r="H17" i="3"/>
  <c r="G17" i="3"/>
  <c r="F17" i="3"/>
  <c r="D17" i="3"/>
  <c r="C17" i="3"/>
  <c r="A17" i="3"/>
  <c r="AE16" i="3"/>
  <c r="AD16" i="3"/>
  <c r="AB16" i="3"/>
  <c r="AA16" i="3"/>
  <c r="Z16" i="3"/>
  <c r="Y16" i="3"/>
  <c r="X16" i="3"/>
  <c r="W16" i="3"/>
  <c r="V16" i="3"/>
  <c r="U16" i="3"/>
  <c r="T16" i="3"/>
  <c r="S16" i="3"/>
  <c r="R16" i="3"/>
  <c r="Q16" i="3"/>
  <c r="O16" i="3"/>
  <c r="N16" i="3"/>
  <c r="M16" i="3"/>
  <c r="K16" i="3"/>
  <c r="J16" i="3"/>
  <c r="H16" i="3"/>
  <c r="G16" i="3"/>
  <c r="F16" i="3"/>
  <c r="D16" i="3"/>
  <c r="C16" i="3"/>
  <c r="A16" i="3"/>
  <c r="AE15" i="3"/>
  <c r="AB15" i="3"/>
  <c r="AA15" i="3"/>
  <c r="Z15" i="3"/>
  <c r="Y15" i="3"/>
  <c r="X15" i="3"/>
  <c r="W15" i="3"/>
  <c r="V15" i="3"/>
  <c r="U15" i="3"/>
  <c r="S15" i="3"/>
  <c r="R15" i="3"/>
  <c r="Q15" i="3"/>
  <c r="O15" i="3"/>
  <c r="N15" i="3"/>
  <c r="M15" i="3"/>
  <c r="K15" i="3"/>
  <c r="J15" i="3"/>
  <c r="H15" i="3"/>
  <c r="G15" i="3"/>
  <c r="F15" i="3"/>
  <c r="D15" i="3"/>
  <c r="C15" i="3"/>
  <c r="A15" i="3"/>
  <c r="AE14" i="3"/>
  <c r="AD14" i="3"/>
  <c r="AB14" i="3"/>
  <c r="AA14" i="3"/>
  <c r="Z14" i="3"/>
  <c r="Y14" i="3"/>
  <c r="X14" i="3"/>
  <c r="W14" i="3"/>
  <c r="V14" i="3"/>
  <c r="U14" i="3"/>
  <c r="T14" i="3"/>
  <c r="S14" i="3"/>
  <c r="R14" i="3"/>
  <c r="Q14" i="3"/>
  <c r="O14" i="3"/>
  <c r="N14" i="3"/>
  <c r="M14" i="3"/>
  <c r="K14" i="3"/>
  <c r="J14" i="3"/>
  <c r="H14" i="3"/>
  <c r="G14" i="3"/>
  <c r="F14" i="3"/>
  <c r="D14" i="3"/>
  <c r="C14" i="3"/>
  <c r="A14" i="3"/>
  <c r="AE13" i="3"/>
  <c r="AB13" i="3"/>
  <c r="AA13" i="3"/>
  <c r="Z13" i="3"/>
  <c r="Y13" i="3"/>
  <c r="X13" i="3"/>
  <c r="W13" i="3"/>
  <c r="V13" i="3"/>
  <c r="U13" i="3"/>
  <c r="S13" i="3"/>
  <c r="R13" i="3"/>
  <c r="Q13" i="3"/>
  <c r="O13" i="3"/>
  <c r="N13" i="3"/>
  <c r="M13" i="3"/>
  <c r="K13" i="3"/>
  <c r="J13" i="3"/>
  <c r="H13" i="3"/>
  <c r="G13" i="3"/>
  <c r="F13" i="3"/>
  <c r="D13" i="3"/>
  <c r="C13" i="3"/>
  <c r="A13" i="3"/>
  <c r="AE12" i="3"/>
  <c r="AB12" i="3"/>
  <c r="AA12" i="3"/>
  <c r="Z12" i="3"/>
  <c r="Y12" i="3"/>
  <c r="X12" i="3"/>
  <c r="W12" i="3"/>
  <c r="V12" i="3"/>
  <c r="U12" i="3"/>
  <c r="S12" i="3"/>
  <c r="R12" i="3"/>
  <c r="Q12" i="3"/>
  <c r="O12" i="3"/>
  <c r="N12" i="3"/>
  <c r="M12" i="3"/>
  <c r="K12" i="3"/>
  <c r="J12" i="3"/>
  <c r="H12" i="3"/>
  <c r="G12" i="3"/>
  <c r="F12" i="3"/>
  <c r="D12" i="3"/>
  <c r="C12" i="3"/>
  <c r="A12" i="3"/>
  <c r="AE11" i="3"/>
  <c r="AB11" i="3"/>
  <c r="AA11" i="3"/>
  <c r="Z11" i="3"/>
  <c r="Y11" i="3"/>
  <c r="X11" i="3"/>
  <c r="W11" i="3"/>
  <c r="S11" i="3"/>
  <c r="R11" i="3"/>
  <c r="Q11" i="3"/>
  <c r="O11" i="3"/>
  <c r="N11" i="3"/>
  <c r="M11" i="3"/>
  <c r="K11" i="3"/>
  <c r="J11" i="3"/>
  <c r="H11" i="3"/>
  <c r="G11" i="3"/>
  <c r="F11" i="3"/>
  <c r="D11" i="3"/>
  <c r="C11" i="3"/>
  <c r="A11" i="3"/>
  <c r="AE10" i="3"/>
  <c r="AB10" i="3"/>
  <c r="AA10" i="3"/>
  <c r="Z10" i="3"/>
  <c r="Y10" i="3"/>
  <c r="X10" i="3"/>
  <c r="W10" i="3"/>
  <c r="S10" i="3"/>
  <c r="R10" i="3"/>
  <c r="Q10" i="3"/>
  <c r="O10" i="3"/>
  <c r="N10" i="3"/>
  <c r="M10" i="3"/>
  <c r="K10" i="3"/>
  <c r="J10" i="3"/>
  <c r="H10" i="3"/>
  <c r="G10" i="3"/>
  <c r="F10" i="3"/>
  <c r="D10" i="3"/>
  <c r="C10" i="3"/>
  <c r="A10" i="3"/>
  <c r="AE9" i="3"/>
  <c r="AB9" i="3"/>
  <c r="AA9" i="3"/>
  <c r="Z9" i="3"/>
  <c r="Y9" i="3"/>
  <c r="X9" i="3"/>
  <c r="W9" i="3"/>
  <c r="S9" i="3"/>
  <c r="R9" i="3"/>
  <c r="Q9" i="3"/>
  <c r="O9" i="3"/>
  <c r="N9" i="3"/>
  <c r="M9" i="3"/>
  <c r="K9" i="3"/>
  <c r="J9" i="3"/>
  <c r="H9" i="3"/>
  <c r="G9" i="3"/>
  <c r="F9" i="3"/>
  <c r="D9" i="3"/>
  <c r="C9" i="3"/>
  <c r="A9" i="3"/>
  <c r="AE8" i="3"/>
  <c r="AB8" i="3"/>
  <c r="AA8" i="3"/>
  <c r="Z8" i="3"/>
  <c r="Y8" i="3"/>
  <c r="X8" i="3"/>
  <c r="W8" i="3"/>
  <c r="V8" i="3"/>
  <c r="U8" i="3"/>
  <c r="S8" i="3"/>
  <c r="R8" i="3"/>
  <c r="Q8" i="3"/>
  <c r="O8" i="3"/>
  <c r="N8" i="3"/>
  <c r="M8" i="3"/>
  <c r="K8" i="3"/>
  <c r="J8" i="3"/>
  <c r="H8" i="3"/>
  <c r="G8" i="3"/>
  <c r="F8" i="3"/>
  <c r="D8" i="3"/>
  <c r="C8" i="3"/>
  <c r="A8" i="3"/>
  <c r="AE7" i="3"/>
  <c r="AB7" i="3"/>
  <c r="AA7" i="3"/>
  <c r="Z7" i="3"/>
  <c r="Y7" i="3"/>
  <c r="X7" i="3"/>
  <c r="W7" i="3"/>
  <c r="S7" i="3"/>
  <c r="R7" i="3"/>
  <c r="Q7" i="3"/>
  <c r="O7" i="3"/>
  <c r="N7" i="3"/>
  <c r="M7" i="3"/>
  <c r="K7" i="3"/>
  <c r="J7" i="3"/>
  <c r="H7" i="3"/>
  <c r="G7" i="3"/>
  <c r="F7" i="3"/>
  <c r="D7" i="3"/>
  <c r="C7" i="3"/>
  <c r="A7" i="3"/>
  <c r="AE6" i="3"/>
  <c r="AB6" i="3"/>
  <c r="AA6" i="3"/>
  <c r="Z6" i="3"/>
  <c r="Y6" i="3"/>
  <c r="X6" i="3"/>
  <c r="W6" i="3"/>
  <c r="S6" i="3"/>
  <c r="R6" i="3"/>
  <c r="Q6" i="3"/>
  <c r="O6" i="3"/>
  <c r="N6" i="3"/>
  <c r="M6" i="3"/>
  <c r="K6" i="3"/>
  <c r="J6" i="3"/>
  <c r="H6" i="3"/>
  <c r="G6" i="3"/>
  <c r="F6" i="3"/>
  <c r="D6" i="3"/>
  <c r="C6" i="3"/>
  <c r="A6" i="3"/>
  <c r="AE5" i="3"/>
  <c r="AD5" i="3"/>
  <c r="AC5" i="3"/>
  <c r="AB5" i="3"/>
  <c r="AA5" i="3"/>
  <c r="Z5" i="3"/>
  <c r="Y5" i="3"/>
  <c r="X5" i="3"/>
  <c r="W5" i="3"/>
  <c r="T5" i="3"/>
  <c r="S5" i="3"/>
  <c r="R5" i="3"/>
  <c r="Q5" i="3"/>
  <c r="P5" i="3"/>
  <c r="O5" i="3"/>
  <c r="N5" i="3"/>
  <c r="M5" i="3"/>
  <c r="L5" i="3"/>
  <c r="K5" i="3"/>
  <c r="J5" i="3"/>
  <c r="H5" i="3"/>
  <c r="G5" i="3"/>
  <c r="F5" i="3"/>
  <c r="D5" i="3"/>
  <c r="C5" i="3"/>
  <c r="A5" i="3"/>
  <c r="AE4" i="3"/>
  <c r="AD4" i="3"/>
  <c r="AC4" i="3"/>
  <c r="AB4" i="3"/>
  <c r="AA4" i="3"/>
  <c r="Z4" i="3"/>
  <c r="Y4" i="3"/>
  <c r="X4" i="3"/>
  <c r="W4" i="3"/>
  <c r="T4" i="3"/>
  <c r="S4" i="3"/>
  <c r="R4" i="3"/>
  <c r="Q4" i="3"/>
  <c r="P4" i="3"/>
  <c r="O4" i="3"/>
  <c r="N4" i="3"/>
  <c r="M4" i="3"/>
  <c r="L4" i="3"/>
  <c r="K4" i="3"/>
  <c r="J4" i="3"/>
  <c r="H4" i="3"/>
  <c r="G4" i="3"/>
  <c r="F4" i="3"/>
  <c r="D4" i="3"/>
  <c r="C4" i="3"/>
  <c r="A4" i="3"/>
  <c r="AE3" i="3"/>
  <c r="AD3" i="3"/>
  <c r="AC3" i="3"/>
  <c r="AB3" i="3"/>
  <c r="AA3" i="3"/>
  <c r="Z3" i="3"/>
  <c r="Y3" i="3"/>
  <c r="X3" i="3"/>
  <c r="W3" i="3"/>
  <c r="T3" i="3"/>
  <c r="S3" i="3"/>
  <c r="R3" i="3"/>
  <c r="Q3" i="3"/>
  <c r="O3" i="3"/>
  <c r="N3" i="3"/>
  <c r="M3" i="3"/>
  <c r="K3" i="3"/>
  <c r="J3" i="3"/>
  <c r="H3" i="3"/>
  <c r="G3" i="3"/>
  <c r="F3" i="3"/>
  <c r="D3" i="3"/>
  <c r="C3" i="3"/>
  <c r="A3" i="3"/>
  <c r="AE2" i="3"/>
  <c r="AD2" i="3"/>
  <c r="AC2" i="3"/>
  <c r="AB2" i="3"/>
  <c r="AA2" i="3"/>
  <c r="Z2" i="3"/>
  <c r="Y2" i="3"/>
  <c r="X2" i="3"/>
  <c r="W2" i="3"/>
  <c r="S2" i="3"/>
  <c r="R2" i="3"/>
  <c r="Q2" i="3"/>
  <c r="P2" i="3"/>
  <c r="O2" i="3"/>
  <c r="N2" i="3"/>
  <c r="M2" i="3"/>
  <c r="L2" i="3"/>
  <c r="K2" i="3"/>
  <c r="J2" i="3"/>
  <c r="H2" i="3"/>
  <c r="G2" i="3"/>
  <c r="F2" i="3"/>
  <c r="D2" i="3"/>
  <c r="C2" i="3"/>
  <c r="A2" i="3"/>
  <c r="AE1" i="3"/>
  <c r="AD1" i="3"/>
  <c r="AC1" i="3"/>
  <c r="AB1" i="3"/>
  <c r="AA1" i="3"/>
  <c r="Z1" i="3"/>
  <c r="Y1" i="3"/>
  <c r="X1" i="3"/>
  <c r="W1" i="3"/>
  <c r="V1" i="3"/>
  <c r="U1" i="3"/>
  <c r="T1" i="3"/>
  <c r="S1" i="3"/>
  <c r="R1" i="3"/>
  <c r="Q1" i="3"/>
  <c r="P1" i="3"/>
  <c r="O1" i="3"/>
  <c r="N1" i="3"/>
  <c r="M1" i="3"/>
  <c r="L1" i="3"/>
  <c r="K1" i="3"/>
  <c r="J1" i="3"/>
  <c r="H1" i="3"/>
  <c r="G1" i="3"/>
  <c r="F1" i="3"/>
  <c r="D1" i="3"/>
  <c r="C1" i="3"/>
  <c r="A1" i="3"/>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S109"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S59" i="1"/>
  <c r="R59" i="1"/>
  <c r="Q59" i="1"/>
  <c r="Q58" i="1"/>
  <c r="Q57" i="1"/>
  <c r="Q56" i="1"/>
  <c r="Q55" i="1"/>
  <c r="Q54" i="1"/>
  <c r="Q53" i="1"/>
  <c r="Q52" i="1"/>
  <c r="Q51" i="1"/>
  <c r="Q50" i="1"/>
  <c r="Q49" i="1"/>
  <c r="Q48" i="1"/>
  <c r="Q47" i="1"/>
  <c r="Q46" i="1"/>
  <c r="Q45" i="1"/>
  <c r="Q44" i="1"/>
  <c r="Q43" i="1"/>
  <c r="Q42" i="1"/>
  <c r="Q41" i="1"/>
  <c r="Q40" i="1"/>
  <c r="S39" i="1"/>
  <c r="R39"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S72" i="1" l="1"/>
  <c r="S186" i="1"/>
  <c r="S153" i="1"/>
  <c r="R186" i="1"/>
  <c r="R64" i="1"/>
  <c r="S23" i="1"/>
  <c r="S56" i="1"/>
  <c r="S213" i="1"/>
  <c r="S100" i="1"/>
  <c r="R143" i="1"/>
  <c r="R15" i="1"/>
  <c r="R36" i="1"/>
  <c r="R62" i="1"/>
  <c r="R112" i="1"/>
  <c r="R294" i="1"/>
  <c r="S36" i="1"/>
  <c r="R56" i="1"/>
  <c r="R72" i="1"/>
  <c r="R135" i="1"/>
  <c r="S64" i="1"/>
  <c r="S97" i="1"/>
  <c r="R21" i="1"/>
  <c r="R130" i="1"/>
  <c r="R40" i="1"/>
  <c r="R67" i="1"/>
  <c r="S130" i="1"/>
  <c r="S40" i="1"/>
  <c r="S214" i="1"/>
  <c r="R293" i="1"/>
  <c r="P246" i="1"/>
  <c r="R105" i="1"/>
  <c r="R109" i="1"/>
  <c r="R153" i="1"/>
  <c r="R23" i="1"/>
  <c r="R97" i="1"/>
  <c r="R145" i="1"/>
  <c r="R182" i="1"/>
  <c r="R291" i="1"/>
  <c r="R132" i="1"/>
  <c r="S291" i="1"/>
  <c r="R296" i="1"/>
  <c r="R214" i="1"/>
  <c r="S112" i="1"/>
  <c r="R118" i="1"/>
  <c r="R138" i="1"/>
  <c r="R146" i="1"/>
  <c r="R154" i="1"/>
  <c r="R292" i="1"/>
  <c r="R133" i="1"/>
  <c r="S138" i="1"/>
  <c r="S146" i="1"/>
  <c r="R149" i="1"/>
  <c r="S292" i="1"/>
  <c r="R43" i="1"/>
  <c r="R8" i="1"/>
  <c r="R22" i="1"/>
  <c r="R41" i="1"/>
  <c r="R52" i="1"/>
  <c r="S65" i="1"/>
  <c r="R96" i="1"/>
  <c r="S133" i="1"/>
  <c r="S149" i="1"/>
  <c r="R100" i="1"/>
  <c r="R213" i="1"/>
  <c r="R169" i="1"/>
  <c r="S43" i="1"/>
  <c r="R65" i="1"/>
  <c r="S8" i="1"/>
  <c r="S22" i="1"/>
  <c r="R28" i="1"/>
  <c r="S41" i="1"/>
  <c r="R110" i="1"/>
  <c r="R116" i="1"/>
  <c r="R158" i="1"/>
  <c r="S158" i="1"/>
  <c r="R161" i="1"/>
  <c r="R215" i="1"/>
  <c r="R295" i="1"/>
  <c r="R102" i="1"/>
  <c r="R126" i="1"/>
  <c r="R142" i="1"/>
  <c r="R167" i="1"/>
  <c r="R200" i="1"/>
  <c r="R240" i="1"/>
  <c r="R285" i="1"/>
  <c r="R288" i="1"/>
  <c r="R17" i="1"/>
  <c r="R20" i="1"/>
  <c r="R37" i="1"/>
  <c r="S37" i="1"/>
  <c r="R44" i="1"/>
  <c r="S167" i="1"/>
  <c r="R179" i="1"/>
  <c r="S200" i="1"/>
  <c r="S240" i="1"/>
  <c r="S285" i="1"/>
  <c r="S288" i="1"/>
  <c r="P243" i="1"/>
  <c r="O243" i="1"/>
  <c r="N246" i="1"/>
  <c r="O246" i="1"/>
  <c r="S179" i="1"/>
  <c r="S126" i="1"/>
  <c r="S116" i="1"/>
  <c r="S182" i="1"/>
  <c r="S142" i="1"/>
  <c r="S161" i="1"/>
  <c r="S215" i="1"/>
  <c r="S17" i="1"/>
  <c r="S21" i="1"/>
  <c r="S44" i="1"/>
  <c r="S110" i="1"/>
  <c r="S102" i="1"/>
  <c r="S154" i="1"/>
  <c r="S145" i="1"/>
  <c r="S132" i="1"/>
  <c r="S52" i="1"/>
  <c r="S135" i="1"/>
  <c r="S15" i="1"/>
  <c r="S143" i="1"/>
  <c r="S62" i="1"/>
  <c r="O118" i="1"/>
  <c r="S28" i="1"/>
  <c r="S118" i="1"/>
  <c r="S96" i="1"/>
  <c r="S20" i="1"/>
  <c r="S67" i="1"/>
  <c r="N243" i="1"/>
  <c r="P31" i="1"/>
  <c r="O7" i="1"/>
  <c r="P136" i="1"/>
  <c r="P7" i="1"/>
  <c r="O29" i="1"/>
  <c r="N40" i="1"/>
  <c r="N54" i="1"/>
  <c r="N67" i="1"/>
  <c r="N69" i="1"/>
  <c r="N97" i="1"/>
  <c r="N164" i="1"/>
  <c r="N186" i="1"/>
  <c r="O164" i="1"/>
  <c r="N9" i="1"/>
  <c r="N22" i="1"/>
  <c r="O42" i="1"/>
  <c r="P67" i="1"/>
  <c r="P86" i="1"/>
  <c r="P92" i="1"/>
  <c r="O127" i="1"/>
  <c r="N139" i="1"/>
  <c r="N251" i="1"/>
  <c r="N114" i="1"/>
  <c r="O139" i="1"/>
  <c r="O162" i="1"/>
  <c r="P184" i="1"/>
  <c r="P74" i="1"/>
  <c r="N63" i="1"/>
  <c r="O52" i="1"/>
  <c r="N61" i="1"/>
  <c r="O114" i="1"/>
  <c r="P122" i="1"/>
  <c r="P139" i="1"/>
  <c r="N8" i="1"/>
  <c r="N19" i="1"/>
  <c r="N39" i="1"/>
  <c r="N50" i="1"/>
  <c r="P44" i="1"/>
  <c r="O9" i="1"/>
  <c r="O22" i="1"/>
  <c r="P90" i="1"/>
  <c r="N140" i="1"/>
  <c r="P21" i="1"/>
  <c r="N282" i="1"/>
  <c r="P61" i="1"/>
  <c r="O70" i="1"/>
  <c r="P112" i="1"/>
  <c r="O8" i="1"/>
  <c r="O17" i="1"/>
  <c r="O19" i="1"/>
  <c r="N21" i="1"/>
  <c r="N35" i="1"/>
  <c r="O37" i="1"/>
  <c r="P70" i="1"/>
  <c r="O81" i="1"/>
  <c r="P8" i="1"/>
  <c r="N15" i="1"/>
  <c r="P17" i="1"/>
  <c r="P19" i="1"/>
  <c r="O21" i="1"/>
  <c r="P35" i="1"/>
  <c r="N108" i="1"/>
  <c r="P110" i="1"/>
  <c r="O197" i="1"/>
  <c r="N206" i="1"/>
  <c r="P127" i="1"/>
  <c r="O140" i="1"/>
  <c r="P11" i="1"/>
  <c r="O67" i="1"/>
  <c r="N127" i="1"/>
  <c r="N60" i="1"/>
  <c r="N106" i="1"/>
  <c r="O108" i="1"/>
  <c r="O206" i="1"/>
  <c r="P29" i="1"/>
  <c r="N42" i="1"/>
  <c r="N77" i="1"/>
  <c r="P9" i="1"/>
  <c r="O61" i="1"/>
  <c r="N33" i="1"/>
  <c r="N48" i="1"/>
  <c r="O106" i="1"/>
  <c r="P206" i="1"/>
  <c r="P120" i="1"/>
  <c r="P140" i="1"/>
  <c r="N31" i="1"/>
  <c r="O33" i="1"/>
  <c r="O56" i="1"/>
  <c r="N58" i="1"/>
  <c r="O60" i="1"/>
  <c r="P13" i="1"/>
  <c r="O31" i="1"/>
  <c r="P33" i="1"/>
  <c r="P56" i="1"/>
  <c r="P60" i="1"/>
  <c r="N79" i="1"/>
  <c r="N88" i="1"/>
  <c r="N104" i="1"/>
  <c r="P106" i="1"/>
  <c r="O117" i="1"/>
  <c r="P147" i="1"/>
  <c r="O185" i="1"/>
  <c r="P193" i="1"/>
  <c r="N252" i="1"/>
  <c r="P289" i="1"/>
  <c r="P77" i="1"/>
  <c r="P125" i="1"/>
  <c r="N177" i="1"/>
  <c r="P12" i="1"/>
  <c r="P28" i="1"/>
  <c r="N36" i="1"/>
  <c r="N82" i="1"/>
  <c r="N89" i="1"/>
  <c r="P14" i="1"/>
  <c r="O82" i="1"/>
  <c r="O107" i="1"/>
  <c r="P117" i="1"/>
  <c r="P130" i="1"/>
  <c r="O156" i="1"/>
  <c r="O240" i="1"/>
  <c r="P135" i="1"/>
  <c r="O153" i="1"/>
  <c r="O64" i="1"/>
  <c r="N80" i="1"/>
  <c r="P105" i="1"/>
  <c r="N163" i="1"/>
  <c r="P185" i="1"/>
  <c r="O16" i="1"/>
  <c r="P18" i="1"/>
  <c r="N20" i="1"/>
  <c r="N23" i="1"/>
  <c r="P36" i="1"/>
  <c r="P43" i="1"/>
  <c r="P51" i="1"/>
  <c r="N53" i="1"/>
  <c r="N55" i="1"/>
  <c r="P66" i="1"/>
  <c r="N70" i="1"/>
  <c r="N72" i="1"/>
  <c r="P78" i="1"/>
  <c r="P80" i="1"/>
  <c r="P87" i="1"/>
  <c r="P111" i="1"/>
  <c r="O113" i="1"/>
  <c r="O126" i="1"/>
  <c r="P156" i="1"/>
  <c r="N178" i="1"/>
  <c r="P183" i="1"/>
  <c r="N212" i="1"/>
  <c r="P214" i="1"/>
  <c r="O250" i="1"/>
  <c r="N258" i="1"/>
  <c r="O71" i="1"/>
  <c r="P131" i="1"/>
  <c r="P26" i="1"/>
  <c r="N62" i="1"/>
  <c r="O103" i="1"/>
  <c r="O30" i="1"/>
  <c r="O36" i="1"/>
  <c r="P89" i="1"/>
  <c r="P103" i="1"/>
  <c r="P119" i="1"/>
  <c r="O53" i="1"/>
  <c r="P55" i="1"/>
  <c r="P59" i="1"/>
  <c r="O72" i="1"/>
  <c r="N76" i="1"/>
  <c r="O85" i="1"/>
  <c r="N100" i="1"/>
  <c r="P126" i="1"/>
  <c r="O152" i="1"/>
  <c r="N168" i="1"/>
  <c r="O176" i="1"/>
  <c r="N205" i="1"/>
  <c r="O210" i="1"/>
  <c r="O212" i="1"/>
  <c r="O97" i="1"/>
  <c r="O14" i="1"/>
  <c r="N34" i="1"/>
  <c r="N16" i="1"/>
  <c r="P32" i="1"/>
  <c r="N41" i="1"/>
  <c r="P64" i="1"/>
  <c r="O80" i="1"/>
  <c r="O96" i="1"/>
  <c r="N111" i="1"/>
  <c r="P20" i="1"/>
  <c r="N11" i="1"/>
  <c r="N25" i="1"/>
  <c r="O38" i="1"/>
  <c r="N45" i="1"/>
  <c r="N47" i="1"/>
  <c r="O49" i="1"/>
  <c r="P53" i="1"/>
  <c r="O57" i="1"/>
  <c r="P68" i="1"/>
  <c r="P85" i="1"/>
  <c r="N92" i="1"/>
  <c r="N94" i="1"/>
  <c r="O100" i="1"/>
  <c r="O102" i="1"/>
  <c r="O116" i="1"/>
  <c r="N122" i="1"/>
  <c r="N124" i="1"/>
  <c r="O128" i="1"/>
  <c r="O134" i="1"/>
  <c r="N136" i="1"/>
  <c r="N138" i="1"/>
  <c r="N142" i="1"/>
  <c r="P159" i="1"/>
  <c r="N166" i="1"/>
  <c r="P168" i="1"/>
  <c r="P176" i="1"/>
  <c r="P210" i="1"/>
  <c r="O245" i="1"/>
  <c r="O256" i="1"/>
  <c r="O133" i="1"/>
  <c r="N169" i="1"/>
  <c r="N87" i="1"/>
  <c r="P34" i="1"/>
  <c r="O87" i="1"/>
  <c r="O214" i="1"/>
  <c r="O23" i="1"/>
  <c r="P23" i="1"/>
  <c r="O11" i="1"/>
  <c r="N13" i="1"/>
  <c r="P25" i="1"/>
  <c r="N27" i="1"/>
  <c r="P45" i="1"/>
  <c r="O92" i="1"/>
  <c r="O94" i="1"/>
  <c r="P98" i="1"/>
  <c r="P100" i="1"/>
  <c r="O122" i="1"/>
  <c r="O124" i="1"/>
  <c r="O136" i="1"/>
  <c r="O142" i="1"/>
  <c r="P146" i="1"/>
  <c r="O148" i="1"/>
  <c r="N7" i="1"/>
  <c r="O27" i="1"/>
  <c r="N18" i="1"/>
  <c r="O15" i="1"/>
  <c r="N10" i="1"/>
  <c r="O172" i="1"/>
  <c r="P170" i="1"/>
  <c r="P16" i="1"/>
  <c r="O13" i="1"/>
  <c r="O131" i="1"/>
  <c r="N133" i="1"/>
  <c r="N153" i="1"/>
  <c r="P160" i="1"/>
  <c r="P162" i="1"/>
  <c r="N189" i="1"/>
  <c r="N75" i="1"/>
  <c r="O195" i="1"/>
  <c r="O211" i="1"/>
  <c r="N257" i="1"/>
  <c r="N24" i="1"/>
  <c r="N26" i="1"/>
  <c r="N28" i="1"/>
  <c r="O39" i="1"/>
  <c r="O46" i="1"/>
  <c r="O48" i="1"/>
  <c r="O50" i="1"/>
  <c r="O58" i="1"/>
  <c r="O73" i="1"/>
  <c r="O75" i="1"/>
  <c r="O84" i="1"/>
  <c r="P97" i="1"/>
  <c r="N99" i="1"/>
  <c r="P145" i="1"/>
  <c r="N149" i="1"/>
  <c r="P151" i="1"/>
  <c r="P195" i="1"/>
  <c r="O204" i="1"/>
  <c r="P224" i="1"/>
  <c r="O244" i="1"/>
  <c r="N283" i="1"/>
  <c r="P10" i="1"/>
  <c r="N12" i="1"/>
  <c r="N14" i="1"/>
  <c r="P24" i="1"/>
  <c r="O26" i="1"/>
  <c r="O28" i="1"/>
  <c r="P39" i="1"/>
  <c r="P46" i="1"/>
  <c r="P48" i="1"/>
  <c r="N64" i="1"/>
  <c r="P73" i="1"/>
  <c r="P75" i="1"/>
  <c r="N91" i="1"/>
  <c r="O93" i="1"/>
  <c r="N103" i="1"/>
  <c r="N105" i="1"/>
  <c r="N117" i="1"/>
  <c r="N121" i="1"/>
  <c r="O123" i="1"/>
  <c r="P137" i="1"/>
  <c r="N141" i="1"/>
  <c r="O149" i="1"/>
  <c r="N185" i="1"/>
  <c r="P209" i="1"/>
  <c r="P244" i="1"/>
  <c r="P204" i="1"/>
  <c r="N208" i="1"/>
  <c r="N218" i="1"/>
  <c r="N229" i="1"/>
  <c r="O231" i="1"/>
  <c r="P240" i="1"/>
  <c r="O251" i="1"/>
  <c r="P256" i="1"/>
  <c r="P261" i="1"/>
  <c r="O269" i="1"/>
  <c r="N271" i="1"/>
  <c r="O282" i="1"/>
  <c r="N287" i="1"/>
  <c r="P22" i="1"/>
  <c r="O25" i="1"/>
  <c r="N30" i="1"/>
  <c r="O35" i="1"/>
  <c r="N38" i="1"/>
  <c r="P42" i="1"/>
  <c r="O45" i="1"/>
  <c r="P50" i="1"/>
  <c r="N52" i="1"/>
  <c r="O55" i="1"/>
  <c r="P58" i="1"/>
  <c r="P72" i="1"/>
  <c r="O77" i="1"/>
  <c r="P82" i="1"/>
  <c r="N84" i="1"/>
  <c r="O89" i="1"/>
  <c r="P94" i="1"/>
  <c r="N96" i="1"/>
  <c r="N102" i="1"/>
  <c r="O105" i="1"/>
  <c r="P108" i="1"/>
  <c r="O111" i="1"/>
  <c r="P114" i="1"/>
  <c r="N116" i="1"/>
  <c r="N119" i="1"/>
  <c r="N128" i="1"/>
  <c r="O130" i="1"/>
  <c r="P133" i="1"/>
  <c r="P153" i="1"/>
  <c r="P164" i="1"/>
  <c r="O170" i="1"/>
  <c r="N172" i="1"/>
  <c r="N174" i="1"/>
  <c r="P178" i="1"/>
  <c r="P187" i="1"/>
  <c r="O189" i="1"/>
  <c r="O191" i="1"/>
  <c r="O200" i="1"/>
  <c r="O216" i="1"/>
  <c r="O218" i="1"/>
  <c r="P227" i="1"/>
  <c r="O229" i="1"/>
  <c r="O234" i="1"/>
  <c r="N238" i="1"/>
  <c r="P249" i="1"/>
  <c r="P269" i="1"/>
  <c r="N277" i="1"/>
  <c r="P280" i="1"/>
  <c r="N296" i="1"/>
  <c r="O180" i="1"/>
  <c r="N182" i="1"/>
  <c r="P200" i="1"/>
  <c r="N202" i="1"/>
  <c r="P216" i="1"/>
  <c r="N223" i="1"/>
  <c r="P234" i="1"/>
  <c r="N236" i="1"/>
  <c r="N264" i="1"/>
  <c r="N110" i="1"/>
  <c r="O121" i="1"/>
  <c r="N132" i="1"/>
  <c r="N144" i="1"/>
  <c r="N155" i="1"/>
  <c r="O157" i="1"/>
  <c r="N159" i="1"/>
  <c r="N161" i="1"/>
  <c r="P172" i="1"/>
  <c r="P180" i="1"/>
  <c r="O182" i="1"/>
  <c r="O194" i="1"/>
  <c r="N196" i="1"/>
  <c r="N198" i="1"/>
  <c r="P221" i="1"/>
  <c r="O223" i="1"/>
  <c r="N225" i="1"/>
  <c r="P236" i="1"/>
  <c r="O264" i="1"/>
  <c r="O275" i="1"/>
  <c r="N290" i="1"/>
  <c r="P30" i="1"/>
  <c r="N32" i="1"/>
  <c r="P38" i="1"/>
  <c r="O41" i="1"/>
  <c r="N44" i="1"/>
  <c r="O47" i="1"/>
  <c r="P52" i="1"/>
  <c r="O63" i="1"/>
  <c r="N66" i="1"/>
  <c r="O69" i="1"/>
  <c r="N74" i="1"/>
  <c r="O79" i="1"/>
  <c r="P84" i="1"/>
  <c r="N86" i="1"/>
  <c r="O91" i="1"/>
  <c r="P96" i="1"/>
  <c r="O99" i="1"/>
  <c r="P102" i="1"/>
  <c r="O10" i="1"/>
  <c r="P15" i="1"/>
  <c r="O18" i="1"/>
  <c r="P27" i="1"/>
  <c r="O32" i="1"/>
  <c r="N37" i="1"/>
  <c r="P41" i="1"/>
  <c r="O44" i="1"/>
  <c r="P47" i="1"/>
  <c r="N49" i="1"/>
  <c r="N57" i="1"/>
  <c r="P63" i="1"/>
  <c r="O66" i="1"/>
  <c r="P69" i="1"/>
  <c r="N71" i="1"/>
  <c r="O74" i="1"/>
  <c r="P79" i="1"/>
  <c r="N81" i="1"/>
  <c r="O86" i="1"/>
  <c r="P91" i="1"/>
  <c r="N93" i="1"/>
  <c r="P99" i="1"/>
  <c r="N107" i="1"/>
  <c r="O110" i="1"/>
  <c r="N113" i="1"/>
  <c r="N118" i="1"/>
  <c r="P121" i="1"/>
  <c r="N123" i="1"/>
  <c r="N125" i="1"/>
  <c r="O132" i="1"/>
  <c r="O137" i="1"/>
  <c r="N146" i="1"/>
  <c r="O155" i="1"/>
  <c r="O159" i="1"/>
  <c r="O161" i="1"/>
  <c r="P167" i="1"/>
  <c r="P182" i="1"/>
  <c r="O184" i="1"/>
  <c r="P194" i="1"/>
  <c r="P196" i="1"/>
  <c r="N211" i="1"/>
  <c r="O213" i="1"/>
  <c r="P223" i="1"/>
  <c r="N245" i="1"/>
  <c r="P262" i="1"/>
  <c r="P275" i="1"/>
  <c r="O290" i="1"/>
  <c r="N294" i="1"/>
  <c r="P291" i="1"/>
  <c r="O288" i="1"/>
  <c r="N285" i="1"/>
  <c r="P283" i="1"/>
  <c r="O278" i="1"/>
  <c r="N273" i="1"/>
  <c r="P271" i="1"/>
  <c r="O266" i="1"/>
  <c r="O259" i="1"/>
  <c r="N254" i="1"/>
  <c r="P252" i="1"/>
  <c r="O247" i="1"/>
  <c r="N242" i="1"/>
  <c r="O237" i="1"/>
  <c r="N232" i="1"/>
  <c r="P230" i="1"/>
  <c r="O225" i="1"/>
  <c r="N220" i="1"/>
  <c r="P218" i="1"/>
  <c r="O215" i="1"/>
  <c r="P212" i="1"/>
  <c r="O207" i="1"/>
  <c r="O291" i="1"/>
  <c r="N288" i="1"/>
  <c r="P286" i="1"/>
  <c r="O283" i="1"/>
  <c r="N278" i="1"/>
  <c r="P276" i="1"/>
  <c r="O271" i="1"/>
  <c r="N266" i="1"/>
  <c r="P264" i="1"/>
  <c r="N259" i="1"/>
  <c r="P257" i="1"/>
  <c r="O252" i="1"/>
  <c r="N247" i="1"/>
  <c r="P245" i="1"/>
  <c r="O295" i="1"/>
  <c r="P292" i="1"/>
  <c r="O289" i="1"/>
  <c r="N286" i="1"/>
  <c r="O281" i="1"/>
  <c r="N276" i="1"/>
  <c r="P274" i="1"/>
  <c r="N295" i="1"/>
  <c r="O292" i="1"/>
  <c r="N289" i="1"/>
  <c r="N281" i="1"/>
  <c r="P279" i="1"/>
  <c r="O274" i="1"/>
  <c r="N269" i="1"/>
  <c r="P267" i="1"/>
  <c r="O262" i="1"/>
  <c r="P260" i="1"/>
  <c r="O255" i="1"/>
  <c r="N250" i="1"/>
  <c r="P248" i="1"/>
  <c r="N240" i="1"/>
  <c r="P238" i="1"/>
  <c r="O233" i="1"/>
  <c r="N228" i="1"/>
  <c r="P226" i="1"/>
  <c r="O221" i="1"/>
  <c r="N216" i="1"/>
  <c r="N210" i="1"/>
  <c r="P208" i="1"/>
  <c r="O203" i="1"/>
  <c r="N200" i="1"/>
  <c r="P198" i="1"/>
  <c r="O193" i="1"/>
  <c r="N188" i="1"/>
  <c r="O183" i="1"/>
  <c r="N180" i="1"/>
  <c r="O175" i="1"/>
  <c r="N170" i="1"/>
  <c r="O167" i="1"/>
  <c r="N162" i="1"/>
  <c r="P154" i="1"/>
  <c r="O151" i="1"/>
  <c r="N148" i="1"/>
  <c r="O145" i="1"/>
  <c r="P142" i="1"/>
  <c r="P134" i="1"/>
  <c r="N130" i="1"/>
  <c r="P128" i="1"/>
  <c r="O125" i="1"/>
  <c r="N292" i="1"/>
  <c r="P284" i="1"/>
  <c r="O279" i="1"/>
  <c r="N274" i="1"/>
  <c r="P272" i="1"/>
  <c r="O267" i="1"/>
  <c r="O260" i="1"/>
  <c r="N255" i="1"/>
  <c r="P253" i="1"/>
  <c r="O248" i="1"/>
  <c r="P241" i="1"/>
  <c r="O238" i="1"/>
  <c r="N233" i="1"/>
  <c r="P231" i="1"/>
  <c r="O226" i="1"/>
  <c r="N221" i="1"/>
  <c r="P219" i="1"/>
  <c r="P213" i="1"/>
  <c r="O208" i="1"/>
  <c r="N203" i="1"/>
  <c r="P201" i="1"/>
  <c r="O198" i="1"/>
  <c r="N193" i="1"/>
  <c r="P191" i="1"/>
  <c r="N183" i="1"/>
  <c r="N175" i="1"/>
  <c r="P173" i="1"/>
  <c r="N167" i="1"/>
  <c r="P165" i="1"/>
  <c r="P157" i="1"/>
  <c r="O154" i="1"/>
  <c r="N151" i="1"/>
  <c r="P296" i="1"/>
  <c r="P293" i="1"/>
  <c r="P287" i="1"/>
  <c r="O284" i="1"/>
  <c r="N279" i="1"/>
  <c r="P277" i="1"/>
  <c r="O272" i="1"/>
  <c r="N267" i="1"/>
  <c r="P265" i="1"/>
  <c r="N260" i="1"/>
  <c r="P258" i="1"/>
  <c r="O253" i="1"/>
  <c r="O296" i="1"/>
  <c r="O293" i="1"/>
  <c r="P290" i="1"/>
  <c r="O287" i="1"/>
  <c r="N284" i="1"/>
  <c r="P282" i="1"/>
  <c r="O277" i="1"/>
  <c r="N272" i="1"/>
  <c r="P270" i="1"/>
  <c r="O265" i="1"/>
  <c r="O258" i="1"/>
  <c r="N253" i="1"/>
  <c r="P251" i="1"/>
  <c r="N241" i="1"/>
  <c r="O236" i="1"/>
  <c r="N231" i="1"/>
  <c r="P229" i="1"/>
  <c r="O224" i="1"/>
  <c r="N219" i="1"/>
  <c r="P217" i="1"/>
  <c r="N213" i="1"/>
  <c r="P211" i="1"/>
  <c r="N201" i="1"/>
  <c r="O196" i="1"/>
  <c r="N191" i="1"/>
  <c r="P189" i="1"/>
  <c r="O186" i="1"/>
  <c r="P181" i="1"/>
  <c r="O178" i="1"/>
  <c r="N173" i="1"/>
  <c r="P171" i="1"/>
  <c r="O168" i="1"/>
  <c r="N165" i="1"/>
  <c r="P163" i="1"/>
  <c r="O160" i="1"/>
  <c r="N157" i="1"/>
  <c r="P155" i="1"/>
  <c r="P149" i="1"/>
  <c r="O146" i="1"/>
  <c r="P143" i="1"/>
  <c r="N137" i="1"/>
  <c r="N131" i="1"/>
  <c r="P294" i="1"/>
  <c r="P285" i="1"/>
  <c r="O280" i="1"/>
  <c r="N275" i="1"/>
  <c r="P273" i="1"/>
  <c r="O268" i="1"/>
  <c r="N263" i="1"/>
  <c r="O261" i="1"/>
  <c r="N256" i="1"/>
  <c r="P254" i="1"/>
  <c r="O249" i="1"/>
  <c r="N244" i="1"/>
  <c r="P242" i="1"/>
  <c r="O239" i="1"/>
  <c r="N234" i="1"/>
  <c r="P232" i="1"/>
  <c r="O227" i="1"/>
  <c r="N222" i="1"/>
  <c r="P220" i="1"/>
  <c r="N214" i="1"/>
  <c r="O209" i="1"/>
  <c r="N204" i="1"/>
  <c r="P202" i="1"/>
  <c r="O199" i="1"/>
  <c r="N194" i="1"/>
  <c r="P192" i="1"/>
  <c r="O187" i="1"/>
  <c r="N184" i="1"/>
  <c r="N176" i="1"/>
  <c r="P174" i="1"/>
  <c r="P166" i="1"/>
  <c r="P158" i="1"/>
  <c r="N152" i="1"/>
  <c r="P150" i="1"/>
  <c r="O147" i="1"/>
  <c r="P144" i="1"/>
  <c r="P138" i="1"/>
  <c r="O135" i="1"/>
  <c r="P132" i="1"/>
  <c r="O129" i="1"/>
  <c r="N126" i="1"/>
  <c r="P124" i="1"/>
  <c r="O119" i="1"/>
  <c r="P116" i="1"/>
  <c r="O294" i="1"/>
  <c r="P288" i="1"/>
  <c r="O285" i="1"/>
  <c r="N280" i="1"/>
  <c r="P278" i="1"/>
  <c r="O273" i="1"/>
  <c r="N268" i="1"/>
  <c r="P266" i="1"/>
  <c r="N261" i="1"/>
  <c r="P259" i="1"/>
  <c r="O254" i="1"/>
  <c r="N249" i="1"/>
  <c r="P247" i="1"/>
  <c r="O242" i="1"/>
  <c r="N239" i="1"/>
  <c r="P237" i="1"/>
  <c r="O232" i="1"/>
  <c r="N227" i="1"/>
  <c r="P225" i="1"/>
  <c r="O220" i="1"/>
  <c r="P215" i="1"/>
  <c r="N209" i="1"/>
  <c r="P207" i="1"/>
  <c r="O202" i="1"/>
  <c r="N199" i="1"/>
  <c r="P197" i="1"/>
  <c r="O192" i="1"/>
  <c r="N187" i="1"/>
  <c r="P179" i="1"/>
  <c r="O174" i="1"/>
  <c r="P169" i="1"/>
  <c r="O166" i="1"/>
  <c r="P161" i="1"/>
  <c r="O158" i="1"/>
  <c r="O150" i="1"/>
  <c r="N147" i="1"/>
  <c r="O144" i="1"/>
  <c r="P141" i="1"/>
  <c r="O138" i="1"/>
  <c r="N135" i="1"/>
  <c r="O12" i="1"/>
  <c r="N17" i="1"/>
  <c r="O20" i="1"/>
  <c r="O24" i="1"/>
  <c r="N29" i="1"/>
  <c r="O34" i="1"/>
  <c r="P37" i="1"/>
  <c r="O40" i="1"/>
  <c r="N43" i="1"/>
  <c r="P49" i="1"/>
  <c r="N51" i="1"/>
  <c r="O54" i="1"/>
  <c r="P57" i="1"/>
  <c r="N59" i="1"/>
  <c r="O62" i="1"/>
  <c r="N65" i="1"/>
  <c r="P71" i="1"/>
  <c r="O76" i="1"/>
  <c r="P81" i="1"/>
  <c r="N83" i="1"/>
  <c r="O88" i="1"/>
  <c r="P93" i="1"/>
  <c r="N95" i="1"/>
  <c r="N101" i="1"/>
  <c r="O104" i="1"/>
  <c r="P107" i="1"/>
  <c r="N109" i="1"/>
  <c r="P113" i="1"/>
  <c r="N115" i="1"/>
  <c r="P118" i="1"/>
  <c r="P123" i="1"/>
  <c r="O141" i="1"/>
  <c r="P148" i="1"/>
  <c r="P152" i="1"/>
  <c r="O163" i="1"/>
  <c r="O165" i="1"/>
  <c r="O169" i="1"/>
  <c r="P175" i="1"/>
  <c r="O177" i="1"/>
  <c r="N179" i="1"/>
  <c r="P186" i="1"/>
  <c r="O188" i="1"/>
  <c r="N190" i="1"/>
  <c r="N192" i="1"/>
  <c r="P203" i="1"/>
  <c r="O205" i="1"/>
  <c r="N215" i="1"/>
  <c r="O219" i="1"/>
  <c r="O228" i="1"/>
  <c r="N230" i="1"/>
  <c r="P239" i="1"/>
  <c r="P250" i="1"/>
  <c r="P255" i="1"/>
  <c r="O257" i="1"/>
  <c r="N270" i="1"/>
  <c r="P281" i="1"/>
  <c r="P40" i="1"/>
  <c r="O43" i="1"/>
  <c r="N46" i="1"/>
  <c r="O51" i="1"/>
  <c r="P54" i="1"/>
  <c r="N56" i="1"/>
  <c r="O59" i="1"/>
  <c r="P62" i="1"/>
  <c r="O65" i="1"/>
  <c r="N68" i="1"/>
  <c r="P76" i="1"/>
  <c r="N78" i="1"/>
  <c r="O83" i="1"/>
  <c r="P88" i="1"/>
  <c r="N90" i="1"/>
  <c r="O95" i="1"/>
  <c r="N98" i="1"/>
  <c r="O101" i="1"/>
  <c r="P104" i="1"/>
  <c r="O109" i="1"/>
  <c r="N112" i="1"/>
  <c r="O115" i="1"/>
  <c r="N120" i="1"/>
  <c r="N129" i="1"/>
  <c r="N143" i="1"/>
  <c r="N150" i="1"/>
  <c r="N171" i="1"/>
  <c r="P177" i="1"/>
  <c r="O179" i="1"/>
  <c r="P188" i="1"/>
  <c r="O190" i="1"/>
  <c r="P205" i="1"/>
  <c r="N207" i="1"/>
  <c r="N217" i="1"/>
  <c r="P228" i="1"/>
  <c r="O230" i="1"/>
  <c r="N235" i="1"/>
  <c r="O241" i="1"/>
  <c r="O270" i="1"/>
  <c r="P65" i="1"/>
  <c r="O68" i="1"/>
  <c r="N73" i="1"/>
  <c r="O78" i="1"/>
  <c r="P83" i="1"/>
  <c r="N85" i="1"/>
  <c r="O90" i="1"/>
  <c r="P95" i="1"/>
  <c r="O98" i="1"/>
  <c r="P101" i="1"/>
  <c r="P109" i="1"/>
  <c r="O112" i="1"/>
  <c r="P115" i="1"/>
  <c r="O120" i="1"/>
  <c r="P129" i="1"/>
  <c r="N134" i="1"/>
  <c r="O143" i="1"/>
  <c r="N145" i="1"/>
  <c r="N154" i="1"/>
  <c r="N156" i="1"/>
  <c r="N158" i="1"/>
  <c r="O171" i="1"/>
  <c r="O173" i="1"/>
  <c r="N181" i="1"/>
  <c r="P190" i="1"/>
  <c r="P199" i="1"/>
  <c r="O217" i="1"/>
  <c r="O222" i="1"/>
  <c r="N226" i="1"/>
  <c r="O235" i="1"/>
  <c r="N237" i="1"/>
  <c r="N248" i="1"/>
  <c r="O263" i="1"/>
  <c r="N265" i="1"/>
  <c r="P268" i="1"/>
  <c r="O276" i="1"/>
  <c r="O286" i="1"/>
  <c r="P295" i="1"/>
  <c r="N160" i="1"/>
  <c r="O181" i="1"/>
  <c r="N195" i="1"/>
  <c r="N197" i="1"/>
  <c r="O201" i="1"/>
  <c r="P222" i="1"/>
  <c r="N224" i="1"/>
  <c r="P233" i="1"/>
  <c r="P235" i="1"/>
  <c r="P263" i="1"/>
  <c r="N291" i="1"/>
  <c r="N2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7" authorId="0" shapeId="0" xr:uid="{00000000-0006-0000-0000-000002000000}">
      <text>
        <r>
          <rPr>
            <sz val="10"/>
            <color rgb="FF000000"/>
            <rFont val="Arial"/>
            <scheme val="minor"/>
          </rPr>
          <t>Responder updated this value.</t>
        </r>
      </text>
    </comment>
    <comment ref="G14" authorId="0" shapeId="0" xr:uid="{00000000-0006-0000-0000-000006000000}">
      <text>
        <r>
          <rPr>
            <sz val="10"/>
            <color rgb="FF000000"/>
            <rFont val="Arial"/>
            <scheme val="minor"/>
          </rPr>
          <t>Responder updated this value.</t>
        </r>
      </text>
    </comment>
    <comment ref="G19" authorId="0" shapeId="0" xr:uid="{00000000-0006-0000-0000-000008000000}">
      <text>
        <r>
          <rPr>
            <sz val="10"/>
            <color rgb="FF000000"/>
            <rFont val="Arial"/>
            <scheme val="minor"/>
          </rPr>
          <t>Responder updated this value.</t>
        </r>
      </text>
    </comment>
    <comment ref="G20" authorId="0" shapeId="0" xr:uid="{00000000-0006-0000-0000-000009000000}">
      <text>
        <r>
          <rPr>
            <sz val="10"/>
            <color rgb="FF000000"/>
            <rFont val="Arial"/>
            <scheme val="minor"/>
          </rPr>
          <t>Responder updated this value.</t>
        </r>
      </text>
    </comment>
    <comment ref="G32" authorId="0" shapeId="0" xr:uid="{00000000-0006-0000-0000-00000B000000}">
      <text>
        <r>
          <rPr>
            <sz val="10"/>
            <color rgb="FF000000"/>
            <rFont val="Arial"/>
            <scheme val="minor"/>
          </rPr>
          <t>Responder updated this value.</t>
        </r>
      </text>
    </comment>
    <comment ref="G42" authorId="0" shapeId="0" xr:uid="{00000000-0006-0000-0000-00000D000000}">
      <text>
        <r>
          <rPr>
            <sz val="10"/>
            <color rgb="FF000000"/>
            <rFont val="Arial"/>
            <scheme val="minor"/>
          </rPr>
          <t>Responder updated this value.</t>
        </r>
      </text>
    </comment>
    <comment ref="G48" authorId="0" shapeId="0" xr:uid="{00000000-0006-0000-0000-00000E000000}">
      <text>
        <r>
          <rPr>
            <sz val="10"/>
            <color rgb="FF000000"/>
            <rFont val="Arial"/>
            <scheme val="minor"/>
          </rPr>
          <t>Responder updated this value.</t>
        </r>
      </text>
    </comment>
    <comment ref="G60" authorId="0" shapeId="0" xr:uid="{00000000-0006-0000-0000-000014000000}">
      <text>
        <r>
          <rPr>
            <sz val="10"/>
            <color rgb="FF000000"/>
            <rFont val="Arial"/>
            <scheme val="minor"/>
          </rPr>
          <t>Responder updated this value.</t>
        </r>
      </text>
    </comment>
    <comment ref="G63" authorId="0" shapeId="0" xr:uid="{00000000-0006-0000-0000-000015000000}">
      <text>
        <r>
          <rPr>
            <sz val="10"/>
            <color rgb="FF000000"/>
            <rFont val="Arial"/>
            <scheme val="minor"/>
          </rPr>
          <t>Responder updated this value.</t>
        </r>
      </text>
    </comment>
    <comment ref="G64" authorId="0" shapeId="0" xr:uid="{00000000-0006-0000-0000-000017000000}">
      <text>
        <r>
          <rPr>
            <sz val="10"/>
            <color rgb="FF000000"/>
            <rFont val="Arial"/>
            <scheme val="minor"/>
          </rPr>
          <t>Responder updated this value.</t>
        </r>
      </text>
    </comment>
    <comment ref="G68" authorId="0" shapeId="0" xr:uid="{00000000-0006-0000-0000-000019000000}">
      <text>
        <r>
          <rPr>
            <sz val="10"/>
            <color rgb="FF000000"/>
            <rFont val="Arial"/>
            <scheme val="minor"/>
          </rPr>
          <t>Responder updated this value.</t>
        </r>
      </text>
    </comment>
    <comment ref="G69" authorId="0" shapeId="0" xr:uid="{00000000-0006-0000-0000-00001A000000}">
      <text>
        <r>
          <rPr>
            <sz val="10"/>
            <color rgb="FF000000"/>
            <rFont val="Arial"/>
            <scheme val="minor"/>
          </rPr>
          <t>Responder updated this value.</t>
        </r>
      </text>
    </comment>
    <comment ref="G70" authorId="0" shapeId="0" xr:uid="{00000000-0006-0000-0000-00001B000000}">
      <text>
        <r>
          <rPr>
            <sz val="10"/>
            <color rgb="FF000000"/>
            <rFont val="Arial"/>
            <scheme val="minor"/>
          </rPr>
          <t>Responder updated this value.</t>
        </r>
      </text>
    </comment>
    <comment ref="G76" authorId="0" shapeId="0" xr:uid="{00000000-0006-0000-0000-00001C000000}">
      <text>
        <r>
          <rPr>
            <sz val="10"/>
            <color rgb="FF000000"/>
            <rFont val="Arial"/>
            <scheme val="minor"/>
          </rPr>
          <t>Responder updated this value.</t>
        </r>
      </text>
    </comment>
    <comment ref="G79" authorId="0" shapeId="0" xr:uid="{00000000-0006-0000-0000-00001E000000}">
      <text>
        <r>
          <rPr>
            <sz val="10"/>
            <color rgb="FF000000"/>
            <rFont val="Arial"/>
            <scheme val="minor"/>
          </rPr>
          <t>Responder updated this value.</t>
        </r>
      </text>
    </comment>
    <comment ref="G85" authorId="0" shapeId="0" xr:uid="{00000000-0006-0000-0000-00001F000000}">
      <text>
        <r>
          <rPr>
            <sz val="10"/>
            <color rgb="FF000000"/>
            <rFont val="Arial"/>
            <scheme val="minor"/>
          </rPr>
          <t>Responder updated this value.</t>
        </r>
      </text>
    </comment>
    <comment ref="G88" authorId="0" shapeId="0" xr:uid="{00000000-0006-0000-0000-000021000000}">
      <text>
        <r>
          <rPr>
            <sz val="10"/>
            <color rgb="FF000000"/>
            <rFont val="Arial"/>
            <scheme val="minor"/>
          </rPr>
          <t>Responder updated this value.</t>
        </r>
      </text>
    </comment>
    <comment ref="G95" authorId="0" shapeId="0" xr:uid="{00000000-0006-0000-0000-000022000000}">
      <text>
        <r>
          <rPr>
            <sz val="10"/>
            <color rgb="FF000000"/>
            <rFont val="Arial"/>
            <scheme val="minor"/>
          </rPr>
          <t>Responder updated this value.</t>
        </r>
      </text>
    </comment>
    <comment ref="G100" authorId="0" shapeId="0" xr:uid="{00000000-0006-0000-0000-000024000000}">
      <text>
        <r>
          <rPr>
            <sz val="10"/>
            <color rgb="FF000000"/>
            <rFont val="Arial"/>
            <scheme val="minor"/>
          </rPr>
          <t>Responder updated this value.</t>
        </r>
      </text>
    </comment>
    <comment ref="G101" authorId="0" shapeId="0" xr:uid="{00000000-0006-0000-0000-000025000000}">
      <text>
        <r>
          <rPr>
            <sz val="10"/>
            <color rgb="FF000000"/>
            <rFont val="Arial"/>
            <scheme val="minor"/>
          </rPr>
          <t>Responder updated this value.</t>
        </r>
      </text>
    </comment>
    <comment ref="G102" authorId="0" shapeId="0" xr:uid="{00000000-0006-0000-0000-000026000000}">
      <text>
        <r>
          <rPr>
            <sz val="10"/>
            <color rgb="FF000000"/>
            <rFont val="Arial"/>
            <scheme val="minor"/>
          </rPr>
          <t>Responder updated this value.</t>
        </r>
      </text>
    </comment>
    <comment ref="G105" authorId="0" shapeId="0" xr:uid="{00000000-0006-0000-0000-000027000000}">
      <text>
        <r>
          <rPr>
            <sz val="10"/>
            <color rgb="FF000000"/>
            <rFont val="Arial"/>
            <scheme val="minor"/>
          </rPr>
          <t>Responder updated this value.</t>
        </r>
      </text>
    </comment>
    <comment ref="G109" authorId="0" shapeId="0" xr:uid="{00000000-0006-0000-0000-000029000000}">
      <text>
        <r>
          <rPr>
            <sz val="10"/>
            <color rgb="FF000000"/>
            <rFont val="Arial"/>
            <scheme val="minor"/>
          </rPr>
          <t>Responder updated this value.</t>
        </r>
      </text>
    </comment>
    <comment ref="G110" authorId="0" shapeId="0" xr:uid="{00000000-0006-0000-0000-00002B000000}">
      <text>
        <r>
          <rPr>
            <sz val="10"/>
            <color rgb="FF000000"/>
            <rFont val="Arial"/>
            <scheme val="minor"/>
          </rPr>
          <t>Responder updated this value.</t>
        </r>
      </text>
    </comment>
    <comment ref="G118" authorId="0" shapeId="0" xr:uid="{00000000-0006-0000-0000-000031000000}">
      <text>
        <r>
          <rPr>
            <sz val="10"/>
            <color rgb="FF000000"/>
            <rFont val="Arial"/>
            <scheme val="minor"/>
          </rPr>
          <t>Responder updated this value.</t>
        </r>
      </text>
    </comment>
    <comment ref="G119" authorId="0" shapeId="0" xr:uid="{00000000-0006-0000-0000-000032000000}">
      <text>
        <r>
          <rPr>
            <sz val="10"/>
            <color rgb="FF000000"/>
            <rFont val="Arial"/>
            <scheme val="minor"/>
          </rPr>
          <t>Responder updated this value.</t>
        </r>
      </text>
    </comment>
    <comment ref="G126" authorId="0" shapeId="0" xr:uid="{00000000-0006-0000-0000-000034000000}">
      <text>
        <r>
          <rPr>
            <sz val="10"/>
            <color rgb="FF000000"/>
            <rFont val="Arial"/>
            <scheme val="minor"/>
          </rPr>
          <t>Responder updated this value.</t>
        </r>
      </text>
    </comment>
    <comment ref="G129" authorId="0" shapeId="0" xr:uid="{00000000-0006-0000-0000-000036000000}">
      <text>
        <r>
          <rPr>
            <sz val="10"/>
            <color rgb="FF000000"/>
            <rFont val="Arial"/>
            <scheme val="minor"/>
          </rPr>
          <t>Responder updated this value.</t>
        </r>
      </text>
    </comment>
    <comment ref="G132" authorId="0" shapeId="0" xr:uid="{00000000-0006-0000-0000-000037000000}">
      <text>
        <r>
          <rPr>
            <sz val="10"/>
            <color rgb="FF000000"/>
            <rFont val="Arial"/>
            <scheme val="minor"/>
          </rPr>
          <t>Responder updated this value.</t>
        </r>
      </text>
    </comment>
    <comment ref="G133" authorId="0" shapeId="0" xr:uid="{00000000-0006-0000-0000-000038000000}">
      <text>
        <r>
          <rPr>
            <sz val="10"/>
            <color rgb="FF000000"/>
            <rFont val="Arial"/>
            <scheme val="minor"/>
          </rPr>
          <t>Responder updated this value.</t>
        </r>
      </text>
    </comment>
    <comment ref="G134" authorId="0" shapeId="0" xr:uid="{00000000-0006-0000-0000-000039000000}">
      <text>
        <r>
          <rPr>
            <sz val="10"/>
            <color rgb="FF000000"/>
            <rFont val="Arial"/>
            <scheme val="minor"/>
          </rPr>
          <t>Responder updated this value.</t>
        </r>
      </text>
    </comment>
    <comment ref="G145" authorId="0" shapeId="0" xr:uid="{00000000-0006-0000-0000-00003B000000}">
      <text>
        <r>
          <rPr>
            <sz val="10"/>
            <color rgb="FF000000"/>
            <rFont val="Arial"/>
            <scheme val="minor"/>
          </rPr>
          <t>Responder updated this value.</t>
        </r>
      </text>
    </comment>
    <comment ref="G146" authorId="0" shapeId="0" xr:uid="{00000000-0006-0000-0000-00003C000000}">
      <text>
        <r>
          <rPr>
            <sz val="10"/>
            <color rgb="FF000000"/>
            <rFont val="Arial"/>
            <scheme val="minor"/>
          </rPr>
          <t>Responder updated this value.</t>
        </r>
      </text>
    </comment>
    <comment ref="G150" authorId="0" shapeId="0" xr:uid="{00000000-0006-0000-0000-00003F000000}">
      <text>
        <r>
          <rPr>
            <sz val="10"/>
            <color rgb="FF000000"/>
            <rFont val="Arial"/>
            <scheme val="minor"/>
          </rPr>
          <t>Responder updated this value.</t>
        </r>
      </text>
    </comment>
    <comment ref="G179" authorId="0" shapeId="0" xr:uid="{00000000-0006-0000-0000-000040000000}">
      <text>
        <r>
          <rPr>
            <sz val="10"/>
            <color rgb="FF000000"/>
            <rFont val="Arial"/>
            <scheme val="minor"/>
          </rPr>
          <t>Responder updated this value.</t>
        </r>
      </text>
    </comment>
    <comment ref="G181" authorId="0" shapeId="0" xr:uid="{00000000-0006-0000-0000-000041000000}">
      <text>
        <r>
          <rPr>
            <sz val="10"/>
            <color rgb="FF000000"/>
            <rFont val="Arial"/>
            <scheme val="minor"/>
          </rPr>
          <t>Responder updated this value.</t>
        </r>
      </text>
    </comment>
    <comment ref="G199" authorId="0" shapeId="0" xr:uid="{00000000-0006-0000-0000-000045000000}">
      <text>
        <r>
          <rPr>
            <sz val="10"/>
            <color rgb="FF000000"/>
            <rFont val="Arial"/>
            <scheme val="minor"/>
          </rPr>
          <t>Responder updated this value.</t>
        </r>
      </text>
    </comment>
    <comment ref="G249" authorId="0" shapeId="0" xr:uid="{00000000-0006-0000-0000-00004A000000}">
      <text>
        <r>
          <rPr>
            <sz val="10"/>
            <color rgb="FF000000"/>
            <rFont val="Arial"/>
            <scheme val="minor"/>
          </rPr>
          <t>Responder updated this value.</t>
        </r>
      </text>
    </comment>
  </commentList>
</comments>
</file>

<file path=xl/sharedStrings.xml><?xml version="1.0" encoding="utf-8"?>
<sst xmlns="http://schemas.openxmlformats.org/spreadsheetml/2006/main" count="5732" uniqueCount="927">
  <si>
    <t>Timestamp</t>
  </si>
  <si>
    <t>Mã số sinh viên (đầy đủ)</t>
  </si>
  <si>
    <t>Họ và tên</t>
  </si>
  <si>
    <t>Lớp (ví dụ: K25PSUDLK 1)</t>
  </si>
  <si>
    <t>Chuyên ngành</t>
  </si>
  <si>
    <t xml:space="preserve">Khóa </t>
  </si>
  <si>
    <t>Tham gia tốt nghiệp cuối khóa đợt tháng 06/2025 (sinh viên tham gia mục nào thì tick vào mục đó)</t>
  </si>
  <si>
    <t>Đơn dự thực tập tốt nghiệp 06/2025
(khóa cũ phải nộp)</t>
  </si>
  <si>
    <t>Mã đơn tham dự tốt nghiệp</t>
  </si>
  <si>
    <t>Ngày khoa cấp giấy giới thiệu thực tập</t>
  </si>
  <si>
    <t>Ghi chú của giáo vụ</t>
  </si>
  <si>
    <t>THÔNG TIN ĐỐI CHIẾU CỦA KHOA</t>
  </si>
  <si>
    <t>Tên đơn vị thực tập (sinh viên đã được doanh nghiệp xác nhận nhận vào thực tập)</t>
  </si>
  <si>
    <t>Bộ phận TT khoa đã duyệt</t>
  </si>
  <si>
    <t>Kết quả xét duyệt đơn vị thực tập</t>
  </si>
  <si>
    <t>XÉT ĐIỀU KIỆN THỰC TẬP</t>
  </si>
  <si>
    <t>xin chuyển từ Khóa luận sang Chuyên đề</t>
  </si>
  <si>
    <t>Đơn xin chuyển đổi hình thức</t>
  </si>
  <si>
    <t>Lê Thị Khánh Thư</t>
  </si>
  <si>
    <t>K27DLK3</t>
  </si>
  <si>
    <t>Quản trị Du lịch &amp; Khách sạn</t>
  </si>
  <si>
    <t>K27</t>
  </si>
  <si>
    <t>Thực tập tốt nghiệp, Thi tốt nghiệp</t>
  </si>
  <si>
    <t>ĐÃ NỘP</t>
  </si>
  <si>
    <t>20/12/2024</t>
  </si>
  <si>
    <t>Lê Thị Như Thiện</t>
  </si>
  <si>
    <t>K27DLK2</t>
  </si>
  <si>
    <t>Thực tập tốt nghiệp</t>
  </si>
  <si>
    <t xml:space="preserve">Nguyễn Thị Thu Thương </t>
  </si>
  <si>
    <t>Trần Văn Thành</t>
  </si>
  <si>
    <t>CHƯA NỘP</t>
  </si>
  <si>
    <t>27/12/2024</t>
  </si>
  <si>
    <t>Lê Văn Tiến</t>
  </si>
  <si>
    <t>K26DLK2</t>
  </si>
  <si>
    <t>K26</t>
  </si>
  <si>
    <t>14/01/2025</t>
  </si>
  <si>
    <t>Đỗ Anh Tú</t>
  </si>
  <si>
    <t>K27DKL6</t>
  </si>
  <si>
    <t>Thực tập tốt nghiệp, Thi tốt nghiệp, Công nhận tốt nghiệp</t>
  </si>
  <si>
    <t>24/12/2024</t>
  </si>
  <si>
    <t>Nguyễn Phương Trinh</t>
  </si>
  <si>
    <t>K25PSUDLK7</t>
  </si>
  <si>
    <t>Quản trị Du lịch &amp; Khách sạn chuẩn PSU</t>
  </si>
  <si>
    <t>K25</t>
  </si>
  <si>
    <t>Công nhận tốt nghiệp</t>
  </si>
  <si>
    <t xml:space="preserve">Vũ Thị Khánh Linh </t>
  </si>
  <si>
    <t>K27PSUDLK 1</t>
  </si>
  <si>
    <t>Nguyễn Thu Phương</t>
  </si>
  <si>
    <t>K27DLK7</t>
  </si>
  <si>
    <t xml:space="preserve">Hoàng Ngọc Bảo Trâm </t>
  </si>
  <si>
    <t>Nguyễn Phùng Linh Chi</t>
  </si>
  <si>
    <t>Đặng Thị Tố Nữ</t>
  </si>
  <si>
    <t>Nguyễn Tạ Thanh Trúc</t>
  </si>
  <si>
    <t>K27PSUDLK2</t>
  </si>
  <si>
    <t>Nguyễn Minh Hoà</t>
  </si>
  <si>
    <t>K27PSUDLK 2</t>
  </si>
  <si>
    <t>Nguyễn Trương Hải Hà</t>
  </si>
  <si>
    <t>Đỗ Kim Thành</t>
  </si>
  <si>
    <t>Vũ Bùi Hương Giang</t>
  </si>
  <si>
    <t>Nguyễn Minh Đức</t>
  </si>
  <si>
    <t xml:space="preserve">Thái Thị Thuý Vi </t>
  </si>
  <si>
    <t>Trần Thị Mơ</t>
  </si>
  <si>
    <t>Nguyễn Cao Hoàng Kim</t>
  </si>
  <si>
    <t>K27DLK5</t>
  </si>
  <si>
    <t>SV chưa nhận GTT</t>
  </si>
  <si>
    <t>Trần Lê Lan Hương</t>
  </si>
  <si>
    <t>VÕ THỊ THU THẢO</t>
  </si>
  <si>
    <t xml:space="preserve">Nguyễn Thị Tường Vi </t>
  </si>
  <si>
    <t>Lê Trà Tố Quyên</t>
  </si>
  <si>
    <t>K26DLK15</t>
  </si>
  <si>
    <t xml:space="preserve">Nguyễn Thị Bảo Ngọc </t>
  </si>
  <si>
    <t>Nguyễn Mai Anh</t>
  </si>
  <si>
    <t>K27PSUDLH</t>
  </si>
  <si>
    <t>Quản trị Du lịch &amp; Nhà hàng chuẩn PSU</t>
  </si>
  <si>
    <t>Ngô Thị Hồng Nhung</t>
  </si>
  <si>
    <t>K27-PSU-DLH</t>
  </si>
  <si>
    <t>Nguyễn Vũ Lan Anh</t>
  </si>
  <si>
    <t>Nguyễn Thị Diễm Thuý</t>
  </si>
  <si>
    <t>Trần Thị Thanh Nguyệt</t>
  </si>
  <si>
    <t>K27PSUDLK1</t>
  </si>
  <si>
    <t xml:space="preserve">Hồ Yến Nhi </t>
  </si>
  <si>
    <t>Huỳnh Thị Thanh Nhàn</t>
  </si>
  <si>
    <t xml:space="preserve">K27PSUDLK 1 </t>
  </si>
  <si>
    <t>Nguyễn Đăng Khoa</t>
  </si>
  <si>
    <t xml:space="preserve">Lê Thị Thu Ny </t>
  </si>
  <si>
    <t>Phan Thị Thanh Uyên</t>
  </si>
  <si>
    <t>Ngô Thị Phương Thảo</t>
  </si>
  <si>
    <t xml:space="preserve">Đặng Thị Tuyết Trinh </t>
  </si>
  <si>
    <t>Nguyễn Thị Kiều Diễm</t>
  </si>
  <si>
    <t>K27 PSU-DLK1</t>
  </si>
  <si>
    <t>Nguyễn Ngọc Thạch</t>
  </si>
  <si>
    <t>Hoàng Thị Thanh Thảo</t>
  </si>
  <si>
    <t>Triệu Đức Mạnh</t>
  </si>
  <si>
    <t>Đoàn Tuấn Minh</t>
  </si>
  <si>
    <t>K26PSUDLK4</t>
  </si>
  <si>
    <t>Nguyễn Thị Bảo Ngọc</t>
  </si>
  <si>
    <t>Đinh Thị Vỹ Tâm</t>
  </si>
  <si>
    <t>Võ Thị Y Ngân</t>
  </si>
  <si>
    <t>Nguyễn Kim Thanh Trúc</t>
  </si>
  <si>
    <t xml:space="preserve">Đinh minh thành </t>
  </si>
  <si>
    <t>K26psudlk3</t>
  </si>
  <si>
    <t>18/01/2025</t>
  </si>
  <si>
    <t xml:space="preserve">Hồ Văn Minh Quân </t>
  </si>
  <si>
    <t>K25DLK10</t>
  </si>
  <si>
    <t>PHẠM NGỌC TƯƠI</t>
  </si>
  <si>
    <t>Trần Đinh Phương Trinh</t>
  </si>
  <si>
    <t>K25PSUDLK 9</t>
  </si>
  <si>
    <t>Trang Minh Phúc</t>
  </si>
  <si>
    <t>K27DLK4</t>
  </si>
  <si>
    <t>Nguyễn Văn Hưng</t>
  </si>
  <si>
    <t>K27DLK 2</t>
  </si>
  <si>
    <t>Nguyễn Thị Thanh Nhung</t>
  </si>
  <si>
    <t>Nguyễn Lê Tường Vy</t>
  </si>
  <si>
    <t>Thực tập tốt nghiệp, Công nhận tốt nghiệp</t>
  </si>
  <si>
    <t>Vương Khánh Duy Anh</t>
  </si>
  <si>
    <t>Trương Thị Thanh Huyền</t>
  </si>
  <si>
    <t>K27DLK1</t>
  </si>
  <si>
    <t>H' Trùng Mlô</t>
  </si>
  <si>
    <t>Mai Thị Kim Ngọc</t>
  </si>
  <si>
    <t xml:space="preserve">Trương Ngọc Thảo Nguyên </t>
  </si>
  <si>
    <t>K27DLK6</t>
  </si>
  <si>
    <t>Trương Thị Ngọc Lan</t>
  </si>
  <si>
    <t>K27DKL2</t>
  </si>
  <si>
    <t xml:space="preserve">Đoàn Minh Trí </t>
  </si>
  <si>
    <t>K27 DLK5</t>
  </si>
  <si>
    <t>Hồ Thị Hiếu</t>
  </si>
  <si>
    <t>Đặng Thị Thu Hoài</t>
  </si>
  <si>
    <t>Phạm Thị Ánh Tuyết</t>
  </si>
  <si>
    <t xml:space="preserve">K27DLK3 </t>
  </si>
  <si>
    <t>Đinh Hoàng Mơ</t>
  </si>
  <si>
    <t xml:space="preserve">Trần Thị Hoàn Mỹ </t>
  </si>
  <si>
    <t>Nguyễn Vi Tường</t>
  </si>
  <si>
    <t xml:space="preserve">Nguyễn Thị Hồng Thư </t>
  </si>
  <si>
    <t>Đặng Trần Minh Quân</t>
  </si>
  <si>
    <t>Lê Kim Quy</t>
  </si>
  <si>
    <t>Trịnh Thị Mỹ Duyên</t>
  </si>
  <si>
    <t>K25DLK14</t>
  </si>
  <si>
    <t>Trần Dỉnh Khang</t>
  </si>
  <si>
    <t>Nguyễn Hoàng Anh Thơ</t>
  </si>
  <si>
    <t xml:space="preserve">K27PSUDLK2 </t>
  </si>
  <si>
    <t>Ngô Thị Tuyết Nhi</t>
  </si>
  <si>
    <t>K27DLK 4</t>
  </si>
  <si>
    <t>Hoàng Phương Thảo</t>
  </si>
  <si>
    <t xml:space="preserve">Bùi Thị Phương Nga </t>
  </si>
  <si>
    <t>Đặng Thị Yến Nhi</t>
  </si>
  <si>
    <t>Đặng Thị Quỳnh Như</t>
  </si>
  <si>
    <t>K27ldk2</t>
  </si>
  <si>
    <t>Hồ Thị Diễm</t>
  </si>
  <si>
    <t>Nguyễn Văn Chung</t>
  </si>
  <si>
    <t>Lê Quốc Huy</t>
  </si>
  <si>
    <t>Văn Thị Thanh Thảo</t>
  </si>
  <si>
    <t>MAI THỊ YẾN SƯƠNG</t>
  </si>
  <si>
    <t>Trương Hoàng Ngọc Nhi</t>
  </si>
  <si>
    <t>sv chưa nhận GTT</t>
  </si>
  <si>
    <t xml:space="preserve">Võ Lương Phương Yến </t>
  </si>
  <si>
    <t>Võ Hoàng Thu Trang</t>
  </si>
  <si>
    <t>Trần Hoàng Thu Thuỷ</t>
  </si>
  <si>
    <t>Phùng Văn Thọ</t>
  </si>
  <si>
    <t xml:space="preserve">Nguyễn Thị Kim Yến </t>
  </si>
  <si>
    <t>Dương Khánh Vy</t>
  </si>
  <si>
    <t>Hoàng Thị Thuỷ Tiên</t>
  </si>
  <si>
    <t>Phạm Ngọc Châu</t>
  </si>
  <si>
    <t>Cao Nguyễn Minh Châu</t>
  </si>
  <si>
    <t>Bùi Phạm Thanh Ngân</t>
  </si>
  <si>
    <t>LƯƠNG THỊ MINH TÂM</t>
  </si>
  <si>
    <t xml:space="preserve">Huỳnh Đức Quý </t>
  </si>
  <si>
    <t>Nguyễn Đức Tiến</t>
  </si>
  <si>
    <t>K27DLK 5</t>
  </si>
  <si>
    <t>NGUYỄN HUỲNH THẢO NHI</t>
  </si>
  <si>
    <t>Trần Thị Tâm Phúc</t>
  </si>
  <si>
    <t>K277DLK 7</t>
  </si>
  <si>
    <t>Nguyễn Đức Hậu</t>
  </si>
  <si>
    <t>20/01/2025</t>
  </si>
  <si>
    <t>Lưu Vương Hà My</t>
  </si>
  <si>
    <t xml:space="preserve">Ngô Thị Thanh Tâm </t>
  </si>
  <si>
    <t xml:space="preserve">Trần Thị Thủy Tiên </t>
  </si>
  <si>
    <t>Phạm Huỳnh Tường Vy</t>
  </si>
  <si>
    <t>Trần Quốc Đăng</t>
  </si>
  <si>
    <t>Huỳnh Phạm Hương Giang</t>
  </si>
  <si>
    <t>Nguyễn Lê Kiều Trinh</t>
  </si>
  <si>
    <t>K27-DLK7</t>
  </si>
  <si>
    <t>Hoàng Đình Quân</t>
  </si>
  <si>
    <t>K26DLK6</t>
  </si>
  <si>
    <t>Nguyễn Phú Nhân</t>
  </si>
  <si>
    <t>K27DLK 1</t>
  </si>
  <si>
    <t>Nguyễn Huỳnh Ái Ly</t>
  </si>
  <si>
    <t>Lê Thị Trà My</t>
  </si>
  <si>
    <t>Phan Ngọc Nguyên Anh</t>
  </si>
  <si>
    <t xml:space="preserve">Lê Thị Thu Ngọc </t>
  </si>
  <si>
    <t xml:space="preserve">K27-DLK7 </t>
  </si>
  <si>
    <t xml:space="preserve">Hồ Minh Quyên </t>
  </si>
  <si>
    <t>K23PSUDLK1</t>
  </si>
  <si>
    <t>K23</t>
  </si>
  <si>
    <t>Lê Thị Kiều Như</t>
  </si>
  <si>
    <t>Thi tốt nghiệp</t>
  </si>
  <si>
    <t>Lê Tống Thu Hiền</t>
  </si>
  <si>
    <t>Y Tâm Hwing</t>
  </si>
  <si>
    <t>Hồ Thị Quý</t>
  </si>
  <si>
    <t>Trần Thị Thanh Lê</t>
  </si>
  <si>
    <t>Nguyễn Ngọc Nhân</t>
  </si>
  <si>
    <t>K26DLK16</t>
  </si>
  <si>
    <t>đã nộp phiếu tiếp nhận sv tt</t>
  </si>
  <si>
    <t>Nguyễn Thị Tuyết Trâm</t>
  </si>
  <si>
    <t xml:space="preserve">Nguyễn Lương Nhật Yến </t>
  </si>
  <si>
    <t>K26DLK7</t>
  </si>
  <si>
    <t>Nguyễn Phúc</t>
  </si>
  <si>
    <t>Lê Thanh Hiếu</t>
  </si>
  <si>
    <t xml:space="preserve">Nguyễn Thị Thuý Hiền </t>
  </si>
  <si>
    <t xml:space="preserve">Trần Văn Tứ </t>
  </si>
  <si>
    <t xml:space="preserve">Nông Thị Thu Hoài </t>
  </si>
  <si>
    <t xml:space="preserve">Trần Thị Kiều Duyên </t>
  </si>
  <si>
    <t>K27DLK 7</t>
  </si>
  <si>
    <t>Huỳnh Ngọc A Ly</t>
  </si>
  <si>
    <t>Nguyễn Thị Ngọc Nhi</t>
  </si>
  <si>
    <t xml:space="preserve">Nguyễn Thị Mỹ Duyên </t>
  </si>
  <si>
    <t>K27DLK 3</t>
  </si>
  <si>
    <t>Trần Phương Diễm</t>
  </si>
  <si>
    <t>Nguyễn Việt Hà</t>
  </si>
  <si>
    <t>K27DLK 6</t>
  </si>
  <si>
    <t xml:space="preserve">NGUYỄN THỊ CẨM TÚ </t>
  </si>
  <si>
    <t>Trần Thị Hương</t>
  </si>
  <si>
    <t>Nguyễn Thị Hồng Vân</t>
  </si>
  <si>
    <t>NGUYỄN TRÚC LINH</t>
  </si>
  <si>
    <t>K26DLK13</t>
  </si>
  <si>
    <t>Nguyễn Ngọc Kim Khánh</t>
  </si>
  <si>
    <t>Nguyễn Thị Thanh Thảo</t>
  </si>
  <si>
    <t>Hoàng Thị Kim Ý</t>
  </si>
  <si>
    <t>Nguyễn Thị Phương Uyên</t>
  </si>
  <si>
    <t xml:space="preserve">Võ Minh Nguyệt </t>
  </si>
  <si>
    <t>Lê Thái Đẩu</t>
  </si>
  <si>
    <t xml:space="preserve">Phan Thị Minh Trang </t>
  </si>
  <si>
    <t>Dương Thị Thanh Thương</t>
  </si>
  <si>
    <t>Đặng Thu Phương</t>
  </si>
  <si>
    <t>Lê Thị Thuỷ Tiên</t>
  </si>
  <si>
    <t>Đoàn Văn Lại</t>
  </si>
  <si>
    <t>Nguyễn Thị Ý Viên</t>
  </si>
  <si>
    <t>Nguyễn Thị Hà</t>
  </si>
  <si>
    <t>Phạm Thị Ngọc Mùi</t>
  </si>
  <si>
    <t>Nguyễn Thị Huyền My</t>
  </si>
  <si>
    <t>Hoàng Mai Tâm</t>
  </si>
  <si>
    <t>k27dlk2</t>
  </si>
  <si>
    <t>Nguyễn Thị Như Ý</t>
  </si>
  <si>
    <t>Lê Thị Thanh Vy</t>
  </si>
  <si>
    <t>K24PSUDLK1</t>
  </si>
  <si>
    <t>K24</t>
  </si>
  <si>
    <t>Nguyễn Thị Tường Vi</t>
  </si>
  <si>
    <t>Nguyễn Thị Ngọc Phương</t>
  </si>
  <si>
    <t>Thân Thị Phương Thảo</t>
  </si>
  <si>
    <t>Sử Hoàng Tú Quyên</t>
  </si>
  <si>
    <t>Nguyễn Thị Ngọc Tứ</t>
  </si>
  <si>
    <t>Đỗ Hải Thanh Hà</t>
  </si>
  <si>
    <t>Võ Thị Cúc</t>
  </si>
  <si>
    <t>Nguyễn Thị Kim Lên</t>
  </si>
  <si>
    <t>Nguyễn Thị Mỹ Duyên</t>
  </si>
  <si>
    <t>Lương Huỳnh Yến Nhi</t>
  </si>
  <si>
    <t>Nguyễn Yến Nhi</t>
  </si>
  <si>
    <t>Trần Tuyết Nhi</t>
  </si>
  <si>
    <t>Bạch Huỳnh Ngọc Trân</t>
  </si>
  <si>
    <t>Lê Thị Hoài My</t>
  </si>
  <si>
    <t>Đỗ Như Tuyết Nhi</t>
  </si>
  <si>
    <t>Nguyễn Thị Phương Dung</t>
  </si>
  <si>
    <t>Phạm Thị Thanh Huyền</t>
  </si>
  <si>
    <t>Đậu Thị Hà Nhi</t>
  </si>
  <si>
    <t>Nguyễn Thị Minh Phương</t>
  </si>
  <si>
    <t>K26DLK9</t>
  </si>
  <si>
    <t xml:space="preserve">Trần Thu Phương </t>
  </si>
  <si>
    <t>Nguyễn Như Ý</t>
  </si>
  <si>
    <t>Nguyễn Thị Thuỳ Duyên</t>
  </si>
  <si>
    <t>Lê Hoàng Đoan Trang</t>
  </si>
  <si>
    <t>Nguyễn Khắc Anh</t>
  </si>
  <si>
    <t xml:space="preserve">Nguyễn Thị Thanh Hà </t>
  </si>
  <si>
    <t xml:space="preserve">Đặng Thị Thuý Kiều </t>
  </si>
  <si>
    <t>K27 DLK3</t>
  </si>
  <si>
    <t xml:space="preserve">Lê Quang Sơn </t>
  </si>
  <si>
    <t xml:space="preserve">Nguyễn Thị Diệu phương </t>
  </si>
  <si>
    <t>DLK7</t>
  </si>
  <si>
    <t>Nguyễn Thị Thu Thương</t>
  </si>
  <si>
    <t>Văn Thanh Việt</t>
  </si>
  <si>
    <t>Trần Nguyễn Thu Huyền</t>
  </si>
  <si>
    <t>Ông Thị Huyền Vân</t>
  </si>
  <si>
    <t xml:space="preserve">Nguyễn Thị Tình </t>
  </si>
  <si>
    <t>Hồng Thị Lan Trinh</t>
  </si>
  <si>
    <t>PHAN THỊ LAN ANH</t>
  </si>
  <si>
    <t>K27- DLK5</t>
  </si>
  <si>
    <t xml:space="preserve">Bùi Thị Thắm </t>
  </si>
  <si>
    <t>Trương Văn Tùng</t>
  </si>
  <si>
    <t>DƯƠNG NGUYỄN KHÁNH GIANG</t>
  </si>
  <si>
    <t>Nguyễn Phương Anh</t>
  </si>
  <si>
    <t>H GUIN Ê BAN</t>
  </si>
  <si>
    <t>K24DLK12</t>
  </si>
  <si>
    <t>Hồ Thị Cẩm Tiên</t>
  </si>
  <si>
    <t>Trần Minh Trí</t>
  </si>
  <si>
    <t>Nguyễn Thị Trang</t>
  </si>
  <si>
    <t>Nguyễn Trương Minh Trí</t>
  </si>
  <si>
    <t>Võ Thị Thanh Tuyền</t>
  </si>
  <si>
    <t>K27 DLK6</t>
  </si>
  <si>
    <t>Nguyễn Thị Kim Nguyên</t>
  </si>
  <si>
    <t xml:space="preserve">Ngô Thị Mỹ Nương </t>
  </si>
  <si>
    <t>Phạm Trần Quí Dương</t>
  </si>
  <si>
    <t>Từ Hoàng Phong</t>
  </si>
  <si>
    <t>DLK5</t>
  </si>
  <si>
    <t>Lê Tấn Huy</t>
  </si>
  <si>
    <t xml:space="preserve">K27DLK 6 </t>
  </si>
  <si>
    <t>Hoàng Trần Thuý Vy</t>
  </si>
  <si>
    <t xml:space="preserve">Bùi Văn Lợi </t>
  </si>
  <si>
    <t>Lê Ngọc Chinh</t>
  </si>
  <si>
    <t>Nguyễn Hữu Thắng</t>
  </si>
  <si>
    <t>K27 DLK1</t>
  </si>
  <si>
    <t>Võ Thị Bích Ngọc</t>
  </si>
  <si>
    <t>Cù Nguyễn Duy Anh</t>
  </si>
  <si>
    <t>K25PSUDLK11</t>
  </si>
  <si>
    <t>Hồ Chí Lý</t>
  </si>
  <si>
    <t>K26PSUDLK1</t>
  </si>
  <si>
    <t>Nguyễn Thị Thu Hiền</t>
  </si>
  <si>
    <t>Phạm Khánh Linh</t>
  </si>
  <si>
    <t xml:space="preserve">Nguyễn Công Hậu </t>
  </si>
  <si>
    <t>K25DLk24</t>
  </si>
  <si>
    <t>Nguyễn Hữu Mạnh</t>
  </si>
  <si>
    <t>K25PSUDLK12</t>
  </si>
  <si>
    <t>Lê Thị Yến Nhi</t>
  </si>
  <si>
    <t>Trần hữu chung</t>
  </si>
  <si>
    <t>Nguyễn Xuân Bảo</t>
  </si>
  <si>
    <t>Nguyễn Thị Quỳnh Như</t>
  </si>
  <si>
    <t>Võ Thị Thanh Thảo</t>
  </si>
  <si>
    <t>K27-DLK5</t>
  </si>
  <si>
    <t>Bùi Văn Phong</t>
  </si>
  <si>
    <t>sinh viên ghi sai MSSV</t>
  </si>
  <si>
    <t xml:space="preserve">Nguyễn Thị Yến Nhi </t>
  </si>
  <si>
    <t>Hoàng Xuân Phước</t>
  </si>
  <si>
    <t>Trương Gia Bảo</t>
  </si>
  <si>
    <t>Trịnh Thị Ý Thương</t>
  </si>
  <si>
    <t>K24PSUDLH</t>
  </si>
  <si>
    <t>Bùi Phạm Hồng Phúc</t>
  </si>
  <si>
    <t xml:space="preserve">Hoàng Thanh Thảo </t>
  </si>
  <si>
    <t>Trần Xuân Thái</t>
  </si>
  <si>
    <t>K25DLK23</t>
  </si>
  <si>
    <t xml:space="preserve">Nguyễn Thịnh </t>
  </si>
  <si>
    <t xml:space="preserve">K27DLK2 </t>
  </si>
  <si>
    <t>Phan Văn Thuận</t>
  </si>
  <si>
    <t>K25 PSU DLK14</t>
  </si>
  <si>
    <t>Phạm Thị Bích Vân</t>
  </si>
  <si>
    <t>K25DLK26</t>
  </si>
  <si>
    <t>Nguyễn Ngọ</t>
  </si>
  <si>
    <t>Nguyễn Hà Phong</t>
  </si>
  <si>
    <t xml:space="preserve">Võ Thị Hiếu Thảo </t>
  </si>
  <si>
    <t>K26DLK14</t>
  </si>
  <si>
    <t>NGUYỄN THỊ KIỀU TRINH</t>
  </si>
  <si>
    <t>K26PSUDLK3</t>
  </si>
  <si>
    <t>sv đã nộp phiếu tiếp nhận sv tt</t>
  </si>
  <si>
    <t>Lâm Tuấn Kiệt</t>
  </si>
  <si>
    <t>K26PSUDLK 1</t>
  </si>
  <si>
    <t>Nguyễn Hữu Trung Toàn</t>
  </si>
  <si>
    <t>Nguyễn Võ Văn Tâm</t>
  </si>
  <si>
    <t>K25PSUDLK1</t>
  </si>
  <si>
    <t>Nguyễn Công Quốc</t>
  </si>
  <si>
    <t>K23DLK9</t>
  </si>
  <si>
    <t>Lê Anh Tú</t>
  </si>
  <si>
    <t>K25PSUDLK17</t>
  </si>
  <si>
    <t>Đỗ Trần Thanh Loan</t>
  </si>
  <si>
    <t xml:space="preserve">Đặng Lê Tường Vy </t>
  </si>
  <si>
    <t>Lưu Nguyễn Cát Tuyên</t>
  </si>
  <si>
    <t xml:space="preserve">Đỗ Trọng Vũ </t>
  </si>
  <si>
    <t>Nguyễn Thị Thuỳ Dương</t>
  </si>
  <si>
    <t>K25PSUDLK15</t>
  </si>
  <si>
    <t>Huỳnh Đình Khiêm</t>
  </si>
  <si>
    <t>Trần Kim Anh Tú</t>
  </si>
  <si>
    <t>K26PSUDLK2</t>
  </si>
  <si>
    <t>Lê Quốc Anh</t>
  </si>
  <si>
    <t>Nguyễn Thị Thảo Ly</t>
  </si>
  <si>
    <t>K28PSUDLK 3</t>
  </si>
  <si>
    <t>K28</t>
  </si>
  <si>
    <t>SV phải hoàn thành  PSU-ACC 202 mới đủ điều kiện thực tập</t>
  </si>
  <si>
    <t xml:space="preserve">Trần Đình Tấn Hào </t>
  </si>
  <si>
    <t>K26PSUDLK</t>
  </si>
  <si>
    <t xml:space="preserve">Trương Thành Long </t>
  </si>
  <si>
    <t>K26DLK4</t>
  </si>
  <si>
    <t>Nguyễn Minh Phương</t>
  </si>
  <si>
    <t>K26DLK10</t>
  </si>
  <si>
    <t xml:space="preserve">Đinh Thị Tuyết Nhi </t>
  </si>
  <si>
    <t>Lê Hoàng Long</t>
  </si>
  <si>
    <t>Lư Ngọc Mẫn</t>
  </si>
  <si>
    <t>K25DLK20</t>
  </si>
  <si>
    <t>Trương Văn Khánh</t>
  </si>
  <si>
    <t>Huỳnh Thị Bích Dung</t>
  </si>
  <si>
    <t xml:space="preserve">Lê Hồng Dân </t>
  </si>
  <si>
    <t>K26DLK5</t>
  </si>
  <si>
    <t>Mai Bảo Hoà</t>
  </si>
  <si>
    <t>K25PSUDLK 15</t>
  </si>
  <si>
    <t>Trần Thanh Triều</t>
  </si>
  <si>
    <t>Trần Nguyễn Quỳnh Như</t>
  </si>
  <si>
    <t>Vũ Huy Năng</t>
  </si>
  <si>
    <t>K25DLK15</t>
  </si>
  <si>
    <t>Đào Ngọc Hiếu</t>
  </si>
  <si>
    <t>K26DLK12</t>
  </si>
  <si>
    <t>Võ gia huy</t>
  </si>
  <si>
    <t>K26dlk12</t>
  </si>
  <si>
    <t>Hồ Ngọc Thạch</t>
  </si>
  <si>
    <t>Trần Văn Liêm</t>
  </si>
  <si>
    <t>K25DLK19</t>
  </si>
  <si>
    <t>Lê Nhật Nam</t>
  </si>
  <si>
    <t>K25Dlk15</t>
  </si>
  <si>
    <t>Nguyễn Thị Nhật Lệ</t>
  </si>
  <si>
    <t>Nguyễn Quang Long</t>
  </si>
  <si>
    <t>K26DLK 16</t>
  </si>
  <si>
    <t>SV làm sai mẫu</t>
  </si>
  <si>
    <t>Lê Thị Ngọc Lan</t>
  </si>
  <si>
    <t>Phạm Thị Mỹ Duyên</t>
  </si>
  <si>
    <t>K26DLK3</t>
  </si>
  <si>
    <t>Nguyễn Hữu Hiếu</t>
  </si>
  <si>
    <t>K25PSUDLK13</t>
  </si>
  <si>
    <t>Thi tốt nghiệp, Công nhận tốt nghiệp</t>
  </si>
  <si>
    <t>Võ Lê Bích Trâm</t>
  </si>
  <si>
    <t>K26-dlk10</t>
  </si>
  <si>
    <t>Nguyễn Ngọc Huân</t>
  </si>
  <si>
    <t>K26DLK1</t>
  </si>
  <si>
    <t>Trần Như Phong</t>
  </si>
  <si>
    <t>K25dlk13</t>
  </si>
  <si>
    <t>Nguyễn Lê Anh Duy</t>
  </si>
  <si>
    <t>Trần Ngọc Thành</t>
  </si>
  <si>
    <t>Lê Nguyên Hân</t>
  </si>
  <si>
    <t>Trần Nguyên Huy</t>
  </si>
  <si>
    <t>K26PSUDLK 3</t>
  </si>
  <si>
    <t xml:space="preserve">Trần Văn Chiến </t>
  </si>
  <si>
    <t>Trần Thị Hạnh Quý</t>
  </si>
  <si>
    <t>K25 PSU DKL 6</t>
  </si>
  <si>
    <t>Trần Thị Mi</t>
  </si>
  <si>
    <t>Ngô Thị Ánh Quỳnh</t>
  </si>
  <si>
    <t>KK25PSUDLK15</t>
  </si>
  <si>
    <t>KHÔNG DUYỆT CHO SV ĐĂNG KÝ THỰC TẬP VÌ CHƯA NỘP ĐƠN THAM DỰ TN VỀ KHOA, ĐÃ QUÁ TRỄ</t>
  </si>
  <si>
    <t>Đào Thị Thu Thảo</t>
  </si>
  <si>
    <t>ĐỖ LÊ TƯỜNG VÂN</t>
  </si>
  <si>
    <t>Trần Thị Anh Quyên</t>
  </si>
  <si>
    <t>Tên</t>
  </si>
  <si>
    <t>Ngày Sinh</t>
  </si>
  <si>
    <t>Giới Tính</t>
  </si>
  <si>
    <t>Khoa</t>
  </si>
  <si>
    <t>An</t>
  </si>
  <si>
    <t>Nữ</t>
  </si>
  <si>
    <t>K27PSU-DLK1</t>
  </si>
  <si>
    <t>HỒ SỬ MINH TÀI</t>
  </si>
  <si>
    <t>Quản Trị Du Lịch &amp; Khách Sạn Chuẩn PSU (Đại Học)</t>
  </si>
  <si>
    <t>Châu</t>
  </si>
  <si>
    <t>Diễm</t>
  </si>
  <si>
    <t>Đức</t>
  </si>
  <si>
    <t>Nam</t>
  </si>
  <si>
    <t>Dung</t>
  </si>
  <si>
    <t>Hiền</t>
  </si>
  <si>
    <t>Khang</t>
  </si>
  <si>
    <t>Lan</t>
  </si>
  <si>
    <t>Linh</t>
  </si>
  <si>
    <t>Nguyệt</t>
  </si>
  <si>
    <t>Nhàn</t>
  </si>
  <si>
    <t>Nhi</t>
  </si>
  <si>
    <t>Nguyễn Yến</t>
  </si>
  <si>
    <t>Ny</t>
  </si>
  <si>
    <t>Tâm</t>
  </si>
  <si>
    <t>Thảo</t>
  </si>
  <si>
    <t>Tưởng</t>
  </si>
  <si>
    <t>Uyên</t>
  </si>
  <si>
    <t>Vân</t>
  </si>
  <si>
    <t>Việt</t>
  </si>
  <si>
    <t>Ba</t>
  </si>
  <si>
    <t>K27PSU-DLK2</t>
  </si>
  <si>
    <t>HUỲNH LÝ THÙY LINH</t>
  </si>
  <si>
    <t>Chiến</t>
  </si>
  <si>
    <t>Nguyễn Minh</t>
  </si>
  <si>
    <t>Duy</t>
  </si>
  <si>
    <t>Giang</t>
  </si>
  <si>
    <t>Hân</t>
  </si>
  <si>
    <t>Hào</t>
  </si>
  <si>
    <t>Hoà</t>
  </si>
  <si>
    <t>Hoàng</t>
  </si>
  <si>
    <t>Mi</t>
  </si>
  <si>
    <t>Mơ</t>
  </si>
  <si>
    <t>Như</t>
  </si>
  <si>
    <t>Quy</t>
  </si>
  <si>
    <t>Quỳnh</t>
  </si>
  <si>
    <t>Thành</t>
  </si>
  <si>
    <t>Thơ</t>
  </si>
  <si>
    <t>Thuý</t>
  </si>
  <si>
    <t>Tra</t>
  </si>
  <si>
    <t>Trúc</t>
  </si>
  <si>
    <t>Tuấn</t>
  </si>
  <si>
    <t>Vi</t>
  </si>
  <si>
    <t>Anh</t>
  </si>
  <si>
    <t>K27PSU-DLH</t>
  </si>
  <si>
    <t>DƯƠNG THỊ XUÂN DIỆU</t>
  </si>
  <si>
    <t>Quản Trị Du Lịch &amp; Nhà Hàng Chuẩn PSU (Đại Học)</t>
  </si>
  <si>
    <t>Dương</t>
  </si>
  <si>
    <t>Nguyên</t>
  </si>
  <si>
    <t>Nhung</t>
  </si>
  <si>
    <t>Thạch</t>
  </si>
  <si>
    <t>HỒ MINH PHÚC</t>
  </si>
  <si>
    <t>Quản Trị Khách Sạn &amp; Nhà Hàng (Đại Học)</t>
  </si>
  <si>
    <t>Chinh</t>
  </si>
  <si>
    <t>Đăng</t>
  </si>
  <si>
    <t>Hoài</t>
  </si>
  <si>
    <t>Huyền</t>
  </si>
  <si>
    <t>Khánh</t>
  </si>
  <si>
    <t>Lê</t>
  </si>
  <si>
    <t>Lệ</t>
  </si>
  <si>
    <t>Lợi</t>
  </si>
  <si>
    <t>Ly</t>
  </si>
  <si>
    <t>Minh</t>
  </si>
  <si>
    <t>My</t>
  </si>
  <si>
    <t>Nhân</t>
  </si>
  <si>
    <t>Phát</t>
  </si>
  <si>
    <t>Phúc</t>
  </si>
  <si>
    <t>Quyên</t>
  </si>
  <si>
    <t>Thái</t>
  </si>
  <si>
    <t>Thắng</t>
  </si>
  <si>
    <t>Tú</t>
  </si>
  <si>
    <t>Tứ</t>
  </si>
  <si>
    <t>Tường</t>
  </si>
  <si>
    <t>Tuyền</t>
  </si>
  <si>
    <t>Vy</t>
  </si>
  <si>
    <t>Chi</t>
  </si>
  <si>
    <t>NGUYỄN THỊ MINH THƯ</t>
  </si>
  <si>
    <t>Đẩu</t>
  </si>
  <si>
    <t>Hà</t>
  </si>
  <si>
    <t>Hiếu</t>
  </si>
  <si>
    <t>Hưng</t>
  </si>
  <si>
    <t>Huy</t>
  </si>
  <si>
    <t>Loan</t>
  </si>
  <si>
    <t>H'Trùng</t>
  </si>
  <si>
    <t>Mlô</t>
  </si>
  <si>
    <t>Mùi</t>
  </si>
  <si>
    <t>Ngân</t>
  </si>
  <si>
    <t>Ngọc</t>
  </si>
  <si>
    <t>Phú</t>
  </si>
  <si>
    <t>Thiện</t>
  </si>
  <si>
    <t>Nguyễn</t>
  </si>
  <si>
    <t>Thịnh</t>
  </si>
  <si>
    <t>Thư</t>
  </si>
  <si>
    <t>Thủy</t>
  </si>
  <si>
    <t>Tiên</t>
  </si>
  <si>
    <t>Trang</t>
  </si>
  <si>
    <t>Trọng</t>
  </si>
  <si>
    <t>Viên</t>
  </si>
  <si>
    <t>Vũ</t>
  </si>
  <si>
    <t>Yến</t>
  </si>
  <si>
    <t>NGÔ THỊ THANH NGA</t>
  </si>
  <si>
    <t>Duyên</t>
  </si>
  <si>
    <t>Huỳnh Thanh</t>
  </si>
  <si>
    <t>Hằng</t>
  </si>
  <si>
    <t>Hồng</t>
  </si>
  <si>
    <t>Hương</t>
  </si>
  <si>
    <t>Khiêm</t>
  </si>
  <si>
    <t>Kiều</t>
  </si>
  <si>
    <t>Lên</t>
  </si>
  <si>
    <t>Mạnh</t>
  </si>
  <si>
    <t>Ngữ</t>
  </si>
  <si>
    <t>Nương</t>
  </si>
  <si>
    <t>Phong</t>
  </si>
  <si>
    <t>Phương</t>
  </si>
  <si>
    <t>Quý</t>
  </si>
  <si>
    <t>Sơn</t>
  </si>
  <si>
    <t>Sương</t>
  </si>
  <si>
    <t>Thanh</t>
  </si>
  <si>
    <t>Thương</t>
  </si>
  <si>
    <t>Trần Minh</t>
  </si>
  <si>
    <t>Trí</t>
  </si>
  <si>
    <t>Tươi</t>
  </si>
  <si>
    <t>Tuyết</t>
  </si>
  <si>
    <t>Xuân</t>
  </si>
  <si>
    <t>TRỊNH THỊ KIM CHUNG</t>
  </si>
  <si>
    <t>Bảo</t>
  </si>
  <si>
    <t>Dĩ</t>
  </si>
  <si>
    <t>Lại</t>
  </si>
  <si>
    <t>Mai</t>
  </si>
  <si>
    <t>Mỹ</t>
  </si>
  <si>
    <t>Nga</t>
  </si>
  <si>
    <t>Quân</t>
  </si>
  <si>
    <t>Thắm</t>
  </si>
  <si>
    <t>Trân</t>
  </si>
  <si>
    <t>Trung</t>
  </si>
  <si>
    <t>Tùng</t>
  </si>
  <si>
    <t>Ý</t>
  </si>
  <si>
    <t>Chung</t>
  </si>
  <si>
    <t>Kim</t>
  </si>
  <si>
    <t>Lý</t>
  </si>
  <si>
    <t>Thọ</t>
  </si>
  <si>
    <t>Thông</t>
  </si>
  <si>
    <t>Tiến</t>
  </si>
  <si>
    <t>Trâm</t>
  </si>
  <si>
    <t>Trinh</t>
  </si>
  <si>
    <t>Văn</t>
  </si>
  <si>
    <t>PHẠM THỊ THU THỦY</t>
  </si>
  <si>
    <t>Công</t>
  </si>
  <si>
    <t>Hiệp</t>
  </si>
  <si>
    <t>Hùng</t>
  </si>
  <si>
    <t>Hwing</t>
  </si>
  <si>
    <t>Kha</t>
  </si>
  <si>
    <t>Lê Hoàng</t>
  </si>
  <si>
    <t>Long</t>
  </si>
  <si>
    <t>Oanh</t>
  </si>
  <si>
    <t>Tài</t>
  </si>
  <si>
    <t>Triều</t>
  </si>
  <si>
    <t>Triệu</t>
  </si>
  <si>
    <t>Yên</t>
  </si>
  <si>
    <t>ĐẶNG THỊ THÙY TRANG</t>
  </si>
  <si>
    <t>Cúc</t>
  </si>
  <si>
    <t>Nguyễn Thu</t>
  </si>
  <si>
    <t>Tình</t>
  </si>
  <si>
    <t>Tuyên</t>
  </si>
  <si>
    <t>Trường</t>
  </si>
  <si>
    <t>Phan Thanh</t>
  </si>
  <si>
    <t>Tấn</t>
  </si>
  <si>
    <t>Lê Uyên</t>
  </si>
  <si>
    <t>Hoàng Ngọc</t>
  </si>
  <si>
    <t>Đạt</t>
  </si>
  <si>
    <t>Nhật</t>
  </si>
  <si>
    <t>Quang</t>
  </si>
  <si>
    <t>Quốc</t>
  </si>
  <si>
    <t>Huỳnh Ngọc</t>
  </si>
  <si>
    <t>Đào</t>
  </si>
  <si>
    <t>Liên</t>
  </si>
  <si>
    <t>Lương</t>
  </si>
  <si>
    <t>Hoàng Anh</t>
  </si>
  <si>
    <t>Lê Bảo</t>
  </si>
  <si>
    <t>Ngô</t>
  </si>
  <si>
    <t>Huỳnh</t>
  </si>
  <si>
    <t>Nguyễn Khánh</t>
  </si>
  <si>
    <t>Nguyễn Huyền</t>
  </si>
  <si>
    <t>Gia</t>
  </si>
  <si>
    <t>Phan Khánh</t>
  </si>
  <si>
    <t>Thu</t>
  </si>
  <si>
    <t>Thuỳ</t>
  </si>
  <si>
    <t>Phạm Thanh</t>
  </si>
  <si>
    <t>Đình</t>
  </si>
  <si>
    <t>Trần Thanh</t>
  </si>
  <si>
    <t>Trần</t>
  </si>
  <si>
    <t>Huỳnh Thảo</t>
  </si>
  <si>
    <t>Thân</t>
  </si>
  <si>
    <t>Đinh</t>
  </si>
  <si>
    <t>Nguyễn Quỳnh</t>
  </si>
  <si>
    <t>Thông tin sinh viên</t>
  </si>
  <si>
    <t>HOS 151</t>
  </si>
  <si>
    <t>Tổng Quan Ngành Lưu Trú</t>
  </si>
  <si>
    <t>Số TC đã học</t>
  </si>
  <si>
    <t>Số TC chưa học</t>
  </si>
  <si>
    <t>Số TC chuyển điểm</t>
  </si>
  <si>
    <t>Số TC 8HK (Trừ chuyển điểm)</t>
  </si>
  <si>
    <t>TK 8HK (10)</t>
  </si>
  <si>
    <t>TK 8HK (4)</t>
  </si>
  <si>
    <t>Tỷ lệ nợ</t>
  </si>
  <si>
    <t>Khảo sát Anh văn</t>
  </si>
  <si>
    <t>Khảo sát Tin học</t>
  </si>
  <si>
    <t>GDTC</t>
  </si>
  <si>
    <t>GDQP</t>
  </si>
  <si>
    <t>Điểm Rèn luyện</t>
  </si>
  <si>
    <t>Số tín chỉ đang học ở HK2 2024-2025</t>
  </si>
  <si>
    <t>Thi Tốt Nghiệp</t>
  </si>
  <si>
    <t>Mã sinh viên</t>
  </si>
  <si>
    <t>Họ</t>
  </si>
  <si>
    <t>Tên Lót</t>
  </si>
  <si>
    <t>Tình trạng</t>
  </si>
  <si>
    <t>ĐƠN VỊ TT</t>
  </si>
  <si>
    <t>LỚP</t>
  </si>
  <si>
    <t>CỐ VẤN HỌC TẬP</t>
  </si>
  <si>
    <t>Đặng</t>
  </si>
  <si>
    <t>Đã Đăng Ký (chưa học xong)</t>
  </si>
  <si>
    <t>không đủ điều kiện</t>
  </si>
  <si>
    <t>Phan</t>
  </si>
  <si>
    <t>Thị Lan</t>
  </si>
  <si>
    <t>CHUYÊN ĐỀ</t>
  </si>
  <si>
    <t>Quế</t>
  </si>
  <si>
    <t>Bùi</t>
  </si>
  <si>
    <t>Thị Phương</t>
  </si>
  <si>
    <t>Khắc</t>
  </si>
  <si>
    <t>Vương</t>
  </si>
  <si>
    <t>Khánh Duy</t>
  </si>
  <si>
    <t>Ngọc Nguyên</t>
  </si>
  <si>
    <t>Văn Vĩnh</t>
  </si>
  <si>
    <t>Cao</t>
  </si>
  <si>
    <t>Phùng Linh</t>
  </si>
  <si>
    <t>Phạm</t>
  </si>
  <si>
    <t>Thị Kim</t>
  </si>
  <si>
    <t>Hữu</t>
  </si>
  <si>
    <t>Mai Thành</t>
  </si>
  <si>
    <t>Võ</t>
  </si>
  <si>
    <t>Thị</t>
  </si>
  <si>
    <t>XÉT LÀM KHÓA LUẬN</t>
  </si>
  <si>
    <t>Đặng Châu</t>
  </si>
  <si>
    <t>Hồ</t>
  </si>
  <si>
    <t>Trần Quí</t>
  </si>
  <si>
    <t>Phùng</t>
  </si>
  <si>
    <t>Ngọc Hoàng</t>
  </si>
  <si>
    <t>Thị Mỹ</t>
  </si>
  <si>
    <t>Thị Kiều</t>
  </si>
  <si>
    <t>Thị Thùy</t>
  </si>
  <si>
    <t>Phạm Hương</t>
  </si>
  <si>
    <t>Thị Thanh</t>
  </si>
  <si>
    <t>Trương Hải</t>
  </si>
  <si>
    <t>Thị Hồng</t>
  </si>
  <si>
    <t>Thị Thu</t>
  </si>
  <si>
    <t>Thị Thúy</t>
  </si>
  <si>
    <t>Lữ</t>
  </si>
  <si>
    <t>Thái Thu</t>
  </si>
  <si>
    <t>Nông</t>
  </si>
  <si>
    <t>Trương</t>
  </si>
  <si>
    <t>Sỹ</t>
  </si>
  <si>
    <t>Huỳnh Hữu</t>
  </si>
  <si>
    <t>Xuất Sắc</t>
  </si>
  <si>
    <t>Lê Lan</t>
  </si>
  <si>
    <t>Thế Gia</t>
  </si>
  <si>
    <t>Thị Khánh</t>
  </si>
  <si>
    <t>Y</t>
  </si>
  <si>
    <t>Nhĩ</t>
  </si>
  <si>
    <t>Dỉnh</t>
  </si>
  <si>
    <t>Ngọc Kim</t>
  </si>
  <si>
    <t>Văn Nhật</t>
  </si>
  <si>
    <t>Cao Hoàng</t>
  </si>
  <si>
    <t>Đoàn</t>
  </si>
  <si>
    <t>Thị Ngọc</t>
  </si>
  <si>
    <t>Thị Xuân</t>
  </si>
  <si>
    <t>Thị Diệu</t>
  </si>
  <si>
    <t>Đỗ</t>
  </si>
  <si>
    <t>Đại</t>
  </si>
  <si>
    <t>Huỳnh Ái</t>
  </si>
  <si>
    <t>Ngọc A</t>
  </si>
  <si>
    <t>Lê Quỳnh</t>
  </si>
  <si>
    <t>Nữ Thiên</t>
  </si>
  <si>
    <t>Thị Trà</t>
  </si>
  <si>
    <t>Thị Huyền</t>
  </si>
  <si>
    <t>Thị Hoài</t>
  </si>
  <si>
    <t>Thị Hà</t>
  </si>
  <si>
    <t>Lưu</t>
  </si>
  <si>
    <t>Vương Hà</t>
  </si>
  <si>
    <t>Thị Hoàn</t>
  </si>
  <si>
    <t>Thị Nhật</t>
  </si>
  <si>
    <t>Thị Y</t>
  </si>
  <si>
    <t>Thị Bảo</t>
  </si>
  <si>
    <t>Thị Bích</t>
  </si>
  <si>
    <t>Ngọc Thảo</t>
  </si>
  <si>
    <t>Tốt</t>
  </si>
  <si>
    <t>Thị Yến</t>
  </si>
  <si>
    <t>Huỳnh Yến</t>
  </si>
  <si>
    <t>Thị Tuyết</t>
  </si>
  <si>
    <t>Đậu</t>
  </si>
  <si>
    <t>Như Tuyết</t>
  </si>
  <si>
    <t>Khá</t>
  </si>
  <si>
    <t>Thị Quỳnh</t>
  </si>
  <si>
    <t>Thị Tố</t>
  </si>
  <si>
    <t>Từ</t>
  </si>
  <si>
    <t>Thị Tâm</t>
  </si>
  <si>
    <t>Thị Diễm</t>
  </si>
  <si>
    <t>Thị Minh</t>
  </si>
  <si>
    <t>Bá</t>
  </si>
  <si>
    <t>Thị Anh</t>
  </si>
  <si>
    <t>Sử</t>
  </si>
  <si>
    <t>Hoàng Tú</t>
  </si>
  <si>
    <t>Thị Ánh</t>
  </si>
  <si>
    <t>Văn Lam</t>
  </si>
  <si>
    <t>Công Thái</t>
  </si>
  <si>
    <t>Đắc</t>
  </si>
  <si>
    <t>Tống Phương</t>
  </si>
  <si>
    <t>Thị Như</t>
  </si>
  <si>
    <t>Hoàng Thu</t>
  </si>
  <si>
    <t>Hữu Minh</t>
  </si>
  <si>
    <t>Thị Thủy</t>
  </si>
  <si>
    <t>Thị Cẩm</t>
  </si>
  <si>
    <t>Thị Thuỷ</t>
  </si>
  <si>
    <t>Ngọc Bảo</t>
  </si>
  <si>
    <t>Bạch</t>
  </si>
  <si>
    <t>Quách</t>
  </si>
  <si>
    <t>Thị Đoan</t>
  </si>
  <si>
    <t>Hoàng Đoan</t>
  </si>
  <si>
    <t>Lê Kiều</t>
  </si>
  <si>
    <t>Đức Anh</t>
  </si>
  <si>
    <t>Nguyễn Cát</t>
  </si>
  <si>
    <t>Lê Tường</t>
  </si>
  <si>
    <t>Thị Tường</t>
  </si>
  <si>
    <t>Thị Ý</t>
  </si>
  <si>
    <t>Xuân Đan</t>
  </si>
  <si>
    <t>Trần Thuý</t>
  </si>
  <si>
    <t>Huỳnh Tường</t>
  </si>
  <si>
    <t>Lương Phương</t>
  </si>
  <si>
    <t>Hứa</t>
  </si>
  <si>
    <t>Xuất sắc</t>
  </si>
  <si>
    <t>Bùi Hương</t>
  </si>
  <si>
    <t>Thị Gia</t>
  </si>
  <si>
    <t>Đình Tấn</t>
  </si>
  <si>
    <t>Tống Thu</t>
  </si>
  <si>
    <t>Ngọc Huy</t>
  </si>
  <si>
    <t>Ngọc Như</t>
  </si>
  <si>
    <t>Thị Vỹ</t>
  </si>
  <si>
    <t>Tạ Thanh</t>
  </si>
  <si>
    <t>Kim Thanh</t>
  </si>
  <si>
    <t>Công Tấn</t>
  </si>
  <si>
    <t>Đang Học Lại</t>
  </si>
  <si>
    <t>Vũ Lan</t>
  </si>
  <si>
    <t>KHÓA LUẬN</t>
  </si>
  <si>
    <t>Hoàng Bảo</t>
  </si>
  <si>
    <t>Nguyễn Lương Nhật Yến</t>
  </si>
  <si>
    <t>Trung Bình</t>
  </si>
  <si>
    <t>Hoàng Thanh Thảo</t>
  </si>
  <si>
    <t>Võ Thị Hiếu Thảo</t>
  </si>
  <si>
    <t>Đỗ Trọng Vũ</t>
  </si>
  <si>
    <t>Trương Thành Long</t>
  </si>
  <si>
    <t>Lê Hồng Dân</t>
  </si>
  <si>
    <t>Đinh minh thành</t>
  </si>
  <si>
    <t>Hồ Văn Minh Quân</t>
  </si>
  <si>
    <t>Nguyễn Công Hậu</t>
  </si>
  <si>
    <t>Đặng Lê Tường Vy</t>
  </si>
  <si>
    <t>Vanda Hotel</t>
  </si>
  <si>
    <t>Hyatt regency DaNang Resort</t>
  </si>
  <si>
    <t>Khách sạn Mandila Beach Đà Nẵng</t>
  </si>
  <si>
    <t>Wyndham DaNang Golden Bay</t>
  </si>
  <si>
    <t>Grand Mercure Đà Nẵng</t>
  </si>
  <si>
    <t>Satya Danang Hotel</t>
  </si>
  <si>
    <t>Diamond Sea Hotel</t>
  </si>
  <si>
    <t>Radisson hotel danang</t>
  </si>
  <si>
    <t>Canvas Danang Beach Hotel</t>
  </si>
  <si>
    <t>Khách sạn Như Minh Plaza</t>
  </si>
  <si>
    <t>Hoi An Historic Hotel</t>
  </si>
  <si>
    <t>Rosamia Da Nang Hotel</t>
  </si>
  <si>
    <t>Meliá Vinpearl Danang Riverfront</t>
  </si>
  <si>
    <t>Da Nang Mikazuki Japanese Resorts &amp; Spa</t>
  </si>
  <si>
    <t>Paracel Danang Hotel</t>
  </si>
  <si>
    <t>Le Sands Oceanfront Da Nang Hotel</t>
  </si>
  <si>
    <t>Meliá Danang Beach Resort</t>
  </si>
  <si>
    <t>Novotel DaNang Premier Han River</t>
  </si>
  <si>
    <t>Maximilan Danang Beach Hotel</t>
  </si>
  <si>
    <t>Grand Tourane Hotel</t>
  </si>
  <si>
    <t>Khách sạn Đức Long Gia Lai - Dung Quất</t>
  </si>
  <si>
    <t>DLG Hotel DaNang</t>
  </si>
  <si>
    <t>Sala Danang Beach Hotel</t>
  </si>
  <si>
    <t>Cicilia Hotel &amp; Spa</t>
  </si>
  <si>
    <t>Khách sạn Shilla Monogram Quangnam Danang</t>
  </si>
  <si>
    <t>DaNang Marriott Resort &amp; Spa, Non Nuoc Beach Villas</t>
  </si>
  <si>
    <t>Paris Deli Danang Beach Hotel</t>
  </si>
  <si>
    <t xml:space="preserve">Avatar Hotel </t>
  </si>
  <si>
    <t>New Orient Hotel Đà Nẵng</t>
  </si>
  <si>
    <t>Four Points by Sheraton Danang</t>
  </si>
  <si>
    <t>Radisson Hotel Danang</t>
  </si>
  <si>
    <t>Chicland Hotel</t>
  </si>
  <si>
    <t>Minh Toàn Galaxy Hotel Đà Nẵng</t>
  </si>
  <si>
    <t>Balcona Hotel &amp; Spa</t>
  </si>
  <si>
    <t xml:space="preserve">Khách sạn Avatar Đà Nẵng </t>
  </si>
  <si>
    <t>Hilton Garden Inn Danang</t>
  </si>
  <si>
    <t>Royal Lotus Hotel Danang</t>
  </si>
  <si>
    <t>Risemount Premier Resort Danang</t>
  </si>
  <si>
    <t xml:space="preserve">Mandila Beach Hotel </t>
  </si>
  <si>
    <t xml:space="preserve">The Nalod Đà Năng </t>
  </si>
  <si>
    <t>Khách sạn Hilton Đà Nẵng</t>
  </si>
  <si>
    <t>Khách sạn Avatar Đà Nẵng</t>
  </si>
  <si>
    <t>Sheraton Grand Danang resort and Convention Center</t>
  </si>
  <si>
    <t>Crowne Plaza Danang City Centre</t>
  </si>
  <si>
    <t>Làng lụa Hội An - HoiAn Silk Village Resort &amp; Spa</t>
  </si>
  <si>
    <t>Premier Village Danang Resort</t>
  </si>
  <si>
    <t>Pullman Danang Beach Resort</t>
  </si>
  <si>
    <t>Ussina Sky 77- Aging Beef &amp; Bar</t>
  </si>
  <si>
    <t>Hotel Royal HoiAn</t>
  </si>
  <si>
    <t xml:space="preserve">Sherwood Residence </t>
  </si>
  <si>
    <t>Crowne Plaza Danang</t>
  </si>
  <si>
    <t>Grand Sunrise Boutique</t>
  </si>
  <si>
    <t>Melia ChiangMai ThaiLand</t>
  </si>
  <si>
    <t>Diamond sea hotel</t>
  </si>
  <si>
    <t>Phú Long Tam Kỳ Hotel &amp; Restaurant</t>
  </si>
  <si>
    <t>Brilliant Hotel</t>
  </si>
  <si>
    <t>Sel de Mer Hotel &amp; Suites</t>
  </si>
  <si>
    <t>DANH SÁCH SINH VIÊN ĐĂNG KÝ THAM DỰ ĐỢT TỐT NGHIỆP 06/2025</t>
  </si>
  <si>
    <t>KHOA KHÁCH SẠN NHÀ HÀNG QUỐC TẾ</t>
  </si>
  <si>
    <t>Danh sách được cập nhật đến 18h00 ngày 12/02/2025</t>
  </si>
  <si>
    <t>THÔNG TIN ĐỐI CHIẾU CỦA KHOA - 2</t>
  </si>
  <si>
    <t>Vũ Thị Khánh Linh</t>
  </si>
  <si>
    <t>Hoàng Ngọc Bảo Trâm</t>
  </si>
  <si>
    <t>Thái Thị Thúy Vi</t>
  </si>
  <si>
    <t>Võ Thị Thu Thảo</t>
  </si>
  <si>
    <t>Hồ Yến Nhi</t>
  </si>
  <si>
    <t>Lê Thị Thu Ny</t>
  </si>
  <si>
    <t>Đặng Thị Tuyết Trinh</t>
  </si>
  <si>
    <t>Đinh Minh Thành</t>
  </si>
  <si>
    <t>Phạm Ngọc Tươi</t>
  </si>
  <si>
    <t>H'Trùng Mlô</t>
  </si>
  <si>
    <t>Trương Ngọc Thảo Nguyên</t>
  </si>
  <si>
    <t>Đoàn Minh Trí</t>
  </si>
  <si>
    <t>Trần Thị Hoàn Mỹ</t>
  </si>
  <si>
    <t>Nguyễn Thị Hồng Thư</t>
  </si>
  <si>
    <t>Bùi Thị Phương Nga</t>
  </si>
  <si>
    <t>Mai Thị Yến Sương</t>
  </si>
  <si>
    <t>Võ Lương Phương Yến</t>
  </si>
  <si>
    <t>Trần Hoàng Thu Thủy</t>
  </si>
  <si>
    <t>Nguyễn Thị Kim Yến</t>
  </si>
  <si>
    <t>Hoàng Thị Thủy Tiên</t>
  </si>
  <si>
    <t>Lương Thị Minh Tâm</t>
  </si>
  <si>
    <t>Huỳnh Đức Quý</t>
  </si>
  <si>
    <t>Nguyễn Huỳnh Thảo Nhi</t>
  </si>
  <si>
    <t>Ngô Thị Thanh Tâm</t>
  </si>
  <si>
    <t>Trần Thị Thủy Tiên</t>
  </si>
  <si>
    <t>Lê Thị Thu Ngọc</t>
  </si>
  <si>
    <t>Hồ Minh Quyên</t>
  </si>
  <si>
    <t>Nguyễn Thị Thúy Hiền</t>
  </si>
  <si>
    <t>Trần Văn Tứ</t>
  </si>
  <si>
    <t>Nông Thị Thu Hoài</t>
  </si>
  <si>
    <t>Trần Thị Kiều Duyên</t>
  </si>
  <si>
    <t>Nguyễn Thị Cẩm Tú</t>
  </si>
  <si>
    <t>Nguyễn Trúc Linh</t>
  </si>
  <si>
    <t>Võ Minh Nguyệt</t>
  </si>
  <si>
    <t>Phan Thị Minh Trang</t>
  </si>
  <si>
    <t>Lê Thị Thủy Tiên</t>
  </si>
  <si>
    <t>Trần Thu Phương</t>
  </si>
  <si>
    <t>Nguyễn Thị Thùy Duyên</t>
  </si>
  <si>
    <t>Nguyễn Thị Thanh Hà</t>
  </si>
  <si>
    <t>Đặng Thị Thúy Kiều</t>
  </si>
  <si>
    <t>Lê Quang Sơn</t>
  </si>
  <si>
    <t>Nguyễn Thị Diệu Phương</t>
  </si>
  <si>
    <t>Nguyễn Thị Tình</t>
  </si>
  <si>
    <t>Phan Thị Lan Anh</t>
  </si>
  <si>
    <t>Bùi Thị Thắm</t>
  </si>
  <si>
    <t>Dương Nguyễn Khánh Giang</t>
  </si>
  <si>
    <t>H Guin Êban</t>
  </si>
  <si>
    <t>Ngô Thị Mỹ Nương</t>
  </si>
  <si>
    <t>Bùi Văn Lợi</t>
  </si>
  <si>
    <t>Trần Hữu Chung</t>
  </si>
  <si>
    <t>Nguyễn Thị Yến Nhi</t>
  </si>
  <si>
    <t>Nguyễn Thịnh</t>
  </si>
  <si>
    <t>Nguyễn Thị Kiều Trinh</t>
  </si>
  <si>
    <t>Nguyễn Thị Thùy Dương</t>
  </si>
  <si>
    <t>Trần Đình Tấn Hào</t>
  </si>
  <si>
    <t>Đinh Thị Tuyết Nhi</t>
  </si>
  <si>
    <t>Mai Bảo Hòa</t>
  </si>
  <si>
    <t>Võ Gia Huy</t>
  </si>
  <si>
    <t>Trần Văn Chiến</t>
  </si>
  <si>
    <t>Đỗ Lê Tường Vân</t>
  </si>
  <si>
    <t>THÔNGTIN SINH VIÊN TỰ ĐĂNG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</si>
</sst>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h:mm:ss"/>
    <numFmt numFmtId="165" formatCode="mm/dd/yyyy"/>
  </numFmts>
  <fonts count="13" x14ac:knownFonts="1">
    <font>
      <sz val="10"/>
      <color rgb="FF000000"/>
      <name val="Arial"/>
      <scheme val="minor"/>
    </font>
    <font>
      <sz val="10"/>
      <color theme="1"/>
      <name val="Arial"/>
      <family val="2"/>
      <scheme val="minor"/>
    </font>
    <font>
      <sz val="10"/>
      <color rgb="FFFF0000"/>
      <name val="Arial"/>
      <family val="2"/>
      <scheme val="minor"/>
    </font>
    <font>
      <sz val="8"/>
      <color rgb="FF000000"/>
      <name val="Tahoma"/>
      <family val="2"/>
    </font>
    <font>
      <sz val="10"/>
      <name val="Arial"/>
      <family val="2"/>
    </font>
    <font>
      <sz val="11"/>
      <color rgb="FF000000"/>
      <name val="Calibri"/>
      <family val="2"/>
    </font>
    <font>
      <sz val="11"/>
      <color rgb="FFFF0000"/>
      <name val="Calibri"/>
      <family val="2"/>
    </font>
    <font>
      <sz val="8"/>
      <color rgb="FFFF0000"/>
      <name val="Tahoma"/>
      <family val="2"/>
    </font>
    <font>
      <b/>
      <sz val="11"/>
      <color rgb="FF000000"/>
      <name val="Calibri"/>
      <family val="2"/>
    </font>
    <font>
      <sz val="8"/>
      <color theme="1"/>
      <name val="Tahoma"/>
      <family val="2"/>
    </font>
    <font>
      <b/>
      <sz val="10"/>
      <color rgb="FF000000"/>
      <name val="Arial"/>
      <family val="2"/>
      <scheme val="minor"/>
    </font>
    <font>
      <b/>
      <sz val="10"/>
      <color theme="1"/>
      <name val="Arial"/>
      <family val="2"/>
      <scheme val="minor"/>
    </font>
    <font>
      <b/>
      <sz val="10"/>
      <color rgb="FFFF0000"/>
      <name val="Arial"/>
      <family val="2"/>
      <scheme val="minor"/>
    </font>
  </fonts>
  <fills count="8">
    <fill>
      <patternFill patternType="none"/>
    </fill>
    <fill>
      <patternFill patternType="gray125"/>
    </fill>
    <fill>
      <patternFill patternType="solid">
        <fgColor rgb="FFD3D3D3"/>
        <bgColor rgb="FFD3D3D3"/>
      </patternFill>
    </fill>
    <fill>
      <patternFill patternType="solid">
        <fgColor rgb="FFFFFFFF"/>
        <bgColor rgb="FFFFFFFF"/>
      </patternFill>
    </fill>
    <fill>
      <patternFill patternType="solid">
        <fgColor rgb="FFA9D08E"/>
        <bgColor rgb="FFA9D08E"/>
      </patternFill>
    </fill>
    <fill>
      <patternFill patternType="solid">
        <fgColor rgb="FFFFE699"/>
        <bgColor rgb="FFFFE699"/>
      </patternFill>
    </fill>
    <fill>
      <patternFill patternType="solid">
        <fgColor rgb="FFF8CBAD"/>
        <bgColor rgb="FFF8CBAD"/>
      </patternFill>
    </fill>
    <fill>
      <patternFill patternType="solid">
        <fgColor theme="0"/>
        <bgColor indexed="64"/>
      </patternFill>
    </fill>
  </fills>
  <borders count="17">
    <border>
      <left/>
      <right/>
      <top/>
      <bottom/>
      <diagonal/>
    </border>
    <border>
      <left style="thin">
        <color rgb="FFFFFFFF"/>
      </left>
      <right style="thin">
        <color rgb="FFFFFFFF"/>
      </right>
      <top style="thin">
        <color rgb="FFFFFFFF"/>
      </top>
      <bottom style="thin">
        <color rgb="FFFFFFFF"/>
      </bottom>
      <diagonal/>
    </border>
    <border>
      <left style="thin">
        <color rgb="FFA9A9A9"/>
      </left>
      <right/>
      <top style="thin">
        <color rgb="FFA9A9A9"/>
      </top>
      <bottom/>
      <diagonal/>
    </border>
    <border>
      <left/>
      <right/>
      <top style="thin">
        <color rgb="FFA9A9A9"/>
      </top>
      <bottom/>
      <diagonal/>
    </border>
    <border>
      <left/>
      <right style="thin">
        <color rgb="FFA9A9A9"/>
      </right>
      <top style="thin">
        <color rgb="FFA9A9A9"/>
      </top>
      <bottom/>
      <diagonal/>
    </border>
    <border>
      <left style="thin">
        <color rgb="FFA9A9A9"/>
      </left>
      <right/>
      <top/>
      <bottom/>
      <diagonal/>
    </border>
    <border>
      <left/>
      <right style="thin">
        <color rgb="FFA9A9A9"/>
      </right>
      <top/>
      <bottom/>
      <diagonal/>
    </border>
    <border>
      <left style="thin">
        <color rgb="FFA9A9A9"/>
      </left>
      <right style="thin">
        <color rgb="FFA9A9A9"/>
      </right>
      <top style="thin">
        <color rgb="FFA9A9A9"/>
      </top>
      <bottom/>
      <diagonal/>
    </border>
    <border>
      <left style="thin">
        <color rgb="FFA9A9A9"/>
      </left>
      <right/>
      <top/>
      <bottom style="thin">
        <color rgb="FFA9A9A9"/>
      </bottom>
      <diagonal/>
    </border>
    <border>
      <left/>
      <right/>
      <top/>
      <bottom style="thin">
        <color rgb="FFA9A9A9"/>
      </bottom>
      <diagonal/>
    </border>
    <border>
      <left/>
      <right style="thin">
        <color rgb="FFA9A9A9"/>
      </right>
      <top/>
      <bottom style="thin">
        <color rgb="FFA9A9A9"/>
      </bottom>
      <diagonal/>
    </border>
    <border>
      <left style="thin">
        <color rgb="FFA9A9A9"/>
      </left>
      <right style="thin">
        <color rgb="FFA9A9A9"/>
      </right>
      <top/>
      <bottom style="thin">
        <color rgb="FFA9A9A9"/>
      </bottom>
      <diagonal/>
    </border>
    <border>
      <left/>
      <right style="thin">
        <color rgb="FFA9A9A9"/>
      </right>
      <top style="thin">
        <color rgb="FFA9A9A9"/>
      </top>
      <bottom style="thin">
        <color rgb="FFA9A9A9"/>
      </bottom>
      <diagonal/>
    </border>
    <border>
      <left style="thin">
        <color indexed="64"/>
      </left>
      <right style="thin">
        <color indexed="64"/>
      </right>
      <top style="thin">
        <color indexed="64"/>
      </top>
      <bottom style="thin">
        <color indexed="64"/>
      </bottom>
      <diagonal/>
    </border>
    <border>
      <left style="thin">
        <color rgb="FF442F65"/>
      </left>
      <right style="thin">
        <color rgb="FFFFFFFF"/>
      </right>
      <top/>
      <bottom style="thin">
        <color rgb="FF442F65"/>
      </bottom>
      <diagonal/>
    </border>
    <border>
      <left style="thin">
        <color rgb="FFFFFFFF"/>
      </left>
      <right style="thin">
        <color rgb="FFFFFFFF"/>
      </right>
      <top/>
      <bottom style="thin">
        <color rgb="FF442F65"/>
      </bottom>
      <diagonal/>
    </border>
    <border>
      <left style="thin">
        <color rgb="FFFFFFFF"/>
      </left>
      <right style="thin">
        <color rgb="FF442F65"/>
      </right>
      <top/>
      <bottom style="thin">
        <color rgb="FF442F65"/>
      </bottom>
      <diagonal/>
    </border>
  </borders>
  <cellStyleXfs count="1">
    <xf numFmtId="0" fontId="0" fillId="0" borderId="0"/>
  </cellStyleXfs>
  <cellXfs count="97">
    <xf numFmtId="0" fontId="0" fillId="0" borderId="0" xfId="0"/>
    <xf numFmtId="0" fontId="1" fillId="0" borderId="0" xfId="0" applyFont="1"/>
    <xf numFmtId="0" fontId="1" fillId="0" borderId="0" xfId="0" applyFont="1" applyAlignment="1">
      <alignment wrapText="1"/>
    </xf>
    <xf numFmtId="165" fontId="1" fillId="0" borderId="0" xfId="0" applyNumberFormat="1" applyFont="1"/>
    <xf numFmtId="14" fontId="1" fillId="0" borderId="0" xfId="0" applyNumberFormat="1" applyFont="1"/>
    <xf numFmtId="49" fontId="1" fillId="0" borderId="0" xfId="0" applyNumberFormat="1" applyFont="1"/>
    <xf numFmtId="164" fontId="1" fillId="0" borderId="0" xfId="0" applyNumberFormat="1" applyFont="1"/>
    <xf numFmtId="0" fontId="5" fillId="0" borderId="0" xfId="0" applyFont="1"/>
    <xf numFmtId="0" fontId="6" fillId="0" borderId="0" xfId="0" applyFont="1"/>
    <xf numFmtId="0" fontId="3" fillId="0" borderId="11" xfId="0" applyFont="1" applyBorder="1" applyAlignment="1">
      <alignment horizontal="center"/>
    </xf>
    <xf numFmtId="0" fontId="3" fillId="0" borderId="10" xfId="0" applyFont="1" applyBorder="1" applyAlignment="1">
      <alignment horizontal="center"/>
    </xf>
    <xf numFmtId="0" fontId="5" fillId="0" borderId="0" xfId="0" applyFont="1" applyAlignment="1">
      <alignment horizontal="right"/>
    </xf>
    <xf numFmtId="0" fontId="6" fillId="0" borderId="0" xfId="0" applyFont="1" applyAlignment="1">
      <alignment horizontal="right"/>
    </xf>
    <xf numFmtId="0" fontId="5" fillId="0" borderId="0" xfId="0" applyFont="1" applyAlignment="1">
      <alignment wrapText="1"/>
    </xf>
    <xf numFmtId="0" fontId="3" fillId="0" borderId="12" xfId="0" applyFont="1" applyBorder="1" applyAlignment="1">
      <alignment horizontal="center"/>
    </xf>
    <xf numFmtId="0" fontId="7" fillId="0" borderId="12" xfId="0" applyFont="1" applyBorder="1" applyAlignment="1">
      <alignment horizontal="center"/>
    </xf>
    <xf numFmtId="0" fontId="3" fillId="0" borderId="12"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0" xfId="0" applyFont="1" applyAlignment="1">
      <alignment horizontal="center" wrapText="1"/>
    </xf>
    <xf numFmtId="0" fontId="7" fillId="2" borderId="11" xfId="0" applyFont="1" applyFill="1" applyBorder="1" applyAlignment="1">
      <alignment horizontal="center"/>
    </xf>
    <xf numFmtId="0" fontId="7" fillId="2" borderId="10" xfId="0" applyFont="1" applyFill="1" applyBorder="1" applyAlignment="1">
      <alignment horizontal="center"/>
    </xf>
    <xf numFmtId="0" fontId="7" fillId="2" borderId="12" xfId="0" applyFont="1" applyFill="1" applyBorder="1" applyAlignment="1">
      <alignment horizontal="center"/>
    </xf>
    <xf numFmtId="0" fontId="3" fillId="2" borderId="11" xfId="0" applyFont="1" applyFill="1" applyBorder="1" applyAlignment="1">
      <alignment horizontal="center"/>
    </xf>
    <xf numFmtId="0" fontId="3" fillId="2" borderId="10" xfId="0" applyFont="1" applyFill="1" applyBorder="1" applyAlignment="1">
      <alignment horizontal="center"/>
    </xf>
    <xf numFmtId="0" fontId="8" fillId="0" borderId="0" xfId="0" applyFont="1" applyAlignment="1">
      <alignment wrapText="1"/>
    </xf>
    <xf numFmtId="0" fontId="3" fillId="3" borderId="11" xfId="0" applyFont="1" applyFill="1" applyBorder="1" applyAlignment="1">
      <alignment horizontal="left"/>
    </xf>
    <xf numFmtId="0" fontId="3" fillId="3" borderId="10" xfId="0" applyFont="1" applyFill="1" applyBorder="1" applyAlignment="1">
      <alignment horizontal="left"/>
    </xf>
    <xf numFmtId="14" fontId="3" fillId="3" borderId="10" xfId="0" applyNumberFormat="1" applyFont="1" applyFill="1" applyBorder="1" applyAlignment="1">
      <alignment horizontal="left"/>
    </xf>
    <xf numFmtId="0" fontId="9" fillId="3" borderId="10" xfId="0" applyFont="1" applyFill="1" applyBorder="1" applyAlignment="1">
      <alignment horizontal="center"/>
    </xf>
    <xf numFmtId="0" fontId="9" fillId="3" borderId="12" xfId="0" applyFont="1" applyFill="1" applyBorder="1" applyAlignment="1">
      <alignment horizontal="center"/>
    </xf>
    <xf numFmtId="0" fontId="7" fillId="3" borderId="12" xfId="0" applyFont="1" applyFill="1" applyBorder="1" applyAlignment="1">
      <alignment horizontal="center"/>
    </xf>
    <xf numFmtId="10" fontId="9" fillId="3" borderId="12" xfId="0" applyNumberFormat="1" applyFont="1" applyFill="1" applyBorder="1" applyAlignment="1">
      <alignment horizontal="center"/>
    </xf>
    <xf numFmtId="0" fontId="7" fillId="3" borderId="10" xfId="0" applyFont="1" applyFill="1" applyBorder="1" applyAlignment="1">
      <alignment horizontal="center"/>
    </xf>
    <xf numFmtId="10" fontId="9" fillId="3" borderId="10" xfId="0" applyNumberFormat="1" applyFont="1" applyFill="1" applyBorder="1" applyAlignment="1">
      <alignment horizontal="center"/>
    </xf>
    <xf numFmtId="0" fontId="3" fillId="4" borderId="11" xfId="0" applyFont="1" applyFill="1" applyBorder="1" applyAlignment="1">
      <alignment horizontal="left"/>
    </xf>
    <xf numFmtId="0" fontId="3" fillId="4" borderId="10" xfId="0" applyFont="1" applyFill="1" applyBorder="1" applyAlignment="1">
      <alignment horizontal="left"/>
    </xf>
    <xf numFmtId="14" fontId="3" fillId="4" borderId="10" xfId="0" applyNumberFormat="1" applyFont="1" applyFill="1" applyBorder="1" applyAlignment="1">
      <alignment horizontal="left"/>
    </xf>
    <xf numFmtId="0" fontId="9" fillId="4" borderId="10" xfId="0" applyFont="1" applyFill="1" applyBorder="1" applyAlignment="1">
      <alignment horizontal="center"/>
    </xf>
    <xf numFmtId="0" fontId="7" fillId="4" borderId="10" xfId="0" applyFont="1" applyFill="1" applyBorder="1" applyAlignment="1">
      <alignment horizontal="center"/>
    </xf>
    <xf numFmtId="0" fontId="5" fillId="0" borderId="0" xfId="0" applyFont="1" applyAlignment="1">
      <alignment horizontal="center"/>
    </xf>
    <xf numFmtId="10" fontId="9" fillId="4" borderId="10" xfId="0" applyNumberFormat="1" applyFont="1" applyFill="1" applyBorder="1" applyAlignment="1">
      <alignment horizontal="center"/>
    </xf>
    <xf numFmtId="0" fontId="3" fillId="5" borderId="11" xfId="0" applyFont="1" applyFill="1" applyBorder="1" applyAlignment="1">
      <alignment horizontal="left"/>
    </xf>
    <xf numFmtId="0" fontId="3" fillId="5" borderId="10" xfId="0" applyFont="1" applyFill="1" applyBorder="1" applyAlignment="1">
      <alignment horizontal="left"/>
    </xf>
    <xf numFmtId="14" fontId="3" fillId="5" borderId="10" xfId="0" applyNumberFormat="1" applyFont="1" applyFill="1" applyBorder="1" applyAlignment="1">
      <alignment horizontal="left"/>
    </xf>
    <xf numFmtId="0" fontId="9" fillId="5" borderId="10" xfId="0" applyFont="1" applyFill="1" applyBorder="1" applyAlignment="1">
      <alignment horizontal="center"/>
    </xf>
    <xf numFmtId="0" fontId="7" fillId="5" borderId="10" xfId="0" applyFont="1" applyFill="1" applyBorder="1" applyAlignment="1">
      <alignment horizontal="center"/>
    </xf>
    <xf numFmtId="10" fontId="9" fillId="5" borderId="10" xfId="0" applyNumberFormat="1" applyFont="1" applyFill="1" applyBorder="1" applyAlignment="1">
      <alignment horizontal="center"/>
    </xf>
    <xf numFmtId="0" fontId="3" fillId="6" borderId="11" xfId="0" applyFont="1" applyFill="1" applyBorder="1" applyAlignment="1">
      <alignment horizontal="left"/>
    </xf>
    <xf numFmtId="0" fontId="3" fillId="6" borderId="10" xfId="0" applyFont="1" applyFill="1" applyBorder="1" applyAlignment="1">
      <alignment horizontal="left"/>
    </xf>
    <xf numFmtId="14" fontId="3" fillId="6" borderId="10" xfId="0" applyNumberFormat="1" applyFont="1" applyFill="1" applyBorder="1" applyAlignment="1">
      <alignment horizontal="left"/>
    </xf>
    <xf numFmtId="0" fontId="9" fillId="6" borderId="10" xfId="0" applyFont="1" applyFill="1" applyBorder="1" applyAlignment="1">
      <alignment horizontal="center"/>
    </xf>
    <xf numFmtId="10" fontId="9" fillId="6" borderId="10" xfId="0" applyNumberFormat="1" applyFont="1" applyFill="1" applyBorder="1" applyAlignment="1">
      <alignment horizontal="center"/>
    </xf>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4" fillId="0" borderId="5" xfId="0" applyFont="1" applyBorder="1"/>
    <xf numFmtId="0" fontId="0" fillId="0" borderId="0" xfId="0"/>
    <xf numFmtId="0" fontId="4" fillId="0" borderId="6" xfId="0" applyFont="1" applyBorder="1"/>
    <xf numFmtId="0" fontId="4" fillId="0" borderId="8" xfId="0" applyFont="1" applyBorder="1"/>
    <xf numFmtId="0" fontId="4" fillId="0" borderId="9" xfId="0" applyFont="1" applyBorder="1"/>
    <xf numFmtId="0" fontId="4" fillId="0" borderId="10" xfId="0" applyFont="1" applyBorder="1"/>
    <xf numFmtId="0" fontId="3" fillId="2" borderId="7" xfId="0" applyFont="1" applyFill="1" applyBorder="1" applyAlignment="1">
      <alignment horizontal="center"/>
    </xf>
    <xf numFmtId="0" fontId="4" fillId="0" borderId="11" xfId="0" applyFont="1" applyBorder="1"/>
    <xf numFmtId="0" fontId="0" fillId="0" borderId="0" xfId="0" applyFill="1"/>
    <xf numFmtId="0" fontId="1" fillId="0" borderId="0" xfId="0" applyFont="1" applyFill="1" applyAlignment="1">
      <alignment horizontal="center"/>
    </xf>
    <xf numFmtId="0" fontId="1" fillId="0" borderId="0" xfId="0" applyFont="1" applyFill="1" applyAlignment="1">
      <alignment wrapText="1"/>
    </xf>
    <xf numFmtId="0" fontId="1" fillId="3" borderId="1" xfId="0" applyFont="1" applyFill="1" applyBorder="1" applyAlignment="1">
      <alignment vertical="center"/>
    </xf>
    <xf numFmtId="0" fontId="10" fillId="0" borderId="0" xfId="0" applyFont="1" applyFill="1"/>
    <xf numFmtId="0" fontId="10" fillId="0" borderId="0" xfId="0" applyFont="1" applyFill="1" applyAlignment="1">
      <alignment horizontal="center"/>
    </xf>
    <xf numFmtId="164" fontId="1" fillId="0" borderId="14" xfId="0" applyNumberFormat="1" applyFont="1" applyFill="1" applyBorder="1" applyAlignment="1">
      <alignment vertical="center"/>
    </xf>
    <xf numFmtId="0" fontId="1" fillId="0" borderId="15" xfId="0" applyFont="1" applyFill="1" applyBorder="1" applyAlignment="1">
      <alignment vertical="center"/>
    </xf>
    <xf numFmtId="0" fontId="1" fillId="0" borderId="15" xfId="0" applyFont="1" applyFill="1" applyBorder="1" applyAlignment="1">
      <alignment horizontal="center" vertical="center"/>
    </xf>
    <xf numFmtId="0" fontId="1" fillId="0" borderId="15" xfId="0" applyFont="1" applyFill="1" applyBorder="1" applyAlignment="1">
      <alignment vertical="center" wrapText="1"/>
    </xf>
    <xf numFmtId="0" fontId="1" fillId="0" borderId="16" xfId="0" applyFont="1" applyFill="1" applyBorder="1" applyAlignment="1">
      <alignment vertical="center" wrapText="1"/>
    </xf>
    <xf numFmtId="164" fontId="1" fillId="0" borderId="13" xfId="0" applyNumberFormat="1" applyFont="1" applyFill="1" applyBorder="1" applyAlignment="1">
      <alignment vertical="center"/>
    </xf>
    <xf numFmtId="0" fontId="1" fillId="0" borderId="13" xfId="0" applyFont="1" applyFill="1" applyBorder="1" applyAlignment="1">
      <alignment vertical="center"/>
    </xf>
    <xf numFmtId="0" fontId="1" fillId="0" borderId="13" xfId="0" applyFont="1" applyFill="1" applyBorder="1" applyAlignment="1">
      <alignment horizontal="center" vertical="center"/>
    </xf>
    <xf numFmtId="165" fontId="1" fillId="0" borderId="13" xfId="0" applyNumberFormat="1" applyFont="1" applyFill="1" applyBorder="1" applyAlignment="1">
      <alignment vertical="center"/>
    </xf>
    <xf numFmtId="0" fontId="1" fillId="0" borderId="13" xfId="0" applyFont="1" applyFill="1" applyBorder="1" applyAlignment="1">
      <alignment vertical="center" wrapText="1"/>
    </xf>
    <xf numFmtId="165" fontId="1" fillId="0" borderId="13" xfId="0" applyNumberFormat="1" applyFont="1" applyFill="1" applyBorder="1" applyAlignment="1">
      <alignment horizontal="center" vertical="center"/>
    </xf>
    <xf numFmtId="0" fontId="11" fillId="7" borderId="13" xfId="0" applyFont="1" applyFill="1" applyBorder="1" applyAlignment="1">
      <alignment horizontal="left" vertical="center" wrapText="1"/>
    </xf>
    <xf numFmtId="0" fontId="11" fillId="7" borderId="13" xfId="0" applyFont="1" applyFill="1" applyBorder="1" applyAlignment="1">
      <alignment horizontal="center" vertical="center" wrapText="1"/>
    </xf>
    <xf numFmtId="49" fontId="11" fillId="7" borderId="13" xfId="0" applyNumberFormat="1" applyFont="1" applyFill="1" applyBorder="1" applyAlignment="1">
      <alignment horizontal="left" vertical="center" wrapText="1"/>
    </xf>
    <xf numFmtId="0" fontId="10" fillId="7" borderId="0" xfId="0" applyFont="1" applyFill="1"/>
    <xf numFmtId="0" fontId="10" fillId="0" borderId="13" xfId="0" applyFont="1" applyFill="1" applyBorder="1" applyAlignment="1">
      <alignment horizontal="center"/>
    </xf>
    <xf numFmtId="164" fontId="1" fillId="0" borderId="13" xfId="0" applyNumberFormat="1" applyFont="1" applyFill="1" applyBorder="1" applyAlignment="1">
      <alignment vertical="center" wrapText="1"/>
    </xf>
    <xf numFmtId="0" fontId="1" fillId="0" borderId="13" xfId="0" applyFont="1" applyFill="1" applyBorder="1" applyAlignment="1">
      <alignment horizontal="center" vertical="center" wrapText="1"/>
    </xf>
    <xf numFmtId="165" fontId="1" fillId="0" borderId="13" xfId="0" applyNumberFormat="1" applyFont="1" applyFill="1" applyBorder="1" applyAlignment="1">
      <alignment vertical="center" wrapText="1"/>
    </xf>
    <xf numFmtId="0" fontId="0" fillId="0" borderId="0" xfId="0" applyFill="1" applyAlignment="1">
      <alignment wrapText="1"/>
    </xf>
    <xf numFmtId="165" fontId="1" fillId="0" borderId="13" xfId="0" applyNumberFormat="1" applyFont="1" applyFill="1" applyBorder="1" applyAlignment="1">
      <alignment horizontal="center" vertical="center" wrapText="1"/>
    </xf>
    <xf numFmtId="164" fontId="2" fillId="0" borderId="13" xfId="0" applyNumberFormat="1" applyFont="1" applyFill="1" applyBorder="1" applyAlignment="1">
      <alignment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center" vertical="center" wrapText="1"/>
    </xf>
    <xf numFmtId="165" fontId="2" fillId="0" borderId="13" xfId="0" applyNumberFormat="1" applyFont="1" applyFill="1" applyBorder="1" applyAlignment="1">
      <alignment vertical="center" wrapText="1"/>
    </xf>
    <xf numFmtId="0" fontId="0" fillId="0" borderId="13" xfId="0" applyFill="1" applyBorder="1" applyAlignment="1">
      <alignment wrapText="1"/>
    </xf>
    <xf numFmtId="0" fontId="12" fillId="0" borderId="0" xfId="0" applyFont="1" applyFill="1"/>
  </cellXfs>
  <cellStyles count="1">
    <cellStyle name="Normal" xfId="0" builtinId="0"/>
  </cellStyles>
  <dxfs count="27">
    <dxf>
      <font>
        <b/>
        <family val="2"/>
      </font>
      <fill>
        <patternFill patternType="solid">
          <fgColor indexed="64"/>
          <bgColor theme="0"/>
        </patternFill>
      </fill>
    </dxf>
    <dxf>
      <fill>
        <patternFill patternType="solid">
          <fgColor rgb="FFB7E1CD"/>
          <bgColor rgb="FFB7E1CD"/>
        </patternFill>
      </fill>
    </dxf>
    <dxf>
      <fill>
        <patternFill patternType="solid">
          <fgColor rgb="FFB7E1CD"/>
          <bgColor rgb="FFB7E1CD"/>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DS SV đăng ký-style" pivot="0" count="3" xr9:uid="{00000000-0011-0000-FFFF-FFFF00000000}">
      <tableStyleElement type="headerRow" dxfId="26"/>
      <tableStyleElement type="firstRowStripe" dxfId="25"/>
      <tableStyleElement type="secondRowStripe"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6:S297" headerRowDxfId="0" dataDxfId="3" totalsRowDxfId="4">
  <autoFilter ref="A6:S297" xr:uid="{00000000-0009-0000-0100-000001000000}"/>
  <tableColumns count="19">
    <tableColumn id="1" xr3:uid="{00000000-0010-0000-0000-000001000000}" name="Timestamp" dataDxfId="23"/>
    <tableColumn id="3" xr3:uid="{00000000-0010-0000-0000-000003000000}" name="Mã số sinh viên (đầy đủ)" dataDxfId="22"/>
    <tableColumn id="4" xr3:uid="{00000000-0010-0000-0000-000004000000}" name="Họ và tên" dataDxfId="21"/>
    <tableColumn id="6" xr3:uid="{00000000-0010-0000-0000-000006000000}" name="Lớp (ví dụ: K25PSUDLK 1)" dataDxfId="20"/>
    <tableColumn id="7" xr3:uid="{00000000-0010-0000-0000-000007000000}" name="Chuyên ngành" dataDxfId="19"/>
    <tableColumn id="8" xr3:uid="{00000000-0010-0000-0000-000008000000}" name="Khóa " dataDxfId="18"/>
    <tableColumn id="13" xr3:uid="{00000000-0010-0000-0000-00000D000000}" name="Tham gia tốt nghiệp cuối khóa đợt tháng 06/2025 (sinh viên tham gia mục nào thì tick vào mục đó)" dataDxfId="17"/>
    <tableColumn id="17" xr3:uid="{00000000-0010-0000-0000-000011000000}" name="Đơn dự thực tập tốt nghiệp 06/2025_x000a_(khóa cũ phải nộp)" dataDxfId="16"/>
    <tableColumn id="18" xr3:uid="{00000000-0010-0000-0000-000012000000}" name="Mã đơn tham dự tốt nghiệp" dataDxfId="15"/>
    <tableColumn id="19" xr3:uid="{00000000-0010-0000-0000-000013000000}" name="Ngày khoa cấp giấy giới thiệu thực tập" dataDxfId="14"/>
    <tableColumn id="20" xr3:uid="{00000000-0010-0000-0000-000014000000}" name="Ghi chú của giáo vụ" dataDxfId="13"/>
    <tableColumn id="21" xr3:uid="{00000000-0010-0000-0000-000015000000}" name="THÔNG TIN ĐỐI CHIẾU CỦA KHOA" dataDxfId="12"/>
    <tableColumn id="22" xr3:uid="{00000000-0010-0000-0000-000016000000}" name="THÔNG TIN ĐỐI CHIẾU CỦA KHOA - 2" dataDxfId="11"/>
    <tableColumn id="23" xr3:uid="{00000000-0010-0000-0000-000017000000}" name="Tên đơn vị thực tập (sinh viên đã được doanh nghiệp xác nhận nhận vào thực tập)" dataDxfId="10"/>
    <tableColumn id="24" xr3:uid="{00000000-0010-0000-0000-000018000000}" name="Bộ phận TT khoa đã duyệt" dataDxfId="9"/>
    <tableColumn id="25" xr3:uid="{00000000-0010-0000-0000-000019000000}" name="Kết quả xét duyệt đơn vị thực tập" dataDxfId="8"/>
    <tableColumn id="26" xr3:uid="{00000000-0010-0000-0000-00001A000000}" name="XÉT ĐIỀU KIỆN THỰC TẬP" dataDxfId="7"/>
    <tableColumn id="28" xr3:uid="{00000000-0010-0000-0000-00001C000000}" name="xin chuyển từ Khóa luận sang Chuyên đề" dataDxfId="6"/>
    <tableColumn id="29" xr3:uid="{00000000-0010-0000-0000-00001D000000}" name="Đơn xin chuyển đổi hình thức" dataDxfId="5"/>
  </tableColumns>
  <tableStyleInfo name="DS SV đăng ký-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397"/>
  <sheetViews>
    <sheetView tabSelected="1" workbookViewId="0">
      <pane xSplit="3" ySplit="6" topLeftCell="D231" activePane="bottomRight" state="frozen"/>
      <selection pane="topRight" activeCell="E1" sqref="E1"/>
      <selection pane="bottomLeft" activeCell="A2" sqref="A2"/>
      <selection pane="bottomRight" activeCell="J232" sqref="J232"/>
    </sheetView>
  </sheetViews>
  <sheetFormatPr defaultColWidth="12.5703125" defaultRowHeight="15.75" customHeight="1" x14ac:dyDescent="0.2"/>
  <cols>
    <col min="1" max="1" width="18.85546875" style="64" customWidth="1"/>
    <col min="2" max="2" width="15.5703125" style="64" customWidth="1"/>
    <col min="3" max="3" width="20" style="64" customWidth="1"/>
    <col min="4" max="4" width="11.7109375" style="64" customWidth="1"/>
    <col min="5" max="5" width="18.85546875" style="64" customWidth="1"/>
    <col min="6" max="6" width="6.7109375" style="64" customWidth="1"/>
    <col min="7" max="7" width="19.28515625" style="64" customWidth="1"/>
    <col min="8" max="8" width="20.7109375" style="64" customWidth="1"/>
    <col min="9" max="9" width="14.42578125" style="64" customWidth="1"/>
    <col min="10" max="12" width="18.85546875" style="64" customWidth="1"/>
    <col min="13" max="13" width="37.85546875" style="64" customWidth="1"/>
    <col min="14" max="14" width="21.42578125" style="64" customWidth="1"/>
    <col min="15" max="15" width="17.42578125" style="64" customWidth="1"/>
    <col min="16" max="16" width="16.42578125" style="64" customWidth="1"/>
    <col min="17" max="17" width="22.42578125" style="64" customWidth="1"/>
    <col min="18" max="18" width="24.140625" style="64" customWidth="1"/>
    <col min="19" max="19" width="15" style="64" customWidth="1"/>
    <col min="20" max="16384" width="12.5703125" style="64"/>
  </cols>
  <sheetData>
    <row r="1" spans="1:19" ht="15.75" customHeight="1" x14ac:dyDescent="0.2">
      <c r="C1" s="69" t="s">
        <v>862</v>
      </c>
    </row>
    <row r="2" spans="1:19" ht="15.75" customHeight="1" x14ac:dyDescent="0.2">
      <c r="C2" s="69" t="s">
        <v>863</v>
      </c>
    </row>
    <row r="4" spans="1:19" s="96" customFormat="1" ht="15.75" customHeight="1" x14ac:dyDescent="0.2">
      <c r="A4" s="96" t="s">
        <v>864</v>
      </c>
    </row>
    <row r="5" spans="1:19" s="68" customFormat="1" ht="15.75" customHeight="1" x14ac:dyDescent="0.2">
      <c r="A5" s="85" t="s">
        <v>926</v>
      </c>
      <c r="B5" s="85"/>
      <c r="C5" s="85"/>
      <c r="D5" s="85"/>
      <c r="E5" s="85"/>
      <c r="F5" s="85"/>
      <c r="G5" s="85"/>
    </row>
    <row r="6" spans="1:19" s="84" customFormat="1" ht="74.25" customHeight="1" x14ac:dyDescent="0.2">
      <c r="A6" s="81" t="s">
        <v>0</v>
      </c>
      <c r="B6" s="81" t="s">
        <v>1</v>
      </c>
      <c r="C6" s="81" t="s">
        <v>2</v>
      </c>
      <c r="D6" s="81" t="s">
        <v>3</v>
      </c>
      <c r="E6" s="81" t="s">
        <v>4</v>
      </c>
      <c r="F6" s="81" t="s">
        <v>5</v>
      </c>
      <c r="G6" s="81" t="s">
        <v>6</v>
      </c>
      <c r="H6" s="82" t="s">
        <v>7</v>
      </c>
      <c r="I6" s="82" t="s">
        <v>8</v>
      </c>
      <c r="J6" s="82" t="s">
        <v>9</v>
      </c>
      <c r="K6" s="83" t="s">
        <v>10</v>
      </c>
      <c r="L6" s="81" t="s">
        <v>11</v>
      </c>
      <c r="M6" s="81" t="s">
        <v>865</v>
      </c>
      <c r="N6" s="81" t="s">
        <v>12</v>
      </c>
      <c r="O6" s="83" t="s">
        <v>13</v>
      </c>
      <c r="P6" s="81" t="s">
        <v>14</v>
      </c>
      <c r="Q6" s="81" t="s">
        <v>15</v>
      </c>
      <c r="R6" s="81" t="s">
        <v>16</v>
      </c>
      <c r="S6" s="81" t="s">
        <v>17</v>
      </c>
    </row>
    <row r="7" spans="1:19" ht="12.75" x14ac:dyDescent="0.2">
      <c r="A7" s="75">
        <v>45636.573253263894</v>
      </c>
      <c r="B7" s="76">
        <v>27207132468</v>
      </c>
      <c r="C7" s="76" t="s">
        <v>18</v>
      </c>
      <c r="D7" s="76" t="s">
        <v>19</v>
      </c>
      <c r="E7" s="76" t="s">
        <v>20</v>
      </c>
      <c r="F7" s="76" t="s">
        <v>21</v>
      </c>
      <c r="G7" s="76" t="s">
        <v>22</v>
      </c>
      <c r="H7" s="76"/>
      <c r="I7" s="77"/>
      <c r="J7" s="77" t="s">
        <v>24</v>
      </c>
      <c r="K7" s="76"/>
      <c r="L7" s="78" t="s">
        <v>18</v>
      </c>
      <c r="M7" s="76" t="s">
        <v>493</v>
      </c>
      <c r="N7" s="76" t="str">
        <f ca="1">VLOOKUP(B7,'đơn vị tt'!$C$1:$AG$555,25,0)</f>
        <v>Maximilan Danang Beach Hotel</v>
      </c>
      <c r="O7" s="76" t="str">
        <f ca="1">VLOOKUP(B7,'đơn vị tt'!$C$1:$AG$555,26,0)</f>
        <v>Nhà hàng</v>
      </c>
      <c r="P7" s="76" t="str">
        <f ca="1">VLOOKUP(B7,'đơn vị tt'!$C$1:$AG$555,23,0)</f>
        <v>DUYỆT</v>
      </c>
      <c r="Q7" s="76" t="str">
        <f>VLOOKUP(B7,'XÉT ĐIỀU KIỆN THAM DỰ THỰC TẬP'!$A$10:$AB$633,22,0)</f>
        <v>CHUYÊN ĐỀ</v>
      </c>
      <c r="R7" s="79"/>
      <c r="S7" s="79"/>
    </row>
    <row r="8" spans="1:19" ht="12.75" x14ac:dyDescent="0.2">
      <c r="A8" s="75">
        <v>45610.73780368056</v>
      </c>
      <c r="B8" s="76">
        <v>27207129095</v>
      </c>
      <c r="C8" s="76" t="s">
        <v>25</v>
      </c>
      <c r="D8" s="76" t="s">
        <v>26</v>
      </c>
      <c r="E8" s="76" t="s">
        <v>20</v>
      </c>
      <c r="F8" s="76" t="s">
        <v>21</v>
      </c>
      <c r="G8" s="76" t="s">
        <v>27</v>
      </c>
      <c r="H8" s="76"/>
      <c r="I8" s="77"/>
      <c r="J8" s="77" t="s">
        <v>24</v>
      </c>
      <c r="K8" s="76"/>
      <c r="L8" s="78" t="s">
        <v>25</v>
      </c>
      <c r="M8" s="76" t="s">
        <v>493</v>
      </c>
      <c r="N8" s="76" t="str">
        <f ca="1">VLOOKUP(B8,'đơn vị tt'!$C$1:$AG$555,25,0)</f>
        <v>Maximilan Danang Beach Hotel</v>
      </c>
      <c r="O8" s="76" t="str">
        <f ca="1">VLOOKUP(B8,'đơn vị tt'!$C$1:$AG$555,26,0)</f>
        <v>Tiền sảnh</v>
      </c>
      <c r="P8" s="76" t="str">
        <f ca="1">VLOOKUP(B8,'đơn vị tt'!$C$1:$AG$555,23,0)</f>
        <v>DUYỆT</v>
      </c>
      <c r="Q8" s="76" t="str">
        <f>VLOOKUP(B8,'XÉT ĐIỀU KIỆN THAM DỰ THỰC TẬP'!$A$10:$AB$633,22,0)</f>
        <v>XÉT LÀM KHÓA LUẬN</v>
      </c>
      <c r="R8" s="79" t="str">
        <f ca="1">VLOOKUP(B8,'chuyển KL-&gt;CĐ'!$C$2:$O$1000,2,0)</f>
        <v>Lê Thị Như Thiện</v>
      </c>
      <c r="S8" s="79">
        <f ca="1">VLOOKUP(B8,'chuyển KL-&gt;CĐ'!$C$2:$O$1000,10,0)</f>
        <v>0</v>
      </c>
    </row>
    <row r="9" spans="1:19" ht="12.75" x14ac:dyDescent="0.2">
      <c r="A9" s="75">
        <v>45636.568193819447</v>
      </c>
      <c r="B9" s="76">
        <v>27207121269</v>
      </c>
      <c r="C9" s="76" t="s">
        <v>28</v>
      </c>
      <c r="D9" s="76" t="s">
        <v>19</v>
      </c>
      <c r="E9" s="76" t="s">
        <v>20</v>
      </c>
      <c r="F9" s="76" t="s">
        <v>21</v>
      </c>
      <c r="G9" s="76" t="s">
        <v>27</v>
      </c>
      <c r="H9" s="76"/>
      <c r="I9" s="77"/>
      <c r="J9" s="77" t="s">
        <v>24</v>
      </c>
      <c r="K9" s="76"/>
      <c r="L9" s="78" t="s">
        <v>276</v>
      </c>
      <c r="M9" s="76" t="s">
        <v>493</v>
      </c>
      <c r="N9" s="76" t="str">
        <f ca="1">VLOOKUP(B9,'đơn vị tt'!$C$1:$AG$555,25,0)</f>
        <v>Maximilan Danang Beach Hotel</v>
      </c>
      <c r="O9" s="76" t="str">
        <f ca="1">VLOOKUP(B9,'đơn vị tt'!$C$1:$AG$555,26,0)</f>
        <v>Nhà hàng</v>
      </c>
      <c r="P9" s="76" t="str">
        <f ca="1">VLOOKUP(B9,'đơn vị tt'!$C$1:$AG$555,23,0)</f>
        <v>DUYỆT</v>
      </c>
      <c r="Q9" s="76" t="str">
        <f>VLOOKUP(B9,'XÉT ĐIỀU KIỆN THAM DỰ THỰC TẬP'!$A$10:$AB$633,22,0)</f>
        <v>CHUYÊN ĐỀ</v>
      </c>
      <c r="R9" s="79"/>
      <c r="S9" s="79"/>
    </row>
    <row r="10" spans="1:19" ht="12.75" x14ac:dyDescent="0.2">
      <c r="A10" s="75">
        <v>45653.680204629629</v>
      </c>
      <c r="B10" s="76">
        <v>27217142987</v>
      </c>
      <c r="C10" s="76" t="s">
        <v>29</v>
      </c>
      <c r="D10" s="76" t="s">
        <v>19</v>
      </c>
      <c r="E10" s="76" t="s">
        <v>20</v>
      </c>
      <c r="F10" s="76" t="s">
        <v>21</v>
      </c>
      <c r="G10" s="76" t="s">
        <v>27</v>
      </c>
      <c r="H10" s="76"/>
      <c r="I10" s="77"/>
      <c r="J10" s="77" t="s">
        <v>31</v>
      </c>
      <c r="K10" s="76"/>
      <c r="L10" s="78" t="s">
        <v>29</v>
      </c>
      <c r="M10" s="76" t="s">
        <v>493</v>
      </c>
      <c r="N10" s="76" t="str">
        <f ca="1">VLOOKUP(B10,'đơn vị tt'!$C$1:$AG$555,25,0)</f>
        <v>Royal Lotus Hotel Danang</v>
      </c>
      <c r="O10" s="76" t="str">
        <f ca="1">VLOOKUP(B10,'đơn vị tt'!$C$1:$AG$555,26,0)</f>
        <v>Tiền sảnh</v>
      </c>
      <c r="P10" s="76" t="str">
        <f ca="1">VLOOKUP(B10,'đơn vị tt'!$C$1:$AG$555,23,0)</f>
        <v>DUYỆT</v>
      </c>
      <c r="Q10" s="76" t="str">
        <f>VLOOKUP(B10,'XÉT ĐIỀU KIỆN THAM DỰ THỰC TẬP'!$A$10:$AB$633,22,0)</f>
        <v>CHUYÊN ĐỀ</v>
      </c>
      <c r="R10" s="79"/>
      <c r="S10" s="79"/>
    </row>
    <row r="11" spans="1:19" ht="12.75" x14ac:dyDescent="0.2">
      <c r="A11" s="75">
        <v>45625.443805127317</v>
      </c>
      <c r="B11" s="76">
        <v>26211232907</v>
      </c>
      <c r="C11" s="76" t="s">
        <v>32</v>
      </c>
      <c r="D11" s="76" t="s">
        <v>33</v>
      </c>
      <c r="E11" s="76" t="s">
        <v>20</v>
      </c>
      <c r="F11" s="76" t="s">
        <v>34</v>
      </c>
      <c r="G11" s="76" t="s">
        <v>22</v>
      </c>
      <c r="H11" s="76" t="s">
        <v>23</v>
      </c>
      <c r="I11" s="77">
        <v>50</v>
      </c>
      <c r="J11" s="77" t="s">
        <v>35</v>
      </c>
      <c r="K11" s="76"/>
      <c r="L11" s="78" t="s">
        <v>32</v>
      </c>
      <c r="M11" s="76" t="s">
        <v>493</v>
      </c>
      <c r="N11" s="76" t="e">
        <f ca="1">VLOOKUP(B11,'đơn vị tt'!$C$1:$AG$555,25,0)</f>
        <v>#N/A</v>
      </c>
      <c r="O11" s="76" t="e">
        <f ca="1">VLOOKUP(B11,'đơn vị tt'!$C$1:$AG$555,26,0)</f>
        <v>#N/A</v>
      </c>
      <c r="P11" s="76" t="e">
        <f ca="1">VLOOKUP(B11,'đơn vị tt'!$C$1:$AG$555,23,0)</f>
        <v>#N/A</v>
      </c>
      <c r="Q11" s="76" t="str">
        <f>VLOOKUP(B11,'XÉT ĐIỀU KIỆN THAM DỰ THỰC TẬP'!$A$10:$AB$633,22,0)</f>
        <v>CHUYÊN ĐỀ</v>
      </c>
      <c r="R11" s="79"/>
      <c r="S11" s="79"/>
    </row>
    <row r="12" spans="1:19" ht="12.75" x14ac:dyDescent="0.2">
      <c r="A12" s="75">
        <v>45647.412693900464</v>
      </c>
      <c r="B12" s="76">
        <v>27217129069</v>
      </c>
      <c r="C12" s="76" t="s">
        <v>36</v>
      </c>
      <c r="D12" s="76" t="s">
        <v>37</v>
      </c>
      <c r="E12" s="76" t="s">
        <v>20</v>
      </c>
      <c r="F12" s="76" t="s">
        <v>21</v>
      </c>
      <c r="G12" s="76" t="s">
        <v>38</v>
      </c>
      <c r="H12" s="76"/>
      <c r="I12" s="77"/>
      <c r="J12" s="77" t="s">
        <v>39</v>
      </c>
      <c r="K12" s="76"/>
      <c r="L12" s="78" t="s">
        <v>36</v>
      </c>
      <c r="M12" s="76" t="s">
        <v>493</v>
      </c>
      <c r="N12" s="76" t="str">
        <f ca="1">VLOOKUP(B12,'đơn vị tt'!$C$1:$AG$555,25,0)</f>
        <v>Diamond Sea Hotel</v>
      </c>
      <c r="O12" s="76" t="str">
        <f ca="1">VLOOKUP(B12,'đơn vị tt'!$C$1:$AG$555,26,0)</f>
        <v>Buồng phòng</v>
      </c>
      <c r="P12" s="76" t="str">
        <f ca="1">VLOOKUP(B12,'đơn vị tt'!$C$1:$AG$555,23,0)</f>
        <v>DUYỆT</v>
      </c>
      <c r="Q12" s="76" t="str">
        <f>VLOOKUP(B12,'XÉT ĐIỀU KIỆN THAM DỰ THỰC TẬP'!$A$10:$AB$633,22,0)</f>
        <v>CHUYÊN ĐỀ</v>
      </c>
      <c r="R12" s="79"/>
      <c r="S12" s="79"/>
    </row>
    <row r="13" spans="1:19" ht="12.75" x14ac:dyDescent="0.2">
      <c r="A13" s="75">
        <v>45636.533530891204</v>
      </c>
      <c r="B13" s="76">
        <v>25207116694</v>
      </c>
      <c r="C13" s="76" t="s">
        <v>40</v>
      </c>
      <c r="D13" s="76" t="s">
        <v>41</v>
      </c>
      <c r="E13" s="76" t="s">
        <v>42</v>
      </c>
      <c r="F13" s="76" t="s">
        <v>43</v>
      </c>
      <c r="G13" s="76" t="s">
        <v>44</v>
      </c>
      <c r="H13" s="76" t="s">
        <v>23</v>
      </c>
      <c r="I13" s="77">
        <v>1</v>
      </c>
      <c r="J13" s="80">
        <v>45870</v>
      </c>
      <c r="K13" s="76"/>
      <c r="L13" s="78" t="s">
        <v>40</v>
      </c>
      <c r="M13" s="76" t="s">
        <v>440</v>
      </c>
      <c r="N13" s="76" t="e">
        <f ca="1">VLOOKUP(B13,'đơn vị tt'!$C$1:$AG$555,25,0)</f>
        <v>#N/A</v>
      </c>
      <c r="O13" s="76" t="e">
        <f ca="1">VLOOKUP(B13,'đơn vị tt'!$C$1:$AG$555,26,0)</f>
        <v>#N/A</v>
      </c>
      <c r="P13" s="76" t="e">
        <f ca="1">VLOOKUP(B13,'đơn vị tt'!$C$1:$AG$555,23,0)</f>
        <v>#N/A</v>
      </c>
      <c r="Q13" s="76" t="e">
        <f>VLOOKUP(B13,'XÉT ĐIỀU KIỆN THAM DỰ THỰC TẬP'!$A$10:$AB$633,22,0)</f>
        <v>#N/A</v>
      </c>
      <c r="R13" s="79"/>
      <c r="S13" s="79"/>
    </row>
    <row r="14" spans="1:19" ht="12.75" x14ac:dyDescent="0.2">
      <c r="A14" s="75">
        <v>45646.640955763884</v>
      </c>
      <c r="B14" s="76">
        <v>27207100571</v>
      </c>
      <c r="C14" s="76" t="s">
        <v>45</v>
      </c>
      <c r="D14" s="76" t="s">
        <v>46</v>
      </c>
      <c r="E14" s="76" t="s">
        <v>42</v>
      </c>
      <c r="F14" s="76" t="s">
        <v>21</v>
      </c>
      <c r="G14" s="76" t="s">
        <v>22</v>
      </c>
      <c r="H14" s="76"/>
      <c r="I14" s="77"/>
      <c r="J14" s="77" t="s">
        <v>24</v>
      </c>
      <c r="K14" s="76"/>
      <c r="L14" s="78" t="s">
        <v>866</v>
      </c>
      <c r="M14" s="76" t="s">
        <v>440</v>
      </c>
      <c r="N14" s="76" t="str">
        <f ca="1">VLOOKUP(B14,'đơn vị tt'!$C$1:$AG$555,25,0)</f>
        <v>Meliá Danang Beach Resort</v>
      </c>
      <c r="O14" s="76" t="str">
        <f ca="1">VLOOKUP(B14,'đơn vị tt'!$C$1:$AG$555,26,0)</f>
        <v>Nhà hàng</v>
      </c>
      <c r="P14" s="76" t="str">
        <f ca="1">VLOOKUP(B14,'đơn vị tt'!$C$1:$AG$555,23,0)</f>
        <v>DUYỆT</v>
      </c>
      <c r="Q14" s="76" t="str">
        <f>VLOOKUP(B14,'XÉT ĐIỀU KIỆN THAM DỰ THỰC TẬP'!$A$10:$AB$633,22,0)</f>
        <v>CHUYÊN ĐỀ</v>
      </c>
      <c r="R14" s="79"/>
      <c r="S14" s="79"/>
    </row>
    <row r="15" spans="1:19" ht="12.75" x14ac:dyDescent="0.2">
      <c r="A15" s="75">
        <v>45644.515574317134</v>
      </c>
      <c r="B15" s="76">
        <v>27207147747</v>
      </c>
      <c r="C15" s="76" t="s">
        <v>47</v>
      </c>
      <c r="D15" s="76" t="s">
        <v>48</v>
      </c>
      <c r="E15" s="76" t="s">
        <v>20</v>
      </c>
      <c r="F15" s="76" t="s">
        <v>21</v>
      </c>
      <c r="G15" s="76" t="s">
        <v>38</v>
      </c>
      <c r="H15" s="76"/>
      <c r="I15" s="77"/>
      <c r="J15" s="77" t="s">
        <v>31</v>
      </c>
      <c r="K15" s="76"/>
      <c r="L15" s="78" t="s">
        <v>47</v>
      </c>
      <c r="M15" s="76" t="s">
        <v>493</v>
      </c>
      <c r="N15" s="76" t="str">
        <f ca="1">VLOOKUP(B15,'đơn vị tt'!$C$1:$AG$555,25,0)</f>
        <v>Meliá Vinpearl Danang Riverfront</v>
      </c>
      <c r="O15" s="76" t="str">
        <f ca="1">VLOOKUP(B15,'đơn vị tt'!$C$1:$AG$555,26,0)</f>
        <v>Tiền sảnh</v>
      </c>
      <c r="P15" s="76" t="str">
        <f ca="1">VLOOKUP(B15,'đơn vị tt'!$C$1:$AG$555,23,0)</f>
        <v>DUYỆT</v>
      </c>
      <c r="Q15" s="76" t="str">
        <f>VLOOKUP(B15,'XÉT ĐIỀU KIỆN THAM DỰ THỰC TẬP'!$A$10:$AB$633,22,0)</f>
        <v>CHUYÊN ĐỀ</v>
      </c>
      <c r="R15" s="79" t="str">
        <f ca="1">VLOOKUP(B15,'chuyển KL-&gt;CĐ'!$C$2:$O$1000,2,0)</f>
        <v>Nguyễn Thu Phương</v>
      </c>
      <c r="S15" s="79" t="str">
        <f ca="1">VLOOKUP(B15,'chuyển KL-&gt;CĐ'!$C$2:$O$1000,10,0)</f>
        <v>ĐÃ NỘP</v>
      </c>
    </row>
    <row r="16" spans="1:19" ht="12.75" x14ac:dyDescent="0.2">
      <c r="A16" s="75">
        <v>45637.333896562501</v>
      </c>
      <c r="B16" s="76">
        <v>27207152184</v>
      </c>
      <c r="C16" s="76" t="s">
        <v>49</v>
      </c>
      <c r="D16" s="76" t="s">
        <v>48</v>
      </c>
      <c r="E16" s="76" t="s">
        <v>20</v>
      </c>
      <c r="F16" s="76" t="s">
        <v>21</v>
      </c>
      <c r="G16" s="76" t="s">
        <v>38</v>
      </c>
      <c r="H16" s="76"/>
      <c r="I16" s="77"/>
      <c r="J16" s="77" t="s">
        <v>24</v>
      </c>
      <c r="K16" s="76"/>
      <c r="L16" s="78" t="s">
        <v>867</v>
      </c>
      <c r="M16" s="76" t="s">
        <v>493</v>
      </c>
      <c r="N16" s="76" t="str">
        <f ca="1">VLOOKUP(B16,'đơn vị tt'!$C$1:$AG$555,25,0)</f>
        <v>Hyatt regency DaNang Resort</v>
      </c>
      <c r="O16" s="76" t="str">
        <f ca="1">VLOOKUP(B16,'đơn vị tt'!$C$1:$AG$555,26,0)</f>
        <v>Nhà hàng</v>
      </c>
      <c r="P16" s="76" t="str">
        <f ca="1">VLOOKUP(B16,'đơn vị tt'!$C$1:$AG$555,23,0)</f>
        <v>DUYỆT</v>
      </c>
      <c r="Q16" s="76" t="str">
        <f>VLOOKUP(B16,'XÉT ĐIỀU KIỆN THAM DỰ THỰC TẬP'!$A$10:$AB$633,22,0)</f>
        <v>CHUYÊN ĐỀ</v>
      </c>
      <c r="R16" s="79"/>
      <c r="S16" s="79"/>
    </row>
    <row r="17" spans="1:19" ht="12.75" x14ac:dyDescent="0.2">
      <c r="A17" s="75">
        <v>45637.333906840278</v>
      </c>
      <c r="B17" s="76">
        <v>27203801181</v>
      </c>
      <c r="C17" s="76" t="s">
        <v>50</v>
      </c>
      <c r="D17" s="76" t="s">
        <v>48</v>
      </c>
      <c r="E17" s="76" t="s">
        <v>20</v>
      </c>
      <c r="F17" s="76" t="s">
        <v>21</v>
      </c>
      <c r="G17" s="76" t="s">
        <v>38</v>
      </c>
      <c r="H17" s="76"/>
      <c r="I17" s="77"/>
      <c r="J17" s="77" t="s">
        <v>24</v>
      </c>
      <c r="K17" s="76"/>
      <c r="L17" s="78" t="s">
        <v>50</v>
      </c>
      <c r="M17" s="76" t="s">
        <v>493</v>
      </c>
      <c r="N17" s="76" t="str">
        <f ca="1">VLOOKUP(B17,'đơn vị tt'!$C$1:$AG$555,25,0)</f>
        <v>Hyatt regency DaNang Resort</v>
      </c>
      <c r="O17" s="76" t="str">
        <f ca="1">VLOOKUP(B17,'đơn vị tt'!$C$1:$AG$555,26,0)</f>
        <v>Buồng phòng</v>
      </c>
      <c r="P17" s="76" t="str">
        <f ca="1">VLOOKUP(B17,'đơn vị tt'!$C$1:$AG$555,23,0)</f>
        <v>DUYỆT</v>
      </c>
      <c r="Q17" s="76" t="str">
        <f>VLOOKUP(B17,'XÉT ĐIỀU KIỆN THAM DỰ THỰC TẬP'!$A$10:$AB$633,22,0)</f>
        <v>CHUYÊN ĐỀ</v>
      </c>
      <c r="R17" s="79" t="str">
        <f ca="1">VLOOKUP(B17,'chuyển KL-&gt;CĐ'!$C$2:$O$1000,2,0)</f>
        <v>Nguyễn Phùng Linh Chi</v>
      </c>
      <c r="S17" s="79" t="str">
        <f ca="1">VLOOKUP(B17,'chuyển KL-&gt;CĐ'!$C$2:$O$1000,10,0)</f>
        <v>ĐÃ NỘP</v>
      </c>
    </row>
    <row r="18" spans="1:19" ht="12.75" x14ac:dyDescent="0.2">
      <c r="A18" s="75">
        <v>45637.337149004627</v>
      </c>
      <c r="B18" s="76">
        <v>27217130618</v>
      </c>
      <c r="C18" s="76" t="s">
        <v>51</v>
      </c>
      <c r="D18" s="76" t="s">
        <v>48</v>
      </c>
      <c r="E18" s="76" t="s">
        <v>20</v>
      </c>
      <c r="F18" s="76" t="s">
        <v>21</v>
      </c>
      <c r="G18" s="76" t="s">
        <v>38</v>
      </c>
      <c r="H18" s="76"/>
      <c r="I18" s="77"/>
      <c r="J18" s="77" t="s">
        <v>24</v>
      </c>
      <c r="K18" s="76"/>
      <c r="L18" s="78" t="s">
        <v>51</v>
      </c>
      <c r="M18" s="76" t="s">
        <v>493</v>
      </c>
      <c r="N18" s="76" t="str">
        <f ca="1">VLOOKUP(B18,'đơn vị tt'!$C$1:$AG$555,25,0)</f>
        <v>Hyatt regency DaNang Resort</v>
      </c>
      <c r="O18" s="76" t="str">
        <f ca="1">VLOOKUP(B18,'đơn vị tt'!$C$1:$AG$555,26,0)</f>
        <v>Nhà hàng</v>
      </c>
      <c r="P18" s="76" t="str">
        <f ca="1">VLOOKUP(B18,'đơn vị tt'!$C$1:$AG$555,23,0)</f>
        <v>DUYỆT</v>
      </c>
      <c r="Q18" s="76" t="str">
        <f>VLOOKUP(B18,'XÉT ĐIỀU KIỆN THAM DỰ THỰC TẬP'!$A$10:$AB$633,22,0)</f>
        <v>CHUYÊN ĐỀ</v>
      </c>
      <c r="R18" s="79"/>
      <c r="S18" s="79"/>
    </row>
    <row r="19" spans="1:19" ht="12.75" x14ac:dyDescent="0.2">
      <c r="A19" s="75">
        <v>45638.425558391202</v>
      </c>
      <c r="B19" s="76">
        <v>27207140631</v>
      </c>
      <c r="C19" s="76" t="s">
        <v>52</v>
      </c>
      <c r="D19" s="76" t="s">
        <v>53</v>
      </c>
      <c r="E19" s="76" t="s">
        <v>42</v>
      </c>
      <c r="F19" s="76" t="s">
        <v>21</v>
      </c>
      <c r="G19" s="76" t="s">
        <v>38</v>
      </c>
      <c r="H19" s="76"/>
      <c r="I19" s="77"/>
      <c r="J19" s="77" t="s">
        <v>24</v>
      </c>
      <c r="K19" s="76"/>
      <c r="L19" s="78" t="s">
        <v>52</v>
      </c>
      <c r="M19" s="76" t="s">
        <v>440</v>
      </c>
      <c r="N19" s="76" t="str">
        <f ca="1">VLOOKUP(B19,'đơn vị tt'!$C$1:$AG$555,25,0)</f>
        <v>Premier Village Danang Resort</v>
      </c>
      <c r="O19" s="76" t="str">
        <f ca="1">VLOOKUP(B19,'đơn vị tt'!$C$1:$AG$555,26,0)</f>
        <v>Nhà hàng</v>
      </c>
      <c r="P19" s="76" t="str">
        <f ca="1">VLOOKUP(B19,'đơn vị tt'!$C$1:$AG$555,23,0)</f>
        <v>DUYỆT</v>
      </c>
      <c r="Q19" s="76" t="str">
        <f>VLOOKUP(B19,'XÉT ĐIỀU KIỆN THAM DỰ THỰC TẬP'!$A$10:$AB$633,22,0)</f>
        <v>CHUYÊN ĐỀ</v>
      </c>
      <c r="R19" s="79"/>
      <c r="S19" s="79"/>
    </row>
    <row r="20" spans="1:19" ht="12.75" x14ac:dyDescent="0.2">
      <c r="A20" s="75">
        <v>45638.423189918976</v>
      </c>
      <c r="B20" s="76">
        <v>27217132620</v>
      </c>
      <c r="C20" s="76" t="s">
        <v>54</v>
      </c>
      <c r="D20" s="76" t="s">
        <v>55</v>
      </c>
      <c r="E20" s="76" t="s">
        <v>42</v>
      </c>
      <c r="F20" s="76" t="s">
        <v>21</v>
      </c>
      <c r="G20" s="76" t="s">
        <v>38</v>
      </c>
      <c r="H20" s="76"/>
      <c r="I20" s="77"/>
      <c r="J20" s="77" t="s">
        <v>24</v>
      </c>
      <c r="K20" s="76"/>
      <c r="L20" s="78" t="s">
        <v>54</v>
      </c>
      <c r="M20" s="76" t="s">
        <v>440</v>
      </c>
      <c r="N20" s="76" t="str">
        <f ca="1">VLOOKUP(B20,'đơn vị tt'!$C$1:$AG$555,25,0)</f>
        <v>Premier Village Danang Resort</v>
      </c>
      <c r="O20" s="76" t="str">
        <f ca="1">VLOOKUP(B20,'đơn vị tt'!$C$1:$AG$555,26,0)</f>
        <v>Nhà hàng</v>
      </c>
      <c r="P20" s="76" t="str">
        <f ca="1">VLOOKUP(B20,'đơn vị tt'!$C$1:$AG$555,23,0)</f>
        <v>DUYỆT</v>
      </c>
      <c r="Q20" s="76" t="str">
        <f>VLOOKUP(B20,'XÉT ĐIỀU KIỆN THAM DỰ THỰC TẬP'!$A$10:$AB$633,22,0)</f>
        <v>CHUYÊN ĐỀ</v>
      </c>
      <c r="R20" s="79" t="str">
        <f ca="1">VLOOKUP(B20,'chuyển KL-&gt;CĐ'!$C$2:$O$1000,2,0)</f>
        <v>Nguyễn Minh Hoà</v>
      </c>
      <c r="S20" s="79" t="str">
        <f ca="1">VLOOKUP(B20,'chuyển KL-&gt;CĐ'!$C$2:$O$1000,10,0)</f>
        <v>ĐÃ NỘP</v>
      </c>
    </row>
    <row r="21" spans="1:19" ht="12.75" x14ac:dyDescent="0.2">
      <c r="A21" s="75">
        <v>45650.440072951387</v>
      </c>
      <c r="B21" s="76">
        <v>27217123844</v>
      </c>
      <c r="C21" s="76" t="s">
        <v>56</v>
      </c>
      <c r="D21" s="76" t="s">
        <v>26</v>
      </c>
      <c r="E21" s="76" t="s">
        <v>20</v>
      </c>
      <c r="F21" s="76" t="s">
        <v>21</v>
      </c>
      <c r="G21" s="76" t="s">
        <v>38</v>
      </c>
      <c r="H21" s="76"/>
      <c r="I21" s="77"/>
      <c r="J21" s="77" t="s">
        <v>31</v>
      </c>
      <c r="K21" s="76"/>
      <c r="L21" s="78" t="s">
        <v>56</v>
      </c>
      <c r="M21" s="76" t="s">
        <v>493</v>
      </c>
      <c r="N21" s="76" t="str">
        <f ca="1">VLOOKUP(B21,'đơn vị tt'!$C$1:$AG$555,25,0)</f>
        <v>Paracel Danang Hotel</v>
      </c>
      <c r="O21" s="76" t="str">
        <f ca="1">VLOOKUP(B21,'đơn vị tt'!$C$1:$AG$555,26,0)</f>
        <v>Nhà hàng</v>
      </c>
      <c r="P21" s="76" t="str">
        <f ca="1">VLOOKUP(B21,'đơn vị tt'!$C$1:$AG$555,23,0)</f>
        <v>DUYỆT</v>
      </c>
      <c r="Q21" s="76" t="str">
        <f>VLOOKUP(B21,'XÉT ĐIỀU KIỆN THAM DỰ THỰC TẬP'!$A$10:$AB$633,22,0)</f>
        <v>CHUYÊN ĐỀ</v>
      </c>
      <c r="R21" s="79" t="str">
        <f ca="1">VLOOKUP(B21,'chuyển KL-&gt;CĐ'!$C$2:$O$1000,2,0)</f>
        <v>Nguyễn Trương Hải Hà</v>
      </c>
      <c r="S21" s="79" t="str">
        <f ca="1">VLOOKUP(B21,'chuyển KL-&gt;CĐ'!$C$2:$O$1000,10,0)</f>
        <v>ĐÃ NỘP</v>
      </c>
    </row>
    <row r="22" spans="1:19" ht="12.75" x14ac:dyDescent="0.2">
      <c r="A22" s="75">
        <v>45638.42570122685</v>
      </c>
      <c r="B22" s="76">
        <v>27217102897</v>
      </c>
      <c r="C22" s="76" t="s">
        <v>57</v>
      </c>
      <c r="D22" s="76" t="s">
        <v>53</v>
      </c>
      <c r="E22" s="76" t="s">
        <v>42</v>
      </c>
      <c r="F22" s="76" t="s">
        <v>21</v>
      </c>
      <c r="G22" s="76" t="s">
        <v>38</v>
      </c>
      <c r="H22" s="76"/>
      <c r="I22" s="77"/>
      <c r="J22" s="77" t="s">
        <v>24</v>
      </c>
      <c r="K22" s="76"/>
      <c r="L22" s="78" t="s">
        <v>57</v>
      </c>
      <c r="M22" s="76" t="s">
        <v>440</v>
      </c>
      <c r="N22" s="76" t="str">
        <f ca="1">VLOOKUP(B22,'đơn vị tt'!$C$1:$AG$555,25,0)</f>
        <v>Premier Village Danang Resort</v>
      </c>
      <c r="O22" s="76" t="str">
        <f ca="1">VLOOKUP(B22,'đơn vị tt'!$C$1:$AG$555,26,0)</f>
        <v>Nhà hàng</v>
      </c>
      <c r="P22" s="76" t="str">
        <f ca="1">VLOOKUP(B22,'đơn vị tt'!$C$1:$AG$555,23,0)</f>
        <v>DUYỆT</v>
      </c>
      <c r="Q22" s="76" t="str">
        <f>VLOOKUP(B22,'XÉT ĐIỀU KIỆN THAM DỰ THỰC TẬP'!$A$10:$AB$633,22,0)</f>
        <v>XÉT LÀM KHÓA LUẬN</v>
      </c>
      <c r="R22" s="79" t="e">
        <f ca="1">VLOOKUP(B22,'chuyển KL-&gt;CĐ'!$C$2:$O$1000,2,0)</f>
        <v>#N/A</v>
      </c>
      <c r="S22" s="79" t="e">
        <f ca="1">VLOOKUP(B22,'chuyển KL-&gt;CĐ'!$C$2:$O$1000,10,0)</f>
        <v>#N/A</v>
      </c>
    </row>
    <row r="23" spans="1:19" ht="12.75" x14ac:dyDescent="0.2">
      <c r="A23" s="75">
        <v>45638.425754108801</v>
      </c>
      <c r="B23" s="76">
        <v>27207140430</v>
      </c>
      <c r="C23" s="76" t="s">
        <v>58</v>
      </c>
      <c r="D23" s="76" t="s">
        <v>53</v>
      </c>
      <c r="E23" s="76" t="s">
        <v>42</v>
      </c>
      <c r="F23" s="76" t="s">
        <v>21</v>
      </c>
      <c r="G23" s="76" t="s">
        <v>38</v>
      </c>
      <c r="H23" s="76"/>
      <c r="I23" s="77"/>
      <c r="J23" s="77" t="s">
        <v>24</v>
      </c>
      <c r="K23" s="76"/>
      <c r="L23" s="78" t="s">
        <v>58</v>
      </c>
      <c r="M23" s="76" t="s">
        <v>440</v>
      </c>
      <c r="N23" s="76" t="str">
        <f ca="1">VLOOKUP(B23,'đơn vị tt'!$C$1:$AG$555,25,0)</f>
        <v>Premier Village Danang Resort</v>
      </c>
      <c r="O23" s="76" t="str">
        <f ca="1">VLOOKUP(B23,'đơn vị tt'!$C$1:$AG$555,26,0)</f>
        <v>Nhà hàng</v>
      </c>
      <c r="P23" s="76" t="str">
        <f ca="1">VLOOKUP(B23,'đơn vị tt'!$C$1:$AG$555,23,0)</f>
        <v>DUYỆT</v>
      </c>
      <c r="Q23" s="76" t="str">
        <f>VLOOKUP(B23,'XÉT ĐIỀU KIỆN THAM DỰ THỰC TẬP'!$A$10:$AB$633,22,0)</f>
        <v>CHUYÊN ĐỀ</v>
      </c>
      <c r="R23" s="79" t="str">
        <f ca="1">VLOOKUP(B23,'chuyển KL-&gt;CĐ'!$C$2:$O$1000,2,0)</f>
        <v>Vũ Bùi Hương Giang</v>
      </c>
      <c r="S23" s="79" t="str">
        <f ca="1">VLOOKUP(B23,'chuyển KL-&gt;CĐ'!$C$2:$O$1000,10,0)</f>
        <v>ĐÃ NỘP</v>
      </c>
    </row>
    <row r="24" spans="1:19" ht="12.75" x14ac:dyDescent="0.2">
      <c r="A24" s="75">
        <v>45638.426853495374</v>
      </c>
      <c r="B24" s="76">
        <v>27217132174</v>
      </c>
      <c r="C24" s="76" t="s">
        <v>59</v>
      </c>
      <c r="D24" s="76" t="s">
        <v>53</v>
      </c>
      <c r="E24" s="76" t="s">
        <v>42</v>
      </c>
      <c r="F24" s="76" t="s">
        <v>21</v>
      </c>
      <c r="G24" s="76" t="s">
        <v>38</v>
      </c>
      <c r="H24" s="76"/>
      <c r="I24" s="77"/>
      <c r="J24" s="77" t="s">
        <v>24</v>
      </c>
      <c r="K24" s="76"/>
      <c r="L24" s="78" t="s">
        <v>59</v>
      </c>
      <c r="M24" s="76" t="s">
        <v>440</v>
      </c>
      <c r="N24" s="76" t="str">
        <f ca="1">VLOOKUP(B24,'đơn vị tt'!$C$1:$AG$555,25,0)</f>
        <v>Premier Village Danang Resort</v>
      </c>
      <c r="O24" s="76" t="str">
        <f ca="1">VLOOKUP(B24,'đơn vị tt'!$C$1:$AG$555,26,0)</f>
        <v>Buồng phòng</v>
      </c>
      <c r="P24" s="76" t="str">
        <f ca="1">VLOOKUP(B24,'đơn vị tt'!$C$1:$AG$555,23,0)</f>
        <v>DUYỆT</v>
      </c>
      <c r="Q24" s="76" t="str">
        <f>VLOOKUP(B24,'XÉT ĐIỀU KIỆN THAM DỰ THỰC TẬP'!$A$10:$AB$633,22,0)</f>
        <v>CHUYÊN ĐỀ</v>
      </c>
      <c r="R24" s="79"/>
      <c r="S24" s="79"/>
    </row>
    <row r="25" spans="1:19" ht="12.75" x14ac:dyDescent="0.2">
      <c r="A25" s="75">
        <v>45638.427241504629</v>
      </c>
      <c r="B25" s="76">
        <v>27207140948</v>
      </c>
      <c r="C25" s="76" t="s">
        <v>60</v>
      </c>
      <c r="D25" s="76" t="s">
        <v>55</v>
      </c>
      <c r="E25" s="76" t="s">
        <v>42</v>
      </c>
      <c r="F25" s="76" t="s">
        <v>21</v>
      </c>
      <c r="G25" s="76" t="s">
        <v>38</v>
      </c>
      <c r="H25" s="76"/>
      <c r="I25" s="77"/>
      <c r="J25" s="77" t="s">
        <v>24</v>
      </c>
      <c r="K25" s="76"/>
      <c r="L25" s="78" t="s">
        <v>868</v>
      </c>
      <c r="M25" s="76" t="s">
        <v>440</v>
      </c>
      <c r="N25" s="76" t="str">
        <f ca="1">VLOOKUP(B25,'đơn vị tt'!$C$1:$AG$555,25,0)</f>
        <v>Meliá Danang Beach Resort</v>
      </c>
      <c r="O25" s="76" t="str">
        <f ca="1">VLOOKUP(B25,'đơn vị tt'!$C$1:$AG$555,26,0)</f>
        <v>Buồng phòng</v>
      </c>
      <c r="P25" s="76" t="str">
        <f ca="1">VLOOKUP(B25,'đơn vị tt'!$C$1:$AG$555,23,0)</f>
        <v>DUYỆT</v>
      </c>
      <c r="Q25" s="76" t="str">
        <f>VLOOKUP(B25,'XÉT ĐIỀU KIỆN THAM DỰ THỰC TẬP'!$A$10:$AB$633,22,0)</f>
        <v>CHUYÊN ĐỀ</v>
      </c>
      <c r="R25" s="79"/>
      <c r="S25" s="79"/>
    </row>
    <row r="26" spans="1:19" ht="12.75" x14ac:dyDescent="0.2">
      <c r="A26" s="75">
        <v>45638.427796504635</v>
      </c>
      <c r="B26" s="76">
        <v>27207140954</v>
      </c>
      <c r="C26" s="76" t="s">
        <v>61</v>
      </c>
      <c r="D26" s="76" t="s">
        <v>53</v>
      </c>
      <c r="E26" s="76" t="s">
        <v>42</v>
      </c>
      <c r="F26" s="76" t="s">
        <v>21</v>
      </c>
      <c r="G26" s="76" t="s">
        <v>38</v>
      </c>
      <c r="H26" s="76"/>
      <c r="I26" s="77"/>
      <c r="J26" s="77" t="s">
        <v>24</v>
      </c>
      <c r="K26" s="76"/>
      <c r="L26" s="78" t="s">
        <v>61</v>
      </c>
      <c r="M26" s="76" t="s">
        <v>440</v>
      </c>
      <c r="N26" s="76" t="str">
        <f ca="1">VLOOKUP(B26,'đơn vị tt'!$C$1:$AG$555,25,0)</f>
        <v>Premier Village Danang Resort</v>
      </c>
      <c r="O26" s="76" t="str">
        <f ca="1">VLOOKUP(B26,'đơn vị tt'!$C$1:$AG$555,26,0)</f>
        <v>Buồng phòng</v>
      </c>
      <c r="P26" s="76" t="str">
        <f ca="1">VLOOKUP(B26,'đơn vị tt'!$C$1:$AG$555,23,0)</f>
        <v>DUYỆT</v>
      </c>
      <c r="Q26" s="76" t="str">
        <f>VLOOKUP(B26,'XÉT ĐIỀU KIỆN THAM DỰ THỰC TẬP'!$A$10:$AB$633,22,0)</f>
        <v>CHUYÊN ĐỀ</v>
      </c>
      <c r="R26" s="79"/>
      <c r="S26" s="79"/>
    </row>
    <row r="27" spans="1:19" ht="12.75" x14ac:dyDescent="0.2">
      <c r="A27" s="75">
        <v>45638.435475706021</v>
      </c>
      <c r="B27" s="76">
        <v>27207121356</v>
      </c>
      <c r="C27" s="76" t="s">
        <v>62</v>
      </c>
      <c r="D27" s="76" t="s">
        <v>63</v>
      </c>
      <c r="E27" s="76" t="s">
        <v>20</v>
      </c>
      <c r="F27" s="76" t="s">
        <v>21</v>
      </c>
      <c r="G27" s="76" t="s">
        <v>27</v>
      </c>
      <c r="H27" s="76"/>
      <c r="I27" s="77"/>
      <c r="J27" s="77" t="s">
        <v>24</v>
      </c>
      <c r="K27" s="76" t="s">
        <v>64</v>
      </c>
      <c r="L27" s="78" t="s">
        <v>62</v>
      </c>
      <c r="M27" s="76" t="s">
        <v>493</v>
      </c>
      <c r="N27" s="76" t="str">
        <f ca="1">VLOOKUP(B27,'đơn vị tt'!$C$1:$AG$555,25,0)</f>
        <v>Maximilan Danang Beach Hotel</v>
      </c>
      <c r="O27" s="76" t="str">
        <f ca="1">VLOOKUP(B27,'đơn vị tt'!$C$1:$AG$555,26,0)</f>
        <v>Nhà hàng</v>
      </c>
      <c r="P27" s="76" t="str">
        <f ca="1">VLOOKUP(B27,'đơn vị tt'!$C$1:$AG$555,23,0)</f>
        <v>DUYỆT</v>
      </c>
      <c r="Q27" s="76" t="str">
        <f>VLOOKUP(B27,'XÉT ĐIỀU KIỆN THAM DỰ THỰC TẬP'!$A$10:$AB$633,22,0)</f>
        <v>CHUYÊN ĐỀ</v>
      </c>
      <c r="R27" s="79"/>
      <c r="S27" s="79"/>
    </row>
    <row r="28" spans="1:19" ht="12.75" x14ac:dyDescent="0.2">
      <c r="A28" s="75">
        <v>45639.439392800923</v>
      </c>
      <c r="B28" s="76">
        <v>27207141358</v>
      </c>
      <c r="C28" s="76" t="s">
        <v>65</v>
      </c>
      <c r="D28" s="76" t="s">
        <v>48</v>
      </c>
      <c r="E28" s="76" t="s">
        <v>20</v>
      </c>
      <c r="F28" s="76" t="s">
        <v>21</v>
      </c>
      <c r="G28" s="76" t="s">
        <v>27</v>
      </c>
      <c r="H28" s="76"/>
      <c r="I28" s="77"/>
      <c r="J28" s="77" t="s">
        <v>24</v>
      </c>
      <c r="K28" s="76"/>
      <c r="L28" s="78" t="s">
        <v>65</v>
      </c>
      <c r="M28" s="76" t="s">
        <v>493</v>
      </c>
      <c r="N28" s="76" t="str">
        <f ca="1">VLOOKUP(B28,'đơn vị tt'!$C$1:$AG$555,25,0)</f>
        <v>Grand Mercure Đà Nẵng</v>
      </c>
      <c r="O28" s="76" t="str">
        <f ca="1">VLOOKUP(B28,'đơn vị tt'!$C$1:$AG$555,26,0)</f>
        <v>Bộ phận Sales</v>
      </c>
      <c r="P28" s="76" t="str">
        <f ca="1">VLOOKUP(B28,'đơn vị tt'!$C$1:$AG$555,23,0)</f>
        <v>DUYỆT</v>
      </c>
      <c r="Q28" s="76" t="str">
        <f>VLOOKUP(B28,'XÉT ĐIỀU KIỆN THAM DỰ THỰC TẬP'!$A$10:$AB$633,22,0)</f>
        <v>CHUYÊN ĐỀ</v>
      </c>
      <c r="R28" s="79" t="str">
        <f ca="1">VLOOKUP(B28,'chuyển KL-&gt;CĐ'!$C$2:$O$1000,2,0)</f>
        <v>Trần Lê Lan Hương</v>
      </c>
      <c r="S28" s="79" t="str">
        <f ca="1">VLOOKUP(B28,'chuyển KL-&gt;CĐ'!$C$2:$O$1000,10,0)</f>
        <v>ĐÃ NỘP</v>
      </c>
    </row>
    <row r="29" spans="1:19" ht="12.75" x14ac:dyDescent="0.2">
      <c r="A29" s="75">
        <v>45638.452920682874</v>
      </c>
      <c r="B29" s="76">
        <v>27207100430</v>
      </c>
      <c r="C29" s="76" t="s">
        <v>66</v>
      </c>
      <c r="D29" s="76" t="s">
        <v>55</v>
      </c>
      <c r="E29" s="76" t="s">
        <v>42</v>
      </c>
      <c r="F29" s="76" t="s">
        <v>21</v>
      </c>
      <c r="G29" s="76" t="s">
        <v>38</v>
      </c>
      <c r="H29" s="76"/>
      <c r="I29" s="77"/>
      <c r="J29" s="77" t="s">
        <v>24</v>
      </c>
      <c r="K29" s="76"/>
      <c r="L29" s="78" t="s">
        <v>869</v>
      </c>
      <c r="M29" s="76" t="s">
        <v>440</v>
      </c>
      <c r="N29" s="76" t="str">
        <f ca="1">VLOOKUP(B29,'đơn vị tt'!$C$1:$AG$555,25,0)</f>
        <v>Premier Village Danang Resort</v>
      </c>
      <c r="O29" s="76" t="str">
        <f ca="1">VLOOKUP(B29,'đơn vị tt'!$C$1:$AG$555,26,0)</f>
        <v>Buồng phòng</v>
      </c>
      <c r="P29" s="76" t="str">
        <f ca="1">VLOOKUP(B29,'đơn vị tt'!$C$1:$AG$555,23,0)</f>
        <v>DUYỆT</v>
      </c>
      <c r="Q29" s="76" t="str">
        <f>VLOOKUP(B29,'XÉT ĐIỀU KIỆN THAM DỰ THỰC TẬP'!$A$10:$AB$633,22,0)</f>
        <v>CHUYÊN ĐỀ</v>
      </c>
      <c r="R29" s="79"/>
      <c r="S29" s="79"/>
    </row>
    <row r="30" spans="1:19" ht="12.75" x14ac:dyDescent="0.2">
      <c r="A30" s="75">
        <v>45639.381186597224</v>
      </c>
      <c r="B30" s="76">
        <v>27207128961</v>
      </c>
      <c r="C30" s="76" t="s">
        <v>67</v>
      </c>
      <c r="D30" s="76" t="s">
        <v>53</v>
      </c>
      <c r="E30" s="76" t="s">
        <v>42</v>
      </c>
      <c r="F30" s="76" t="s">
        <v>21</v>
      </c>
      <c r="G30" s="76" t="s">
        <v>38</v>
      </c>
      <c r="H30" s="76"/>
      <c r="I30" s="77"/>
      <c r="J30" s="77" t="s">
        <v>24</v>
      </c>
      <c r="K30" s="76"/>
      <c r="L30" s="78" t="s">
        <v>245</v>
      </c>
      <c r="M30" s="76" t="s">
        <v>440</v>
      </c>
      <c r="N30" s="76" t="str">
        <f ca="1">VLOOKUP(B30,'đơn vị tt'!$C$1:$AG$555,25,0)</f>
        <v>Premier Village Danang Resort</v>
      </c>
      <c r="O30" s="76" t="str">
        <f ca="1">VLOOKUP(B30,'đơn vị tt'!$C$1:$AG$555,26,0)</f>
        <v>Nhà hàng</v>
      </c>
      <c r="P30" s="76" t="str">
        <f ca="1">VLOOKUP(B30,'đơn vị tt'!$C$1:$AG$555,23,0)</f>
        <v>DUYỆT</v>
      </c>
      <c r="Q30" s="76" t="str">
        <f>VLOOKUP(B30,'XÉT ĐIỀU KIỆN THAM DỰ THỰC TẬP'!$A$10:$AB$633,22,0)</f>
        <v>CHUYÊN ĐỀ</v>
      </c>
      <c r="R30" s="79"/>
      <c r="S30" s="79"/>
    </row>
    <row r="31" spans="1:19" ht="12.75" x14ac:dyDescent="0.2">
      <c r="A31" s="75">
        <v>45639.390606932866</v>
      </c>
      <c r="B31" s="76">
        <v>26207142679</v>
      </c>
      <c r="C31" s="76" t="s">
        <v>68</v>
      </c>
      <c r="D31" s="76" t="s">
        <v>69</v>
      </c>
      <c r="E31" s="76" t="s">
        <v>20</v>
      </c>
      <c r="F31" s="76" t="s">
        <v>34</v>
      </c>
      <c r="G31" s="76" t="s">
        <v>22</v>
      </c>
      <c r="H31" s="76" t="s">
        <v>23</v>
      </c>
      <c r="I31" s="77">
        <v>2</v>
      </c>
      <c r="J31" s="77" t="s">
        <v>24</v>
      </c>
      <c r="K31" s="76"/>
      <c r="L31" s="78" t="s">
        <v>68</v>
      </c>
      <c r="M31" s="76" t="s">
        <v>493</v>
      </c>
      <c r="N31" s="76" t="str">
        <f ca="1">VLOOKUP(B31,'đơn vị tt'!$C$1:$AG$555,25,0)</f>
        <v>Ussina Sky 77- Aging Beef &amp; Bar</v>
      </c>
      <c r="O31" s="76" t="str">
        <f ca="1">VLOOKUP(B31,'đơn vị tt'!$C$1:$AG$555,26,0)</f>
        <v>Nhà hàng</v>
      </c>
      <c r="P31" s="76" t="str">
        <f ca="1">VLOOKUP(B31,'đơn vị tt'!$C$1:$AG$555,23,0)</f>
        <v>DUYỆT</v>
      </c>
      <c r="Q31" s="76" t="str">
        <f>VLOOKUP(B31,'XÉT ĐIỀU KIỆN THAM DỰ THỰC TẬP'!$A$10:$AB$633,22,0)</f>
        <v>CHUYÊN ĐỀ</v>
      </c>
      <c r="R31" s="79"/>
      <c r="S31" s="79"/>
    </row>
    <row r="32" spans="1:19" ht="12.75" x14ac:dyDescent="0.2">
      <c r="A32" s="75">
        <v>45651.709893113424</v>
      </c>
      <c r="B32" s="76">
        <v>27207144974</v>
      </c>
      <c r="C32" s="76" t="s">
        <v>70</v>
      </c>
      <c r="D32" s="76" t="s">
        <v>26</v>
      </c>
      <c r="E32" s="76" t="s">
        <v>20</v>
      </c>
      <c r="F32" s="76" t="s">
        <v>21</v>
      </c>
      <c r="G32" s="76" t="s">
        <v>38</v>
      </c>
      <c r="H32" s="76"/>
      <c r="I32" s="77"/>
      <c r="J32" s="77" t="s">
        <v>24</v>
      </c>
      <c r="K32" s="76"/>
      <c r="L32" s="78" t="s">
        <v>95</v>
      </c>
      <c r="M32" s="76" t="s">
        <v>493</v>
      </c>
      <c r="N32" s="76" t="str">
        <f ca="1">VLOOKUP(B32,'đơn vị tt'!$C$1:$AG$555,25,0)</f>
        <v>Paris Deli Danang Beach Hotel</v>
      </c>
      <c r="O32" s="76" t="str">
        <f ca="1">VLOOKUP(B32,'đơn vị tt'!$C$1:$AG$555,26,0)</f>
        <v>Nhà hàng</v>
      </c>
      <c r="P32" s="76" t="str">
        <f ca="1">VLOOKUP(B32,'đơn vị tt'!$C$1:$AG$555,23,0)</f>
        <v>DUYỆT</v>
      </c>
      <c r="Q32" s="76" t="str">
        <f>VLOOKUP(B32,'XÉT ĐIỀU KIỆN THAM DỰ THỰC TẬP'!$A$10:$AB$633,22,0)</f>
        <v>CHUYÊN ĐỀ</v>
      </c>
      <c r="R32" s="79"/>
      <c r="S32" s="79"/>
    </row>
    <row r="33" spans="1:19" ht="12.75" x14ac:dyDescent="0.2">
      <c r="A33" s="75">
        <v>45640.39932704861</v>
      </c>
      <c r="B33" s="76">
        <v>27207128507</v>
      </c>
      <c r="C33" s="76" t="s">
        <v>71</v>
      </c>
      <c r="D33" s="76" t="s">
        <v>72</v>
      </c>
      <c r="E33" s="76" t="s">
        <v>73</v>
      </c>
      <c r="F33" s="76" t="s">
        <v>21</v>
      </c>
      <c r="G33" s="76" t="s">
        <v>22</v>
      </c>
      <c r="H33" s="76"/>
      <c r="I33" s="77"/>
      <c r="J33" s="77" t="s">
        <v>39</v>
      </c>
      <c r="K33" s="76"/>
      <c r="L33" s="78" t="s">
        <v>71</v>
      </c>
      <c r="M33" s="76" t="s">
        <v>487</v>
      </c>
      <c r="N33" s="76" t="str">
        <f ca="1">VLOOKUP(B33,'đơn vị tt'!$C$1:$AG$555,25,0)</f>
        <v>Hyatt regency DaNang Resort</v>
      </c>
      <c r="O33" s="76" t="str">
        <f ca="1">VLOOKUP(B33,'đơn vị tt'!$C$1:$AG$555,26,0)</f>
        <v>Nhà hàng</v>
      </c>
      <c r="P33" s="76" t="str">
        <f ca="1">VLOOKUP(B33,'đơn vị tt'!$C$1:$AG$555,23,0)</f>
        <v>DUYỆT</v>
      </c>
      <c r="Q33" s="76" t="str">
        <f>VLOOKUP(B33,'XÉT ĐIỀU KIỆN THAM DỰ THỰC TẬP'!$A$10:$AB$633,22,0)</f>
        <v>KHÓA LUẬN</v>
      </c>
      <c r="R33" s="79"/>
      <c r="S33" s="79"/>
    </row>
    <row r="34" spans="1:19" ht="12.75" x14ac:dyDescent="0.2">
      <c r="A34" s="75">
        <v>45640.400657673614</v>
      </c>
      <c r="B34" s="76">
        <v>27207153285</v>
      </c>
      <c r="C34" s="76" t="s">
        <v>74</v>
      </c>
      <c r="D34" s="76" t="s">
        <v>75</v>
      </c>
      <c r="E34" s="76" t="s">
        <v>73</v>
      </c>
      <c r="F34" s="76" t="s">
        <v>21</v>
      </c>
      <c r="G34" s="76" t="s">
        <v>22</v>
      </c>
      <c r="H34" s="76"/>
      <c r="I34" s="77"/>
      <c r="J34" s="77" t="s">
        <v>39</v>
      </c>
      <c r="K34" s="76"/>
      <c r="L34" s="78" t="s">
        <v>74</v>
      </c>
      <c r="M34" s="76" t="s">
        <v>487</v>
      </c>
      <c r="N34" s="76" t="str">
        <f ca="1">VLOOKUP(B34,'đơn vị tt'!$C$1:$AG$555,25,0)</f>
        <v>Premier Village Danang Resort</v>
      </c>
      <c r="O34" s="76" t="str">
        <f ca="1">VLOOKUP(B34,'đơn vị tt'!$C$1:$AG$555,26,0)</f>
        <v>Nhà hàng</v>
      </c>
      <c r="P34" s="76" t="str">
        <f ca="1">VLOOKUP(B34,'đơn vị tt'!$C$1:$AG$555,23,0)</f>
        <v>DUYỆT</v>
      </c>
      <c r="Q34" s="76" t="str">
        <f>VLOOKUP(B34,'XÉT ĐIỀU KIỆN THAM DỰ THỰC TẬP'!$A$10:$AB$633,22,0)</f>
        <v>KHÓA LUẬN</v>
      </c>
      <c r="R34" s="79"/>
      <c r="S34" s="79"/>
    </row>
    <row r="35" spans="1:19" ht="12.75" x14ac:dyDescent="0.2">
      <c r="A35" s="75">
        <v>45650.428738379633</v>
      </c>
      <c r="B35" s="76">
        <v>27207128489</v>
      </c>
      <c r="C35" s="76" t="s">
        <v>76</v>
      </c>
      <c r="D35" s="76" t="s">
        <v>72</v>
      </c>
      <c r="E35" s="76" t="s">
        <v>73</v>
      </c>
      <c r="F35" s="76" t="s">
        <v>21</v>
      </c>
      <c r="G35" s="76" t="s">
        <v>22</v>
      </c>
      <c r="H35" s="76"/>
      <c r="I35" s="77"/>
      <c r="J35" s="77" t="s">
        <v>31</v>
      </c>
      <c r="K35" s="76"/>
      <c r="L35" s="78" t="s">
        <v>76</v>
      </c>
      <c r="M35" s="76" t="s">
        <v>487</v>
      </c>
      <c r="N35" s="76" t="str">
        <f ca="1">VLOOKUP(B35,'đơn vị tt'!$C$1:$AG$555,25,0)</f>
        <v>Meliá Danang Beach Resort</v>
      </c>
      <c r="O35" s="76" t="str">
        <f ca="1">VLOOKUP(B35,'đơn vị tt'!$C$1:$AG$555,26,0)</f>
        <v>Nhà hàng</v>
      </c>
      <c r="P35" s="76" t="str">
        <f ca="1">VLOOKUP(B35,'đơn vị tt'!$C$1:$AG$555,23,0)</f>
        <v>DUYỆT</v>
      </c>
      <c r="Q35" s="76" t="str">
        <f>VLOOKUP(B35,'XÉT ĐIỀU KIỆN THAM DỰ THỰC TẬP'!$A$10:$AB$633,22,0)</f>
        <v>KHÓA LUẬN</v>
      </c>
      <c r="R35" s="79"/>
      <c r="S35" s="79"/>
    </row>
    <row r="36" spans="1:19" ht="12.75" x14ac:dyDescent="0.2">
      <c r="A36" s="75">
        <v>45640.429013784727</v>
      </c>
      <c r="B36" s="76">
        <v>27207101932</v>
      </c>
      <c r="C36" s="76" t="s">
        <v>77</v>
      </c>
      <c r="D36" s="76" t="s">
        <v>55</v>
      </c>
      <c r="E36" s="76" t="s">
        <v>42</v>
      </c>
      <c r="F36" s="76" t="s">
        <v>21</v>
      </c>
      <c r="G36" s="76" t="s">
        <v>38</v>
      </c>
      <c r="H36" s="76"/>
      <c r="I36" s="77"/>
      <c r="J36" s="77" t="s">
        <v>24</v>
      </c>
      <c r="K36" s="76"/>
      <c r="L36" s="78" t="s">
        <v>77</v>
      </c>
      <c r="M36" s="76" t="s">
        <v>440</v>
      </c>
      <c r="N36" s="76" t="str">
        <f ca="1">VLOOKUP(B36,'đơn vị tt'!$C$1:$AG$555,25,0)</f>
        <v>Premier Village Danang Resort</v>
      </c>
      <c r="O36" s="76" t="str">
        <f ca="1">VLOOKUP(B36,'đơn vị tt'!$C$1:$AG$555,26,0)</f>
        <v>Buồng phòng</v>
      </c>
      <c r="P36" s="76" t="str">
        <f ca="1">VLOOKUP(B36,'đơn vị tt'!$C$1:$AG$555,23,0)</f>
        <v>DUYỆT</v>
      </c>
      <c r="Q36" s="76" t="str">
        <f>VLOOKUP(B36,'XÉT ĐIỀU KIỆN THAM DỰ THỰC TẬP'!$A$10:$AB$633,22,0)</f>
        <v>XÉT LÀM KHÓA LUẬN</v>
      </c>
      <c r="R36" s="79" t="e">
        <f ca="1">VLOOKUP(B36,'chuyển KL-&gt;CĐ'!$C$2:$O$1000,2,0)</f>
        <v>#N/A</v>
      </c>
      <c r="S36" s="79" t="e">
        <f ca="1">VLOOKUP(B36,'chuyển KL-&gt;CĐ'!$C$2:$O$1000,10,0)</f>
        <v>#N/A</v>
      </c>
    </row>
    <row r="37" spans="1:19" ht="12.75" x14ac:dyDescent="0.2">
      <c r="A37" s="75">
        <v>45640.810507013884</v>
      </c>
      <c r="B37" s="76">
        <v>27207142484</v>
      </c>
      <c r="C37" s="76" t="s">
        <v>78</v>
      </c>
      <c r="D37" s="76" t="s">
        <v>79</v>
      </c>
      <c r="E37" s="76" t="s">
        <v>42</v>
      </c>
      <c r="F37" s="76" t="s">
        <v>21</v>
      </c>
      <c r="G37" s="76" t="s">
        <v>22</v>
      </c>
      <c r="H37" s="76"/>
      <c r="I37" s="77"/>
      <c r="J37" s="77" t="s">
        <v>39</v>
      </c>
      <c r="K37" s="76"/>
      <c r="L37" s="78" t="s">
        <v>78</v>
      </c>
      <c r="M37" s="76" t="s">
        <v>440</v>
      </c>
      <c r="N37" s="76" t="str">
        <f ca="1">VLOOKUP(B37,'đơn vị tt'!$C$1:$AG$555,25,0)</f>
        <v>Hyatt regency DaNang Resort</v>
      </c>
      <c r="O37" s="76" t="str">
        <f ca="1">VLOOKUP(B37,'đơn vị tt'!$C$1:$AG$555,26,0)</f>
        <v>Nhà hàng</v>
      </c>
      <c r="P37" s="76" t="str">
        <f ca="1">VLOOKUP(B37,'đơn vị tt'!$C$1:$AG$555,23,0)</f>
        <v>DUYỆT</v>
      </c>
      <c r="Q37" s="76" t="str">
        <f>VLOOKUP(B37,'XÉT ĐIỀU KIỆN THAM DỰ THỰC TẬP'!$A$10:$AB$633,22,0)</f>
        <v>XÉT LÀM KHÓA LUẬN</v>
      </c>
      <c r="R37" s="79" t="e">
        <f ca="1">VLOOKUP(B37,'chuyển KL-&gt;CĐ'!$C$2:$O$1000,2,0)</f>
        <v>#N/A</v>
      </c>
      <c r="S37" s="79" t="e">
        <f ca="1">VLOOKUP(B37,'chuyển KL-&gt;CĐ'!$C$2:$O$1000,10,0)</f>
        <v>#N/A</v>
      </c>
    </row>
    <row r="38" spans="1:19" ht="12.75" x14ac:dyDescent="0.2">
      <c r="A38" s="75">
        <v>45640.986591782406</v>
      </c>
      <c r="B38" s="76">
        <v>27207100654</v>
      </c>
      <c r="C38" s="76" t="s">
        <v>80</v>
      </c>
      <c r="D38" s="76" t="s">
        <v>79</v>
      </c>
      <c r="E38" s="76" t="s">
        <v>42</v>
      </c>
      <c r="F38" s="76" t="s">
        <v>21</v>
      </c>
      <c r="G38" s="76" t="s">
        <v>22</v>
      </c>
      <c r="H38" s="76"/>
      <c r="I38" s="77"/>
      <c r="J38" s="77" t="s">
        <v>24</v>
      </c>
      <c r="K38" s="76"/>
      <c r="L38" s="78" t="s">
        <v>870</v>
      </c>
      <c r="M38" s="76" t="s">
        <v>440</v>
      </c>
      <c r="N38" s="76" t="str">
        <f ca="1">VLOOKUP(B38,'đơn vị tt'!$C$1:$AG$555,25,0)</f>
        <v>Pullman Danang Beach Resort</v>
      </c>
      <c r="O38" s="76" t="str">
        <f ca="1">VLOOKUP(B38,'đơn vị tt'!$C$1:$AG$555,26,0)</f>
        <v>Nhà hàng</v>
      </c>
      <c r="P38" s="76" t="str">
        <f ca="1">VLOOKUP(B38,'đơn vị tt'!$C$1:$AG$555,23,0)</f>
        <v>DUYỆT</v>
      </c>
      <c r="Q38" s="76" t="str">
        <f>VLOOKUP(B38,'XÉT ĐIỀU KIỆN THAM DỰ THỰC TẬP'!$A$10:$AB$633,22,0)</f>
        <v>CHUYÊN ĐỀ</v>
      </c>
      <c r="R38" s="79"/>
      <c r="S38" s="79"/>
    </row>
    <row r="39" spans="1:19" ht="12.75" x14ac:dyDescent="0.2">
      <c r="A39" s="75">
        <v>45640.821357962966</v>
      </c>
      <c r="B39" s="76">
        <v>27207142127</v>
      </c>
      <c r="C39" s="76" t="s">
        <v>81</v>
      </c>
      <c r="D39" s="76" t="s">
        <v>82</v>
      </c>
      <c r="E39" s="76" t="s">
        <v>42</v>
      </c>
      <c r="F39" s="76" t="s">
        <v>21</v>
      </c>
      <c r="G39" s="76" t="s">
        <v>22</v>
      </c>
      <c r="H39" s="76"/>
      <c r="I39" s="77"/>
      <c r="J39" s="77" t="s">
        <v>39</v>
      </c>
      <c r="K39" s="76"/>
      <c r="L39" s="78" t="s">
        <v>81</v>
      </c>
      <c r="M39" s="76" t="s">
        <v>440</v>
      </c>
      <c r="N39" s="76" t="str">
        <f ca="1">VLOOKUP(B39,'đơn vị tt'!$C$1:$AG$555,25,0)</f>
        <v>Hyatt regency DaNang Resort</v>
      </c>
      <c r="O39" s="76" t="str">
        <f ca="1">VLOOKUP(B39,'đơn vị tt'!$C$1:$AG$555,26,0)</f>
        <v>Nhà hàng</v>
      </c>
      <c r="P39" s="76" t="str">
        <f ca="1">VLOOKUP(B39,'đơn vị tt'!$C$1:$AG$555,23,0)</f>
        <v>DUYỆT</v>
      </c>
      <c r="Q39" s="76" t="str">
        <f>VLOOKUP(B39,'XÉT ĐIỀU KIỆN THAM DỰ THỰC TẬP'!$A$10:$AB$633,22,0)</f>
        <v>XÉT LÀM KHÓA LUẬN</v>
      </c>
      <c r="R39" s="79" t="str">
        <f ca="1">VLOOKUP(B39,'chuyển KL-&gt;CĐ'!$C$2:$O$1000,2,0)</f>
        <v>Huỳnh Thị Thanh Nhàn</v>
      </c>
      <c r="S39" s="79">
        <f ca="1">VLOOKUP(B39,'chuyển KL-&gt;CĐ'!$C$2:$O$1000,10,0)</f>
        <v>0</v>
      </c>
    </row>
    <row r="40" spans="1:19" ht="12.75" x14ac:dyDescent="0.2">
      <c r="A40" s="75">
        <v>45640.8458828125</v>
      </c>
      <c r="B40" s="76">
        <v>27213445193</v>
      </c>
      <c r="C40" s="76" t="s">
        <v>83</v>
      </c>
      <c r="D40" s="76" t="s">
        <v>46</v>
      </c>
      <c r="E40" s="76" t="s">
        <v>42</v>
      </c>
      <c r="F40" s="76" t="s">
        <v>21</v>
      </c>
      <c r="G40" s="76" t="s">
        <v>22</v>
      </c>
      <c r="H40" s="76"/>
      <c r="I40" s="77"/>
      <c r="J40" s="77" t="s">
        <v>39</v>
      </c>
      <c r="K40" s="76"/>
      <c r="L40" s="78" t="s">
        <v>83</v>
      </c>
      <c r="M40" s="76" t="s">
        <v>440</v>
      </c>
      <c r="N40" s="76" t="str">
        <f ca="1">VLOOKUP(B40,'đơn vị tt'!$C$1:$AG$555,25,0)</f>
        <v>Hyatt regency DaNang Resort</v>
      </c>
      <c r="O40" s="76" t="str">
        <f ca="1">VLOOKUP(B40,'đơn vị tt'!$C$1:$AG$555,26,0)</f>
        <v>Tiền sảnh</v>
      </c>
      <c r="P40" s="76" t="str">
        <f ca="1">VLOOKUP(B40,'đơn vị tt'!$C$1:$AG$555,23,0)</f>
        <v>DUYỆT</v>
      </c>
      <c r="Q40" s="76" t="str">
        <f>VLOOKUP(B40,'XÉT ĐIỀU KIỆN THAM DỰ THỰC TẬP'!$A$10:$AB$633,22,0)</f>
        <v>XÉT LÀM KHÓA LUẬN</v>
      </c>
      <c r="R40" s="79" t="str">
        <f ca="1">VLOOKUP(B40,'chuyển KL-&gt;CĐ'!$C$2:$O$1000,2,0)</f>
        <v>Nguyễn Đăng Khoa</v>
      </c>
      <c r="S40" s="79">
        <f ca="1">VLOOKUP(B40,'chuyển KL-&gt;CĐ'!$C$2:$O$1000,10,0)</f>
        <v>0</v>
      </c>
    </row>
    <row r="41" spans="1:19" ht="12.75" x14ac:dyDescent="0.2">
      <c r="A41" s="75">
        <v>45640.847590717589</v>
      </c>
      <c r="B41" s="76">
        <v>27207130518</v>
      </c>
      <c r="C41" s="76" t="s">
        <v>84</v>
      </c>
      <c r="D41" s="76" t="s">
        <v>82</v>
      </c>
      <c r="E41" s="76" t="s">
        <v>42</v>
      </c>
      <c r="F41" s="76" t="s">
        <v>21</v>
      </c>
      <c r="G41" s="76" t="s">
        <v>22</v>
      </c>
      <c r="H41" s="76"/>
      <c r="I41" s="77"/>
      <c r="J41" s="77" t="s">
        <v>31</v>
      </c>
      <c r="K41" s="76"/>
      <c r="L41" s="78" t="s">
        <v>871</v>
      </c>
      <c r="M41" s="76" t="s">
        <v>440</v>
      </c>
      <c r="N41" s="76" t="str">
        <f ca="1">VLOOKUP(B41,'đơn vị tt'!$C$1:$AG$555,25,0)</f>
        <v>Hyatt regency DaNang Resort</v>
      </c>
      <c r="O41" s="76" t="str">
        <f ca="1">VLOOKUP(B41,'đơn vị tt'!$C$1:$AG$555,26,0)</f>
        <v>Nhà hàng</v>
      </c>
      <c r="P41" s="76" t="str">
        <f ca="1">VLOOKUP(B41,'đơn vị tt'!$C$1:$AG$555,23,0)</f>
        <v>DUYỆT</v>
      </c>
      <c r="Q41" s="76" t="str">
        <f>VLOOKUP(B41,'XÉT ĐIỀU KIỆN THAM DỰ THỰC TẬP'!$A$10:$AB$633,22,0)</f>
        <v>XÉT LÀM KHÓA LUẬN</v>
      </c>
      <c r="R41" s="79" t="e">
        <f ca="1">VLOOKUP(B41,'chuyển KL-&gt;CĐ'!$C$2:$O$1000,2,0)</f>
        <v>#N/A</v>
      </c>
      <c r="S41" s="79" t="e">
        <f ca="1">VLOOKUP(B41,'chuyển KL-&gt;CĐ'!$C$2:$O$1000,10,0)</f>
        <v>#N/A</v>
      </c>
    </row>
    <row r="42" spans="1:19" ht="12.75" x14ac:dyDescent="0.2">
      <c r="A42" s="75">
        <v>45663.584668020834</v>
      </c>
      <c r="B42" s="76">
        <v>27207101143</v>
      </c>
      <c r="C42" s="76" t="s">
        <v>85</v>
      </c>
      <c r="D42" s="76" t="s">
        <v>79</v>
      </c>
      <c r="E42" s="76" t="s">
        <v>42</v>
      </c>
      <c r="F42" s="76" t="s">
        <v>21</v>
      </c>
      <c r="G42" s="76" t="s">
        <v>38</v>
      </c>
      <c r="H42" s="76"/>
      <c r="I42" s="77"/>
      <c r="J42" s="77" t="s">
        <v>31</v>
      </c>
      <c r="K42" s="76"/>
      <c r="L42" s="78" t="s">
        <v>85</v>
      </c>
      <c r="M42" s="76" t="s">
        <v>440</v>
      </c>
      <c r="N42" s="76" t="str">
        <f ca="1">VLOOKUP(B42,'đơn vị tt'!$C$1:$AG$555,25,0)</f>
        <v>Khách sạn Shilla Monogram Quangnam Danang</v>
      </c>
      <c r="O42" s="76" t="str">
        <f ca="1">VLOOKUP(B42,'đơn vị tt'!$C$1:$AG$555,26,0)</f>
        <v>Nhà hàng</v>
      </c>
      <c r="P42" s="76" t="str">
        <f ca="1">VLOOKUP(B42,'đơn vị tt'!$C$1:$AG$555,23,0)</f>
        <v>DUYỆT</v>
      </c>
      <c r="Q42" s="76" t="str">
        <f>VLOOKUP(B42,'XÉT ĐIỀU KIỆN THAM DỰ THỰC TẬP'!$A$10:$AB$633,22,0)</f>
        <v>CHUYÊN ĐỀ</v>
      </c>
      <c r="R42" s="79"/>
      <c r="S42" s="79"/>
    </row>
    <row r="43" spans="1:19" ht="12.75" x14ac:dyDescent="0.2">
      <c r="A43" s="75">
        <v>45641.952192800927</v>
      </c>
      <c r="B43" s="76">
        <v>27207152388</v>
      </c>
      <c r="C43" s="76" t="s">
        <v>86</v>
      </c>
      <c r="D43" s="76" t="s">
        <v>79</v>
      </c>
      <c r="E43" s="76" t="s">
        <v>42</v>
      </c>
      <c r="F43" s="76" t="s">
        <v>21</v>
      </c>
      <c r="G43" s="76" t="s">
        <v>22</v>
      </c>
      <c r="H43" s="76"/>
      <c r="I43" s="77"/>
      <c r="J43" s="77" t="s">
        <v>31</v>
      </c>
      <c r="K43" s="76"/>
      <c r="L43" s="78" t="s">
        <v>86</v>
      </c>
      <c r="M43" s="76" t="s">
        <v>440</v>
      </c>
      <c r="N43" s="76" t="str">
        <f ca="1">VLOOKUP(B43,'đơn vị tt'!$C$1:$AG$555,25,0)</f>
        <v>Hyatt regency DaNang Resort</v>
      </c>
      <c r="O43" s="76" t="str">
        <f ca="1">VLOOKUP(B43,'đơn vị tt'!$C$1:$AG$555,26,0)</f>
        <v>Nhà hàng</v>
      </c>
      <c r="P43" s="76" t="str">
        <f ca="1">VLOOKUP(B43,'đơn vị tt'!$C$1:$AG$555,23,0)</f>
        <v>DUYỆT</v>
      </c>
      <c r="Q43" s="76" t="str">
        <f>VLOOKUP(B43,'XÉT ĐIỀU KIỆN THAM DỰ THỰC TẬP'!$A$10:$AB$633,22,0)</f>
        <v>XÉT LÀM KHÓA LUẬN</v>
      </c>
      <c r="R43" s="79" t="e">
        <f ca="1">VLOOKUP(B43,'chuyển KL-&gt;CĐ'!$C$2:$O$1000,2,0)</f>
        <v>#N/A</v>
      </c>
      <c r="S43" s="79" t="e">
        <f ca="1">VLOOKUP(B43,'chuyển KL-&gt;CĐ'!$C$2:$O$1000,10,0)</f>
        <v>#N/A</v>
      </c>
    </row>
    <row r="44" spans="1:19" ht="12.75" x14ac:dyDescent="0.2">
      <c r="A44" s="75">
        <v>45652.355149074079</v>
      </c>
      <c r="B44" s="76">
        <v>27202124339</v>
      </c>
      <c r="C44" s="76" t="s">
        <v>87</v>
      </c>
      <c r="D44" s="76" t="s">
        <v>48</v>
      </c>
      <c r="E44" s="76" t="s">
        <v>20</v>
      </c>
      <c r="F44" s="76" t="s">
        <v>21</v>
      </c>
      <c r="G44" s="76" t="s">
        <v>22</v>
      </c>
      <c r="H44" s="76"/>
      <c r="I44" s="77"/>
      <c r="J44" s="77" t="s">
        <v>31</v>
      </c>
      <c r="K44" s="76"/>
      <c r="L44" s="78" t="s">
        <v>872</v>
      </c>
      <c r="M44" s="76" t="s">
        <v>493</v>
      </c>
      <c r="N44" s="76" t="str">
        <f ca="1">VLOOKUP(B44,'đơn vị tt'!$C$1:$AG$555,25,0)</f>
        <v>Khách sạn Avatar Đà Nẵng</v>
      </c>
      <c r="O44" s="76" t="str">
        <f ca="1">VLOOKUP(B44,'đơn vị tt'!$C$1:$AG$555,26,0)</f>
        <v>Buồng phòng</v>
      </c>
      <c r="P44" s="76" t="str">
        <f ca="1">VLOOKUP(B44,'đơn vị tt'!$C$1:$AG$555,23,0)</f>
        <v>DUYỆT</v>
      </c>
      <c r="Q44" s="76" t="str">
        <f>VLOOKUP(B44,'XÉT ĐIỀU KIỆN THAM DỰ THỰC TẬP'!$A$10:$AB$633,22,0)</f>
        <v>CHUYÊN ĐỀ</v>
      </c>
      <c r="R44" s="79" t="str">
        <f ca="1">VLOOKUP(B44,'chuyển KL-&gt;CĐ'!$C$2:$O$1000,2,0)</f>
        <v xml:space="preserve">Đặng Thị Tuyết Trinh </v>
      </c>
      <c r="S44" s="79" t="str">
        <f ca="1">VLOOKUP(B44,'chuyển KL-&gt;CĐ'!$C$2:$O$1000,10,0)</f>
        <v>ĐÃ NỘP</v>
      </c>
    </row>
    <row r="45" spans="1:19" ht="12.75" x14ac:dyDescent="0.2">
      <c r="A45" s="75">
        <v>45642.433495381949</v>
      </c>
      <c r="B45" s="76">
        <v>27207128646</v>
      </c>
      <c r="C45" s="76" t="s">
        <v>88</v>
      </c>
      <c r="D45" s="76" t="s">
        <v>89</v>
      </c>
      <c r="E45" s="76" t="s">
        <v>42</v>
      </c>
      <c r="F45" s="76" t="s">
        <v>21</v>
      </c>
      <c r="G45" s="76" t="s">
        <v>22</v>
      </c>
      <c r="H45" s="76"/>
      <c r="I45" s="77"/>
      <c r="J45" s="77" t="s">
        <v>24</v>
      </c>
      <c r="K45" s="76"/>
      <c r="L45" s="78" t="s">
        <v>88</v>
      </c>
      <c r="M45" s="76" t="s">
        <v>440</v>
      </c>
      <c r="N45" s="76" t="str">
        <f ca="1">VLOOKUP(B45,'đơn vị tt'!$C$1:$AG$555,25,0)</f>
        <v>Premier Village Danang Resort</v>
      </c>
      <c r="O45" s="76" t="str">
        <f ca="1">VLOOKUP(B45,'đơn vị tt'!$C$1:$AG$555,26,0)</f>
        <v>Nhà hàng</v>
      </c>
      <c r="P45" s="76" t="str">
        <f ca="1">VLOOKUP(B45,'đơn vị tt'!$C$1:$AG$555,23,0)</f>
        <v>DUYỆT</v>
      </c>
      <c r="Q45" s="76" t="str">
        <f>VLOOKUP(B45,'XÉT ĐIỀU KIỆN THAM DỰ THỰC TẬP'!$A$10:$AB$633,22,0)</f>
        <v>CHUYÊN ĐỀ</v>
      </c>
      <c r="R45" s="79"/>
      <c r="S45" s="79"/>
    </row>
    <row r="46" spans="1:19" ht="12.75" x14ac:dyDescent="0.2">
      <c r="A46" s="75">
        <v>45642.655565046298</v>
      </c>
      <c r="B46" s="76">
        <v>27217140882</v>
      </c>
      <c r="C46" s="76" t="s">
        <v>90</v>
      </c>
      <c r="D46" s="76" t="s">
        <v>72</v>
      </c>
      <c r="E46" s="76" t="s">
        <v>73</v>
      </c>
      <c r="F46" s="76" t="s">
        <v>21</v>
      </c>
      <c r="G46" s="76" t="s">
        <v>27</v>
      </c>
      <c r="H46" s="76"/>
      <c r="I46" s="77"/>
      <c r="J46" s="77" t="s">
        <v>31</v>
      </c>
      <c r="K46" s="76"/>
      <c r="L46" s="78" t="s">
        <v>90</v>
      </c>
      <c r="M46" s="76" t="s">
        <v>487</v>
      </c>
      <c r="N46" s="76" t="str">
        <f ca="1">VLOOKUP(B46,'đơn vị tt'!$C$1:$AG$555,25,0)</f>
        <v>Meliá Danang Beach Resort</v>
      </c>
      <c r="O46" s="76" t="str">
        <f ca="1">VLOOKUP(B46,'đơn vị tt'!$C$1:$AG$555,26,0)</f>
        <v>Bếp</v>
      </c>
      <c r="P46" s="76" t="str">
        <f ca="1">VLOOKUP(B46,'đơn vị tt'!$C$1:$AG$555,23,0)</f>
        <v>DUYỆT</v>
      </c>
      <c r="Q46" s="76" t="str">
        <f>VLOOKUP(B46,'XÉT ĐIỀU KIỆN THAM DỰ THỰC TẬP'!$A$10:$AB$633,22,0)</f>
        <v>KHÓA LUẬN</v>
      </c>
      <c r="R46" s="79"/>
      <c r="S46" s="79"/>
    </row>
    <row r="47" spans="1:19" ht="12.75" x14ac:dyDescent="0.2">
      <c r="A47" s="75">
        <v>45642.968935729165</v>
      </c>
      <c r="B47" s="76">
        <v>27207142387</v>
      </c>
      <c r="C47" s="76" t="s">
        <v>91</v>
      </c>
      <c r="D47" s="76" t="s">
        <v>79</v>
      </c>
      <c r="E47" s="76" t="s">
        <v>42</v>
      </c>
      <c r="F47" s="76" t="s">
        <v>21</v>
      </c>
      <c r="G47" s="76" t="s">
        <v>22</v>
      </c>
      <c r="H47" s="76"/>
      <c r="I47" s="77"/>
      <c r="J47" s="77" t="s">
        <v>31</v>
      </c>
      <c r="K47" s="76"/>
      <c r="L47" s="78" t="s">
        <v>91</v>
      </c>
      <c r="M47" s="76" t="s">
        <v>440</v>
      </c>
      <c r="N47" s="76" t="str">
        <f ca="1">VLOOKUP(B47,'đơn vị tt'!$C$1:$AG$555,25,0)</f>
        <v>Khách sạn Shilla Monogram Quangnam Danang</v>
      </c>
      <c r="O47" s="76" t="str">
        <f ca="1">VLOOKUP(B47,'đơn vị tt'!$C$1:$AG$555,26,0)</f>
        <v>Nhà hàng</v>
      </c>
      <c r="P47" s="76" t="str">
        <f ca="1">VLOOKUP(B47,'đơn vị tt'!$C$1:$AG$555,23,0)</f>
        <v>DUYỆT</v>
      </c>
      <c r="Q47" s="76" t="str">
        <f>VLOOKUP(B47,'XÉT ĐIỀU KIỆN THAM DỰ THỰC TẬP'!$A$10:$AB$633,22,0)</f>
        <v>CHUYÊN ĐỀ</v>
      </c>
      <c r="R47" s="79"/>
      <c r="S47" s="79"/>
    </row>
    <row r="48" spans="1:19" ht="12.75" x14ac:dyDescent="0.2">
      <c r="A48" s="75">
        <v>45651.710108784726</v>
      </c>
      <c r="B48" s="76">
        <v>27217136125</v>
      </c>
      <c r="C48" s="76" t="s">
        <v>92</v>
      </c>
      <c r="D48" s="76" t="s">
        <v>19</v>
      </c>
      <c r="E48" s="76" t="s">
        <v>20</v>
      </c>
      <c r="F48" s="76" t="s">
        <v>21</v>
      </c>
      <c r="G48" s="76" t="s">
        <v>38</v>
      </c>
      <c r="H48" s="76"/>
      <c r="I48" s="77"/>
      <c r="J48" s="77" t="s">
        <v>24</v>
      </c>
      <c r="K48" s="76"/>
      <c r="L48" s="78" t="s">
        <v>92</v>
      </c>
      <c r="M48" s="76" t="s">
        <v>493</v>
      </c>
      <c r="N48" s="76" t="str">
        <f ca="1">VLOOKUP(B48,'đơn vị tt'!$C$1:$AG$555,25,0)</f>
        <v>DLG Hotel DaNang</v>
      </c>
      <c r="O48" s="76" t="str">
        <f ca="1">VLOOKUP(B48,'đơn vị tt'!$C$1:$AG$555,26,0)</f>
        <v>Buồng phòng</v>
      </c>
      <c r="P48" s="76" t="str">
        <f ca="1">VLOOKUP(B48,'đơn vị tt'!$C$1:$AG$555,23,0)</f>
        <v>DUYỆT</v>
      </c>
      <c r="Q48" s="76" t="str">
        <f>VLOOKUP(B48,'XÉT ĐIỀU KIỆN THAM DỰ THỰC TẬP'!$A$10:$AB$633,22,0)</f>
        <v>CHUYÊN ĐỀ</v>
      </c>
      <c r="R48" s="79"/>
      <c r="S48" s="79"/>
    </row>
    <row r="49" spans="1:19" ht="12.75" x14ac:dyDescent="0.2">
      <c r="A49" s="75">
        <v>45644.451266689815</v>
      </c>
      <c r="B49" s="76">
        <v>26217140809</v>
      </c>
      <c r="C49" s="76" t="s">
        <v>93</v>
      </c>
      <c r="D49" s="76" t="s">
        <v>94</v>
      </c>
      <c r="E49" s="76" t="s">
        <v>42</v>
      </c>
      <c r="F49" s="76" t="s">
        <v>34</v>
      </c>
      <c r="G49" s="76" t="s">
        <v>27</v>
      </c>
      <c r="H49" s="76" t="s">
        <v>23</v>
      </c>
      <c r="I49" s="77">
        <v>3</v>
      </c>
      <c r="J49" s="77" t="s">
        <v>24</v>
      </c>
      <c r="K49" s="76"/>
      <c r="L49" s="78" t="s">
        <v>93</v>
      </c>
      <c r="M49" s="76" t="s">
        <v>440</v>
      </c>
      <c r="N49" s="76" t="str">
        <f ca="1">VLOOKUP(B49,'đơn vị tt'!$C$1:$AG$555,25,0)</f>
        <v>Sheraton Grand Danang resort and Convention Center</v>
      </c>
      <c r="O49" s="76" t="str">
        <f ca="1">VLOOKUP(B49,'đơn vị tt'!$C$1:$AG$555,26,0)</f>
        <v>Nhà hàng</v>
      </c>
      <c r="P49" s="76" t="str">
        <f ca="1">VLOOKUP(B49,'đơn vị tt'!$C$1:$AG$555,23,0)</f>
        <v>DUYỆT</v>
      </c>
      <c r="Q49" s="76" t="str">
        <f>VLOOKUP(B49,'XÉT ĐIỀU KIỆN THAM DỰ THỰC TẬP'!$A$10:$AB$633,22,0)</f>
        <v>CHUYÊN ĐỀ</v>
      </c>
      <c r="R49" s="79"/>
      <c r="S49" s="79"/>
    </row>
    <row r="50" spans="1:19" ht="12.75" x14ac:dyDescent="0.2">
      <c r="A50" s="75">
        <v>45695.863791516203</v>
      </c>
      <c r="B50" s="76">
        <v>27207101733</v>
      </c>
      <c r="C50" s="76" t="s">
        <v>95</v>
      </c>
      <c r="D50" s="76" t="s">
        <v>48</v>
      </c>
      <c r="E50" s="76" t="s">
        <v>20</v>
      </c>
      <c r="F50" s="76" t="s">
        <v>21</v>
      </c>
      <c r="G50" s="76" t="s">
        <v>38</v>
      </c>
      <c r="H50" s="76"/>
      <c r="I50" s="77"/>
      <c r="J50" s="77" t="s">
        <v>31</v>
      </c>
      <c r="K50" s="76"/>
      <c r="L50" s="78" t="s">
        <v>95</v>
      </c>
      <c r="M50" s="76" t="s">
        <v>493</v>
      </c>
      <c r="N50" s="76" t="str">
        <f ca="1">VLOOKUP(B50,'đơn vị tt'!$C$1:$AG$555,25,0)</f>
        <v>DaNang Marriott Resort &amp; Spa, Non Nuoc Beach Villas</v>
      </c>
      <c r="O50" s="76" t="str">
        <f ca="1">VLOOKUP(B50,'đơn vị tt'!$C$1:$AG$555,26,0)</f>
        <v>Nhà hàng</v>
      </c>
      <c r="P50" s="76" t="str">
        <f ca="1">VLOOKUP(B50,'đơn vị tt'!$C$1:$AG$555,23,0)</f>
        <v>DUYỆT</v>
      </c>
      <c r="Q50" s="76" t="str">
        <f>VLOOKUP(B50,'XÉT ĐIỀU KIỆN THAM DỰ THỰC TẬP'!$A$10:$AB$633,22,0)</f>
        <v>CHUYÊN ĐỀ</v>
      </c>
      <c r="R50" s="79"/>
      <c r="S50" s="79"/>
    </row>
    <row r="51" spans="1:19" ht="12.75" x14ac:dyDescent="0.2">
      <c r="A51" s="75">
        <v>45646.523792754626</v>
      </c>
      <c r="B51" s="76">
        <v>27202131041</v>
      </c>
      <c r="C51" s="76" t="s">
        <v>96</v>
      </c>
      <c r="D51" s="76" t="s">
        <v>79</v>
      </c>
      <c r="E51" s="76" t="s">
        <v>42</v>
      </c>
      <c r="F51" s="76" t="s">
        <v>21</v>
      </c>
      <c r="G51" s="76" t="s">
        <v>22</v>
      </c>
      <c r="H51" s="76"/>
      <c r="I51" s="77"/>
      <c r="J51" s="77" t="s">
        <v>24</v>
      </c>
      <c r="K51" s="76"/>
      <c r="L51" s="78" t="s">
        <v>96</v>
      </c>
      <c r="M51" s="76" t="s">
        <v>440</v>
      </c>
      <c r="N51" s="76" t="str">
        <f ca="1">VLOOKUP(B51,'đơn vị tt'!$C$1:$AG$555,25,0)</f>
        <v>Pullman Danang Beach Resort</v>
      </c>
      <c r="O51" s="76" t="str">
        <f ca="1">VLOOKUP(B51,'đơn vị tt'!$C$1:$AG$555,26,0)</f>
        <v>Nhà hàng</v>
      </c>
      <c r="P51" s="76" t="str">
        <f ca="1">VLOOKUP(B51,'đơn vị tt'!$C$1:$AG$555,23,0)</f>
        <v>DUYỆT</v>
      </c>
      <c r="Q51" s="76" t="str">
        <f>VLOOKUP(B51,'XÉT ĐIỀU KIỆN THAM DỰ THỰC TẬP'!$A$10:$AB$633,22,0)</f>
        <v>CHUYÊN ĐỀ</v>
      </c>
      <c r="R51" s="79"/>
      <c r="S51" s="79"/>
    </row>
    <row r="52" spans="1:19" ht="12.75" x14ac:dyDescent="0.2">
      <c r="A52" s="75">
        <v>45647.543753831022</v>
      </c>
      <c r="B52" s="76">
        <v>27207146875</v>
      </c>
      <c r="C52" s="76" t="s">
        <v>97</v>
      </c>
      <c r="D52" s="76" t="s">
        <v>48</v>
      </c>
      <c r="E52" s="76" t="s">
        <v>20</v>
      </c>
      <c r="F52" s="76" t="s">
        <v>21</v>
      </c>
      <c r="G52" s="76" t="s">
        <v>38</v>
      </c>
      <c r="H52" s="76"/>
      <c r="I52" s="77"/>
      <c r="J52" s="77" t="s">
        <v>31</v>
      </c>
      <c r="K52" s="76"/>
      <c r="L52" s="78" t="s">
        <v>97</v>
      </c>
      <c r="M52" s="76" t="s">
        <v>493</v>
      </c>
      <c r="N52" s="76" t="str">
        <f ca="1">VLOOKUP(B52,'đơn vị tt'!$C$1:$AG$555,25,0)</f>
        <v>Meliá Vinpearl Danang Riverfront</v>
      </c>
      <c r="O52" s="76" t="str">
        <f ca="1">VLOOKUP(B52,'đơn vị tt'!$C$1:$AG$555,26,0)</f>
        <v>Tiền sảnh</v>
      </c>
      <c r="P52" s="76" t="str">
        <f ca="1">VLOOKUP(B52,'đơn vị tt'!$C$1:$AG$555,23,0)</f>
        <v>DUYỆT</v>
      </c>
      <c r="Q52" s="76" t="str">
        <f>VLOOKUP(B52,'XÉT ĐIỀU KIỆN THAM DỰ THỰC TẬP'!$A$10:$AB$633,22,0)</f>
        <v>CHUYÊN ĐỀ</v>
      </c>
      <c r="R52" s="79" t="str">
        <f ca="1">VLOOKUP(B52,'chuyển KL-&gt;CĐ'!$C$2:$O$1000,2,0)</f>
        <v>Võ Thị Y Ngân</v>
      </c>
      <c r="S52" s="79" t="str">
        <f ca="1">VLOOKUP(B52,'chuyển KL-&gt;CĐ'!$C$2:$O$1000,10,0)</f>
        <v>ĐÃ NỘP</v>
      </c>
    </row>
    <row r="53" spans="1:19" ht="12.75" x14ac:dyDescent="0.2">
      <c r="A53" s="75">
        <v>45649.959154849537</v>
      </c>
      <c r="B53" s="76">
        <v>27217132965</v>
      </c>
      <c r="C53" s="76" t="s">
        <v>98</v>
      </c>
      <c r="D53" s="76" t="s">
        <v>53</v>
      </c>
      <c r="E53" s="76" t="s">
        <v>42</v>
      </c>
      <c r="F53" s="76" t="s">
        <v>21</v>
      </c>
      <c r="G53" s="76" t="s">
        <v>27</v>
      </c>
      <c r="H53" s="76"/>
      <c r="I53" s="77"/>
      <c r="J53" s="77" t="s">
        <v>31</v>
      </c>
      <c r="K53" s="76"/>
      <c r="L53" s="78" t="s">
        <v>98</v>
      </c>
      <c r="M53" s="76" t="s">
        <v>440</v>
      </c>
      <c r="N53" s="76" t="str">
        <f ca="1">VLOOKUP(B53,'đơn vị tt'!$C$1:$AG$555,25,0)</f>
        <v>Meliá Danang Beach Resort</v>
      </c>
      <c r="O53" s="76" t="str">
        <f ca="1">VLOOKUP(B53,'đơn vị tt'!$C$1:$AG$555,26,0)</f>
        <v>Tiền sảnh</v>
      </c>
      <c r="P53" s="76" t="str">
        <f ca="1">VLOOKUP(B53,'đơn vị tt'!$C$1:$AG$555,23,0)</f>
        <v>DUYỆT</v>
      </c>
      <c r="Q53" s="76" t="str">
        <f>VLOOKUP(B53,'XÉT ĐIỀU KIỆN THAM DỰ THỰC TẬP'!$A$10:$AB$633,22,0)</f>
        <v>CHUYÊN ĐỀ</v>
      </c>
      <c r="R53" s="79"/>
      <c r="S53" s="79"/>
    </row>
    <row r="54" spans="1:19" ht="12.75" x14ac:dyDescent="0.2">
      <c r="A54" s="75">
        <v>45650.418393888889</v>
      </c>
      <c r="B54" s="76">
        <v>26217240100</v>
      </c>
      <c r="C54" s="76" t="s">
        <v>99</v>
      </c>
      <c r="D54" s="76" t="s">
        <v>100</v>
      </c>
      <c r="E54" s="76" t="s">
        <v>42</v>
      </c>
      <c r="F54" s="76" t="s">
        <v>34</v>
      </c>
      <c r="G54" s="76" t="s">
        <v>38</v>
      </c>
      <c r="H54" s="76" t="s">
        <v>23</v>
      </c>
      <c r="I54" s="77">
        <v>4</v>
      </c>
      <c r="J54" s="77" t="s">
        <v>101</v>
      </c>
      <c r="K54" s="76"/>
      <c r="L54" s="78" t="s">
        <v>873</v>
      </c>
      <c r="M54" s="76" t="s">
        <v>440</v>
      </c>
      <c r="N54" s="76" t="str">
        <f ca="1">VLOOKUP(B54,'đơn vị tt'!$C$1:$AG$555,25,0)</f>
        <v>Meliá Vinpearl Danang Riverfront</v>
      </c>
      <c r="O54" s="76" t="str">
        <f ca="1">VLOOKUP(B54,'đơn vị tt'!$C$1:$AG$555,26,0)</f>
        <v>Buồng phòng</v>
      </c>
      <c r="P54" s="76" t="str">
        <f ca="1">VLOOKUP(B54,'đơn vị tt'!$C$1:$AG$555,23,0)</f>
        <v>DUYỆT</v>
      </c>
      <c r="Q54" s="76" t="str">
        <f>VLOOKUP(B54,'XÉT ĐIỀU KIỆN THAM DỰ THỰC TẬP'!$A$10:$AB$633,22,0)</f>
        <v>CHUYÊN ĐỀ</v>
      </c>
      <c r="R54" s="79"/>
      <c r="S54" s="79"/>
    </row>
    <row r="55" spans="1:19" ht="12.75" x14ac:dyDescent="0.2">
      <c r="A55" s="75">
        <v>45650.42017582176</v>
      </c>
      <c r="B55" s="76">
        <v>25217108239</v>
      </c>
      <c r="C55" s="76" t="s">
        <v>102</v>
      </c>
      <c r="D55" s="76" t="s">
        <v>103</v>
      </c>
      <c r="E55" s="76" t="s">
        <v>20</v>
      </c>
      <c r="F55" s="76" t="s">
        <v>43</v>
      </c>
      <c r="G55" s="76" t="s">
        <v>38</v>
      </c>
      <c r="H55" s="76" t="s">
        <v>23</v>
      </c>
      <c r="I55" s="77">
        <v>5</v>
      </c>
      <c r="J55" s="80">
        <v>45931</v>
      </c>
      <c r="K55" s="76"/>
      <c r="L55" s="78" t="s">
        <v>802</v>
      </c>
      <c r="M55" s="76" t="s">
        <v>493</v>
      </c>
      <c r="N55" s="76" t="e">
        <f ca="1">VLOOKUP(B55,'đơn vị tt'!$C$1:$AG$555,25,0)</f>
        <v>#N/A</v>
      </c>
      <c r="O55" s="76" t="e">
        <f ca="1">VLOOKUP(B55,'đơn vị tt'!$C$1:$AG$555,26,0)</f>
        <v>#N/A</v>
      </c>
      <c r="P55" s="76" t="e">
        <f ca="1">VLOOKUP(B55,'đơn vị tt'!$C$1:$AG$555,23,0)</f>
        <v>#N/A</v>
      </c>
      <c r="Q55" s="76" t="str">
        <f>VLOOKUP(B55,'XÉT ĐIỀU KIỆN THAM DỰ THỰC TẬP'!$A$10:$AB$633,22,0)</f>
        <v>CHUYÊN ĐỀ</v>
      </c>
      <c r="R55" s="79"/>
      <c r="S55" s="79"/>
    </row>
    <row r="56" spans="1:19" ht="12.75" x14ac:dyDescent="0.2">
      <c r="A56" s="75">
        <v>45650.424741412033</v>
      </c>
      <c r="B56" s="76">
        <v>27207130741</v>
      </c>
      <c r="C56" s="76" t="s">
        <v>104</v>
      </c>
      <c r="D56" s="76" t="s">
        <v>19</v>
      </c>
      <c r="E56" s="76" t="s">
        <v>20</v>
      </c>
      <c r="F56" s="76" t="s">
        <v>21</v>
      </c>
      <c r="G56" s="76" t="s">
        <v>38</v>
      </c>
      <c r="H56" s="76"/>
      <c r="I56" s="77"/>
      <c r="J56" s="77" t="s">
        <v>31</v>
      </c>
      <c r="K56" s="76"/>
      <c r="L56" s="78" t="s">
        <v>874</v>
      </c>
      <c r="M56" s="76" t="s">
        <v>493</v>
      </c>
      <c r="N56" s="76" t="str">
        <f ca="1">VLOOKUP(B56,'đơn vị tt'!$C$1:$AG$555,25,0)</f>
        <v>Khách sạn Hilton Đà Nẵng</v>
      </c>
      <c r="O56" s="76" t="str">
        <f ca="1">VLOOKUP(B56,'đơn vị tt'!$C$1:$AG$555,26,0)</f>
        <v>Nhà hàng</v>
      </c>
      <c r="P56" s="76" t="str">
        <f ca="1">VLOOKUP(B56,'đơn vị tt'!$C$1:$AG$555,23,0)</f>
        <v>DUYỆT</v>
      </c>
      <c r="Q56" s="76" t="str">
        <f>VLOOKUP(B56,'XÉT ĐIỀU KIỆN THAM DỰ THỰC TẬP'!$A$10:$AB$633,22,0)</f>
        <v>XÉT LÀM KHÓA LUẬN</v>
      </c>
      <c r="R56" s="79" t="str">
        <f ca="1">VLOOKUP(B56,'chuyển KL-&gt;CĐ'!$C$2:$O$1000,2,0)</f>
        <v>PHẠM NGỌC TƯƠI</v>
      </c>
      <c r="S56" s="79">
        <f ca="1">VLOOKUP(B56,'chuyển KL-&gt;CĐ'!$C$2:$O$1000,10,0)</f>
        <v>0</v>
      </c>
    </row>
    <row r="57" spans="1:19" ht="12.75" x14ac:dyDescent="0.2">
      <c r="A57" s="75">
        <v>45650.427754710647</v>
      </c>
      <c r="B57" s="76">
        <v>25207117039</v>
      </c>
      <c r="C57" s="76" t="s">
        <v>105</v>
      </c>
      <c r="D57" s="76" t="s">
        <v>106</v>
      </c>
      <c r="E57" s="76" t="s">
        <v>42</v>
      </c>
      <c r="F57" s="76" t="s">
        <v>43</v>
      </c>
      <c r="G57" s="76" t="s">
        <v>27</v>
      </c>
      <c r="H57" s="76" t="s">
        <v>30</v>
      </c>
      <c r="I57" s="77">
        <v>6</v>
      </c>
      <c r="J57" s="77"/>
      <c r="K57" s="76"/>
      <c r="L57" s="78" t="s">
        <v>105</v>
      </c>
      <c r="M57" s="76" t="s">
        <v>440</v>
      </c>
      <c r="N57" s="76" t="e">
        <f ca="1">VLOOKUP(B57,'đơn vị tt'!$C$1:$AG$555,25,0)</f>
        <v>#N/A</v>
      </c>
      <c r="O57" s="76" t="e">
        <f ca="1">VLOOKUP(B57,'đơn vị tt'!$C$1:$AG$555,26,0)</f>
        <v>#N/A</v>
      </c>
      <c r="P57" s="76" t="e">
        <f ca="1">VLOOKUP(B57,'đơn vị tt'!$C$1:$AG$555,23,0)</f>
        <v>#N/A</v>
      </c>
      <c r="Q57" s="76" t="e">
        <f>VLOOKUP(B57,'XÉT ĐIỀU KIỆN THAM DỰ THỰC TẬP'!$A$10:$AB$633,22,0)</f>
        <v>#N/A</v>
      </c>
      <c r="R57" s="79"/>
      <c r="S57" s="79"/>
    </row>
    <row r="58" spans="1:19" ht="12.75" x14ac:dyDescent="0.2">
      <c r="A58" s="75">
        <v>45650.427881180556</v>
      </c>
      <c r="B58" s="76">
        <v>27217101134</v>
      </c>
      <c r="C58" s="76" t="s">
        <v>107</v>
      </c>
      <c r="D58" s="76" t="s">
        <v>108</v>
      </c>
      <c r="E58" s="76" t="s">
        <v>20</v>
      </c>
      <c r="F58" s="76" t="s">
        <v>21</v>
      </c>
      <c r="G58" s="76" t="s">
        <v>27</v>
      </c>
      <c r="H58" s="76"/>
      <c r="I58" s="77"/>
      <c r="J58" s="77" t="s">
        <v>31</v>
      </c>
      <c r="K58" s="76"/>
      <c r="L58" s="78" t="s">
        <v>107</v>
      </c>
      <c r="M58" s="76" t="s">
        <v>493</v>
      </c>
      <c r="N58" s="76" t="str">
        <f ca="1">VLOOKUP(B58,'đơn vị tt'!$C$1:$AG$555,25,0)</f>
        <v>Paris Deli Danang Beach Hotel</v>
      </c>
      <c r="O58" s="76" t="str">
        <f ca="1">VLOOKUP(B58,'đơn vị tt'!$C$1:$AG$555,26,0)</f>
        <v>Tiền sảnh</v>
      </c>
      <c r="P58" s="76" t="str">
        <f ca="1">VLOOKUP(B58,'đơn vị tt'!$C$1:$AG$555,23,0)</f>
        <v>DUYỆT</v>
      </c>
      <c r="Q58" s="76" t="str">
        <f>VLOOKUP(B58,'XÉT ĐIỀU KIỆN THAM DỰ THỰC TẬP'!$A$10:$AB$633,22,0)</f>
        <v>CHUYÊN ĐỀ</v>
      </c>
      <c r="R58" s="79"/>
      <c r="S58" s="79"/>
    </row>
    <row r="59" spans="1:19" ht="12.75" x14ac:dyDescent="0.2">
      <c r="A59" s="75">
        <v>45650.430942025458</v>
      </c>
      <c r="B59" s="76">
        <v>27217126810</v>
      </c>
      <c r="C59" s="76" t="s">
        <v>109</v>
      </c>
      <c r="D59" s="76" t="s">
        <v>110</v>
      </c>
      <c r="E59" s="76" t="s">
        <v>20</v>
      </c>
      <c r="F59" s="76" t="s">
        <v>21</v>
      </c>
      <c r="G59" s="76" t="s">
        <v>27</v>
      </c>
      <c r="H59" s="76"/>
      <c r="I59" s="77"/>
      <c r="J59" s="77" t="s">
        <v>31</v>
      </c>
      <c r="K59" s="76"/>
      <c r="L59" s="78" t="s">
        <v>109</v>
      </c>
      <c r="M59" s="76" t="s">
        <v>493</v>
      </c>
      <c r="N59" s="76" t="str">
        <f ca="1">VLOOKUP(B59,'đơn vị tt'!$C$1:$AG$555,25,0)</f>
        <v>Wyndham DaNang Golden Bay</v>
      </c>
      <c r="O59" s="76" t="str">
        <f ca="1">VLOOKUP(B59,'đơn vị tt'!$C$1:$AG$555,26,0)</f>
        <v>Tiền sảnh</v>
      </c>
      <c r="P59" s="76" t="str">
        <f ca="1">VLOOKUP(B59,'đơn vị tt'!$C$1:$AG$555,23,0)</f>
        <v>DUYỆT</v>
      </c>
      <c r="Q59" s="76" t="str">
        <f>VLOOKUP(B59,'XÉT ĐIỀU KIỆN THAM DỰ THỰC TẬP'!$A$10:$AB$633,22,0)</f>
        <v>CHUYÊN ĐỀ</v>
      </c>
      <c r="R59" s="79" t="str">
        <f ca="1">VLOOKUP(B59,'chuyển KL-&gt;CĐ'!$C$2:$O$1000,2,0)</f>
        <v>Nguyễn Văn Hưng</v>
      </c>
      <c r="S59" s="79" t="str">
        <f ca="1">VLOOKUP(B59,'chuyển KL-&gt;CĐ'!$C$2:$O$1000,10,0)</f>
        <v>ĐÃ NỘP</v>
      </c>
    </row>
    <row r="60" spans="1:19" ht="12.75" x14ac:dyDescent="0.2">
      <c r="A60" s="75">
        <v>45651.682783738426</v>
      </c>
      <c r="B60" s="76">
        <v>27207133206</v>
      </c>
      <c r="C60" s="76" t="s">
        <v>111</v>
      </c>
      <c r="D60" s="76" t="s">
        <v>26</v>
      </c>
      <c r="E60" s="76" t="s">
        <v>20</v>
      </c>
      <c r="F60" s="76" t="s">
        <v>21</v>
      </c>
      <c r="G60" s="76" t="s">
        <v>38</v>
      </c>
      <c r="H60" s="76"/>
      <c r="I60" s="77"/>
      <c r="J60" s="77" t="s">
        <v>31</v>
      </c>
      <c r="K60" s="76"/>
      <c r="L60" s="78" t="s">
        <v>111</v>
      </c>
      <c r="M60" s="76" t="s">
        <v>493</v>
      </c>
      <c r="N60" s="76" t="str">
        <f ca="1">VLOOKUP(B60,'đơn vị tt'!$C$1:$AG$555,25,0)</f>
        <v>Novotel DaNang Premier Han River</v>
      </c>
      <c r="O60" s="76" t="str">
        <f ca="1">VLOOKUP(B60,'đơn vị tt'!$C$1:$AG$555,26,0)</f>
        <v>Nhà hàng</v>
      </c>
      <c r="P60" s="76" t="str">
        <f ca="1">VLOOKUP(B60,'đơn vị tt'!$C$1:$AG$555,23,0)</f>
        <v>DUYỆT</v>
      </c>
      <c r="Q60" s="76" t="str">
        <f>VLOOKUP(B60,'XÉT ĐIỀU KIỆN THAM DỰ THỰC TẬP'!$A$10:$AB$633,22,0)</f>
        <v>CHUYÊN ĐỀ</v>
      </c>
      <c r="R60" s="79"/>
      <c r="S60" s="79"/>
    </row>
    <row r="61" spans="1:19" ht="12.75" x14ac:dyDescent="0.2">
      <c r="A61" s="75">
        <v>45650.44262642361</v>
      </c>
      <c r="B61" s="76">
        <v>27207124833</v>
      </c>
      <c r="C61" s="76" t="s">
        <v>112</v>
      </c>
      <c r="D61" s="76" t="s">
        <v>19</v>
      </c>
      <c r="E61" s="76" t="s">
        <v>20</v>
      </c>
      <c r="F61" s="76" t="s">
        <v>21</v>
      </c>
      <c r="G61" s="76" t="s">
        <v>113</v>
      </c>
      <c r="H61" s="76"/>
      <c r="I61" s="77"/>
      <c r="J61" s="77" t="s">
        <v>31</v>
      </c>
      <c r="K61" s="76"/>
      <c r="L61" s="78" t="s">
        <v>112</v>
      </c>
      <c r="M61" s="76" t="s">
        <v>493</v>
      </c>
      <c r="N61" s="76" t="str">
        <f ca="1">VLOOKUP(B61,'đơn vị tt'!$C$1:$AG$555,25,0)</f>
        <v>Wyndham DaNang Golden Bay</v>
      </c>
      <c r="O61" s="76" t="str">
        <f ca="1">VLOOKUP(B61,'đơn vị tt'!$C$1:$AG$555,26,0)</f>
        <v>Nhà hàng</v>
      </c>
      <c r="P61" s="76" t="str">
        <f ca="1">VLOOKUP(B61,'đơn vị tt'!$C$1:$AG$555,23,0)</f>
        <v>DUYỆT</v>
      </c>
      <c r="Q61" s="76" t="str">
        <f>VLOOKUP(B61,'XÉT ĐIỀU KIỆN THAM DỰ THỰC TẬP'!$A$10:$AB$633,22,0)</f>
        <v>CHUYÊN ĐỀ</v>
      </c>
      <c r="R61" s="79"/>
      <c r="S61" s="79"/>
    </row>
    <row r="62" spans="1:19" ht="12.75" x14ac:dyDescent="0.2">
      <c r="A62" s="75">
        <v>45650.446490914357</v>
      </c>
      <c r="B62" s="76">
        <v>27217130749</v>
      </c>
      <c r="C62" s="76" t="s">
        <v>114</v>
      </c>
      <c r="D62" s="76" t="s">
        <v>19</v>
      </c>
      <c r="E62" s="76" t="s">
        <v>20</v>
      </c>
      <c r="F62" s="76" t="s">
        <v>21</v>
      </c>
      <c r="G62" s="76" t="s">
        <v>27</v>
      </c>
      <c r="H62" s="76"/>
      <c r="I62" s="77"/>
      <c r="J62" s="77" t="s">
        <v>31</v>
      </c>
      <c r="K62" s="76"/>
      <c r="L62" s="78" t="s">
        <v>114</v>
      </c>
      <c r="M62" s="76" t="s">
        <v>493</v>
      </c>
      <c r="N62" s="76" t="str">
        <f ca="1">VLOOKUP(B62,'đơn vị tt'!$C$1:$AG$555,25,0)</f>
        <v>Khách sạn Mandila Beach Đà Nẵng</v>
      </c>
      <c r="O62" s="76" t="str">
        <f ca="1">VLOOKUP(B62,'đơn vị tt'!$C$1:$AG$555,26,0)</f>
        <v>Tiền sảnh</v>
      </c>
      <c r="P62" s="76" t="str">
        <f ca="1">VLOOKUP(B62,'đơn vị tt'!$C$1:$AG$555,23,0)</f>
        <v>DUYỆT</v>
      </c>
      <c r="Q62" s="76" t="str">
        <f>VLOOKUP(B62,'XÉT ĐIỀU KIỆN THAM DỰ THỰC TẬP'!$A$10:$AB$633,22,0)</f>
        <v>CHUYÊN ĐỀ</v>
      </c>
      <c r="R62" s="79" t="str">
        <f ca="1">VLOOKUP(B62,'chuyển KL-&gt;CĐ'!$C$2:$O$1000,2,0)</f>
        <v>Vương Khánh Duy Anh</v>
      </c>
      <c r="S62" s="79" t="str">
        <f ca="1">VLOOKUP(B62,'chuyển KL-&gt;CĐ'!$C$2:$O$1000,10,0)</f>
        <v>ĐÃ NỘP</v>
      </c>
    </row>
    <row r="63" spans="1:19" ht="12.75" x14ac:dyDescent="0.2">
      <c r="A63" s="75">
        <v>45679.805767858794</v>
      </c>
      <c r="B63" s="76">
        <v>27207143366</v>
      </c>
      <c r="C63" s="76" t="s">
        <v>115</v>
      </c>
      <c r="D63" s="76" t="s">
        <v>116</v>
      </c>
      <c r="E63" s="76" t="s">
        <v>20</v>
      </c>
      <c r="F63" s="76" t="s">
        <v>21</v>
      </c>
      <c r="G63" s="76" t="s">
        <v>22</v>
      </c>
      <c r="H63" s="76"/>
      <c r="I63" s="77"/>
      <c r="J63" s="77" t="s">
        <v>31</v>
      </c>
      <c r="K63" s="76"/>
      <c r="L63" s="78" t="s">
        <v>115</v>
      </c>
      <c r="M63" s="76" t="s">
        <v>493</v>
      </c>
      <c r="N63" s="76" t="str">
        <f ca="1">VLOOKUP(B63,'đơn vị tt'!$C$1:$AG$555,25,0)</f>
        <v>Novotel DaNang Premier Han River</v>
      </c>
      <c r="O63" s="76" t="str">
        <f ca="1">VLOOKUP(B63,'đơn vị tt'!$C$1:$AG$555,26,0)</f>
        <v>Buồng phòng</v>
      </c>
      <c r="P63" s="76" t="str">
        <f ca="1">VLOOKUP(B63,'đơn vị tt'!$C$1:$AG$555,23,0)</f>
        <v>DUYỆT</v>
      </c>
      <c r="Q63" s="76" t="str">
        <f>VLOOKUP(B63,'XÉT ĐIỀU KIỆN THAM DỰ THỰC TẬP'!$A$10:$AB$633,22,0)</f>
        <v>CHUYÊN ĐỀ</v>
      </c>
      <c r="R63" s="79"/>
      <c r="S63" s="79"/>
    </row>
    <row r="64" spans="1:19" ht="12.75" x14ac:dyDescent="0.2">
      <c r="A64" s="75">
        <v>45651.693218472225</v>
      </c>
      <c r="B64" s="76">
        <v>27217128728</v>
      </c>
      <c r="C64" s="76" t="s">
        <v>117</v>
      </c>
      <c r="D64" s="76" t="s">
        <v>26</v>
      </c>
      <c r="E64" s="76" t="s">
        <v>20</v>
      </c>
      <c r="F64" s="76" t="s">
        <v>21</v>
      </c>
      <c r="G64" s="76" t="s">
        <v>38</v>
      </c>
      <c r="H64" s="76"/>
      <c r="I64" s="77"/>
      <c r="J64" s="77" t="s">
        <v>31</v>
      </c>
      <c r="K64" s="76"/>
      <c r="L64" s="78" t="s">
        <v>875</v>
      </c>
      <c r="M64" s="76" t="s">
        <v>493</v>
      </c>
      <c r="N64" s="76" t="str">
        <f ca="1">VLOOKUP(B64,'đơn vị tt'!$C$1:$AG$555,25,0)</f>
        <v>Novotel DaNang Premier Han River</v>
      </c>
      <c r="O64" s="76" t="str">
        <f ca="1">VLOOKUP(B64,'đơn vị tt'!$C$1:$AG$555,26,0)</f>
        <v>Tiền sảnh</v>
      </c>
      <c r="P64" s="76" t="str">
        <f ca="1">VLOOKUP(B64,'đơn vị tt'!$C$1:$AG$555,23,0)</f>
        <v>DUYỆT</v>
      </c>
      <c r="Q64" s="76" t="str">
        <f>VLOOKUP(B64,'XÉT ĐIỀU KIỆN THAM DỰ THỰC TẬP'!$A$10:$AB$633,22,0)</f>
        <v>CHUYÊN ĐỀ</v>
      </c>
      <c r="R64" s="79" t="str">
        <f ca="1">VLOOKUP(B64,'chuyển KL-&gt;CĐ'!$C$2:$O$1000,2,0)</f>
        <v>H'Trùng Mlô</v>
      </c>
      <c r="S64" s="79" t="str">
        <f ca="1">VLOOKUP(B64,'chuyển KL-&gt;CĐ'!$C$2:$O$1000,10,0)</f>
        <v>ĐÃ NỘP</v>
      </c>
    </row>
    <row r="65" spans="1:19" ht="12.75" x14ac:dyDescent="0.2">
      <c r="A65" s="75">
        <v>45651.845381261577</v>
      </c>
      <c r="B65" s="76">
        <v>27207102070</v>
      </c>
      <c r="C65" s="76" t="s">
        <v>118</v>
      </c>
      <c r="D65" s="76" t="s">
        <v>48</v>
      </c>
      <c r="E65" s="76" t="s">
        <v>20</v>
      </c>
      <c r="F65" s="76" t="s">
        <v>21</v>
      </c>
      <c r="G65" s="76" t="s">
        <v>38</v>
      </c>
      <c r="H65" s="76"/>
      <c r="I65" s="77"/>
      <c r="J65" s="77" t="s">
        <v>31</v>
      </c>
      <c r="K65" s="76"/>
      <c r="L65" s="78" t="s">
        <v>118</v>
      </c>
      <c r="M65" s="76" t="s">
        <v>493</v>
      </c>
      <c r="N65" s="76" t="str">
        <f ca="1">VLOOKUP(B65,'đơn vị tt'!$C$1:$AG$555,25,0)</f>
        <v>DaNang Marriott Resort &amp; Spa, Non Nuoc Beach Villas</v>
      </c>
      <c r="O65" s="76" t="str">
        <f ca="1">VLOOKUP(B65,'đơn vị tt'!$C$1:$AG$555,26,0)</f>
        <v>Nhà hàng</v>
      </c>
      <c r="P65" s="76" t="str">
        <f ca="1">VLOOKUP(B65,'đơn vị tt'!$C$1:$AG$555,23,0)</f>
        <v>DUYỆT</v>
      </c>
      <c r="Q65" s="76" t="str">
        <f>VLOOKUP(B65,'XÉT ĐIỀU KIỆN THAM DỰ THỰC TẬP'!$A$10:$AB$633,22,0)</f>
        <v>XÉT LÀM KHÓA LUẬN</v>
      </c>
      <c r="R65" s="79" t="e">
        <f ca="1">VLOOKUP(B65,'chuyển KL-&gt;CĐ'!$C$2:$O$1000,2,0)</f>
        <v>#N/A</v>
      </c>
      <c r="S65" s="79" t="e">
        <f ca="1">VLOOKUP(B65,'chuyển KL-&gt;CĐ'!$C$2:$O$1000,10,0)</f>
        <v>#N/A</v>
      </c>
    </row>
    <row r="66" spans="1:19" ht="12.75" x14ac:dyDescent="0.2">
      <c r="A66" s="75">
        <v>45650.450388101854</v>
      </c>
      <c r="B66" s="76">
        <v>27207121852</v>
      </c>
      <c r="C66" s="76" t="s">
        <v>119</v>
      </c>
      <c r="D66" s="76" t="s">
        <v>120</v>
      </c>
      <c r="E66" s="76" t="s">
        <v>20</v>
      </c>
      <c r="F66" s="76" t="s">
        <v>21</v>
      </c>
      <c r="G66" s="76" t="s">
        <v>113</v>
      </c>
      <c r="H66" s="76"/>
      <c r="I66" s="77"/>
      <c r="J66" s="77" t="s">
        <v>31</v>
      </c>
      <c r="K66" s="76"/>
      <c r="L66" s="78" t="s">
        <v>876</v>
      </c>
      <c r="M66" s="76" t="s">
        <v>493</v>
      </c>
      <c r="N66" s="76" t="str">
        <f ca="1">VLOOKUP(B66,'đơn vị tt'!$C$1:$AG$555,25,0)</f>
        <v>Khách sạn Mandila Beach Đà Nẵng</v>
      </c>
      <c r="O66" s="76" t="str">
        <f ca="1">VLOOKUP(B66,'đơn vị tt'!$C$1:$AG$555,26,0)</f>
        <v>Nhà hàng</v>
      </c>
      <c r="P66" s="76" t="str">
        <f ca="1">VLOOKUP(B66,'đơn vị tt'!$C$1:$AG$555,23,0)</f>
        <v>DUYỆT</v>
      </c>
      <c r="Q66" s="76" t="str">
        <f>VLOOKUP(B66,'XÉT ĐIỀU KIỆN THAM DỰ THỰC TẬP'!$A$10:$AB$633,22,0)</f>
        <v>CHUYÊN ĐỀ</v>
      </c>
      <c r="R66" s="79"/>
      <c r="S66" s="79"/>
    </row>
    <row r="67" spans="1:19" ht="12.75" x14ac:dyDescent="0.2">
      <c r="A67" s="75">
        <v>45650.451499351853</v>
      </c>
      <c r="B67" s="76">
        <v>27207128591</v>
      </c>
      <c r="C67" s="76" t="s">
        <v>121</v>
      </c>
      <c r="D67" s="76" t="s">
        <v>122</v>
      </c>
      <c r="E67" s="76" t="s">
        <v>20</v>
      </c>
      <c r="F67" s="76" t="s">
        <v>21</v>
      </c>
      <c r="G67" s="76" t="s">
        <v>38</v>
      </c>
      <c r="H67" s="76"/>
      <c r="I67" s="77"/>
      <c r="J67" s="77" t="s">
        <v>31</v>
      </c>
      <c r="K67" s="76"/>
      <c r="L67" s="78" t="s">
        <v>121</v>
      </c>
      <c r="M67" s="76" t="s">
        <v>493</v>
      </c>
      <c r="N67" s="76" t="str">
        <f ca="1">VLOOKUP(B67,'đơn vị tt'!$C$1:$AG$555,25,0)</f>
        <v>Meliá Vinpearl Danang Riverfront</v>
      </c>
      <c r="O67" s="76" t="str">
        <f ca="1">VLOOKUP(B67,'đơn vị tt'!$C$1:$AG$555,26,0)</f>
        <v>Nhà hàng</v>
      </c>
      <c r="P67" s="76" t="str">
        <f ca="1">VLOOKUP(B67,'đơn vị tt'!$C$1:$AG$555,23,0)</f>
        <v>DUYỆT</v>
      </c>
      <c r="Q67" s="76" t="str">
        <f>VLOOKUP(B67,'XÉT ĐIỀU KIỆN THAM DỰ THỰC TẬP'!$A$10:$AB$633,22,0)</f>
        <v>CHUYÊN ĐỀ</v>
      </c>
      <c r="R67" s="79" t="str">
        <f ca="1">VLOOKUP(B67,'chuyển KL-&gt;CĐ'!$C$2:$O$1000,2,0)</f>
        <v>Trương Thị Ngọc Lan</v>
      </c>
      <c r="S67" s="79" t="str">
        <f ca="1">VLOOKUP(B67,'chuyển KL-&gt;CĐ'!$C$2:$O$1000,10,0)</f>
        <v>ĐÃ NỘP</v>
      </c>
    </row>
    <row r="68" spans="1:19" ht="12.75" x14ac:dyDescent="0.2">
      <c r="A68" s="75">
        <v>45651.73000333333</v>
      </c>
      <c r="B68" s="76">
        <v>27217122799</v>
      </c>
      <c r="C68" s="76" t="s">
        <v>123</v>
      </c>
      <c r="D68" s="76" t="s">
        <v>124</v>
      </c>
      <c r="E68" s="76" t="s">
        <v>20</v>
      </c>
      <c r="F68" s="76" t="s">
        <v>21</v>
      </c>
      <c r="G68" s="76" t="s">
        <v>38</v>
      </c>
      <c r="H68" s="76"/>
      <c r="I68" s="77"/>
      <c r="J68" s="77" t="s">
        <v>31</v>
      </c>
      <c r="K68" s="76"/>
      <c r="L68" s="78" t="s">
        <v>877</v>
      </c>
      <c r="M68" s="76" t="s">
        <v>493</v>
      </c>
      <c r="N68" s="76" t="str">
        <f ca="1">VLOOKUP(B68,'đơn vị tt'!$C$1:$AG$555,25,0)</f>
        <v>Risemount Premier Resort Danang</v>
      </c>
      <c r="O68" s="76" t="str">
        <f ca="1">VLOOKUP(B68,'đơn vị tt'!$C$1:$AG$555,26,0)</f>
        <v>Buồng phòng</v>
      </c>
      <c r="P68" s="76" t="str">
        <f ca="1">VLOOKUP(B68,'đơn vị tt'!$C$1:$AG$555,23,0)</f>
        <v>DUYỆT</v>
      </c>
      <c r="Q68" s="76" t="str">
        <f>VLOOKUP(B68,'XÉT ĐIỀU KIỆN THAM DỰ THỰC TẬP'!$A$10:$AB$633,22,0)</f>
        <v>CHUYÊN ĐỀ</v>
      </c>
      <c r="R68" s="79"/>
      <c r="S68" s="79"/>
    </row>
    <row r="69" spans="1:19" ht="12.75" x14ac:dyDescent="0.2">
      <c r="A69" s="75">
        <v>45651.697852754631</v>
      </c>
      <c r="B69" s="76">
        <v>27207143916</v>
      </c>
      <c r="C69" s="76" t="s">
        <v>125</v>
      </c>
      <c r="D69" s="76" t="s">
        <v>26</v>
      </c>
      <c r="E69" s="76" t="s">
        <v>20</v>
      </c>
      <c r="F69" s="76" t="s">
        <v>21</v>
      </c>
      <c r="G69" s="76" t="s">
        <v>38</v>
      </c>
      <c r="H69" s="76"/>
      <c r="I69" s="77"/>
      <c r="J69" s="77" t="s">
        <v>31</v>
      </c>
      <c r="K69" s="76"/>
      <c r="L69" s="78" t="s">
        <v>125</v>
      </c>
      <c r="M69" s="76" t="s">
        <v>493</v>
      </c>
      <c r="N69" s="76" t="str">
        <f ca="1">VLOOKUP(B69,'đơn vị tt'!$C$1:$AG$555,25,0)</f>
        <v>Canvas Hotel</v>
      </c>
      <c r="O69" s="76" t="str">
        <f ca="1">VLOOKUP(B69,'đơn vị tt'!$C$1:$AG$555,26,0)</f>
        <v>Buồng phòng</v>
      </c>
      <c r="P69" s="76" t="str">
        <f ca="1">VLOOKUP(B69,'đơn vị tt'!$C$1:$AG$555,23,0)</f>
        <v>DUYỆT</v>
      </c>
      <c r="Q69" s="76" t="str">
        <f>VLOOKUP(B69,'XÉT ĐIỀU KIỆN THAM DỰ THỰC TẬP'!$A$10:$AB$633,22,0)</f>
        <v>CHUYÊN ĐỀ</v>
      </c>
      <c r="R69" s="79"/>
      <c r="S69" s="79"/>
    </row>
    <row r="70" spans="1:19" ht="12.75" x14ac:dyDescent="0.2">
      <c r="A70" s="75">
        <v>45651.682994027782</v>
      </c>
      <c r="B70" s="76">
        <v>27207120147</v>
      </c>
      <c r="C70" s="76" t="s">
        <v>126</v>
      </c>
      <c r="D70" s="76" t="s">
        <v>26</v>
      </c>
      <c r="E70" s="76" t="s">
        <v>20</v>
      </c>
      <c r="F70" s="76" t="s">
        <v>21</v>
      </c>
      <c r="G70" s="76" t="s">
        <v>38</v>
      </c>
      <c r="H70" s="76"/>
      <c r="I70" s="77"/>
      <c r="J70" s="77" t="s">
        <v>31</v>
      </c>
      <c r="K70" s="76"/>
      <c r="L70" s="78" t="s">
        <v>126</v>
      </c>
      <c r="M70" s="76" t="s">
        <v>493</v>
      </c>
      <c r="N70" s="76" t="str">
        <f ca="1">VLOOKUP(B70,'đơn vị tt'!$C$1:$AG$555,25,0)</f>
        <v>Wyndham DaNang Golden Bay</v>
      </c>
      <c r="O70" s="76" t="str">
        <f ca="1">VLOOKUP(B70,'đơn vị tt'!$C$1:$AG$555,26,0)</f>
        <v>Buồng phòng</v>
      </c>
      <c r="P70" s="76" t="str">
        <f ca="1">VLOOKUP(B70,'đơn vị tt'!$C$1:$AG$555,23,0)</f>
        <v>DUYỆT</v>
      </c>
      <c r="Q70" s="76" t="str">
        <f>VLOOKUP(B70,'XÉT ĐIỀU KIỆN THAM DỰ THỰC TẬP'!$A$10:$AB$633,22,0)</f>
        <v>CHUYÊN ĐỀ</v>
      </c>
      <c r="R70" s="79"/>
      <c r="S70" s="79"/>
    </row>
    <row r="71" spans="1:19" ht="12.75" x14ac:dyDescent="0.2">
      <c r="A71" s="75">
        <v>45650.455360659718</v>
      </c>
      <c r="B71" s="76">
        <v>27207101459</v>
      </c>
      <c r="C71" s="76" t="s">
        <v>127</v>
      </c>
      <c r="D71" s="76" t="s">
        <v>128</v>
      </c>
      <c r="E71" s="76" t="s">
        <v>20</v>
      </c>
      <c r="F71" s="76" t="s">
        <v>21</v>
      </c>
      <c r="G71" s="76" t="s">
        <v>27</v>
      </c>
      <c r="H71" s="76"/>
      <c r="I71" s="77"/>
      <c r="J71" s="77" t="s">
        <v>31</v>
      </c>
      <c r="K71" s="76"/>
      <c r="L71" s="78" t="s">
        <v>127</v>
      </c>
      <c r="M71" s="76" t="s">
        <v>493</v>
      </c>
      <c r="N71" s="76" t="str">
        <f ca="1">VLOOKUP(B71,'đơn vị tt'!$C$1:$AG$555,25,0)</f>
        <v>Meliá Vinpearl Danang Riverfront</v>
      </c>
      <c r="O71" s="76" t="str">
        <f ca="1">VLOOKUP(B71,'đơn vị tt'!$C$1:$AG$555,26,0)</f>
        <v>Buồng phòng</v>
      </c>
      <c r="P71" s="76" t="str">
        <f ca="1">VLOOKUP(B71,'đơn vị tt'!$C$1:$AG$555,23,0)</f>
        <v>DUYỆT</v>
      </c>
      <c r="Q71" s="76" t="str">
        <f>VLOOKUP(B71,'XÉT ĐIỀU KIỆN THAM DỰ THỰC TẬP'!$A$10:$AB$633,22,0)</f>
        <v>CHUYÊN ĐỀ</v>
      </c>
      <c r="R71" s="79"/>
      <c r="S71" s="79"/>
    </row>
    <row r="72" spans="1:19" ht="12.75" x14ac:dyDescent="0.2">
      <c r="A72" s="75">
        <v>45650.458400578704</v>
      </c>
      <c r="B72" s="76">
        <v>27217143497</v>
      </c>
      <c r="C72" s="76" t="s">
        <v>129</v>
      </c>
      <c r="D72" s="76" t="s">
        <v>116</v>
      </c>
      <c r="E72" s="76" t="s">
        <v>20</v>
      </c>
      <c r="F72" s="76" t="s">
        <v>21</v>
      </c>
      <c r="G72" s="76" t="s">
        <v>38</v>
      </c>
      <c r="H72" s="76"/>
      <c r="I72" s="77"/>
      <c r="J72" s="77" t="s">
        <v>31</v>
      </c>
      <c r="K72" s="76"/>
      <c r="L72" s="78" t="s">
        <v>129</v>
      </c>
      <c r="M72" s="76" t="s">
        <v>493</v>
      </c>
      <c r="N72" s="76" t="str">
        <f ca="1">VLOOKUP(B72,'đơn vị tt'!$C$1:$AG$555,25,0)</f>
        <v>Sala Danang Beach Hotel</v>
      </c>
      <c r="O72" s="76" t="str">
        <f ca="1">VLOOKUP(B72,'đơn vị tt'!$C$1:$AG$555,26,0)</f>
        <v>Nhà hàng</v>
      </c>
      <c r="P72" s="76" t="str">
        <f ca="1">VLOOKUP(B72,'đơn vị tt'!$C$1:$AG$555,23,0)</f>
        <v>DUYỆT</v>
      </c>
      <c r="Q72" s="76" t="str">
        <f>VLOOKUP(B72,'XÉT ĐIỀU KIỆN THAM DỰ THỰC TẬP'!$A$10:$AB$633,22,0)</f>
        <v>XÉT LÀM KHÓA LUẬN</v>
      </c>
      <c r="R72" s="79" t="e">
        <f ca="1">VLOOKUP(B72,'chuyển KL-&gt;CĐ'!$C$2:$O$1000,2,0)</f>
        <v>#N/A</v>
      </c>
      <c r="S72" s="79" t="e">
        <f ca="1">VLOOKUP(B72,'chuyển KL-&gt;CĐ'!$C$2:$O$1000,10,0)</f>
        <v>#N/A</v>
      </c>
    </row>
    <row r="73" spans="1:19" ht="12.75" x14ac:dyDescent="0.2">
      <c r="A73" s="75">
        <v>45650.459873182874</v>
      </c>
      <c r="B73" s="76">
        <v>27203841651</v>
      </c>
      <c r="C73" s="76" t="s">
        <v>130</v>
      </c>
      <c r="D73" s="76" t="s">
        <v>108</v>
      </c>
      <c r="E73" s="76" t="s">
        <v>20</v>
      </c>
      <c r="F73" s="76" t="s">
        <v>21</v>
      </c>
      <c r="G73" s="76" t="s">
        <v>38</v>
      </c>
      <c r="H73" s="76"/>
      <c r="I73" s="77"/>
      <c r="J73" s="77" t="s">
        <v>31</v>
      </c>
      <c r="K73" s="76"/>
      <c r="L73" s="78" t="s">
        <v>878</v>
      </c>
      <c r="M73" s="76" t="s">
        <v>493</v>
      </c>
      <c r="N73" s="76" t="str">
        <f ca="1">VLOOKUP(B73,'đơn vị tt'!$C$1:$AG$555,25,0)</f>
        <v>Maximilan Danang Beach Hotel</v>
      </c>
      <c r="O73" s="76" t="str">
        <f ca="1">VLOOKUP(B73,'đơn vị tt'!$C$1:$AG$555,26,0)</f>
        <v>Tiền sảnh</v>
      </c>
      <c r="P73" s="76" t="str">
        <f ca="1">VLOOKUP(B73,'đơn vị tt'!$C$1:$AG$555,23,0)</f>
        <v>DUYỆT</v>
      </c>
      <c r="Q73" s="76" t="str">
        <f>VLOOKUP(B73,'XÉT ĐIỀU KIỆN THAM DỰ THỰC TẬP'!$A$10:$AB$633,22,0)</f>
        <v>không đủ điều kiện</v>
      </c>
      <c r="R73" s="79"/>
      <c r="S73" s="79"/>
    </row>
    <row r="74" spans="1:19" ht="12.75" x14ac:dyDescent="0.2">
      <c r="A74" s="75">
        <v>45650.459998888888</v>
      </c>
      <c r="B74" s="76">
        <v>27207141051</v>
      </c>
      <c r="C74" s="76" t="s">
        <v>131</v>
      </c>
      <c r="D74" s="76" t="s">
        <v>108</v>
      </c>
      <c r="E74" s="76" t="s">
        <v>20</v>
      </c>
      <c r="F74" s="76" t="s">
        <v>21</v>
      </c>
      <c r="G74" s="76" t="s">
        <v>27</v>
      </c>
      <c r="H74" s="76"/>
      <c r="I74" s="77"/>
      <c r="J74" s="77" t="s">
        <v>31</v>
      </c>
      <c r="K74" s="76"/>
      <c r="L74" s="78" t="s">
        <v>131</v>
      </c>
      <c r="M74" s="76" t="s">
        <v>493</v>
      </c>
      <c r="N74" s="76" t="str">
        <f ca="1">VLOOKUP(B74,'đơn vị tt'!$C$1:$AG$555,25,0)</f>
        <v>Novotel DaNang Premier Han River</v>
      </c>
      <c r="O74" s="76" t="str">
        <f ca="1">VLOOKUP(B74,'đơn vị tt'!$C$1:$AG$555,26,0)</f>
        <v>Nhà hàng</v>
      </c>
      <c r="P74" s="76" t="str">
        <f ca="1">VLOOKUP(B74,'đơn vị tt'!$C$1:$AG$555,23,0)</f>
        <v>DUYỆT</v>
      </c>
      <c r="Q74" s="76" t="str">
        <f>VLOOKUP(B74,'XÉT ĐIỀU KIỆN THAM DỰ THỰC TẬP'!$A$10:$AB$633,22,0)</f>
        <v>CHUYÊN ĐỀ</v>
      </c>
      <c r="R74" s="79"/>
      <c r="S74" s="79"/>
    </row>
    <row r="75" spans="1:19" ht="12.75" x14ac:dyDescent="0.2">
      <c r="A75" s="75">
        <v>45650.460694525464</v>
      </c>
      <c r="B75" s="76">
        <v>27207100694</v>
      </c>
      <c r="C75" s="76" t="s">
        <v>132</v>
      </c>
      <c r="D75" s="76" t="s">
        <v>26</v>
      </c>
      <c r="E75" s="76" t="s">
        <v>20</v>
      </c>
      <c r="F75" s="76" t="s">
        <v>21</v>
      </c>
      <c r="G75" s="76" t="s">
        <v>38</v>
      </c>
      <c r="H75" s="76"/>
      <c r="I75" s="77"/>
      <c r="J75" s="77" t="s">
        <v>31</v>
      </c>
      <c r="K75" s="76"/>
      <c r="L75" s="78" t="s">
        <v>879</v>
      </c>
      <c r="M75" s="76" t="s">
        <v>493</v>
      </c>
      <c r="N75" s="76" t="str">
        <f ca="1">VLOOKUP(B75,'đơn vị tt'!$C$1:$AG$555,25,0)</f>
        <v>Novotel DaNang Premier Han River</v>
      </c>
      <c r="O75" s="76" t="str">
        <f ca="1">VLOOKUP(B75,'đơn vị tt'!$C$1:$AG$555,26,0)</f>
        <v>Nhà hàng</v>
      </c>
      <c r="P75" s="76" t="str">
        <f ca="1">VLOOKUP(B75,'đơn vị tt'!$C$1:$AG$555,23,0)</f>
        <v>DUYỆT</v>
      </c>
      <c r="Q75" s="76" t="str">
        <f>VLOOKUP(B75,'XÉT ĐIỀU KIỆN THAM DỰ THỰC TẬP'!$A$10:$AB$633,22,0)</f>
        <v>CHUYÊN ĐỀ</v>
      </c>
      <c r="R75" s="79"/>
      <c r="S75" s="79"/>
    </row>
    <row r="76" spans="1:19" ht="12.75" x14ac:dyDescent="0.2">
      <c r="A76" s="75">
        <v>45651.92953494213</v>
      </c>
      <c r="B76" s="76">
        <v>27217139845</v>
      </c>
      <c r="C76" s="76" t="s">
        <v>133</v>
      </c>
      <c r="D76" s="76" t="s">
        <v>120</v>
      </c>
      <c r="E76" s="76" t="s">
        <v>20</v>
      </c>
      <c r="F76" s="76" t="s">
        <v>21</v>
      </c>
      <c r="G76" s="76" t="s">
        <v>22</v>
      </c>
      <c r="H76" s="76"/>
      <c r="I76" s="77"/>
      <c r="J76" s="77" t="s">
        <v>31</v>
      </c>
      <c r="K76" s="76"/>
      <c r="L76" s="78" t="s">
        <v>133</v>
      </c>
      <c r="M76" s="76" t="s">
        <v>493</v>
      </c>
      <c r="N76" s="76" t="str">
        <f ca="1">VLOOKUP(B76,'đơn vị tt'!$C$1:$AG$555,25,0)</f>
        <v>Grand Mercure Đà Nẵng</v>
      </c>
      <c r="O76" s="76" t="str">
        <f ca="1">VLOOKUP(B76,'đơn vị tt'!$C$1:$AG$555,26,0)</f>
        <v>Nhà hàng</v>
      </c>
      <c r="P76" s="76" t="str">
        <f ca="1">VLOOKUP(B76,'đơn vị tt'!$C$1:$AG$555,23,0)</f>
        <v>DUYỆT</v>
      </c>
      <c r="Q76" s="76" t="str">
        <f>VLOOKUP(B76,'XÉT ĐIỀU KIỆN THAM DỰ THỰC TẬP'!$A$10:$AB$633,22,0)</f>
        <v>CHUYÊN ĐỀ</v>
      </c>
      <c r="R76" s="79"/>
      <c r="S76" s="79"/>
    </row>
    <row r="77" spans="1:19" ht="12.75" x14ac:dyDescent="0.2">
      <c r="A77" s="75">
        <v>45650.465321620373</v>
      </c>
      <c r="B77" s="76">
        <v>27207128427</v>
      </c>
      <c r="C77" s="76" t="s">
        <v>134</v>
      </c>
      <c r="D77" s="76" t="s">
        <v>55</v>
      </c>
      <c r="E77" s="76" t="s">
        <v>42</v>
      </c>
      <c r="F77" s="76" t="s">
        <v>21</v>
      </c>
      <c r="G77" s="76" t="s">
        <v>38</v>
      </c>
      <c r="H77" s="76"/>
      <c r="I77" s="77"/>
      <c r="J77" s="77" t="s">
        <v>31</v>
      </c>
      <c r="K77" s="76"/>
      <c r="L77" s="78" t="s">
        <v>134</v>
      </c>
      <c r="M77" s="76" t="s">
        <v>440</v>
      </c>
      <c r="N77" s="76" t="str">
        <f ca="1">VLOOKUP(B77,'đơn vị tt'!$C$1:$AG$555,25,0)</f>
        <v>Premier Village Danang Resort</v>
      </c>
      <c r="O77" s="76" t="str">
        <f ca="1">VLOOKUP(B77,'đơn vị tt'!$C$1:$AG$555,26,0)</f>
        <v>Nhà hàng</v>
      </c>
      <c r="P77" s="76" t="str">
        <f ca="1">VLOOKUP(B77,'đơn vị tt'!$C$1:$AG$555,23,0)</f>
        <v>DUYỆT</v>
      </c>
      <c r="Q77" s="76" t="str">
        <f>VLOOKUP(B77,'XÉT ĐIỀU KIỆN THAM DỰ THỰC TẬP'!$A$10:$AB$633,22,0)</f>
        <v>CHUYÊN ĐỀ</v>
      </c>
      <c r="R77" s="79"/>
      <c r="S77" s="79"/>
    </row>
    <row r="78" spans="1:19" ht="12.75" x14ac:dyDescent="0.2">
      <c r="A78" s="75">
        <v>45650.469102951392</v>
      </c>
      <c r="B78" s="76">
        <v>25207101778</v>
      </c>
      <c r="C78" s="76" t="s">
        <v>135</v>
      </c>
      <c r="D78" s="76" t="s">
        <v>136</v>
      </c>
      <c r="E78" s="76" t="s">
        <v>20</v>
      </c>
      <c r="F78" s="76" t="s">
        <v>34</v>
      </c>
      <c r="G78" s="76" t="s">
        <v>27</v>
      </c>
      <c r="H78" s="76" t="s">
        <v>23</v>
      </c>
      <c r="I78" s="77">
        <v>7</v>
      </c>
      <c r="J78" s="80">
        <v>45931</v>
      </c>
      <c r="K78" s="76"/>
      <c r="L78" s="78" t="s">
        <v>135</v>
      </c>
      <c r="M78" s="76" t="s">
        <v>493</v>
      </c>
      <c r="N78" s="76" t="str">
        <f ca="1">VLOOKUP(B78,'đơn vị tt'!$C$1:$AG$555,25,0)</f>
        <v>Grand Mercure Đà Nẵng</v>
      </c>
      <c r="O78" s="76" t="str">
        <f ca="1">VLOOKUP(B78,'đơn vị tt'!$C$1:$AG$555,26,0)</f>
        <v>Lễ tân</v>
      </c>
      <c r="P78" s="76" t="str">
        <f ca="1">VLOOKUP(B78,'đơn vị tt'!$C$1:$AG$555,23,0)</f>
        <v>DUYỆT</v>
      </c>
      <c r="Q78" s="76" t="str">
        <f>VLOOKUP(B78,'XÉT ĐIỀU KIỆN THAM DỰ THỰC TẬP'!$A$10:$AB$633,22,0)</f>
        <v>CHUYÊN ĐỀ</v>
      </c>
      <c r="R78" s="79"/>
      <c r="S78" s="79"/>
    </row>
    <row r="79" spans="1:19" ht="12.75" x14ac:dyDescent="0.2">
      <c r="A79" s="75">
        <v>45653.375374780095</v>
      </c>
      <c r="B79" s="76">
        <v>27217134003</v>
      </c>
      <c r="C79" s="76" t="s">
        <v>137</v>
      </c>
      <c r="D79" s="76" t="s">
        <v>116</v>
      </c>
      <c r="E79" s="76" t="s">
        <v>20</v>
      </c>
      <c r="F79" s="76" t="s">
        <v>21</v>
      </c>
      <c r="G79" s="76" t="s">
        <v>38</v>
      </c>
      <c r="H79" s="76"/>
      <c r="I79" s="77"/>
      <c r="J79" s="77" t="s">
        <v>31</v>
      </c>
      <c r="K79" s="76"/>
      <c r="L79" s="78" t="s">
        <v>137</v>
      </c>
      <c r="M79" s="76" t="s">
        <v>493</v>
      </c>
      <c r="N79" s="76" t="str">
        <f ca="1">VLOOKUP(B79,'đơn vị tt'!$C$1:$AG$555,25,0)</f>
        <v>Novotel DaNang Premier Han River</v>
      </c>
      <c r="O79" s="76" t="str">
        <f ca="1">VLOOKUP(B79,'đơn vị tt'!$C$1:$AG$555,26,0)</f>
        <v>Buồng phòng</v>
      </c>
      <c r="P79" s="76" t="str">
        <f ca="1">VLOOKUP(B79,'đơn vị tt'!$C$1:$AG$555,23,0)</f>
        <v>DUYỆT</v>
      </c>
      <c r="Q79" s="76" t="str">
        <f>VLOOKUP(B79,'XÉT ĐIỀU KIỆN THAM DỰ THỰC TẬP'!$A$10:$AB$633,22,0)</f>
        <v>CHUYÊN ĐỀ</v>
      </c>
      <c r="R79" s="79"/>
      <c r="S79" s="79"/>
    </row>
    <row r="80" spans="1:19" ht="12.75" x14ac:dyDescent="0.2">
      <c r="A80" s="75">
        <v>45650.469836041666</v>
      </c>
      <c r="B80" s="76">
        <v>25202108563</v>
      </c>
      <c r="C80" s="76" t="s">
        <v>138</v>
      </c>
      <c r="D80" s="76" t="s">
        <v>139</v>
      </c>
      <c r="E80" s="76" t="s">
        <v>42</v>
      </c>
      <c r="F80" s="76" t="s">
        <v>21</v>
      </c>
      <c r="G80" s="76" t="s">
        <v>22</v>
      </c>
      <c r="H80" s="76" t="s">
        <v>23</v>
      </c>
      <c r="I80" s="77"/>
      <c r="J80" s="77" t="s">
        <v>31</v>
      </c>
      <c r="K80" s="76"/>
      <c r="L80" s="78" t="s">
        <v>138</v>
      </c>
      <c r="M80" s="76" t="s">
        <v>440</v>
      </c>
      <c r="N80" s="76" t="str">
        <f ca="1">VLOOKUP(B80,'đơn vị tt'!$C$1:$AG$555,25,0)</f>
        <v>Premier Village Danang Resort</v>
      </c>
      <c r="O80" s="76" t="str">
        <f ca="1">VLOOKUP(B80,'đơn vị tt'!$C$1:$AG$555,26,0)</f>
        <v>Nhà hàng</v>
      </c>
      <c r="P80" s="76" t="str">
        <f ca="1">VLOOKUP(B80,'đơn vị tt'!$C$1:$AG$555,23,0)</f>
        <v>DUYỆT</v>
      </c>
      <c r="Q80" s="76" t="str">
        <f>VLOOKUP(B80,'XÉT ĐIỀU KIỆN THAM DỰ THỰC TẬP'!$A$10:$AB$633,22,0)</f>
        <v>CHUYÊN ĐỀ</v>
      </c>
      <c r="R80" s="79"/>
      <c r="S80" s="79"/>
    </row>
    <row r="81" spans="1:19" ht="12.75" x14ac:dyDescent="0.2">
      <c r="A81" s="75">
        <v>45650.927222025464</v>
      </c>
      <c r="B81" s="76">
        <v>27207101221</v>
      </c>
      <c r="C81" s="76" t="s">
        <v>140</v>
      </c>
      <c r="D81" s="76" t="s">
        <v>141</v>
      </c>
      <c r="E81" s="76" t="s">
        <v>20</v>
      </c>
      <c r="F81" s="76" t="s">
        <v>21</v>
      </c>
      <c r="G81" s="76" t="s">
        <v>27</v>
      </c>
      <c r="H81" s="76"/>
      <c r="I81" s="77"/>
      <c r="J81" s="77" t="s">
        <v>31</v>
      </c>
      <c r="K81" s="76"/>
      <c r="L81" s="78" t="s">
        <v>140</v>
      </c>
      <c r="M81" s="76" t="s">
        <v>493</v>
      </c>
      <c r="N81" s="76" t="str">
        <f ca="1">VLOOKUP(B81,'đơn vị tt'!$C$1:$AG$555,25,0)</f>
        <v>Meliá Vinpearl Danang Riverfront</v>
      </c>
      <c r="O81" s="76" t="str">
        <f ca="1">VLOOKUP(B81,'đơn vị tt'!$C$1:$AG$555,26,0)</f>
        <v>Buồng phòng</v>
      </c>
      <c r="P81" s="76" t="str">
        <f ca="1">VLOOKUP(B81,'đơn vị tt'!$C$1:$AG$555,23,0)</f>
        <v>DUYỆT</v>
      </c>
      <c r="Q81" s="76" t="str">
        <f>VLOOKUP(B81,'XÉT ĐIỀU KIỆN THAM DỰ THỰC TẬP'!$A$10:$AB$633,22,0)</f>
        <v>CHUYÊN ĐỀ</v>
      </c>
      <c r="R81" s="79"/>
      <c r="S81" s="79"/>
    </row>
    <row r="82" spans="1:19" ht="12.75" x14ac:dyDescent="0.2">
      <c r="A82" s="75">
        <v>45650.476646631942</v>
      </c>
      <c r="B82" s="76">
        <v>27217101217</v>
      </c>
      <c r="C82" s="76" t="s">
        <v>142</v>
      </c>
      <c r="D82" s="76" t="s">
        <v>108</v>
      </c>
      <c r="E82" s="76" t="s">
        <v>20</v>
      </c>
      <c r="F82" s="76" t="s">
        <v>21</v>
      </c>
      <c r="G82" s="76" t="s">
        <v>22</v>
      </c>
      <c r="H82" s="76"/>
      <c r="I82" s="77"/>
      <c r="J82" s="77" t="s">
        <v>31</v>
      </c>
      <c r="K82" s="76"/>
      <c r="L82" s="78" t="s">
        <v>142</v>
      </c>
      <c r="M82" s="76" t="s">
        <v>493</v>
      </c>
      <c r="N82" s="76" t="e">
        <f ca="1">VLOOKUP(B82,'đơn vị tt'!$C$1:$AG$555,25,0)</f>
        <v>#N/A</v>
      </c>
      <c r="O82" s="76" t="e">
        <f ca="1">VLOOKUP(B82,'đơn vị tt'!$C$1:$AG$555,26,0)</f>
        <v>#N/A</v>
      </c>
      <c r="P82" s="76" t="e">
        <f ca="1">VLOOKUP(B82,'đơn vị tt'!$C$1:$AG$555,23,0)</f>
        <v>#N/A</v>
      </c>
      <c r="Q82" s="76" t="str">
        <f>VLOOKUP(B82,'XÉT ĐIỀU KIỆN THAM DỰ THỰC TẬP'!$A$10:$AB$633,22,0)</f>
        <v>không đủ điều kiện</v>
      </c>
      <c r="R82" s="79"/>
      <c r="S82" s="79"/>
    </row>
    <row r="83" spans="1:19" ht="12.75" x14ac:dyDescent="0.2">
      <c r="A83" s="75">
        <v>45650.478469756941</v>
      </c>
      <c r="B83" s="76">
        <v>27207140573</v>
      </c>
      <c r="C83" s="76" t="s">
        <v>143</v>
      </c>
      <c r="D83" s="76" t="s">
        <v>108</v>
      </c>
      <c r="E83" s="76" t="s">
        <v>20</v>
      </c>
      <c r="F83" s="76" t="s">
        <v>21</v>
      </c>
      <c r="G83" s="76" t="s">
        <v>38</v>
      </c>
      <c r="H83" s="76"/>
      <c r="I83" s="77"/>
      <c r="J83" s="77" t="s">
        <v>31</v>
      </c>
      <c r="K83" s="76"/>
      <c r="L83" s="78" t="s">
        <v>880</v>
      </c>
      <c r="M83" s="76" t="s">
        <v>493</v>
      </c>
      <c r="N83" s="76" t="str">
        <f ca="1">VLOOKUP(B83,'đơn vị tt'!$C$1:$AG$555,25,0)</f>
        <v>Vanda Hotel</v>
      </c>
      <c r="O83" s="76" t="str">
        <f ca="1">VLOOKUP(B83,'đơn vị tt'!$C$1:$AG$555,26,0)</f>
        <v>Tiền sảnh</v>
      </c>
      <c r="P83" s="76" t="str">
        <f ca="1">VLOOKUP(B83,'đơn vị tt'!$C$1:$AG$555,23,0)</f>
        <v>DUYỆT</v>
      </c>
      <c r="Q83" s="76" t="str">
        <f>VLOOKUP(B83,'XÉT ĐIỀU KIỆN THAM DỰ THỰC TẬP'!$A$10:$AB$633,22,0)</f>
        <v>CHUYÊN ĐỀ</v>
      </c>
      <c r="R83" s="79"/>
      <c r="S83" s="79"/>
    </row>
    <row r="84" spans="1:19" ht="12.75" x14ac:dyDescent="0.2">
      <c r="A84" s="75">
        <v>45650.478473842595</v>
      </c>
      <c r="B84" s="76">
        <v>27203444311</v>
      </c>
      <c r="C84" s="76" t="s">
        <v>144</v>
      </c>
      <c r="D84" s="76" t="s">
        <v>108</v>
      </c>
      <c r="E84" s="76" t="s">
        <v>20</v>
      </c>
      <c r="F84" s="76" t="s">
        <v>21</v>
      </c>
      <c r="G84" s="76" t="s">
        <v>38</v>
      </c>
      <c r="H84" s="76"/>
      <c r="I84" s="77"/>
      <c r="J84" s="77" t="s">
        <v>31</v>
      </c>
      <c r="K84" s="76"/>
      <c r="L84" s="78" t="s">
        <v>144</v>
      </c>
      <c r="M84" s="76" t="s">
        <v>493</v>
      </c>
      <c r="N84" s="76" t="e">
        <f ca="1">VLOOKUP(B84,'đơn vị tt'!$C$1:$AG$555,25,0)</f>
        <v>#N/A</v>
      </c>
      <c r="O84" s="76" t="e">
        <f ca="1">VLOOKUP(B84,'đơn vị tt'!$C$1:$AG$555,26,0)</f>
        <v>#N/A</v>
      </c>
      <c r="P84" s="76" t="e">
        <f ca="1">VLOOKUP(B84,'đơn vị tt'!$C$1:$AG$555,23,0)</f>
        <v>#N/A</v>
      </c>
      <c r="Q84" s="76" t="str">
        <f>VLOOKUP(B84,'XÉT ĐIỀU KIỆN THAM DỰ THỰC TẬP'!$A$10:$AB$633,22,0)</f>
        <v>CHUYÊN ĐỀ</v>
      </c>
      <c r="R84" s="79"/>
      <c r="S84" s="79"/>
    </row>
    <row r="85" spans="1:19" ht="12.75" x14ac:dyDescent="0.2">
      <c r="A85" s="75">
        <v>45651.735620925931</v>
      </c>
      <c r="B85" s="76">
        <v>27207142512</v>
      </c>
      <c r="C85" s="76" t="s">
        <v>145</v>
      </c>
      <c r="D85" s="76" t="s">
        <v>146</v>
      </c>
      <c r="E85" s="76" t="s">
        <v>20</v>
      </c>
      <c r="F85" s="76" t="s">
        <v>21</v>
      </c>
      <c r="G85" s="76" t="s">
        <v>38</v>
      </c>
      <c r="H85" s="76"/>
      <c r="I85" s="77"/>
      <c r="J85" s="77" t="s">
        <v>31</v>
      </c>
      <c r="K85" s="76"/>
      <c r="L85" s="78" t="s">
        <v>145</v>
      </c>
      <c r="M85" s="76" t="s">
        <v>493</v>
      </c>
      <c r="N85" s="76" t="str">
        <f ca="1">VLOOKUP(B85,'đơn vị tt'!$C$1:$AG$555,25,0)</f>
        <v>Minh Toàn Galaxy Hotel Đà Nẵng</v>
      </c>
      <c r="O85" s="76" t="str">
        <f ca="1">VLOOKUP(B85,'đơn vị tt'!$C$1:$AG$555,26,0)</f>
        <v>Buồng phòng</v>
      </c>
      <c r="P85" s="76" t="str">
        <f ca="1">VLOOKUP(B85,'đơn vị tt'!$C$1:$AG$555,23,0)</f>
        <v>DUYỆT</v>
      </c>
      <c r="Q85" s="76" t="str">
        <f>VLOOKUP(B85,'XÉT ĐIỀU KIỆN THAM DỰ THỰC TẬP'!$A$10:$AB$633,22,0)</f>
        <v>CHUYÊN ĐỀ</v>
      </c>
      <c r="R85" s="79"/>
      <c r="S85" s="79"/>
    </row>
    <row r="86" spans="1:19" ht="12.75" x14ac:dyDescent="0.2">
      <c r="A86" s="75">
        <v>45650.485032916666</v>
      </c>
      <c r="B86" s="76">
        <v>27207142513</v>
      </c>
      <c r="C86" s="76" t="s">
        <v>147</v>
      </c>
      <c r="D86" s="76" t="s">
        <v>63</v>
      </c>
      <c r="E86" s="76" t="s">
        <v>20</v>
      </c>
      <c r="F86" s="76" t="s">
        <v>21</v>
      </c>
      <c r="G86" s="76" t="s">
        <v>38</v>
      </c>
      <c r="H86" s="76"/>
      <c r="I86" s="77"/>
      <c r="J86" s="77" t="s">
        <v>31</v>
      </c>
      <c r="K86" s="76"/>
      <c r="L86" s="78" t="s">
        <v>147</v>
      </c>
      <c r="M86" s="76" t="s">
        <v>493</v>
      </c>
      <c r="N86" s="76" t="str">
        <f ca="1">VLOOKUP(B86,'đơn vị tt'!$C$1:$AG$555,25,0)</f>
        <v>Satya Danang Hotel</v>
      </c>
      <c r="O86" s="76" t="str">
        <f ca="1">VLOOKUP(B86,'đơn vị tt'!$C$1:$AG$555,26,0)</f>
        <v>Nhà hàng</v>
      </c>
      <c r="P86" s="76" t="str">
        <f ca="1">VLOOKUP(B86,'đơn vị tt'!$C$1:$AG$555,23,0)</f>
        <v>DUYỆT</v>
      </c>
      <c r="Q86" s="76" t="str">
        <f>VLOOKUP(B86,'XÉT ĐIỀU KIỆN THAM DỰ THỰC TẬP'!$A$10:$AB$633,22,0)</f>
        <v>CHUYÊN ĐỀ</v>
      </c>
      <c r="R86" s="79"/>
      <c r="S86" s="79"/>
    </row>
    <row r="87" spans="1:19" ht="12.75" x14ac:dyDescent="0.2">
      <c r="A87" s="75">
        <v>45652.6594649537</v>
      </c>
      <c r="B87" s="76">
        <v>27217152552</v>
      </c>
      <c r="C87" s="76" t="s">
        <v>148</v>
      </c>
      <c r="D87" s="76" t="s">
        <v>48</v>
      </c>
      <c r="E87" s="76" t="s">
        <v>20</v>
      </c>
      <c r="F87" s="76" t="s">
        <v>21</v>
      </c>
      <c r="G87" s="76" t="s">
        <v>27</v>
      </c>
      <c r="H87" s="76"/>
      <c r="I87" s="77"/>
      <c r="J87" s="77" t="s">
        <v>31</v>
      </c>
      <c r="K87" s="76"/>
      <c r="L87" s="78" t="s">
        <v>148</v>
      </c>
      <c r="M87" s="76" t="s">
        <v>493</v>
      </c>
      <c r="N87" s="76" t="str">
        <f ca="1">VLOOKUP(B87,'đơn vị tt'!$C$1:$AG$555,25,0)</f>
        <v>Hyatt regency DaNang Resort</v>
      </c>
      <c r="O87" s="76" t="str">
        <f ca="1">VLOOKUP(B87,'đơn vị tt'!$C$1:$AG$555,26,0)</f>
        <v>Nhà hàng</v>
      </c>
      <c r="P87" s="76" t="str">
        <f ca="1">VLOOKUP(B87,'đơn vị tt'!$C$1:$AG$555,23,0)</f>
        <v>DUYỆT</v>
      </c>
      <c r="Q87" s="76" t="str">
        <f>VLOOKUP(B87,'XÉT ĐIỀU KIỆN THAM DỰ THỰC TẬP'!$A$10:$AB$633,22,0)</f>
        <v>CHUYÊN ĐỀ</v>
      </c>
      <c r="R87" s="79"/>
      <c r="S87" s="79"/>
    </row>
    <row r="88" spans="1:19" ht="12.75" x14ac:dyDescent="0.2">
      <c r="A88" s="75">
        <v>45651.690707893518</v>
      </c>
      <c r="B88" s="76">
        <v>27217145233</v>
      </c>
      <c r="C88" s="76" t="s">
        <v>149</v>
      </c>
      <c r="D88" s="76" t="s">
        <v>110</v>
      </c>
      <c r="E88" s="76" t="s">
        <v>20</v>
      </c>
      <c r="F88" s="76" t="s">
        <v>21</v>
      </c>
      <c r="G88" s="76" t="s">
        <v>38</v>
      </c>
      <c r="H88" s="76"/>
      <c r="I88" s="77"/>
      <c r="J88" s="77" t="s">
        <v>31</v>
      </c>
      <c r="K88" s="76"/>
      <c r="L88" s="78" t="s">
        <v>149</v>
      </c>
      <c r="M88" s="76" t="s">
        <v>493</v>
      </c>
      <c r="N88" s="76" t="str">
        <f ca="1">VLOOKUP(B88,'đơn vị tt'!$C$1:$AG$555,25,0)</f>
        <v>Wyndham DaNang Golden Bay</v>
      </c>
      <c r="O88" s="76" t="str">
        <f ca="1">VLOOKUP(B88,'đơn vị tt'!$C$1:$AG$555,26,0)</f>
        <v>Nhà hàng</v>
      </c>
      <c r="P88" s="76" t="str">
        <f ca="1">VLOOKUP(B88,'đơn vị tt'!$C$1:$AG$555,23,0)</f>
        <v>DUYỆT</v>
      </c>
      <c r="Q88" s="76" t="str">
        <f>VLOOKUP(B88,'XÉT ĐIỀU KIỆN THAM DỰ THỰC TẬP'!$A$10:$AB$633,22,0)</f>
        <v>không đủ điều kiện</v>
      </c>
      <c r="R88" s="79"/>
      <c r="S88" s="79"/>
    </row>
    <row r="89" spans="1:19" ht="12.75" x14ac:dyDescent="0.2">
      <c r="A89" s="75">
        <v>45650.503586550927</v>
      </c>
      <c r="B89" s="76">
        <v>27207137064</v>
      </c>
      <c r="C89" s="76" t="s">
        <v>150</v>
      </c>
      <c r="D89" s="76" t="s">
        <v>19</v>
      </c>
      <c r="E89" s="76" t="s">
        <v>20</v>
      </c>
      <c r="F89" s="76" t="s">
        <v>21</v>
      </c>
      <c r="G89" s="76" t="s">
        <v>38</v>
      </c>
      <c r="H89" s="76"/>
      <c r="I89" s="77"/>
      <c r="J89" s="77" t="s">
        <v>31</v>
      </c>
      <c r="K89" s="76"/>
      <c r="L89" s="78" t="s">
        <v>150</v>
      </c>
      <c r="M89" s="76" t="s">
        <v>493</v>
      </c>
      <c r="N89" s="76" t="str">
        <f ca="1">VLOOKUP(B89,'đơn vị tt'!$C$1:$AG$555,25,0)</f>
        <v>Khách sạn Shilla Monogram Quangnam Danang</v>
      </c>
      <c r="O89" s="76" t="str">
        <f ca="1">VLOOKUP(B89,'đơn vị tt'!$C$1:$AG$555,26,0)</f>
        <v>Nhà hàng</v>
      </c>
      <c r="P89" s="76" t="str">
        <f ca="1">VLOOKUP(B89,'đơn vị tt'!$C$1:$AG$555,23,0)</f>
        <v>DUYỆT</v>
      </c>
      <c r="Q89" s="76" t="str">
        <f>VLOOKUP(B89,'XÉT ĐIỀU KIỆN THAM DỰ THỰC TẬP'!$A$10:$AB$633,22,0)</f>
        <v>CHUYÊN ĐỀ</v>
      </c>
      <c r="R89" s="79"/>
      <c r="S89" s="79"/>
    </row>
    <row r="90" spans="1:19" ht="12.75" x14ac:dyDescent="0.2">
      <c r="A90" s="75">
        <v>45650.509992893523</v>
      </c>
      <c r="B90" s="76">
        <v>27207122499</v>
      </c>
      <c r="C90" s="76" t="s">
        <v>151</v>
      </c>
      <c r="D90" s="76" t="s">
        <v>19</v>
      </c>
      <c r="E90" s="76" t="s">
        <v>20</v>
      </c>
      <c r="F90" s="76" t="s">
        <v>21</v>
      </c>
      <c r="G90" s="76" t="s">
        <v>113</v>
      </c>
      <c r="H90" s="76"/>
      <c r="I90" s="77"/>
      <c r="J90" s="77" t="s">
        <v>31</v>
      </c>
      <c r="K90" s="76"/>
      <c r="L90" s="78" t="s">
        <v>881</v>
      </c>
      <c r="M90" s="76" t="s">
        <v>493</v>
      </c>
      <c r="N90" s="76" t="str">
        <f ca="1">VLOOKUP(B90,'đơn vị tt'!$C$1:$AG$555,25,0)</f>
        <v>Khách sạn Mandila Beach Đà Nẵng</v>
      </c>
      <c r="O90" s="76" t="str">
        <f ca="1">VLOOKUP(B90,'đơn vị tt'!$C$1:$AG$555,26,0)</f>
        <v>Nhà hàng</v>
      </c>
      <c r="P90" s="76" t="str">
        <f ca="1">VLOOKUP(B90,'đơn vị tt'!$C$1:$AG$555,23,0)</f>
        <v>DUYỆT</v>
      </c>
      <c r="Q90" s="76" t="str">
        <f>VLOOKUP(B90,'XÉT ĐIỀU KIỆN THAM DỰ THỰC TẬP'!$A$10:$AB$633,22,0)</f>
        <v>CHUYÊN ĐỀ</v>
      </c>
      <c r="R90" s="79"/>
      <c r="S90" s="79"/>
    </row>
    <row r="91" spans="1:19" ht="12.75" x14ac:dyDescent="0.2">
      <c r="A91" s="75">
        <v>45650.511398310184</v>
      </c>
      <c r="B91" s="76">
        <v>27217200882</v>
      </c>
      <c r="C91" s="76" t="s">
        <v>152</v>
      </c>
      <c r="D91" s="76" t="s">
        <v>108</v>
      </c>
      <c r="E91" s="76" t="s">
        <v>20</v>
      </c>
      <c r="F91" s="76" t="s">
        <v>21</v>
      </c>
      <c r="G91" s="76" t="s">
        <v>27</v>
      </c>
      <c r="H91" s="76"/>
      <c r="I91" s="77"/>
      <c r="J91" s="77" t="s">
        <v>31</v>
      </c>
      <c r="K91" s="76" t="s">
        <v>153</v>
      </c>
      <c r="L91" s="78" t="s">
        <v>152</v>
      </c>
      <c r="M91" s="76" t="s">
        <v>493</v>
      </c>
      <c r="N91" s="76" t="str">
        <f ca="1">VLOOKUP(B91,'đơn vị tt'!$C$1:$AG$555,25,0)</f>
        <v>Paracel Danang Hotel</v>
      </c>
      <c r="O91" s="76" t="str">
        <f ca="1">VLOOKUP(B91,'đơn vị tt'!$C$1:$AG$555,26,0)</f>
        <v>Bếp</v>
      </c>
      <c r="P91" s="76" t="str">
        <f ca="1">VLOOKUP(B91,'đơn vị tt'!$C$1:$AG$555,23,0)</f>
        <v>DUYỆT</v>
      </c>
      <c r="Q91" s="76" t="str">
        <f>VLOOKUP(B91,'XÉT ĐIỀU KIỆN THAM DỰ THỰC TẬP'!$A$10:$AB$633,22,0)</f>
        <v>CHUYÊN ĐỀ</v>
      </c>
      <c r="R91" s="79"/>
      <c r="S91" s="79"/>
    </row>
    <row r="92" spans="1:19" ht="12.75" x14ac:dyDescent="0.2">
      <c r="A92" s="75">
        <v>45650.513516354171</v>
      </c>
      <c r="B92" s="76">
        <v>27202139022</v>
      </c>
      <c r="C92" s="76" t="s">
        <v>154</v>
      </c>
      <c r="D92" s="76" t="s">
        <v>26</v>
      </c>
      <c r="E92" s="76" t="s">
        <v>20</v>
      </c>
      <c r="F92" s="76" t="s">
        <v>21</v>
      </c>
      <c r="G92" s="76" t="s">
        <v>27</v>
      </c>
      <c r="H92" s="76"/>
      <c r="I92" s="77"/>
      <c r="J92" s="77" t="s">
        <v>31</v>
      </c>
      <c r="K92" s="76"/>
      <c r="L92" s="78" t="s">
        <v>882</v>
      </c>
      <c r="M92" s="76" t="s">
        <v>493</v>
      </c>
      <c r="N92" s="76" t="str">
        <f ca="1">VLOOKUP(B92,'đơn vị tt'!$C$1:$AG$555,25,0)</f>
        <v>Novotel DaNang Premier Han River</v>
      </c>
      <c r="O92" s="76" t="str">
        <f ca="1">VLOOKUP(B92,'đơn vị tt'!$C$1:$AG$555,26,0)</f>
        <v>Nhà hàng</v>
      </c>
      <c r="P92" s="76" t="str">
        <f ca="1">VLOOKUP(B92,'đơn vị tt'!$C$1:$AG$555,23,0)</f>
        <v>DUYỆT</v>
      </c>
      <c r="Q92" s="76" t="str">
        <f>VLOOKUP(B92,'XÉT ĐIỀU KIỆN THAM DỰ THỰC TẬP'!$A$10:$AB$633,22,0)</f>
        <v>CHUYÊN ĐỀ</v>
      </c>
      <c r="R92" s="79"/>
      <c r="S92" s="79"/>
    </row>
    <row r="93" spans="1:19" ht="12.75" x14ac:dyDescent="0.2">
      <c r="A93" s="75">
        <v>45650.523384444445</v>
      </c>
      <c r="B93" s="76">
        <v>27207139286</v>
      </c>
      <c r="C93" s="76" t="s">
        <v>155</v>
      </c>
      <c r="D93" s="76" t="s">
        <v>108</v>
      </c>
      <c r="E93" s="76" t="s">
        <v>20</v>
      </c>
      <c r="F93" s="76" t="s">
        <v>21</v>
      </c>
      <c r="G93" s="76" t="s">
        <v>27</v>
      </c>
      <c r="H93" s="76"/>
      <c r="I93" s="77"/>
      <c r="J93" s="77" t="s">
        <v>31</v>
      </c>
      <c r="K93" s="76"/>
      <c r="L93" s="78" t="s">
        <v>155</v>
      </c>
      <c r="M93" s="76" t="s">
        <v>493</v>
      </c>
      <c r="N93" s="76" t="e">
        <f ca="1">VLOOKUP(B93,'đơn vị tt'!$C$1:$AG$555,25,0)</f>
        <v>#N/A</v>
      </c>
      <c r="O93" s="76" t="e">
        <f ca="1">VLOOKUP(B93,'đơn vị tt'!$C$1:$AG$555,26,0)</f>
        <v>#N/A</v>
      </c>
      <c r="P93" s="76" t="e">
        <f ca="1">VLOOKUP(B93,'đơn vị tt'!$C$1:$AG$555,23,0)</f>
        <v>#N/A</v>
      </c>
      <c r="Q93" s="76" t="str">
        <f>VLOOKUP(B93,'XÉT ĐIỀU KIỆN THAM DỰ THỰC TẬP'!$A$10:$AB$633,22,0)</f>
        <v>không đủ điều kiện</v>
      </c>
      <c r="R93" s="79"/>
      <c r="S93" s="79"/>
    </row>
    <row r="94" spans="1:19" ht="12.75" x14ac:dyDescent="0.2">
      <c r="A94" s="75">
        <v>45650.524163819442</v>
      </c>
      <c r="B94" s="76">
        <v>27207120519</v>
      </c>
      <c r="C94" s="76" t="s">
        <v>156</v>
      </c>
      <c r="D94" s="76" t="s">
        <v>108</v>
      </c>
      <c r="E94" s="76" t="s">
        <v>20</v>
      </c>
      <c r="F94" s="76" t="s">
        <v>21</v>
      </c>
      <c r="G94" s="76" t="s">
        <v>27</v>
      </c>
      <c r="H94" s="76"/>
      <c r="I94" s="77"/>
      <c r="J94" s="77" t="s">
        <v>31</v>
      </c>
      <c r="K94" s="76"/>
      <c r="L94" s="78" t="s">
        <v>883</v>
      </c>
      <c r="M94" s="76" t="s">
        <v>493</v>
      </c>
      <c r="N94" s="76" t="e">
        <f ca="1">VLOOKUP(B94,'đơn vị tt'!$C$1:$AG$555,25,0)</f>
        <v>#N/A</v>
      </c>
      <c r="O94" s="76" t="e">
        <f ca="1">VLOOKUP(B94,'đơn vị tt'!$C$1:$AG$555,26,0)</f>
        <v>#N/A</v>
      </c>
      <c r="P94" s="76" t="e">
        <f ca="1">VLOOKUP(B94,'đơn vị tt'!$C$1:$AG$555,23,0)</f>
        <v>#N/A</v>
      </c>
      <c r="Q94" s="76" t="str">
        <f>VLOOKUP(B94,'XÉT ĐIỀU KIỆN THAM DỰ THỰC TẬP'!$A$10:$AB$633,22,0)</f>
        <v>CHUYÊN ĐỀ</v>
      </c>
      <c r="R94" s="79"/>
      <c r="S94" s="79"/>
    </row>
    <row r="95" spans="1:19" ht="12.75" x14ac:dyDescent="0.2">
      <c r="A95" s="75">
        <v>45650.56938828704</v>
      </c>
      <c r="B95" s="76">
        <v>27217140277</v>
      </c>
      <c r="C95" s="76" t="s">
        <v>157</v>
      </c>
      <c r="D95" s="76" t="s">
        <v>63</v>
      </c>
      <c r="E95" s="76" t="s">
        <v>20</v>
      </c>
      <c r="F95" s="76" t="s">
        <v>21</v>
      </c>
      <c r="G95" s="76" t="s">
        <v>38</v>
      </c>
      <c r="H95" s="76"/>
      <c r="I95" s="77"/>
      <c r="J95" s="77" t="s">
        <v>31</v>
      </c>
      <c r="K95" s="76"/>
      <c r="L95" s="78" t="s">
        <v>157</v>
      </c>
      <c r="M95" s="76" t="s">
        <v>493</v>
      </c>
      <c r="N95" s="76" t="str">
        <f ca="1">VLOOKUP(B95,'đơn vị tt'!$C$1:$AG$555,25,0)</f>
        <v>Balcona Hotel &amp; Spa</v>
      </c>
      <c r="O95" s="76" t="str">
        <f ca="1">VLOOKUP(B95,'đơn vị tt'!$C$1:$AG$555,26,0)</f>
        <v>Nhà hàng</v>
      </c>
      <c r="P95" s="76" t="str">
        <f ca="1">VLOOKUP(B95,'đơn vị tt'!$C$1:$AG$555,23,0)</f>
        <v>DUYỆT</v>
      </c>
      <c r="Q95" s="76" t="str">
        <f>VLOOKUP(B95,'XÉT ĐIỀU KIỆN THAM DỰ THỰC TẬP'!$A$10:$AB$633,22,0)</f>
        <v>CHUYÊN ĐỀ</v>
      </c>
      <c r="R95" s="79"/>
      <c r="S95" s="79"/>
    </row>
    <row r="96" spans="1:19" ht="12.75" x14ac:dyDescent="0.2">
      <c r="A96" s="75">
        <v>45650.528776620369</v>
      </c>
      <c r="B96" s="76">
        <v>27207133010</v>
      </c>
      <c r="C96" s="76" t="s">
        <v>158</v>
      </c>
      <c r="D96" s="76" t="s">
        <v>26</v>
      </c>
      <c r="E96" s="76" t="s">
        <v>20</v>
      </c>
      <c r="F96" s="76" t="s">
        <v>21</v>
      </c>
      <c r="G96" s="76" t="s">
        <v>38</v>
      </c>
      <c r="H96" s="76"/>
      <c r="I96" s="77"/>
      <c r="J96" s="77" t="s">
        <v>31</v>
      </c>
      <c r="K96" s="76"/>
      <c r="L96" s="78" t="s">
        <v>884</v>
      </c>
      <c r="M96" s="76" t="s">
        <v>493</v>
      </c>
      <c r="N96" s="76" t="str">
        <f ca="1">VLOOKUP(B96,'đơn vị tt'!$C$1:$AG$555,25,0)</f>
        <v>Vanda Hotel</v>
      </c>
      <c r="O96" s="76" t="str">
        <f ca="1">VLOOKUP(B96,'đơn vị tt'!$C$1:$AG$555,26,0)</f>
        <v>Buồng phòng</v>
      </c>
      <c r="P96" s="76" t="str">
        <f ca="1">VLOOKUP(B96,'đơn vị tt'!$C$1:$AG$555,23,0)</f>
        <v>DUYỆT</v>
      </c>
      <c r="Q96" s="76" t="str">
        <f>VLOOKUP(B96,'XÉT ĐIỀU KIỆN THAM DỰ THỰC TẬP'!$A$10:$AB$633,22,0)</f>
        <v>CHUYÊN ĐỀ</v>
      </c>
      <c r="R96" s="79" t="str">
        <f ca="1">VLOOKUP(B96,'chuyển KL-&gt;CĐ'!$C$2:$O$1000,2,0)</f>
        <v xml:space="preserve">Nguyễn Thị Kim Yến </v>
      </c>
      <c r="S96" s="79" t="str">
        <f ca="1">VLOOKUP(B96,'chuyển KL-&gt;CĐ'!$C$2:$O$1000,10,0)</f>
        <v>ĐÃ NỘP</v>
      </c>
    </row>
    <row r="97" spans="1:19" ht="12.75" x14ac:dyDescent="0.2">
      <c r="A97" s="75">
        <v>45650.545790277778</v>
      </c>
      <c r="B97" s="76">
        <v>27207237015</v>
      </c>
      <c r="C97" s="76" t="s">
        <v>159</v>
      </c>
      <c r="D97" s="76" t="s">
        <v>116</v>
      </c>
      <c r="E97" s="76" t="s">
        <v>20</v>
      </c>
      <c r="F97" s="76" t="s">
        <v>21</v>
      </c>
      <c r="G97" s="76" t="s">
        <v>38</v>
      </c>
      <c r="H97" s="76"/>
      <c r="I97" s="77"/>
      <c r="J97" s="77" t="s">
        <v>31</v>
      </c>
      <c r="K97" s="76"/>
      <c r="L97" s="78" t="s">
        <v>159</v>
      </c>
      <c r="M97" s="76" t="s">
        <v>493</v>
      </c>
      <c r="N97" s="76" t="str">
        <f ca="1">VLOOKUP(B97,'đơn vị tt'!$C$1:$AG$555,25,0)</f>
        <v>Grand Mercure Đà Nẵng</v>
      </c>
      <c r="O97" s="76" t="str">
        <f ca="1">VLOOKUP(B97,'đơn vị tt'!$C$1:$AG$555,26,0)</f>
        <v>Nhà hàng</v>
      </c>
      <c r="P97" s="76" t="str">
        <f ca="1">VLOOKUP(B97,'đơn vị tt'!$C$1:$AG$555,23,0)</f>
        <v>DUYỆT</v>
      </c>
      <c r="Q97" s="76" t="str">
        <f>VLOOKUP(B97,'XÉT ĐIỀU KIỆN THAM DỰ THỰC TẬP'!$A$10:$AB$633,22,0)</f>
        <v>XÉT LÀM KHÓA LUẬN</v>
      </c>
      <c r="R97" s="79" t="e">
        <f ca="1">VLOOKUP(B97,'chuyển KL-&gt;CĐ'!$C$2:$O$1000,2,0)</f>
        <v>#N/A</v>
      </c>
      <c r="S97" s="79" t="e">
        <f ca="1">VLOOKUP(B97,'chuyển KL-&gt;CĐ'!$C$2:$O$1000,10,0)</f>
        <v>#N/A</v>
      </c>
    </row>
    <row r="98" spans="1:19" ht="12.75" x14ac:dyDescent="0.2">
      <c r="A98" s="75">
        <v>45651.556408368051</v>
      </c>
      <c r="B98" s="76">
        <v>27207100134</v>
      </c>
      <c r="C98" s="76" t="s">
        <v>160</v>
      </c>
      <c r="D98" s="76" t="s">
        <v>19</v>
      </c>
      <c r="E98" s="76" t="s">
        <v>20</v>
      </c>
      <c r="F98" s="76" t="s">
        <v>21</v>
      </c>
      <c r="G98" s="76" t="s">
        <v>27</v>
      </c>
      <c r="H98" s="76"/>
      <c r="I98" s="77"/>
      <c r="J98" s="77" t="s">
        <v>31</v>
      </c>
      <c r="K98" s="76"/>
      <c r="L98" s="78" t="s">
        <v>885</v>
      </c>
      <c r="M98" s="76" t="s">
        <v>493</v>
      </c>
      <c r="N98" s="76" t="str">
        <f ca="1">VLOOKUP(B98,'đơn vị tt'!$C$1:$AG$555,25,0)</f>
        <v>Risemount Premier Resort Danang</v>
      </c>
      <c r="O98" s="76" t="str">
        <f ca="1">VLOOKUP(B98,'đơn vị tt'!$C$1:$AG$555,26,0)</f>
        <v>Nhà hàng</v>
      </c>
      <c r="P98" s="76" t="str">
        <f ca="1">VLOOKUP(B98,'đơn vị tt'!$C$1:$AG$555,23,0)</f>
        <v>DUYỆT</v>
      </c>
      <c r="Q98" s="76" t="str">
        <f>VLOOKUP(B98,'XÉT ĐIỀU KIỆN THAM DỰ THỰC TẬP'!$A$10:$AB$633,22,0)</f>
        <v>CHUYÊN ĐỀ</v>
      </c>
      <c r="R98" s="79"/>
      <c r="S98" s="79"/>
    </row>
    <row r="99" spans="1:19" ht="12.75" x14ac:dyDescent="0.2">
      <c r="A99" s="75">
        <v>45650.553855798615</v>
      </c>
      <c r="B99" s="76">
        <v>26207142039</v>
      </c>
      <c r="C99" s="76" t="s">
        <v>161</v>
      </c>
      <c r="D99" s="76" t="s">
        <v>69</v>
      </c>
      <c r="E99" s="76" t="s">
        <v>20</v>
      </c>
      <c r="F99" s="76" t="s">
        <v>34</v>
      </c>
      <c r="G99" s="76" t="s">
        <v>38</v>
      </c>
      <c r="H99" s="76" t="s">
        <v>23</v>
      </c>
      <c r="I99" s="77">
        <v>8</v>
      </c>
      <c r="J99" s="77" t="s">
        <v>101</v>
      </c>
      <c r="K99" s="76"/>
      <c r="L99" s="78" t="s">
        <v>161</v>
      </c>
      <c r="M99" s="76" t="s">
        <v>493</v>
      </c>
      <c r="N99" s="76" t="str">
        <f ca="1">VLOOKUP(B99,'đơn vị tt'!$C$1:$AG$555,25,0)</f>
        <v>ÊMM Hotel Hoi An</v>
      </c>
      <c r="O99" s="76" t="str">
        <f ca="1">VLOOKUP(B99,'đơn vị tt'!$C$1:$AG$555,26,0)</f>
        <v>Buồng phòng</v>
      </c>
      <c r="P99" s="76" t="str">
        <f ca="1">VLOOKUP(B99,'đơn vị tt'!$C$1:$AG$555,23,0)</f>
        <v>KHÔNG DUYỆT</v>
      </c>
      <c r="Q99" s="76" t="str">
        <f>VLOOKUP(B99,'XÉT ĐIỀU KIỆN THAM DỰ THỰC TẬP'!$A$10:$AB$633,22,0)</f>
        <v>CHUYÊN ĐỀ</v>
      </c>
      <c r="R99" s="79"/>
      <c r="S99" s="79"/>
    </row>
    <row r="100" spans="1:19" ht="12.75" x14ac:dyDescent="0.2">
      <c r="A100" s="75">
        <v>45651.694205011576</v>
      </c>
      <c r="B100" s="76">
        <v>27207152531</v>
      </c>
      <c r="C100" s="76" t="s">
        <v>162</v>
      </c>
      <c r="D100" s="76" t="s">
        <v>116</v>
      </c>
      <c r="E100" s="76" t="s">
        <v>20</v>
      </c>
      <c r="F100" s="76" t="s">
        <v>21</v>
      </c>
      <c r="G100" s="76" t="s">
        <v>38</v>
      </c>
      <c r="H100" s="76"/>
      <c r="I100" s="77"/>
      <c r="J100" s="77" t="s">
        <v>31</v>
      </c>
      <c r="K100" s="76"/>
      <c r="L100" s="78" t="s">
        <v>162</v>
      </c>
      <c r="M100" s="76" t="s">
        <v>493</v>
      </c>
      <c r="N100" s="76" t="str">
        <f ca="1">VLOOKUP(B100,'đơn vị tt'!$C$1:$AG$555,25,0)</f>
        <v>Wyndham DaNang Golden Bay</v>
      </c>
      <c r="O100" s="76" t="str">
        <f ca="1">VLOOKUP(B100,'đơn vị tt'!$C$1:$AG$555,26,0)</f>
        <v>Buồng phòng</v>
      </c>
      <c r="P100" s="76" t="str">
        <f ca="1">VLOOKUP(B100,'đơn vị tt'!$C$1:$AG$555,23,0)</f>
        <v>DUYỆT</v>
      </c>
      <c r="Q100" s="76" t="str">
        <f>VLOOKUP(B100,'XÉT ĐIỀU KIỆN THAM DỰ THỰC TẬP'!$A$10:$AB$633,22,0)</f>
        <v>CHUYÊN ĐỀ</v>
      </c>
      <c r="R100" s="79" t="str">
        <f ca="1">VLOOKUP(B100,'chuyển KL-&gt;CĐ'!$C$2:$O$1000,2,0)</f>
        <v>Cao Nguyễn Minh Châu</v>
      </c>
      <c r="S100" s="79" t="str">
        <f ca="1">VLOOKUP(B100,'chuyển KL-&gt;CĐ'!$C$2:$O$1000,10,0)</f>
        <v>ĐÃ NỘP</v>
      </c>
    </row>
    <row r="101" spans="1:19" ht="12.75" x14ac:dyDescent="0.2">
      <c r="A101" s="75">
        <v>45653.506074745368</v>
      </c>
      <c r="B101" s="76">
        <v>27207140181</v>
      </c>
      <c r="C101" s="76" t="s">
        <v>163</v>
      </c>
      <c r="D101" s="76" t="s">
        <v>26</v>
      </c>
      <c r="E101" s="76" t="s">
        <v>20</v>
      </c>
      <c r="F101" s="76" t="s">
        <v>21</v>
      </c>
      <c r="G101" s="76" t="s">
        <v>38</v>
      </c>
      <c r="H101" s="76"/>
      <c r="I101" s="77"/>
      <c r="J101" s="77" t="s">
        <v>31</v>
      </c>
      <c r="K101" s="76"/>
      <c r="L101" s="78" t="s">
        <v>163</v>
      </c>
      <c r="M101" s="76" t="s">
        <v>493</v>
      </c>
      <c r="N101" s="76" t="str">
        <f ca="1">VLOOKUP(B101,'đơn vị tt'!$C$1:$AG$555,25,0)</f>
        <v>Wyndham DaNang Golden Bay</v>
      </c>
      <c r="O101" s="76" t="str">
        <f ca="1">VLOOKUP(B101,'đơn vị tt'!$C$1:$AG$555,26,0)</f>
        <v>Buồng phòng</v>
      </c>
      <c r="P101" s="76" t="str">
        <f ca="1">VLOOKUP(B101,'đơn vị tt'!$C$1:$AG$555,23,0)</f>
        <v>DUYỆT</v>
      </c>
      <c r="Q101" s="76" t="str">
        <f>VLOOKUP(B101,'XÉT ĐIỀU KIỆN THAM DỰ THỰC TẬP'!$A$10:$AB$633,22,0)</f>
        <v>CHUYÊN ĐỀ</v>
      </c>
      <c r="R101" s="79"/>
      <c r="S101" s="79"/>
    </row>
    <row r="102" spans="1:19" ht="12.75" x14ac:dyDescent="0.2">
      <c r="A102" s="75">
        <v>45651.774407025463</v>
      </c>
      <c r="B102" s="76">
        <v>27203449750</v>
      </c>
      <c r="C102" s="76" t="s">
        <v>164</v>
      </c>
      <c r="D102" s="76" t="s">
        <v>48</v>
      </c>
      <c r="E102" s="76" t="s">
        <v>20</v>
      </c>
      <c r="F102" s="76" t="s">
        <v>21</v>
      </c>
      <c r="G102" s="76" t="s">
        <v>38</v>
      </c>
      <c r="H102" s="76"/>
      <c r="I102" s="77"/>
      <c r="J102" s="77" t="s">
        <v>31</v>
      </c>
      <c r="K102" s="76"/>
      <c r="L102" s="78" t="s">
        <v>886</v>
      </c>
      <c r="M102" s="76" t="s">
        <v>493</v>
      </c>
      <c r="N102" s="76" t="str">
        <f ca="1">VLOOKUP(B102,'đơn vị tt'!$C$1:$AG$555,25,0)</f>
        <v>Wyndham DaNang Golden Bay</v>
      </c>
      <c r="O102" s="76" t="str">
        <f ca="1">VLOOKUP(B102,'đơn vị tt'!$C$1:$AG$555,26,0)</f>
        <v>Nhà hàng</v>
      </c>
      <c r="P102" s="76" t="str">
        <f ca="1">VLOOKUP(B102,'đơn vị tt'!$C$1:$AG$555,23,0)</f>
        <v>DUYỆT</v>
      </c>
      <c r="Q102" s="76" t="str">
        <f>VLOOKUP(B102,'XÉT ĐIỀU KIỆN THAM DỰ THỰC TẬP'!$A$10:$AB$633,22,0)</f>
        <v>CHUYÊN ĐỀ</v>
      </c>
      <c r="R102" s="79" t="str">
        <f ca="1">VLOOKUP(B102,'chuyển KL-&gt;CĐ'!$C$2:$O$1000,2,0)</f>
        <v xml:space="preserve">Lương Thị Minh Tâm </v>
      </c>
      <c r="S102" s="79" t="str">
        <f ca="1">VLOOKUP(B102,'chuyển KL-&gt;CĐ'!$C$2:$O$1000,10,0)</f>
        <v>ĐÃ NỘP</v>
      </c>
    </row>
    <row r="103" spans="1:19" ht="12.75" x14ac:dyDescent="0.2">
      <c r="A103" s="75">
        <v>45650.572190543986</v>
      </c>
      <c r="B103" s="76">
        <v>27217100262</v>
      </c>
      <c r="C103" s="76" t="s">
        <v>165</v>
      </c>
      <c r="D103" s="76" t="s">
        <v>108</v>
      </c>
      <c r="E103" s="76" t="s">
        <v>20</v>
      </c>
      <c r="F103" s="76" t="s">
        <v>21</v>
      </c>
      <c r="G103" s="76" t="s">
        <v>38</v>
      </c>
      <c r="H103" s="76"/>
      <c r="I103" s="77"/>
      <c r="J103" s="77" t="s">
        <v>31</v>
      </c>
      <c r="K103" s="76"/>
      <c r="L103" s="78" t="s">
        <v>887</v>
      </c>
      <c r="M103" s="76" t="s">
        <v>493</v>
      </c>
      <c r="N103" s="76" t="str">
        <f ca="1">VLOOKUP(B103,'đơn vị tt'!$C$1:$AG$555,25,0)</f>
        <v>Balcona Hotel &amp; Spa</v>
      </c>
      <c r="O103" s="76" t="str">
        <f ca="1">VLOOKUP(B103,'đơn vị tt'!$C$1:$AG$555,26,0)</f>
        <v>Nhà hàng</v>
      </c>
      <c r="P103" s="76" t="str">
        <f ca="1">VLOOKUP(B103,'đơn vị tt'!$C$1:$AG$555,23,0)</f>
        <v>DUYỆT</v>
      </c>
      <c r="Q103" s="76" t="str">
        <f>VLOOKUP(B103,'XÉT ĐIỀU KIỆN THAM DỰ THỰC TẬP'!$A$10:$AB$633,22,0)</f>
        <v>CHUYÊN ĐỀ</v>
      </c>
      <c r="R103" s="79"/>
      <c r="S103" s="79"/>
    </row>
    <row r="104" spans="1:19" ht="12.75" x14ac:dyDescent="0.2">
      <c r="A104" s="75">
        <v>45650.574355868055</v>
      </c>
      <c r="B104" s="76">
        <v>27217125270</v>
      </c>
      <c r="C104" s="76" t="s">
        <v>166</v>
      </c>
      <c r="D104" s="76" t="s">
        <v>167</v>
      </c>
      <c r="E104" s="76" t="s">
        <v>20</v>
      </c>
      <c r="F104" s="76" t="s">
        <v>21</v>
      </c>
      <c r="G104" s="76" t="s">
        <v>27</v>
      </c>
      <c r="H104" s="76"/>
      <c r="I104" s="77"/>
      <c r="J104" s="77" t="s">
        <v>31</v>
      </c>
      <c r="K104" s="76"/>
      <c r="L104" s="78" t="s">
        <v>166</v>
      </c>
      <c r="M104" s="76" t="s">
        <v>493</v>
      </c>
      <c r="N104" s="76" t="str">
        <f ca="1">VLOOKUP(B104,'đơn vị tt'!$C$1:$AG$555,25,0)</f>
        <v>DaNang Marriott Resort &amp; Spa, Non Nuoc Beach Villas</v>
      </c>
      <c r="O104" s="76" t="str">
        <f ca="1">VLOOKUP(B104,'đơn vị tt'!$C$1:$AG$555,26,0)</f>
        <v>Nhà hàng</v>
      </c>
      <c r="P104" s="76" t="str">
        <f ca="1">VLOOKUP(B104,'đơn vị tt'!$C$1:$AG$555,23,0)</f>
        <v>DUYỆT</v>
      </c>
      <c r="Q104" s="76" t="str">
        <f>VLOOKUP(B104,'XÉT ĐIỀU KIỆN THAM DỰ THỰC TẬP'!$A$10:$AB$633,22,0)</f>
        <v>CHUYÊN ĐỀ</v>
      </c>
      <c r="R104" s="79"/>
      <c r="S104" s="79"/>
    </row>
    <row r="105" spans="1:19" ht="12.75" x14ac:dyDescent="0.2">
      <c r="A105" s="75">
        <v>45651.687311747686</v>
      </c>
      <c r="B105" s="76">
        <v>27217101593</v>
      </c>
      <c r="C105" s="76" t="s">
        <v>168</v>
      </c>
      <c r="D105" s="76" t="s">
        <v>116</v>
      </c>
      <c r="E105" s="76" t="s">
        <v>20</v>
      </c>
      <c r="F105" s="76" t="s">
        <v>21</v>
      </c>
      <c r="G105" s="76" t="s">
        <v>38</v>
      </c>
      <c r="H105" s="76"/>
      <c r="I105" s="77"/>
      <c r="J105" s="77" t="s">
        <v>31</v>
      </c>
      <c r="K105" s="76"/>
      <c r="L105" s="78" t="s">
        <v>888</v>
      </c>
      <c r="M105" s="76" t="s">
        <v>493</v>
      </c>
      <c r="N105" s="76" t="str">
        <f ca="1">VLOOKUP(B105,'đơn vị tt'!$C$1:$AG$555,25,0)</f>
        <v>Wyndham DaNang Golden Bay</v>
      </c>
      <c r="O105" s="76" t="str">
        <f ca="1">VLOOKUP(B105,'đơn vị tt'!$C$1:$AG$555,26,0)</f>
        <v>Nhà hàng</v>
      </c>
      <c r="P105" s="76" t="str">
        <f ca="1">VLOOKUP(B105,'đơn vị tt'!$C$1:$AG$555,23,0)</f>
        <v>DUYỆT</v>
      </c>
      <c r="Q105" s="76" t="str">
        <f>VLOOKUP(B105,'XÉT ĐIỀU KIỆN THAM DỰ THỰC TẬP'!$A$10:$AB$633,22,0)</f>
        <v>CHUYÊN ĐỀ</v>
      </c>
      <c r="R105" s="79" t="str">
        <f ca="1">VLOOKUP(B105,'chuyển KL-&gt;CĐ'!$C$2:$O$1000,2,0)</f>
        <v xml:space="preserve">Nguyễn Huỳnh Thảo Nhi </v>
      </c>
      <c r="S105" s="79" t="str">
        <f ca="1">VLOOKUP(B105,'chuyển KL-&gt;CĐ'!$C$2:$O$1000,10,0)</f>
        <v>ĐÃ NỘP</v>
      </c>
    </row>
    <row r="106" spans="1:19" ht="12.75" x14ac:dyDescent="0.2">
      <c r="A106" s="75">
        <v>45663.499920358794</v>
      </c>
      <c r="B106" s="76">
        <v>27207102577</v>
      </c>
      <c r="C106" s="76" t="s">
        <v>169</v>
      </c>
      <c r="D106" s="76" t="s">
        <v>170</v>
      </c>
      <c r="E106" s="76" t="s">
        <v>20</v>
      </c>
      <c r="F106" s="76" t="s">
        <v>21</v>
      </c>
      <c r="G106" s="76" t="s">
        <v>27</v>
      </c>
      <c r="H106" s="76"/>
      <c r="I106" s="77"/>
      <c r="J106" s="77" t="s">
        <v>31</v>
      </c>
      <c r="K106" s="76"/>
      <c r="L106" s="78" t="s">
        <v>169</v>
      </c>
      <c r="M106" s="76" t="s">
        <v>493</v>
      </c>
      <c r="N106" s="76" t="str">
        <f ca="1">VLOOKUP(B106,'đơn vị tt'!$C$1:$AG$555,25,0)</f>
        <v>Meliá Vinpearl Danang Riverfront</v>
      </c>
      <c r="O106" s="76" t="str">
        <f ca="1">VLOOKUP(B106,'đơn vị tt'!$C$1:$AG$555,26,0)</f>
        <v>Tiền sảnh</v>
      </c>
      <c r="P106" s="76" t="str">
        <f ca="1">VLOOKUP(B106,'đơn vị tt'!$C$1:$AG$555,23,0)</f>
        <v>DUYỆT</v>
      </c>
      <c r="Q106" s="76" t="str">
        <f>VLOOKUP(B106,'XÉT ĐIỀU KIỆN THAM DỰ THỰC TẬP'!$A$10:$AB$633,22,0)</f>
        <v>CHUYÊN ĐỀ</v>
      </c>
      <c r="R106" s="79"/>
      <c r="S106" s="79"/>
    </row>
    <row r="107" spans="1:19" ht="12.75" x14ac:dyDescent="0.2">
      <c r="A107" s="75">
        <v>45650.582784571758</v>
      </c>
      <c r="B107" s="76">
        <v>26217135634</v>
      </c>
      <c r="C107" s="76" t="s">
        <v>171</v>
      </c>
      <c r="D107" s="76" t="s">
        <v>33</v>
      </c>
      <c r="E107" s="76" t="s">
        <v>20</v>
      </c>
      <c r="F107" s="76" t="s">
        <v>34</v>
      </c>
      <c r="G107" s="76" t="s">
        <v>27</v>
      </c>
      <c r="H107" s="76" t="s">
        <v>23</v>
      </c>
      <c r="I107" s="77">
        <v>9</v>
      </c>
      <c r="J107" s="77" t="s">
        <v>172</v>
      </c>
      <c r="K107" s="76"/>
      <c r="L107" s="78" t="s">
        <v>171</v>
      </c>
      <c r="M107" s="76" t="s">
        <v>493</v>
      </c>
      <c r="N107" s="76" t="str">
        <f ca="1">VLOOKUP(B107,'đơn vị tt'!$C$1:$AG$555,25,0)</f>
        <v>Hilton Garden Inn Danang</v>
      </c>
      <c r="O107" s="76" t="str">
        <f ca="1">VLOOKUP(B107,'đơn vị tt'!$C$1:$AG$555,26,0)</f>
        <v>Buồng phòng</v>
      </c>
      <c r="P107" s="76" t="str">
        <f ca="1">VLOOKUP(B107,'đơn vị tt'!$C$1:$AG$555,23,0)</f>
        <v>DUYỆT</v>
      </c>
      <c r="Q107" s="76" t="str">
        <f>VLOOKUP(B107,'XÉT ĐIỀU KIỆN THAM DỰ THỰC TẬP'!$A$10:$AB$633,22,0)</f>
        <v>CHUYÊN ĐỀ</v>
      </c>
      <c r="R107" s="79"/>
      <c r="S107" s="79"/>
    </row>
    <row r="108" spans="1:19" ht="12.75" x14ac:dyDescent="0.2">
      <c r="A108" s="75">
        <v>45650.584725555556</v>
      </c>
      <c r="B108" s="76">
        <v>27213324100</v>
      </c>
      <c r="C108" s="76" t="s">
        <v>173</v>
      </c>
      <c r="D108" s="76" t="s">
        <v>48</v>
      </c>
      <c r="E108" s="76" t="s">
        <v>20</v>
      </c>
      <c r="F108" s="76" t="s">
        <v>21</v>
      </c>
      <c r="G108" s="76" t="s">
        <v>27</v>
      </c>
      <c r="H108" s="76"/>
      <c r="I108" s="77"/>
      <c r="J108" s="77" t="s">
        <v>31</v>
      </c>
      <c r="K108" s="76"/>
      <c r="L108" s="78" t="s">
        <v>173</v>
      </c>
      <c r="M108" s="76" t="s">
        <v>493</v>
      </c>
      <c r="N108" s="76" t="str">
        <f ca="1">VLOOKUP(B108,'đơn vị tt'!$C$1:$AG$555,25,0)</f>
        <v>Khách sạn Shilla Monogram Quangnam Danang</v>
      </c>
      <c r="O108" s="76" t="str">
        <f ca="1">VLOOKUP(B108,'đơn vị tt'!$C$1:$AG$555,26,0)</f>
        <v>Nhà hàng</v>
      </c>
      <c r="P108" s="76" t="str">
        <f ca="1">VLOOKUP(B108,'đơn vị tt'!$C$1:$AG$555,23,0)</f>
        <v>DUYỆT</v>
      </c>
      <c r="Q108" s="76" t="str">
        <f>VLOOKUP(B108,'XÉT ĐIỀU KIỆN THAM DỰ THỰC TẬP'!$A$10:$AB$633,22,0)</f>
        <v>CHUYÊN ĐỀ</v>
      </c>
      <c r="R108" s="79"/>
      <c r="S108" s="79"/>
    </row>
    <row r="109" spans="1:19" ht="12.75" x14ac:dyDescent="0.2">
      <c r="A109" s="75">
        <v>45651.704600162033</v>
      </c>
      <c r="B109" s="76">
        <v>27207152986</v>
      </c>
      <c r="C109" s="76" t="s">
        <v>174</v>
      </c>
      <c r="D109" s="76" t="s">
        <v>120</v>
      </c>
      <c r="E109" s="76" t="s">
        <v>20</v>
      </c>
      <c r="F109" s="76" t="s">
        <v>21</v>
      </c>
      <c r="G109" s="76" t="s">
        <v>38</v>
      </c>
      <c r="H109" s="76"/>
      <c r="I109" s="77"/>
      <c r="J109" s="77" t="s">
        <v>31</v>
      </c>
      <c r="K109" s="76"/>
      <c r="L109" s="78" t="s">
        <v>889</v>
      </c>
      <c r="M109" s="76" t="s">
        <v>493</v>
      </c>
      <c r="N109" s="76" t="str">
        <f ca="1">VLOOKUP(B109,'đơn vị tt'!$C$1:$AG$555,25,0)</f>
        <v>Hilton Garden Inn Danang</v>
      </c>
      <c r="O109" s="76" t="str">
        <f ca="1">VLOOKUP(B109,'đơn vị tt'!$C$1:$AG$555,26,0)</f>
        <v>Nhà hàng</v>
      </c>
      <c r="P109" s="76" t="str">
        <f ca="1">VLOOKUP(B109,'đơn vị tt'!$C$1:$AG$555,23,0)</f>
        <v>DUYỆT</v>
      </c>
      <c r="Q109" s="76" t="str">
        <f>VLOOKUP(B109,'XÉT ĐIỀU KIỆN THAM DỰ THỰC TẬP'!$A$10:$AB$633,22,0)</f>
        <v>CHUYÊN ĐỀ</v>
      </c>
      <c r="R109" s="79" t="str">
        <f ca="1">VLOOKUP(B109,'chuyển KL-&gt;CĐ'!$C$2:$O$1000,2,0)</f>
        <v xml:space="preserve">Ngô Thị Thanh Tâm </v>
      </c>
      <c r="S109" s="79" t="str">
        <f ca="1">VLOOKUP(B109,'chuyển KL-&gt;CĐ'!$C$2:$O$1000,10,0)</f>
        <v>ĐÃ NỘP</v>
      </c>
    </row>
    <row r="110" spans="1:19" ht="12.75" x14ac:dyDescent="0.2">
      <c r="A110" s="75">
        <v>45651.754935624995</v>
      </c>
      <c r="B110" s="76">
        <v>27207102076</v>
      </c>
      <c r="C110" s="76" t="s">
        <v>175</v>
      </c>
      <c r="D110" s="76" t="s">
        <v>120</v>
      </c>
      <c r="E110" s="76" t="s">
        <v>20</v>
      </c>
      <c r="F110" s="76" t="s">
        <v>21</v>
      </c>
      <c r="G110" s="76" t="s">
        <v>38</v>
      </c>
      <c r="H110" s="76"/>
      <c r="I110" s="77"/>
      <c r="J110" s="77" t="s">
        <v>31</v>
      </c>
      <c r="K110" s="76"/>
      <c r="L110" s="78" t="s">
        <v>890</v>
      </c>
      <c r="M110" s="76" t="s">
        <v>493</v>
      </c>
      <c r="N110" s="76" t="str">
        <f ca="1">VLOOKUP(B110,'đơn vị tt'!$C$1:$AG$555,25,0)</f>
        <v>Grand Mercure Đà Nẵng</v>
      </c>
      <c r="O110" s="76" t="str">
        <f ca="1">VLOOKUP(B110,'đơn vị tt'!$C$1:$AG$555,26,0)</f>
        <v>Nhà hàng</v>
      </c>
      <c r="P110" s="76" t="str">
        <f ca="1">VLOOKUP(B110,'đơn vị tt'!$C$1:$AG$555,23,0)</f>
        <v>DUYỆT</v>
      </c>
      <c r="Q110" s="76" t="str">
        <f>VLOOKUP(B110,'XÉT ĐIỀU KIỆN THAM DỰ THỰC TẬP'!$A$10:$AB$633,22,0)</f>
        <v>CHUYÊN ĐỀ</v>
      </c>
      <c r="R110" s="79" t="str">
        <f ca="1">VLOOKUP(B110,'chuyển KL-&gt;CĐ'!$C$2:$O$1000,2,0)</f>
        <v>Trần Thị Thủy Tiên</v>
      </c>
      <c r="S110" s="79" t="str">
        <f ca="1">VLOOKUP(B110,'chuyển KL-&gt;CĐ'!$C$2:$O$1000,10,0)</f>
        <v>ĐÃ NỘP</v>
      </c>
    </row>
    <row r="111" spans="1:19" ht="12.75" x14ac:dyDescent="0.2">
      <c r="A111" s="75">
        <v>45651.514751782408</v>
      </c>
      <c r="B111" s="76">
        <v>27217135116</v>
      </c>
      <c r="C111" s="76" t="s">
        <v>176</v>
      </c>
      <c r="D111" s="76" t="s">
        <v>19</v>
      </c>
      <c r="E111" s="76" t="s">
        <v>20</v>
      </c>
      <c r="F111" s="76" t="s">
        <v>21</v>
      </c>
      <c r="G111" s="76" t="s">
        <v>27</v>
      </c>
      <c r="H111" s="76"/>
      <c r="I111" s="77"/>
      <c r="J111" s="77" t="s">
        <v>31</v>
      </c>
      <c r="K111" s="76"/>
      <c r="L111" s="78" t="s">
        <v>176</v>
      </c>
      <c r="M111" s="76" t="s">
        <v>493</v>
      </c>
      <c r="N111" s="76" t="str">
        <f ca="1">VLOOKUP(B111,'đơn vị tt'!$C$1:$AG$555,25,0)</f>
        <v>Risemount Premier Resort Danang</v>
      </c>
      <c r="O111" s="76" t="str">
        <f ca="1">VLOOKUP(B111,'đơn vị tt'!$C$1:$AG$555,26,0)</f>
        <v>Nhà hàng, Buồng phòng</v>
      </c>
      <c r="P111" s="76" t="str">
        <f ca="1">VLOOKUP(B111,'đơn vị tt'!$C$1:$AG$555,23,0)</f>
        <v>DUYỆT</v>
      </c>
      <c r="Q111" s="76" t="str">
        <f>VLOOKUP(B111,'XÉT ĐIỀU KIỆN THAM DỰ THỰC TẬP'!$A$10:$AB$633,22,0)</f>
        <v>không đủ điều kiện</v>
      </c>
      <c r="R111" s="79"/>
      <c r="S111" s="79"/>
    </row>
    <row r="112" spans="1:19" ht="12.75" x14ac:dyDescent="0.2">
      <c r="A112" s="75">
        <v>45650.598988796293</v>
      </c>
      <c r="B112" s="76">
        <v>27217146484</v>
      </c>
      <c r="C112" s="76" t="s">
        <v>177</v>
      </c>
      <c r="D112" s="76" t="s">
        <v>116</v>
      </c>
      <c r="E112" s="76" t="s">
        <v>20</v>
      </c>
      <c r="F112" s="76" t="s">
        <v>21</v>
      </c>
      <c r="G112" s="76" t="s">
        <v>27</v>
      </c>
      <c r="H112" s="76"/>
      <c r="I112" s="77"/>
      <c r="J112" s="77" t="s">
        <v>31</v>
      </c>
      <c r="K112" s="76"/>
      <c r="L112" s="78" t="s">
        <v>177</v>
      </c>
      <c r="M112" s="76" t="s">
        <v>493</v>
      </c>
      <c r="N112" s="76" t="str">
        <f ca="1">VLOOKUP(B112,'đơn vị tt'!$C$1:$AG$555,25,0)</f>
        <v>Diamond Sea Hotel</v>
      </c>
      <c r="O112" s="76" t="str">
        <f ca="1">VLOOKUP(B112,'đơn vị tt'!$C$1:$AG$555,26,0)</f>
        <v>Nhà hàng</v>
      </c>
      <c r="P112" s="76" t="str">
        <f ca="1">VLOOKUP(B112,'đơn vị tt'!$C$1:$AG$555,23,0)</f>
        <v>DUYỆT</v>
      </c>
      <c r="Q112" s="76" t="str">
        <f>VLOOKUP(B112,'XÉT ĐIỀU KIỆN THAM DỰ THỰC TẬP'!$A$10:$AB$633,22,0)</f>
        <v>XÉT LÀM KHÓA LUẬN</v>
      </c>
      <c r="R112" s="79" t="e">
        <f ca="1">VLOOKUP(B112,'chuyển KL-&gt;CĐ'!$C$2:$O$1000,2,0)</f>
        <v>#N/A</v>
      </c>
      <c r="S112" s="79" t="e">
        <f ca="1">VLOOKUP(B112,'chuyển KL-&gt;CĐ'!$C$2:$O$1000,10,0)</f>
        <v>#N/A</v>
      </c>
    </row>
    <row r="113" spans="1:19" ht="12.75" x14ac:dyDescent="0.2">
      <c r="A113" s="75">
        <v>45650.608315335645</v>
      </c>
      <c r="B113" s="76">
        <v>27207140437</v>
      </c>
      <c r="C113" s="76" t="s">
        <v>178</v>
      </c>
      <c r="D113" s="76" t="s">
        <v>19</v>
      </c>
      <c r="E113" s="76" t="s">
        <v>20</v>
      </c>
      <c r="F113" s="76" t="s">
        <v>21</v>
      </c>
      <c r="G113" s="76" t="s">
        <v>38</v>
      </c>
      <c r="H113" s="76"/>
      <c r="I113" s="77"/>
      <c r="J113" s="77" t="s">
        <v>31</v>
      </c>
      <c r="K113" s="76"/>
      <c r="L113" s="78" t="s">
        <v>178</v>
      </c>
      <c r="M113" s="76" t="s">
        <v>493</v>
      </c>
      <c r="N113" s="76" t="str">
        <f ca="1">VLOOKUP(B113,'đơn vị tt'!$C$1:$AG$555,25,0)</f>
        <v>Chicland Hotel</v>
      </c>
      <c r="O113" s="76" t="str">
        <f ca="1">VLOOKUP(B113,'đơn vị tt'!$C$1:$AG$555,26,0)</f>
        <v>Nhà hàng</v>
      </c>
      <c r="P113" s="76" t="str">
        <f ca="1">VLOOKUP(B113,'đơn vị tt'!$C$1:$AG$555,23,0)</f>
        <v>DUYỆT</v>
      </c>
      <c r="Q113" s="76" t="str">
        <f>VLOOKUP(B113,'XÉT ĐIỀU KIỆN THAM DỰ THỰC TẬP'!$A$10:$AB$633,22,0)</f>
        <v>CHUYÊN ĐỀ</v>
      </c>
      <c r="R113" s="79"/>
      <c r="S113" s="79"/>
    </row>
    <row r="114" spans="1:19" ht="12.75" x14ac:dyDescent="0.2">
      <c r="A114" s="75">
        <v>45650.647488391201</v>
      </c>
      <c r="B114" s="76">
        <v>27215131988</v>
      </c>
      <c r="C114" s="76" t="s">
        <v>179</v>
      </c>
      <c r="D114" s="76" t="s">
        <v>180</v>
      </c>
      <c r="E114" s="76" t="s">
        <v>20</v>
      </c>
      <c r="F114" s="76" t="s">
        <v>21</v>
      </c>
      <c r="G114" s="76" t="s">
        <v>27</v>
      </c>
      <c r="H114" s="76"/>
      <c r="I114" s="77"/>
      <c r="J114" s="77" t="s">
        <v>31</v>
      </c>
      <c r="K114" s="76"/>
      <c r="L114" s="78" t="s">
        <v>179</v>
      </c>
      <c r="M114" s="76" t="s">
        <v>493</v>
      </c>
      <c r="N114" s="76" t="str">
        <f ca="1">VLOOKUP(B114,'đơn vị tt'!$C$1:$AG$555,25,0)</f>
        <v>Diamond Sea Hotel</v>
      </c>
      <c r="O114" s="76" t="str">
        <f ca="1">VLOOKUP(B114,'đơn vị tt'!$C$1:$AG$555,26,0)</f>
        <v>Nhà hàng</v>
      </c>
      <c r="P114" s="76" t="str">
        <f ca="1">VLOOKUP(B114,'đơn vị tt'!$C$1:$AG$555,23,0)</f>
        <v>DUYỆT</v>
      </c>
      <c r="Q114" s="76" t="str">
        <f>VLOOKUP(B114,'XÉT ĐIỀU KIỆN THAM DỰ THỰC TẬP'!$A$10:$AB$633,22,0)</f>
        <v>CHUYÊN ĐỀ</v>
      </c>
      <c r="R114" s="79"/>
      <c r="S114" s="79"/>
    </row>
    <row r="115" spans="1:19" ht="12.75" x14ac:dyDescent="0.2">
      <c r="A115" s="75">
        <v>45650.618494537033</v>
      </c>
      <c r="B115" s="76">
        <v>26217141046</v>
      </c>
      <c r="C115" s="76" t="s">
        <v>181</v>
      </c>
      <c r="D115" s="76" t="s">
        <v>182</v>
      </c>
      <c r="E115" s="76" t="s">
        <v>20</v>
      </c>
      <c r="F115" s="76" t="s">
        <v>34</v>
      </c>
      <c r="G115" s="76" t="s">
        <v>27</v>
      </c>
      <c r="H115" s="76" t="s">
        <v>30</v>
      </c>
      <c r="I115" s="77">
        <v>10</v>
      </c>
      <c r="J115" s="77"/>
      <c r="K115" s="76"/>
      <c r="L115" s="78" t="s">
        <v>181</v>
      </c>
      <c r="M115" s="76" t="s">
        <v>493</v>
      </c>
      <c r="N115" s="76" t="e">
        <f ca="1">VLOOKUP(B115,'đơn vị tt'!$C$1:$AG$555,25,0)</f>
        <v>#N/A</v>
      </c>
      <c r="O115" s="76" t="e">
        <f ca="1">VLOOKUP(B115,'đơn vị tt'!$C$1:$AG$555,26,0)</f>
        <v>#N/A</v>
      </c>
      <c r="P115" s="76" t="e">
        <f ca="1">VLOOKUP(B115,'đơn vị tt'!$C$1:$AG$555,23,0)</f>
        <v>#N/A</v>
      </c>
      <c r="Q115" s="76" t="e">
        <f>VLOOKUP(B115,'XÉT ĐIỀU KIỆN THAM DỰ THỰC TẬP'!$A$10:$AB$633,22,0)</f>
        <v>#N/A</v>
      </c>
      <c r="R115" s="79"/>
      <c r="S115" s="79"/>
    </row>
    <row r="116" spans="1:19" ht="12.75" x14ac:dyDescent="0.2">
      <c r="A116" s="75">
        <v>45650.62755355324</v>
      </c>
      <c r="B116" s="76">
        <v>27217120413</v>
      </c>
      <c r="C116" s="76" t="s">
        <v>183</v>
      </c>
      <c r="D116" s="76" t="s">
        <v>184</v>
      </c>
      <c r="E116" s="76" t="s">
        <v>20</v>
      </c>
      <c r="F116" s="76" t="s">
        <v>21</v>
      </c>
      <c r="G116" s="76" t="s">
        <v>38</v>
      </c>
      <c r="H116" s="76"/>
      <c r="I116" s="77"/>
      <c r="J116" s="77" t="s">
        <v>31</v>
      </c>
      <c r="K116" s="76"/>
      <c r="L116" s="78" t="s">
        <v>183</v>
      </c>
      <c r="M116" s="76" t="s">
        <v>493</v>
      </c>
      <c r="N116" s="76" t="str">
        <f ca="1">VLOOKUP(B116,'đơn vị tt'!$C$1:$AG$555,25,0)</f>
        <v>Wyndham DaNang Golden Bay</v>
      </c>
      <c r="O116" s="76" t="str">
        <f ca="1">VLOOKUP(B116,'đơn vị tt'!$C$1:$AG$555,26,0)</f>
        <v>Nhà hàng</v>
      </c>
      <c r="P116" s="76" t="str">
        <f ca="1">VLOOKUP(B116,'đơn vị tt'!$C$1:$AG$555,23,0)</f>
        <v>DUYỆT</v>
      </c>
      <c r="Q116" s="76" t="str">
        <f>VLOOKUP(B116,'XÉT ĐIỀU KIỆN THAM DỰ THỰC TẬP'!$A$10:$AB$633,22,0)</f>
        <v>CHUYÊN ĐỀ</v>
      </c>
      <c r="R116" s="79" t="str">
        <f ca="1">VLOOKUP(B116,'chuyển KL-&gt;CĐ'!$C$2:$O$1000,2,0)</f>
        <v>Nguyễn Phú Nhân</v>
      </c>
      <c r="S116" s="79" t="str">
        <f ca="1">VLOOKUP(B116,'chuyển KL-&gt;CĐ'!$C$2:$O$1000,10,0)</f>
        <v>ĐÃ NỘP</v>
      </c>
    </row>
    <row r="117" spans="1:19" ht="12.75" x14ac:dyDescent="0.2">
      <c r="A117" s="75">
        <v>45650.62872197917</v>
      </c>
      <c r="B117" s="76">
        <v>27207140635</v>
      </c>
      <c r="C117" s="76" t="s">
        <v>185</v>
      </c>
      <c r="D117" s="76" t="s">
        <v>108</v>
      </c>
      <c r="E117" s="76" t="s">
        <v>20</v>
      </c>
      <c r="F117" s="76" t="s">
        <v>21</v>
      </c>
      <c r="G117" s="76" t="s">
        <v>27</v>
      </c>
      <c r="H117" s="76"/>
      <c r="I117" s="77"/>
      <c r="J117" s="77" t="s">
        <v>31</v>
      </c>
      <c r="K117" s="76"/>
      <c r="L117" s="78" t="s">
        <v>185</v>
      </c>
      <c r="M117" s="76" t="s">
        <v>493</v>
      </c>
      <c r="N117" s="76" t="str">
        <f ca="1">VLOOKUP(B117,'đơn vị tt'!$C$1:$AG$555,25,0)</f>
        <v>Maximilan Danang Beach Hotel</v>
      </c>
      <c r="O117" s="76" t="str">
        <f ca="1">VLOOKUP(B117,'đơn vị tt'!$C$1:$AG$555,26,0)</f>
        <v>Buồng phòng</v>
      </c>
      <c r="P117" s="76" t="str">
        <f ca="1">VLOOKUP(B117,'đơn vị tt'!$C$1:$AG$555,23,0)</f>
        <v>DUYỆT</v>
      </c>
      <c r="Q117" s="76" t="str">
        <f>VLOOKUP(B117,'XÉT ĐIỀU KIỆN THAM DỰ THỰC TẬP'!$A$10:$AB$633,22,0)</f>
        <v>CHUYÊN ĐỀ</v>
      </c>
      <c r="R117" s="79"/>
      <c r="S117" s="79"/>
    </row>
    <row r="118" spans="1:19" ht="12.75" x14ac:dyDescent="0.2">
      <c r="A118" s="75">
        <v>45651.686986574074</v>
      </c>
      <c r="B118" s="76">
        <v>27207101634</v>
      </c>
      <c r="C118" s="76" t="s">
        <v>186</v>
      </c>
      <c r="D118" s="76" t="s">
        <v>116</v>
      </c>
      <c r="E118" s="76" t="s">
        <v>20</v>
      </c>
      <c r="F118" s="76" t="s">
        <v>21</v>
      </c>
      <c r="G118" s="76" t="s">
        <v>38</v>
      </c>
      <c r="H118" s="76"/>
      <c r="I118" s="77"/>
      <c r="J118" s="77" t="s">
        <v>31</v>
      </c>
      <c r="K118" s="76"/>
      <c r="L118" s="78" t="s">
        <v>186</v>
      </c>
      <c r="M118" s="76" t="s">
        <v>493</v>
      </c>
      <c r="N118" s="76" t="str">
        <f ca="1">VLOOKUP(B118,'đơn vị tt'!$C$1:$AG$555,25,0)</f>
        <v>Wyndham DaNang Golden Bay</v>
      </c>
      <c r="O118" s="76" t="str">
        <f ca="1">VLOOKUP(B118,'đơn vị tt'!$C$1:$AG$555,26,0)</f>
        <v>Nhà hàng</v>
      </c>
      <c r="P118" s="76" t="str">
        <f ca="1">VLOOKUP(B118,'đơn vị tt'!$C$1:$AG$555,23,0)</f>
        <v>DUYỆT</v>
      </c>
      <c r="Q118" s="76" t="str">
        <f>VLOOKUP(B118,'XÉT ĐIỀU KIỆN THAM DỰ THỰC TẬP'!$A$10:$AB$633,22,0)</f>
        <v>CHUYÊN ĐỀ</v>
      </c>
      <c r="R118" s="79" t="str">
        <f ca="1">VLOOKUP(B118,'chuyển KL-&gt;CĐ'!$C$2:$O$1000,2,0)</f>
        <v>Lê Thị Trà My</v>
      </c>
      <c r="S118" s="79" t="str">
        <f ca="1">VLOOKUP(B118,'chuyển KL-&gt;CĐ'!$C$2:$O$1000,10,0)</f>
        <v>ĐÃ NỘP</v>
      </c>
    </row>
    <row r="119" spans="1:19" ht="12.75" x14ac:dyDescent="0.2">
      <c r="A119" s="75">
        <v>45651.756052766199</v>
      </c>
      <c r="B119" s="76">
        <v>27217144395</v>
      </c>
      <c r="C119" s="76" t="s">
        <v>187</v>
      </c>
      <c r="D119" s="76" t="s">
        <v>120</v>
      </c>
      <c r="E119" s="76" t="s">
        <v>20</v>
      </c>
      <c r="F119" s="76" t="s">
        <v>21</v>
      </c>
      <c r="G119" s="76" t="s">
        <v>38</v>
      </c>
      <c r="H119" s="76"/>
      <c r="I119" s="77"/>
      <c r="J119" s="77" t="s">
        <v>31</v>
      </c>
      <c r="K119" s="76"/>
      <c r="L119" s="78" t="s">
        <v>187</v>
      </c>
      <c r="M119" s="76" t="s">
        <v>493</v>
      </c>
      <c r="N119" s="76" t="str">
        <f ca="1">VLOOKUP(B119,'đơn vị tt'!$C$1:$AG$555,25,0)</f>
        <v>Wyndham DaNang Golden Bay</v>
      </c>
      <c r="O119" s="76" t="str">
        <f ca="1">VLOOKUP(B119,'đơn vị tt'!$C$1:$AG$555,26,0)</f>
        <v>Buồng phòng</v>
      </c>
      <c r="P119" s="76" t="str">
        <f ca="1">VLOOKUP(B119,'đơn vị tt'!$C$1:$AG$555,23,0)</f>
        <v>DUYỆT</v>
      </c>
      <c r="Q119" s="76" t="str">
        <f>VLOOKUP(B119,'XÉT ĐIỀU KIỆN THAM DỰ THỰC TẬP'!$A$10:$AB$633,22,0)</f>
        <v>CHUYÊN ĐỀ</v>
      </c>
      <c r="R119" s="79"/>
      <c r="S119" s="79"/>
    </row>
    <row r="120" spans="1:19" ht="12.75" x14ac:dyDescent="0.2">
      <c r="A120" s="75">
        <v>45652.838167164351</v>
      </c>
      <c r="B120" s="76">
        <v>27207101865</v>
      </c>
      <c r="C120" s="76" t="s">
        <v>188</v>
      </c>
      <c r="D120" s="76" t="s">
        <v>189</v>
      </c>
      <c r="E120" s="76" t="s">
        <v>20</v>
      </c>
      <c r="F120" s="76" t="s">
        <v>21</v>
      </c>
      <c r="G120" s="76" t="s">
        <v>27</v>
      </c>
      <c r="H120" s="76"/>
      <c r="I120" s="77"/>
      <c r="J120" s="77" t="s">
        <v>31</v>
      </c>
      <c r="K120" s="76"/>
      <c r="L120" s="78" t="s">
        <v>891</v>
      </c>
      <c r="M120" s="76" t="s">
        <v>493</v>
      </c>
      <c r="N120" s="76" t="str">
        <f ca="1">VLOOKUP(B120,'đơn vị tt'!$C$1:$AG$555,25,0)</f>
        <v>Wyndham DaNang Golden Bay</v>
      </c>
      <c r="O120" s="76" t="str">
        <f ca="1">VLOOKUP(B120,'đơn vị tt'!$C$1:$AG$555,26,0)</f>
        <v>Nhà hàng</v>
      </c>
      <c r="P120" s="76" t="str">
        <f ca="1">VLOOKUP(B120,'đơn vị tt'!$C$1:$AG$555,23,0)</f>
        <v>DUYỆT</v>
      </c>
      <c r="Q120" s="76" t="str">
        <f>VLOOKUP(B120,'XÉT ĐIỀU KIỆN THAM DỰ THỰC TẬP'!$A$10:$AB$633,22,0)</f>
        <v>CHUYÊN ĐỀ</v>
      </c>
      <c r="R120" s="79"/>
      <c r="S120" s="79"/>
    </row>
    <row r="121" spans="1:19" ht="12.75" x14ac:dyDescent="0.2">
      <c r="A121" s="75">
        <v>45650.708772546292</v>
      </c>
      <c r="B121" s="76">
        <v>2320712286</v>
      </c>
      <c r="C121" s="76" t="s">
        <v>190</v>
      </c>
      <c r="D121" s="76" t="s">
        <v>191</v>
      </c>
      <c r="E121" s="76" t="s">
        <v>42</v>
      </c>
      <c r="F121" s="76" t="s">
        <v>192</v>
      </c>
      <c r="G121" s="76" t="s">
        <v>27</v>
      </c>
      <c r="H121" s="76" t="s">
        <v>30</v>
      </c>
      <c r="I121" s="77">
        <v>11</v>
      </c>
      <c r="J121" s="77"/>
      <c r="K121" s="76"/>
      <c r="L121" s="78" t="s">
        <v>892</v>
      </c>
      <c r="M121" s="76" t="s">
        <v>440</v>
      </c>
      <c r="N121" s="76" t="e">
        <f ca="1">VLOOKUP(B121,'đơn vị tt'!$C$1:$AG$555,25,0)</f>
        <v>#N/A</v>
      </c>
      <c r="O121" s="76" t="e">
        <f ca="1">VLOOKUP(B121,'đơn vị tt'!$C$1:$AG$555,26,0)</f>
        <v>#N/A</v>
      </c>
      <c r="P121" s="76" t="e">
        <f ca="1">VLOOKUP(B121,'đơn vị tt'!$C$1:$AG$555,23,0)</f>
        <v>#N/A</v>
      </c>
      <c r="Q121" s="76" t="e">
        <f>VLOOKUP(B121,'XÉT ĐIỀU KIỆN THAM DỰ THỰC TẬP'!$A$10:$AB$633,22,0)</f>
        <v>#N/A</v>
      </c>
      <c r="R121" s="79"/>
      <c r="S121" s="79"/>
    </row>
    <row r="122" spans="1:19" ht="12.75" x14ac:dyDescent="0.2">
      <c r="A122" s="75">
        <v>45650.722335555554</v>
      </c>
      <c r="B122" s="76">
        <v>27207100650</v>
      </c>
      <c r="C122" s="76" t="s">
        <v>193</v>
      </c>
      <c r="D122" s="76" t="s">
        <v>63</v>
      </c>
      <c r="E122" s="76" t="s">
        <v>20</v>
      </c>
      <c r="F122" s="76" t="s">
        <v>21</v>
      </c>
      <c r="G122" s="76" t="s">
        <v>194</v>
      </c>
      <c r="H122" s="76"/>
      <c r="I122" s="77"/>
      <c r="J122" s="77" t="s">
        <v>31</v>
      </c>
      <c r="K122" s="76"/>
      <c r="L122" s="78" t="s">
        <v>193</v>
      </c>
      <c r="M122" s="76" t="s">
        <v>493</v>
      </c>
      <c r="N122" s="76" t="str">
        <f ca="1">VLOOKUP(B122,'đơn vị tt'!$C$1:$AG$555,25,0)</f>
        <v>Chicland Hotel</v>
      </c>
      <c r="O122" s="76" t="str">
        <f ca="1">VLOOKUP(B122,'đơn vị tt'!$C$1:$AG$555,26,0)</f>
        <v>Buồng phòng</v>
      </c>
      <c r="P122" s="76" t="str">
        <f ca="1">VLOOKUP(B122,'đơn vị tt'!$C$1:$AG$555,23,0)</f>
        <v>DUYỆT</v>
      </c>
      <c r="Q122" s="76" t="str">
        <f>VLOOKUP(B122,'XÉT ĐIỀU KIỆN THAM DỰ THỰC TẬP'!$A$10:$AB$633,22,0)</f>
        <v>CHUYÊN ĐỀ</v>
      </c>
      <c r="R122" s="79"/>
      <c r="S122" s="79"/>
    </row>
    <row r="123" spans="1:19" ht="12.75" x14ac:dyDescent="0.2">
      <c r="A123" s="75">
        <v>45650.745946828705</v>
      </c>
      <c r="B123" s="76">
        <v>27202225386</v>
      </c>
      <c r="C123" s="76" t="s">
        <v>195</v>
      </c>
      <c r="D123" s="76" t="s">
        <v>79</v>
      </c>
      <c r="E123" s="76" t="s">
        <v>42</v>
      </c>
      <c r="F123" s="76" t="s">
        <v>21</v>
      </c>
      <c r="G123" s="76" t="s">
        <v>27</v>
      </c>
      <c r="H123" s="76"/>
      <c r="I123" s="77"/>
      <c r="J123" s="77" t="s">
        <v>31</v>
      </c>
      <c r="K123" s="76" t="s">
        <v>153</v>
      </c>
      <c r="L123" s="78" t="s">
        <v>195</v>
      </c>
      <c r="M123" s="76" t="s">
        <v>440</v>
      </c>
      <c r="N123" s="76" t="e">
        <f ca="1">VLOOKUP(B123,'đơn vị tt'!$C$1:$AG$555,25,0)</f>
        <v>#N/A</v>
      </c>
      <c r="O123" s="76" t="e">
        <f ca="1">VLOOKUP(B123,'đơn vị tt'!$C$1:$AG$555,26,0)</f>
        <v>#N/A</v>
      </c>
      <c r="P123" s="76" t="e">
        <f ca="1">VLOOKUP(B123,'đơn vị tt'!$C$1:$AG$555,23,0)</f>
        <v>#N/A</v>
      </c>
      <c r="Q123" s="76" t="str">
        <f>VLOOKUP(B123,'XÉT ĐIỀU KIỆN THAM DỰ THỰC TẬP'!$A$10:$AB$633,22,0)</f>
        <v>CHUYÊN ĐỀ</v>
      </c>
      <c r="R123" s="79"/>
      <c r="S123" s="79"/>
    </row>
    <row r="124" spans="1:19" ht="12.75" x14ac:dyDescent="0.2">
      <c r="A124" s="75">
        <v>45650.778794259255</v>
      </c>
      <c r="B124" s="76">
        <v>27217128480</v>
      </c>
      <c r="C124" s="76" t="s">
        <v>196</v>
      </c>
      <c r="D124" s="76" t="s">
        <v>120</v>
      </c>
      <c r="E124" s="76" t="s">
        <v>20</v>
      </c>
      <c r="F124" s="76" t="s">
        <v>21</v>
      </c>
      <c r="G124" s="76" t="s">
        <v>27</v>
      </c>
      <c r="H124" s="76"/>
      <c r="I124" s="77"/>
      <c r="J124" s="77" t="s">
        <v>31</v>
      </c>
      <c r="K124" s="76"/>
      <c r="L124" s="78" t="s">
        <v>196</v>
      </c>
      <c r="M124" s="76" t="s">
        <v>493</v>
      </c>
      <c r="N124" s="76" t="str">
        <f ca="1">VLOOKUP(B124,'đơn vị tt'!$C$1:$AG$555,25,0)</f>
        <v>Vanda Hotel</v>
      </c>
      <c r="O124" s="76" t="str">
        <f ca="1">VLOOKUP(B124,'đơn vị tt'!$C$1:$AG$555,26,0)</f>
        <v>Nhà hàng</v>
      </c>
      <c r="P124" s="76" t="str">
        <f ca="1">VLOOKUP(B124,'đơn vị tt'!$C$1:$AG$555,23,0)</f>
        <v>DUYỆT</v>
      </c>
      <c r="Q124" s="76" t="str">
        <f>VLOOKUP(B124,'XÉT ĐIỀU KIỆN THAM DỰ THỰC TẬP'!$A$10:$AB$633,22,0)</f>
        <v>CHUYÊN ĐỀ</v>
      </c>
      <c r="R124" s="79"/>
      <c r="S124" s="79"/>
    </row>
    <row r="125" spans="1:19" ht="12.75" x14ac:dyDescent="0.2">
      <c r="A125" s="75">
        <v>45650.80343068287</v>
      </c>
      <c r="B125" s="76">
        <v>27207131271</v>
      </c>
      <c r="C125" s="76" t="s">
        <v>197</v>
      </c>
      <c r="D125" s="76" t="s">
        <v>19</v>
      </c>
      <c r="E125" s="76" t="s">
        <v>20</v>
      </c>
      <c r="F125" s="76" t="s">
        <v>21</v>
      </c>
      <c r="G125" s="76" t="s">
        <v>27</v>
      </c>
      <c r="H125" s="76"/>
      <c r="I125" s="77"/>
      <c r="J125" s="77" t="s">
        <v>31</v>
      </c>
      <c r="K125" s="76"/>
      <c r="L125" s="78" t="s">
        <v>197</v>
      </c>
      <c r="M125" s="76" t="s">
        <v>493</v>
      </c>
      <c r="N125" s="76" t="str">
        <f ca="1">VLOOKUP(B125,'đơn vị tt'!$C$1:$AG$555,25,0)</f>
        <v>Da Nang Mikazuki Japanese Resorts &amp; Spa</v>
      </c>
      <c r="O125" s="76" t="str">
        <f ca="1">VLOOKUP(B125,'đơn vị tt'!$C$1:$AG$555,26,0)</f>
        <v>Nhà hàng</v>
      </c>
      <c r="P125" s="76" t="str">
        <f ca="1">VLOOKUP(B125,'đơn vị tt'!$C$1:$AG$555,23,0)</f>
        <v>DUYỆT</v>
      </c>
      <c r="Q125" s="76" t="str">
        <f>VLOOKUP(B125,'XÉT ĐIỀU KIỆN THAM DỰ THỰC TẬP'!$A$10:$AB$633,22,0)</f>
        <v>CHUYÊN ĐỀ</v>
      </c>
      <c r="R125" s="79"/>
      <c r="S125" s="79"/>
    </row>
    <row r="126" spans="1:19" ht="12.75" x14ac:dyDescent="0.2">
      <c r="A126" s="75">
        <v>45651.769109675923</v>
      </c>
      <c r="B126" s="76">
        <v>27207123321</v>
      </c>
      <c r="C126" s="76" t="s">
        <v>198</v>
      </c>
      <c r="D126" s="76" t="s">
        <v>116</v>
      </c>
      <c r="E126" s="76" t="s">
        <v>20</v>
      </c>
      <c r="F126" s="76" t="s">
        <v>21</v>
      </c>
      <c r="G126" s="76" t="s">
        <v>38</v>
      </c>
      <c r="H126" s="76"/>
      <c r="I126" s="77"/>
      <c r="J126" s="77" t="s">
        <v>31</v>
      </c>
      <c r="K126" s="76"/>
      <c r="L126" s="78" t="s">
        <v>198</v>
      </c>
      <c r="M126" s="76" t="s">
        <v>493</v>
      </c>
      <c r="N126" s="76" t="str">
        <f ca="1">VLOOKUP(B126,'đơn vị tt'!$C$1:$AG$555,25,0)</f>
        <v>Wyndham DaNang Golden Bay</v>
      </c>
      <c r="O126" s="76" t="str">
        <f ca="1">VLOOKUP(B126,'đơn vị tt'!$C$1:$AG$555,26,0)</f>
        <v>Buồng phòng</v>
      </c>
      <c r="P126" s="76" t="str">
        <f ca="1">VLOOKUP(B126,'đơn vị tt'!$C$1:$AG$555,23,0)</f>
        <v>DUYỆT</v>
      </c>
      <c r="Q126" s="76" t="str">
        <f>VLOOKUP(B126,'XÉT ĐIỀU KIỆN THAM DỰ THỰC TẬP'!$A$10:$AB$633,22,0)</f>
        <v>CHUYÊN ĐỀ</v>
      </c>
      <c r="R126" s="79" t="str">
        <f ca="1">VLOOKUP(B126,'chuyển KL-&gt;CĐ'!$C$2:$O$1000,2,0)</f>
        <v>Trần Thị Thanh Lê</v>
      </c>
      <c r="S126" s="79" t="str">
        <f ca="1">VLOOKUP(B126,'chuyển KL-&gt;CĐ'!$C$2:$O$1000,10,0)</f>
        <v>ĐÃ NỘP</v>
      </c>
    </row>
    <row r="127" spans="1:19" ht="12.75" x14ac:dyDescent="0.2">
      <c r="A127" s="75">
        <v>45665.400377152779</v>
      </c>
      <c r="B127" s="76">
        <v>26217135177</v>
      </c>
      <c r="C127" s="76" t="s">
        <v>199</v>
      </c>
      <c r="D127" s="76" t="s">
        <v>200</v>
      </c>
      <c r="E127" s="76" t="s">
        <v>20</v>
      </c>
      <c r="F127" s="76" t="s">
        <v>34</v>
      </c>
      <c r="G127" s="76" t="s">
        <v>38</v>
      </c>
      <c r="H127" s="76" t="s">
        <v>23</v>
      </c>
      <c r="I127" s="77">
        <v>12</v>
      </c>
      <c r="J127" s="80"/>
      <c r="K127" s="76" t="s">
        <v>201</v>
      </c>
      <c r="L127" s="78" t="s">
        <v>199</v>
      </c>
      <c r="M127" s="76" t="s">
        <v>493</v>
      </c>
      <c r="N127" s="76" t="str">
        <f ca="1">VLOOKUP(B127,'đơn vị tt'!$C$1:$AG$555,25,0)</f>
        <v>Le Sands Oceanfront Da Nang Hotel</v>
      </c>
      <c r="O127" s="76" t="str">
        <f ca="1">VLOOKUP(B127,'đơn vị tt'!$C$1:$AG$555,26,0)</f>
        <v>Nhà hàng</v>
      </c>
      <c r="P127" s="76" t="str">
        <f ca="1">VLOOKUP(B127,'đơn vị tt'!$C$1:$AG$555,23,0)</f>
        <v>DUYỆT</v>
      </c>
      <c r="Q127" s="76" t="str">
        <f>VLOOKUP(B127,'XÉT ĐIỀU KIỆN THAM DỰ THỰC TẬP'!$A$10:$AB$633,22,0)</f>
        <v>CHUYÊN ĐỀ</v>
      </c>
      <c r="R127" s="79"/>
      <c r="S127" s="79"/>
    </row>
    <row r="128" spans="1:19" ht="12.75" x14ac:dyDescent="0.2">
      <c r="A128" s="75">
        <v>45651.753252002316</v>
      </c>
      <c r="B128" s="76">
        <v>27207143440</v>
      </c>
      <c r="C128" s="76" t="s">
        <v>202</v>
      </c>
      <c r="D128" s="76" t="s">
        <v>63</v>
      </c>
      <c r="E128" s="76" t="s">
        <v>20</v>
      </c>
      <c r="F128" s="76" t="s">
        <v>21</v>
      </c>
      <c r="G128" s="76" t="s">
        <v>22</v>
      </c>
      <c r="H128" s="76"/>
      <c r="I128" s="77"/>
      <c r="J128" s="77" t="s">
        <v>31</v>
      </c>
      <c r="K128" s="76"/>
      <c r="L128" s="78" t="s">
        <v>202</v>
      </c>
      <c r="M128" s="76" t="s">
        <v>493</v>
      </c>
      <c r="N128" s="76" t="str">
        <f ca="1">VLOOKUP(B128,'đơn vị tt'!$C$1:$AG$555,25,0)</f>
        <v xml:space="preserve">Mandila Beach Hotel </v>
      </c>
      <c r="O128" s="76" t="str">
        <f ca="1">VLOOKUP(B128,'đơn vị tt'!$C$1:$AG$555,26,0)</f>
        <v>Nhà hàng</v>
      </c>
      <c r="P128" s="76" t="str">
        <f ca="1">VLOOKUP(B128,'đơn vị tt'!$C$1:$AG$555,23,0)</f>
        <v>DUYỆT</v>
      </c>
      <c r="Q128" s="76" t="str">
        <f>VLOOKUP(B128,'XÉT ĐIỀU KIỆN THAM DỰ THỰC TẬP'!$A$10:$AB$633,22,0)</f>
        <v>CHUYÊN ĐỀ</v>
      </c>
      <c r="R128" s="79"/>
      <c r="S128" s="79"/>
    </row>
    <row r="129" spans="1:19" ht="12.75" x14ac:dyDescent="0.2">
      <c r="A129" s="75">
        <v>45663.10237886574</v>
      </c>
      <c r="B129" s="76">
        <v>26207126132</v>
      </c>
      <c r="C129" s="76" t="s">
        <v>203</v>
      </c>
      <c r="D129" s="76" t="s">
        <v>204</v>
      </c>
      <c r="E129" s="76" t="s">
        <v>20</v>
      </c>
      <c r="F129" s="76" t="s">
        <v>34</v>
      </c>
      <c r="G129" s="76" t="s">
        <v>38</v>
      </c>
      <c r="H129" s="76" t="s">
        <v>23</v>
      </c>
      <c r="I129" s="77">
        <v>13</v>
      </c>
      <c r="J129" s="77" t="s">
        <v>35</v>
      </c>
      <c r="K129" s="76"/>
      <c r="L129" s="78" t="s">
        <v>794</v>
      </c>
      <c r="M129" s="76" t="s">
        <v>493</v>
      </c>
      <c r="N129" s="76" t="str">
        <f ca="1">VLOOKUP(B129,'đơn vị tt'!$C$1:$AG$555,25,0)</f>
        <v>Vinh Hung Riverside Resort &amp; Spa</v>
      </c>
      <c r="O129" s="76" t="str">
        <f ca="1">VLOOKUP(B129,'đơn vị tt'!$C$1:$AG$555,26,0)</f>
        <v>Tiền sảnh</v>
      </c>
      <c r="P129" s="76" t="str">
        <f ca="1">VLOOKUP(B129,'đơn vị tt'!$C$1:$AG$555,23,0)</f>
        <v>DUYỆT</v>
      </c>
      <c r="Q129" s="76" t="str">
        <f>VLOOKUP(B129,'XÉT ĐIỀU KIỆN THAM DỰ THỰC TẬP'!$A$10:$AB$633,22,0)</f>
        <v>CHUYÊN ĐỀ</v>
      </c>
      <c r="R129" s="79"/>
      <c r="S129" s="79"/>
    </row>
    <row r="130" spans="1:19" ht="12.75" x14ac:dyDescent="0.2">
      <c r="A130" s="75">
        <v>45650.879884895832</v>
      </c>
      <c r="B130" s="76">
        <v>26217241667</v>
      </c>
      <c r="C130" s="76" t="s">
        <v>205</v>
      </c>
      <c r="D130" s="76" t="s">
        <v>120</v>
      </c>
      <c r="E130" s="76" t="s">
        <v>20</v>
      </c>
      <c r="F130" s="76" t="s">
        <v>21</v>
      </c>
      <c r="G130" s="76" t="s">
        <v>22</v>
      </c>
      <c r="H130" s="76"/>
      <c r="I130" s="77"/>
      <c r="J130" s="77" t="s">
        <v>31</v>
      </c>
      <c r="K130" s="76"/>
      <c r="L130" s="78" t="s">
        <v>205</v>
      </c>
      <c r="M130" s="76" t="s">
        <v>493</v>
      </c>
      <c r="N130" s="76" t="str">
        <f ca="1">VLOOKUP(B130,'đơn vị tt'!$C$1:$AG$555,25,0)</f>
        <v>Hyatt regency DaNang Resort</v>
      </c>
      <c r="O130" s="76" t="str">
        <f ca="1">VLOOKUP(B130,'đơn vị tt'!$C$1:$AG$555,26,0)</f>
        <v>Nhà hàng</v>
      </c>
      <c r="P130" s="76" t="str">
        <f ca="1">VLOOKUP(B130,'đơn vị tt'!$C$1:$AG$555,23,0)</f>
        <v>DUYỆT</v>
      </c>
      <c r="Q130" s="76" t="str">
        <f>VLOOKUP(B130,'XÉT ĐIỀU KIỆN THAM DỰ THỰC TẬP'!$A$10:$AB$633,22,0)</f>
        <v>XÉT LÀM KHÓA LUẬN</v>
      </c>
      <c r="R130" s="79" t="e">
        <f ca="1">VLOOKUP(B130,'chuyển KL-&gt;CĐ'!$C$2:$O$1000,2,0)</f>
        <v>#N/A</v>
      </c>
      <c r="S130" s="79" t="e">
        <f ca="1">VLOOKUP(B130,'chuyển KL-&gt;CĐ'!$C$2:$O$1000,10,0)</f>
        <v>#N/A</v>
      </c>
    </row>
    <row r="131" spans="1:19" ht="12.75" x14ac:dyDescent="0.2">
      <c r="A131" s="75">
        <v>45650.881853715277</v>
      </c>
      <c r="B131" s="76">
        <v>27217102218</v>
      </c>
      <c r="C131" s="76" t="s">
        <v>206</v>
      </c>
      <c r="D131" s="76" t="s">
        <v>48</v>
      </c>
      <c r="E131" s="76" t="s">
        <v>20</v>
      </c>
      <c r="F131" s="76" t="s">
        <v>21</v>
      </c>
      <c r="G131" s="76" t="s">
        <v>27</v>
      </c>
      <c r="H131" s="76"/>
      <c r="I131" s="77"/>
      <c r="J131" s="77" t="s">
        <v>31</v>
      </c>
      <c r="K131" s="76"/>
      <c r="L131" s="78" t="s">
        <v>206</v>
      </c>
      <c r="M131" s="76" t="s">
        <v>493</v>
      </c>
      <c r="N131" s="76" t="str">
        <f ca="1">VLOOKUP(B131,'đơn vị tt'!$C$1:$AG$555,25,0)</f>
        <v>Diamond Sea Hotel</v>
      </c>
      <c r="O131" s="76" t="str">
        <f ca="1">VLOOKUP(B131,'đơn vị tt'!$C$1:$AG$555,26,0)</f>
        <v>Buồng phòng</v>
      </c>
      <c r="P131" s="76" t="str">
        <f ca="1">VLOOKUP(B131,'đơn vị tt'!$C$1:$AG$555,23,0)</f>
        <v>DUYỆT</v>
      </c>
      <c r="Q131" s="76" t="str">
        <f>VLOOKUP(B131,'XÉT ĐIỀU KIỆN THAM DỰ THỰC TẬP'!$A$10:$AB$633,22,0)</f>
        <v>CHUYÊN ĐỀ</v>
      </c>
      <c r="R131" s="79"/>
      <c r="S131" s="79"/>
    </row>
    <row r="132" spans="1:19" s="89" customFormat="1" ht="38.25" x14ac:dyDescent="0.2">
      <c r="A132" s="86">
        <v>45651.690795023147</v>
      </c>
      <c r="B132" s="79">
        <v>27207133735</v>
      </c>
      <c r="C132" s="79" t="s">
        <v>207</v>
      </c>
      <c r="D132" s="79" t="s">
        <v>116</v>
      </c>
      <c r="E132" s="79" t="s">
        <v>20</v>
      </c>
      <c r="F132" s="79" t="s">
        <v>21</v>
      </c>
      <c r="G132" s="79" t="s">
        <v>38</v>
      </c>
      <c r="H132" s="79"/>
      <c r="I132" s="87"/>
      <c r="J132" s="87" t="s">
        <v>31</v>
      </c>
      <c r="K132" s="79"/>
      <c r="L132" s="88" t="s">
        <v>893</v>
      </c>
      <c r="M132" s="79" t="s">
        <v>493</v>
      </c>
      <c r="N132" s="79" t="str">
        <f ca="1">VLOOKUP(B132,'đơn vị tt'!$C$1:$AG$555,25,0)</f>
        <v>Wyndham DaNang Golden Bay</v>
      </c>
      <c r="O132" s="79" t="str">
        <f ca="1">VLOOKUP(B132,'đơn vị tt'!$C$1:$AG$555,26,0)</f>
        <v>Tiền sảnh</v>
      </c>
      <c r="P132" s="79" t="str">
        <f ca="1">VLOOKUP(B132,'đơn vị tt'!$C$1:$AG$555,23,0)</f>
        <v>DUYỆT</v>
      </c>
      <c r="Q132" s="79" t="str">
        <f>VLOOKUP(B132,'XÉT ĐIỀU KIỆN THAM DỰ THỰC TẬP'!$A$10:$AB$633,22,0)</f>
        <v>CHUYÊN ĐỀ</v>
      </c>
      <c r="R132" s="79" t="str">
        <f ca="1">VLOOKUP(B132,'chuyển KL-&gt;CĐ'!$C$2:$O$1000,2,0)</f>
        <v xml:space="preserve">Nguyễn Thị Thúy Hiền </v>
      </c>
      <c r="S132" s="79" t="str">
        <f ca="1">VLOOKUP(B132,'chuyển KL-&gt;CĐ'!$C$2:$O$1000,10,0)</f>
        <v>ĐÃ NỘP</v>
      </c>
    </row>
    <row r="133" spans="1:19" s="89" customFormat="1" ht="38.25" x14ac:dyDescent="0.2">
      <c r="A133" s="86">
        <v>45651.69036601852</v>
      </c>
      <c r="B133" s="79">
        <v>27217130071</v>
      </c>
      <c r="C133" s="79" t="s">
        <v>208</v>
      </c>
      <c r="D133" s="79" t="s">
        <v>116</v>
      </c>
      <c r="E133" s="79" t="s">
        <v>20</v>
      </c>
      <c r="F133" s="79" t="s">
        <v>21</v>
      </c>
      <c r="G133" s="79" t="s">
        <v>38</v>
      </c>
      <c r="H133" s="79"/>
      <c r="I133" s="87"/>
      <c r="J133" s="87" t="s">
        <v>31</v>
      </c>
      <c r="K133" s="79"/>
      <c r="L133" s="88" t="s">
        <v>894</v>
      </c>
      <c r="M133" s="79" t="s">
        <v>493</v>
      </c>
      <c r="N133" s="79" t="str">
        <f ca="1">VLOOKUP(B133,'đơn vị tt'!$C$1:$AG$555,25,0)</f>
        <v>Meliá Vinpearl Danang Riverfront</v>
      </c>
      <c r="O133" s="79" t="str">
        <f ca="1">VLOOKUP(B133,'đơn vị tt'!$C$1:$AG$555,26,0)</f>
        <v>Buồng phòng</v>
      </c>
      <c r="P133" s="79" t="str">
        <f ca="1">VLOOKUP(B133,'đơn vị tt'!$C$1:$AG$555,23,0)</f>
        <v>DUYỆT</v>
      </c>
      <c r="Q133" s="79" t="str">
        <f>VLOOKUP(B133,'XÉT ĐIỀU KIỆN THAM DỰ THỰC TẬP'!$A$10:$AB$633,22,0)</f>
        <v>CHUYÊN ĐỀ</v>
      </c>
      <c r="R133" s="79" t="str">
        <f ca="1">VLOOKUP(B133,'chuyển KL-&gt;CĐ'!$C$2:$O$1000,2,0)</f>
        <v xml:space="preserve">Trần Văn Tứ </v>
      </c>
      <c r="S133" s="79" t="str">
        <f ca="1">VLOOKUP(B133,'chuyển KL-&gt;CĐ'!$C$2:$O$1000,10,0)</f>
        <v>ĐÃ NỘP</v>
      </c>
    </row>
    <row r="134" spans="1:19" s="89" customFormat="1" ht="38.25" x14ac:dyDescent="0.2">
      <c r="A134" s="86">
        <v>45651.453825752316</v>
      </c>
      <c r="B134" s="79">
        <v>27207142571</v>
      </c>
      <c r="C134" s="79" t="s">
        <v>209</v>
      </c>
      <c r="D134" s="79" t="s">
        <v>116</v>
      </c>
      <c r="E134" s="79" t="s">
        <v>20</v>
      </c>
      <c r="F134" s="79" t="s">
        <v>21</v>
      </c>
      <c r="G134" s="79" t="s">
        <v>38</v>
      </c>
      <c r="H134" s="79"/>
      <c r="I134" s="87"/>
      <c r="J134" s="87" t="s">
        <v>31</v>
      </c>
      <c r="K134" s="79"/>
      <c r="L134" s="88" t="s">
        <v>895</v>
      </c>
      <c r="M134" s="79" t="s">
        <v>493</v>
      </c>
      <c r="N134" s="79" t="str">
        <f ca="1">VLOOKUP(B134,'đơn vị tt'!$C$1:$AG$555,25,0)</f>
        <v>Le Sands Oceanfront Da Nang Hotel</v>
      </c>
      <c r="O134" s="79" t="str">
        <f ca="1">VLOOKUP(B134,'đơn vị tt'!$C$1:$AG$555,26,0)</f>
        <v>Nhà hàng</v>
      </c>
      <c r="P134" s="79" t="str">
        <f ca="1">VLOOKUP(B134,'đơn vị tt'!$C$1:$AG$555,23,0)</f>
        <v>DUYỆT</v>
      </c>
      <c r="Q134" s="79" t="str">
        <f>VLOOKUP(B134,'XÉT ĐIỀU KIỆN THAM DỰ THỰC TẬP'!$A$10:$AB$633,22,0)</f>
        <v>CHUYÊN ĐỀ</v>
      </c>
      <c r="R134" s="79"/>
      <c r="S134" s="79"/>
    </row>
    <row r="135" spans="1:19" s="89" customFormat="1" ht="25.5" x14ac:dyDescent="0.2">
      <c r="A135" s="86">
        <v>45651.309575254629</v>
      </c>
      <c r="B135" s="79">
        <v>27207103184</v>
      </c>
      <c r="C135" s="79" t="s">
        <v>210</v>
      </c>
      <c r="D135" s="79" t="s">
        <v>211</v>
      </c>
      <c r="E135" s="79" t="s">
        <v>20</v>
      </c>
      <c r="F135" s="79" t="s">
        <v>21</v>
      </c>
      <c r="G135" s="79" t="s">
        <v>22</v>
      </c>
      <c r="H135" s="79"/>
      <c r="I135" s="87"/>
      <c r="J135" s="87" t="s">
        <v>31</v>
      </c>
      <c r="K135" s="79"/>
      <c r="L135" s="88" t="s">
        <v>896</v>
      </c>
      <c r="M135" s="79" t="s">
        <v>493</v>
      </c>
      <c r="N135" s="79" t="str">
        <f ca="1">VLOOKUP(B135,'đơn vị tt'!$C$1:$AG$555,25,0)</f>
        <v>Hoi An Historic Hotel</v>
      </c>
      <c r="O135" s="79" t="str">
        <f ca="1">VLOOKUP(B135,'đơn vị tt'!$C$1:$AG$555,26,0)</f>
        <v>Tiền sảnh</v>
      </c>
      <c r="P135" s="79" t="str">
        <f ca="1">VLOOKUP(B135,'đơn vị tt'!$C$1:$AG$555,23,0)</f>
        <v>DUYỆT</v>
      </c>
      <c r="Q135" s="79" t="str">
        <f>VLOOKUP(B135,'XÉT ĐIỀU KIỆN THAM DỰ THỰC TẬP'!$A$10:$AB$633,22,0)</f>
        <v>CHUYÊN ĐỀ</v>
      </c>
      <c r="R135" s="79" t="str">
        <f ca="1">VLOOKUP(B135,'chuyển KL-&gt;CĐ'!$C$2:$O$1000,2,0)</f>
        <v>Trần Thị Kiều Duyên</v>
      </c>
      <c r="S135" s="79" t="str">
        <f ca="1">VLOOKUP(B135,'chuyển KL-&gt;CĐ'!$C$2:$O$1000,10,0)</f>
        <v>ĐÃ NỘP</v>
      </c>
    </row>
    <row r="136" spans="1:19" s="89" customFormat="1" ht="25.5" x14ac:dyDescent="0.2">
      <c r="A136" s="86">
        <v>45651.506952581018</v>
      </c>
      <c r="B136" s="79">
        <v>27217126224</v>
      </c>
      <c r="C136" s="79" t="s">
        <v>212</v>
      </c>
      <c r="D136" s="79" t="s">
        <v>116</v>
      </c>
      <c r="E136" s="79" t="s">
        <v>20</v>
      </c>
      <c r="F136" s="79" t="s">
        <v>21</v>
      </c>
      <c r="G136" s="79" t="s">
        <v>27</v>
      </c>
      <c r="H136" s="79"/>
      <c r="I136" s="87"/>
      <c r="J136" s="87" t="s">
        <v>31</v>
      </c>
      <c r="K136" s="79" t="s">
        <v>153</v>
      </c>
      <c r="L136" s="88" t="s">
        <v>212</v>
      </c>
      <c r="M136" s="79" t="s">
        <v>493</v>
      </c>
      <c r="N136" s="79" t="e">
        <f ca="1">VLOOKUP(B136,'đơn vị tt'!$C$1:$AG$555,25,0)</f>
        <v>#N/A</v>
      </c>
      <c r="O136" s="79" t="e">
        <f ca="1">VLOOKUP(B136,'đơn vị tt'!$C$1:$AG$555,26,0)</f>
        <v>#N/A</v>
      </c>
      <c r="P136" s="79" t="e">
        <f ca="1">VLOOKUP(B136,'đơn vị tt'!$C$1:$AG$555,23,0)</f>
        <v>#N/A</v>
      </c>
      <c r="Q136" s="79" t="str">
        <f>VLOOKUP(B136,'XÉT ĐIỀU KIỆN THAM DỰ THỰC TẬP'!$A$10:$AB$633,22,0)</f>
        <v>không đủ điều kiện</v>
      </c>
      <c r="R136" s="79"/>
      <c r="S136" s="79"/>
    </row>
    <row r="137" spans="1:19" s="89" customFormat="1" ht="25.5" x14ac:dyDescent="0.2">
      <c r="A137" s="86">
        <v>45651.52539224537</v>
      </c>
      <c r="B137" s="79">
        <v>27207128195</v>
      </c>
      <c r="C137" s="79" t="s">
        <v>213</v>
      </c>
      <c r="D137" s="79" t="s">
        <v>63</v>
      </c>
      <c r="E137" s="79" t="s">
        <v>20</v>
      </c>
      <c r="F137" s="79" t="s">
        <v>21</v>
      </c>
      <c r="G137" s="79" t="s">
        <v>27</v>
      </c>
      <c r="H137" s="79"/>
      <c r="I137" s="87"/>
      <c r="J137" s="87" t="s">
        <v>31</v>
      </c>
      <c r="K137" s="79"/>
      <c r="L137" s="88" t="s">
        <v>213</v>
      </c>
      <c r="M137" s="79" t="s">
        <v>493</v>
      </c>
      <c r="N137" s="79" t="str">
        <f ca="1">VLOOKUP(B137,'đơn vị tt'!$C$1:$AG$555,25,0)</f>
        <v>New Orient Hotel Đà Nẵng</v>
      </c>
      <c r="O137" s="79" t="str">
        <f ca="1">VLOOKUP(B137,'đơn vị tt'!$C$1:$AG$555,26,0)</f>
        <v>Tiền sảnh</v>
      </c>
      <c r="P137" s="79" t="str">
        <f ca="1">VLOOKUP(B137,'đơn vị tt'!$C$1:$AG$555,23,0)</f>
        <v>DUYỆT</v>
      </c>
      <c r="Q137" s="79" t="str">
        <f>VLOOKUP(B137,'XÉT ĐIỀU KIỆN THAM DỰ THỰC TẬP'!$A$10:$AB$633,22,0)</f>
        <v>CHUYÊN ĐỀ</v>
      </c>
      <c r="R137" s="79"/>
      <c r="S137" s="79"/>
    </row>
    <row r="138" spans="1:19" s="89" customFormat="1" ht="25.5" x14ac:dyDescent="0.2">
      <c r="A138" s="86">
        <v>45656.463094687497</v>
      </c>
      <c r="B138" s="79">
        <v>27207102765</v>
      </c>
      <c r="C138" s="79" t="s">
        <v>214</v>
      </c>
      <c r="D138" s="79" t="s">
        <v>215</v>
      </c>
      <c r="E138" s="79" t="s">
        <v>20</v>
      </c>
      <c r="F138" s="79" t="s">
        <v>21</v>
      </c>
      <c r="G138" s="79" t="s">
        <v>27</v>
      </c>
      <c r="H138" s="79"/>
      <c r="I138" s="87"/>
      <c r="J138" s="87" t="s">
        <v>31</v>
      </c>
      <c r="K138" s="79"/>
      <c r="L138" s="88" t="s">
        <v>253</v>
      </c>
      <c r="M138" s="79" t="s">
        <v>493</v>
      </c>
      <c r="N138" s="79" t="str">
        <f ca="1">VLOOKUP(B138,'đơn vị tt'!$C$1:$AG$555,25,0)</f>
        <v>Hyatt regency DaNang Resort</v>
      </c>
      <c r="O138" s="79" t="str">
        <f ca="1">VLOOKUP(B138,'đơn vị tt'!$C$1:$AG$555,26,0)</f>
        <v>Nhà hàng</v>
      </c>
      <c r="P138" s="79" t="str">
        <f ca="1">VLOOKUP(B138,'đơn vị tt'!$C$1:$AG$555,23,0)</f>
        <v>DUYỆT</v>
      </c>
      <c r="Q138" s="79" t="str">
        <f>VLOOKUP(B138,'XÉT ĐIỀU KIỆN THAM DỰ THỰC TẬP'!$A$10:$AB$633,22,0)</f>
        <v>XÉT LÀM KHÓA LUẬN</v>
      </c>
      <c r="R138" s="79" t="e">
        <f ca="1">VLOOKUP(B138,'chuyển KL-&gt;CĐ'!$C$2:$O$1000,2,0)</f>
        <v>#N/A</v>
      </c>
      <c r="S138" s="79" t="e">
        <f ca="1">VLOOKUP(B138,'chuyển KL-&gt;CĐ'!$C$2:$O$1000,10,0)</f>
        <v>#N/A</v>
      </c>
    </row>
    <row r="139" spans="1:19" s="89" customFormat="1" ht="38.25" x14ac:dyDescent="0.2">
      <c r="A139" s="86">
        <v>45651.542395717595</v>
      </c>
      <c r="B139" s="79">
        <v>27217133907</v>
      </c>
      <c r="C139" s="79" t="s">
        <v>216</v>
      </c>
      <c r="D139" s="79" t="s">
        <v>120</v>
      </c>
      <c r="E139" s="79" t="s">
        <v>20</v>
      </c>
      <c r="F139" s="79" t="s">
        <v>21</v>
      </c>
      <c r="G139" s="79" t="s">
        <v>38</v>
      </c>
      <c r="H139" s="79"/>
      <c r="I139" s="87"/>
      <c r="J139" s="87" t="s">
        <v>31</v>
      </c>
      <c r="K139" s="79"/>
      <c r="L139" s="88" t="s">
        <v>216</v>
      </c>
      <c r="M139" s="79" t="s">
        <v>493</v>
      </c>
      <c r="N139" s="79" t="str">
        <f ca="1">VLOOKUP(B139,'đơn vị tt'!$C$1:$AG$555,25,0)</f>
        <v>Khách sạn Như Minh Plaza</v>
      </c>
      <c r="O139" s="79" t="str">
        <f ca="1">VLOOKUP(B139,'đơn vị tt'!$C$1:$AG$555,26,0)</f>
        <v>Tiền sảnh</v>
      </c>
      <c r="P139" s="79" t="str">
        <f ca="1">VLOOKUP(B139,'đơn vị tt'!$C$1:$AG$555,23,0)</f>
        <v>DUYỆT</v>
      </c>
      <c r="Q139" s="79" t="str">
        <f>VLOOKUP(B139,'XÉT ĐIỀU KIỆN THAM DỰ THỰC TẬP'!$A$10:$AB$633,22,0)</f>
        <v>CHUYÊN ĐỀ</v>
      </c>
      <c r="R139" s="79"/>
      <c r="S139" s="79"/>
    </row>
    <row r="140" spans="1:19" s="89" customFormat="1" ht="38.25" x14ac:dyDescent="0.2">
      <c r="A140" s="86">
        <v>45651.550015856483</v>
      </c>
      <c r="B140" s="79">
        <v>27207124538</v>
      </c>
      <c r="C140" s="79" t="s">
        <v>217</v>
      </c>
      <c r="D140" s="79" t="s">
        <v>218</v>
      </c>
      <c r="E140" s="79" t="s">
        <v>20</v>
      </c>
      <c r="F140" s="79" t="s">
        <v>21</v>
      </c>
      <c r="G140" s="79" t="s">
        <v>38</v>
      </c>
      <c r="H140" s="79"/>
      <c r="I140" s="87"/>
      <c r="J140" s="87" t="s">
        <v>31</v>
      </c>
      <c r="K140" s="79"/>
      <c r="L140" s="88" t="s">
        <v>217</v>
      </c>
      <c r="M140" s="79" t="s">
        <v>493</v>
      </c>
      <c r="N140" s="79" t="str">
        <f ca="1">VLOOKUP(B140,'đơn vị tt'!$C$1:$AG$555,25,0)</f>
        <v>Khách sạn Như Minh Plaza</v>
      </c>
      <c r="O140" s="79" t="str">
        <f ca="1">VLOOKUP(B140,'đơn vị tt'!$C$1:$AG$555,26,0)</f>
        <v>Tiền sảnh</v>
      </c>
      <c r="P140" s="79" t="str">
        <f ca="1">VLOOKUP(B140,'đơn vị tt'!$C$1:$AG$555,23,0)</f>
        <v>DUYỆT</v>
      </c>
      <c r="Q140" s="79" t="str">
        <f>VLOOKUP(B140,'XÉT ĐIỀU KIỆN THAM DỰ THỰC TẬP'!$A$10:$AB$633,22,0)</f>
        <v>không đủ điều kiện</v>
      </c>
      <c r="R140" s="79"/>
      <c r="S140" s="79"/>
    </row>
    <row r="141" spans="1:19" s="89" customFormat="1" ht="38.25" x14ac:dyDescent="0.2">
      <c r="A141" s="86">
        <v>45652.828970706018</v>
      </c>
      <c r="B141" s="79">
        <v>27207142712</v>
      </c>
      <c r="C141" s="79" t="s">
        <v>219</v>
      </c>
      <c r="D141" s="79" t="s">
        <v>116</v>
      </c>
      <c r="E141" s="79" t="s">
        <v>20</v>
      </c>
      <c r="F141" s="79" t="s">
        <v>21</v>
      </c>
      <c r="G141" s="79" t="s">
        <v>38</v>
      </c>
      <c r="H141" s="79"/>
      <c r="I141" s="87"/>
      <c r="J141" s="87" t="s">
        <v>31</v>
      </c>
      <c r="K141" s="79"/>
      <c r="L141" s="88" t="s">
        <v>897</v>
      </c>
      <c r="M141" s="79" t="s">
        <v>493</v>
      </c>
      <c r="N141" s="79" t="str">
        <f ca="1">VLOOKUP(B141,'đơn vị tt'!$C$1:$AG$555,25,0)</f>
        <v>Grand Mercure Đà Nẵng</v>
      </c>
      <c r="O141" s="79" t="str">
        <f ca="1">VLOOKUP(B141,'đơn vị tt'!$C$1:$AG$555,26,0)</f>
        <v>Nhà hàng</v>
      </c>
      <c r="P141" s="79" t="str">
        <f ca="1">VLOOKUP(B141,'đơn vị tt'!$C$1:$AG$555,23,0)</f>
        <v>DUYỆT</v>
      </c>
      <c r="Q141" s="79" t="str">
        <f>VLOOKUP(B141,'XÉT ĐIỀU KIỆN THAM DỰ THỰC TẬP'!$A$10:$AB$633,22,0)</f>
        <v>CHUYÊN ĐỀ</v>
      </c>
      <c r="R141" s="79"/>
      <c r="S141" s="79"/>
    </row>
    <row r="142" spans="1:19" s="89" customFormat="1" ht="38.25" x14ac:dyDescent="0.2">
      <c r="A142" s="86">
        <v>45651.574334548612</v>
      </c>
      <c r="B142" s="79">
        <v>27207140629</v>
      </c>
      <c r="C142" s="79" t="s">
        <v>220</v>
      </c>
      <c r="D142" s="79" t="s">
        <v>63</v>
      </c>
      <c r="E142" s="79" t="s">
        <v>20</v>
      </c>
      <c r="F142" s="79" t="s">
        <v>21</v>
      </c>
      <c r="G142" s="79" t="s">
        <v>38</v>
      </c>
      <c r="H142" s="79"/>
      <c r="I142" s="87"/>
      <c r="J142" s="87" t="s">
        <v>31</v>
      </c>
      <c r="K142" s="79"/>
      <c r="L142" s="88" t="s">
        <v>220</v>
      </c>
      <c r="M142" s="79" t="s">
        <v>493</v>
      </c>
      <c r="N142" s="79" t="str">
        <f ca="1">VLOOKUP(B142,'đơn vị tt'!$C$1:$AG$555,25,0)</f>
        <v>Meliá Danang Beach Resort</v>
      </c>
      <c r="O142" s="79" t="str">
        <f ca="1">VLOOKUP(B142,'đơn vị tt'!$C$1:$AG$555,26,0)</f>
        <v>Tiền sảnh</v>
      </c>
      <c r="P142" s="79" t="str">
        <f ca="1">VLOOKUP(B142,'đơn vị tt'!$C$1:$AG$555,23,0)</f>
        <v>DUYỆT</v>
      </c>
      <c r="Q142" s="79" t="str">
        <f>VLOOKUP(B142,'XÉT ĐIỀU KIỆN THAM DỰ THỰC TẬP'!$A$10:$AB$633,22,0)</f>
        <v>CHUYÊN ĐỀ</v>
      </c>
      <c r="R142" s="79" t="str">
        <f ca="1">VLOOKUP(B142,'chuyển KL-&gt;CĐ'!$C$2:$O$1000,2,0)</f>
        <v>Trần Thị Hương</v>
      </c>
      <c r="S142" s="79" t="str">
        <f ca="1">VLOOKUP(B142,'chuyển KL-&gt;CĐ'!$C$2:$O$1000,10,0)</f>
        <v>ĐÃ NỘP</v>
      </c>
    </row>
    <row r="143" spans="1:19" s="89" customFormat="1" ht="25.5" x14ac:dyDescent="0.2">
      <c r="A143" s="86">
        <v>45651.577131944447</v>
      </c>
      <c r="B143" s="79">
        <v>27207120272</v>
      </c>
      <c r="C143" s="79" t="s">
        <v>221</v>
      </c>
      <c r="D143" s="79" t="s">
        <v>116</v>
      </c>
      <c r="E143" s="79" t="s">
        <v>20</v>
      </c>
      <c r="F143" s="79" t="s">
        <v>21</v>
      </c>
      <c r="G143" s="79" t="s">
        <v>27</v>
      </c>
      <c r="H143" s="79"/>
      <c r="I143" s="87"/>
      <c r="J143" s="87" t="s">
        <v>31</v>
      </c>
      <c r="K143" s="79"/>
      <c r="L143" s="88" t="s">
        <v>221</v>
      </c>
      <c r="M143" s="79" t="s">
        <v>493</v>
      </c>
      <c r="N143" s="79" t="str">
        <f ca="1">VLOOKUP(B143,'đơn vị tt'!$C$1:$AG$555,25,0)</f>
        <v>Wyndham DaNang Golden Bay</v>
      </c>
      <c r="O143" s="79" t="str">
        <f ca="1">VLOOKUP(B143,'đơn vị tt'!$C$1:$AG$555,26,0)</f>
        <v>Nhà hàng</v>
      </c>
      <c r="P143" s="79" t="str">
        <f ca="1">VLOOKUP(B143,'đơn vị tt'!$C$1:$AG$555,23,0)</f>
        <v>DUYỆT</v>
      </c>
      <c r="Q143" s="79" t="str">
        <f>VLOOKUP(B143,'XÉT ĐIỀU KIỆN THAM DỰ THỰC TẬP'!$A$10:$AB$633,22,0)</f>
        <v>CHUYÊN ĐỀ</v>
      </c>
      <c r="R143" s="79" t="str">
        <f ca="1">VLOOKUP(B143,'chuyển KL-&gt;CĐ'!$C$2:$O$1000,2,0)</f>
        <v>Nguyễn Thị Hồng Vân</v>
      </c>
      <c r="S143" s="79" t="str">
        <f ca="1">VLOOKUP(B143,'chuyển KL-&gt;CĐ'!$C$2:$O$1000,10,0)</f>
        <v>ĐÃ NỘP</v>
      </c>
    </row>
    <row r="144" spans="1:19" s="89" customFormat="1" ht="38.25" x14ac:dyDescent="0.2">
      <c r="A144" s="86">
        <v>45651.605544421298</v>
      </c>
      <c r="B144" s="79">
        <v>26207133639</v>
      </c>
      <c r="C144" s="79" t="s">
        <v>222</v>
      </c>
      <c r="D144" s="79" t="s">
        <v>223</v>
      </c>
      <c r="E144" s="79" t="s">
        <v>20</v>
      </c>
      <c r="F144" s="79" t="s">
        <v>34</v>
      </c>
      <c r="G144" s="79" t="s">
        <v>38</v>
      </c>
      <c r="H144" s="79" t="s">
        <v>23</v>
      </c>
      <c r="I144" s="87">
        <v>14</v>
      </c>
      <c r="J144" s="87" t="s">
        <v>35</v>
      </c>
      <c r="K144" s="79"/>
      <c r="L144" s="88" t="s">
        <v>898</v>
      </c>
      <c r="M144" s="79" t="s">
        <v>493</v>
      </c>
      <c r="N144" s="79" t="str">
        <f ca="1">VLOOKUP(B144,'đơn vị tt'!$C$1:$AG$555,25,0)</f>
        <v>New Orient Hotel Đà Nẵng</v>
      </c>
      <c r="O144" s="79" t="str">
        <f ca="1">VLOOKUP(B144,'đơn vị tt'!$C$1:$AG$555,26,0)</f>
        <v>Buồng phòng</v>
      </c>
      <c r="P144" s="79" t="str">
        <f ca="1">VLOOKUP(B144,'đơn vị tt'!$C$1:$AG$555,23,0)</f>
        <v>DUYỆT</v>
      </c>
      <c r="Q144" s="79" t="str">
        <f>VLOOKUP(B144,'XÉT ĐIỀU KIỆN THAM DỰ THỰC TẬP'!$A$10:$AB$633,22,0)</f>
        <v>CHUYÊN ĐỀ</v>
      </c>
      <c r="R144" s="79"/>
      <c r="S144" s="79"/>
    </row>
    <row r="145" spans="1:19" s="89" customFormat="1" ht="38.25" x14ac:dyDescent="0.2">
      <c r="A145" s="86">
        <v>45651.69630200231</v>
      </c>
      <c r="B145" s="79">
        <v>27207141751</v>
      </c>
      <c r="C145" s="79" t="s">
        <v>224</v>
      </c>
      <c r="D145" s="79" t="s">
        <v>116</v>
      </c>
      <c r="E145" s="79" t="s">
        <v>20</v>
      </c>
      <c r="F145" s="79" t="s">
        <v>21</v>
      </c>
      <c r="G145" s="79" t="s">
        <v>38</v>
      </c>
      <c r="H145" s="79"/>
      <c r="I145" s="87"/>
      <c r="J145" s="87" t="s">
        <v>31</v>
      </c>
      <c r="K145" s="79"/>
      <c r="L145" s="88" t="s">
        <v>224</v>
      </c>
      <c r="M145" s="79" t="s">
        <v>493</v>
      </c>
      <c r="N145" s="79" t="str">
        <f ca="1">VLOOKUP(B145,'đơn vị tt'!$C$1:$AG$555,25,0)</f>
        <v>Meliá Vinpearl Danang Riverfront</v>
      </c>
      <c r="O145" s="79" t="str">
        <f ca="1">VLOOKUP(B145,'đơn vị tt'!$C$1:$AG$555,26,0)</f>
        <v>Nhà hàng</v>
      </c>
      <c r="P145" s="79" t="str">
        <f ca="1">VLOOKUP(B145,'đơn vị tt'!$C$1:$AG$555,23,0)</f>
        <v>DUYỆT</v>
      </c>
      <c r="Q145" s="79" t="str">
        <f>VLOOKUP(B145,'XÉT ĐIỀU KIỆN THAM DỰ THỰC TẬP'!$A$10:$AB$633,22,0)</f>
        <v>CHUYÊN ĐỀ</v>
      </c>
      <c r="R145" s="79" t="str">
        <f ca="1">VLOOKUP(B145,'chuyển KL-&gt;CĐ'!$C$2:$O$1000,2,0)</f>
        <v>Nguyễn Ngọc Kim Khánh</v>
      </c>
      <c r="S145" s="79" t="str">
        <f ca="1">VLOOKUP(B145,'chuyển KL-&gt;CĐ'!$C$2:$O$1000,10,0)</f>
        <v>ĐÃ NỘP</v>
      </c>
    </row>
    <row r="146" spans="1:19" s="89" customFormat="1" ht="38.25" x14ac:dyDescent="0.2">
      <c r="A146" s="86">
        <v>45652.965414421298</v>
      </c>
      <c r="B146" s="79">
        <v>27207120879</v>
      </c>
      <c r="C146" s="79" t="s">
        <v>225</v>
      </c>
      <c r="D146" s="79" t="s">
        <v>26</v>
      </c>
      <c r="E146" s="79" t="s">
        <v>20</v>
      </c>
      <c r="F146" s="79" t="s">
        <v>21</v>
      </c>
      <c r="G146" s="79" t="s">
        <v>38</v>
      </c>
      <c r="H146" s="79"/>
      <c r="I146" s="87"/>
      <c r="J146" s="87" t="s">
        <v>31</v>
      </c>
      <c r="K146" s="79"/>
      <c r="L146" s="88" t="s">
        <v>225</v>
      </c>
      <c r="M146" s="79" t="s">
        <v>493</v>
      </c>
      <c r="N146" s="79" t="str">
        <f ca="1">VLOOKUP(B146,'đơn vị tt'!$C$1:$AG$555,25,0)</f>
        <v>Meliá Vinpearl Danang Riverfront</v>
      </c>
      <c r="O146" s="79" t="str">
        <f ca="1">VLOOKUP(B146,'đơn vị tt'!$C$1:$AG$555,26,0)</f>
        <v>Nhà hàng</v>
      </c>
      <c r="P146" s="79" t="str">
        <f ca="1">VLOOKUP(B146,'đơn vị tt'!$C$1:$AG$555,23,0)</f>
        <v>DUYỆT</v>
      </c>
      <c r="Q146" s="79" t="str">
        <f>VLOOKUP(B146,'XÉT ĐIỀU KIỆN THAM DỰ THỰC TẬP'!$A$10:$AB$633,22,0)</f>
        <v>CHUYÊN ĐỀ</v>
      </c>
      <c r="R146" s="79" t="str">
        <f ca="1">VLOOKUP(B146,'chuyển KL-&gt;CĐ'!$C$2:$O$1000,2,0)</f>
        <v>Nguyễn Thị Thanh Thảo</v>
      </c>
      <c r="S146" s="79" t="str">
        <f ca="1">VLOOKUP(B146,'chuyển KL-&gt;CĐ'!$C$2:$O$1000,10,0)</f>
        <v>ĐÃ NỘP</v>
      </c>
    </row>
    <row r="147" spans="1:19" s="89" customFormat="1" ht="38.25" x14ac:dyDescent="0.2">
      <c r="A147" s="86">
        <v>45651.656757210643</v>
      </c>
      <c r="B147" s="79">
        <v>27207128316</v>
      </c>
      <c r="C147" s="79" t="s">
        <v>226</v>
      </c>
      <c r="D147" s="79" t="s">
        <v>48</v>
      </c>
      <c r="E147" s="79" t="s">
        <v>20</v>
      </c>
      <c r="F147" s="79" t="s">
        <v>21</v>
      </c>
      <c r="G147" s="79" t="s">
        <v>38</v>
      </c>
      <c r="H147" s="79"/>
      <c r="I147" s="87"/>
      <c r="J147" s="87" t="s">
        <v>31</v>
      </c>
      <c r="K147" s="79"/>
      <c r="L147" s="88" t="s">
        <v>226</v>
      </c>
      <c r="M147" s="79" t="s">
        <v>493</v>
      </c>
      <c r="N147" s="79" t="str">
        <f ca="1">VLOOKUP(B147,'đơn vị tt'!$C$1:$AG$555,25,0)</f>
        <v>Crowne Plaza Danang City Centre</v>
      </c>
      <c r="O147" s="79" t="str">
        <f ca="1">VLOOKUP(B147,'đơn vị tt'!$C$1:$AG$555,26,0)</f>
        <v>Nhà hàng</v>
      </c>
      <c r="P147" s="79" t="str">
        <f ca="1">VLOOKUP(B147,'đơn vị tt'!$C$1:$AG$555,23,0)</f>
        <v>DUYỆT</v>
      </c>
      <c r="Q147" s="79" t="str">
        <f>VLOOKUP(B147,'XÉT ĐIỀU KIỆN THAM DỰ THỰC TẬP'!$A$10:$AB$633,22,0)</f>
        <v>CHUYÊN ĐỀ</v>
      </c>
      <c r="R147" s="79"/>
      <c r="S147" s="79"/>
    </row>
    <row r="148" spans="1:19" s="89" customFormat="1" ht="38.25" x14ac:dyDescent="0.2">
      <c r="A148" s="86">
        <v>45651.664963368057</v>
      </c>
      <c r="B148" s="79">
        <v>27207138757</v>
      </c>
      <c r="C148" s="79" t="s">
        <v>227</v>
      </c>
      <c r="D148" s="79" t="s">
        <v>48</v>
      </c>
      <c r="E148" s="79" t="s">
        <v>20</v>
      </c>
      <c r="F148" s="79" t="s">
        <v>21</v>
      </c>
      <c r="G148" s="79" t="s">
        <v>38</v>
      </c>
      <c r="H148" s="79"/>
      <c r="I148" s="87"/>
      <c r="J148" s="87" t="s">
        <v>31</v>
      </c>
      <c r="K148" s="79"/>
      <c r="L148" s="88" t="s">
        <v>227</v>
      </c>
      <c r="M148" s="79" t="s">
        <v>493</v>
      </c>
      <c r="N148" s="79" t="str">
        <f ca="1">VLOOKUP(B148,'đơn vị tt'!$C$1:$AG$555,25,0)</f>
        <v>Crowne Plaza Danang City Centre</v>
      </c>
      <c r="O148" s="79" t="str">
        <f ca="1">VLOOKUP(B148,'đơn vị tt'!$C$1:$AG$555,26,0)</f>
        <v>Nhà hàng</v>
      </c>
      <c r="P148" s="79" t="str">
        <f ca="1">VLOOKUP(B148,'đơn vị tt'!$C$1:$AG$555,23,0)</f>
        <v>DUYỆT</v>
      </c>
      <c r="Q148" s="79" t="str">
        <f>VLOOKUP(B148,'XÉT ĐIỀU KIỆN THAM DỰ THỰC TẬP'!$A$10:$AB$633,22,0)</f>
        <v>CHUYÊN ĐỀ</v>
      </c>
      <c r="R148" s="79"/>
      <c r="S148" s="79"/>
    </row>
    <row r="149" spans="1:19" s="89" customFormat="1" ht="38.25" x14ac:dyDescent="0.2">
      <c r="A149" s="86">
        <v>45651.674788993056</v>
      </c>
      <c r="B149" s="79">
        <v>27202237832</v>
      </c>
      <c r="C149" s="79" t="s">
        <v>228</v>
      </c>
      <c r="D149" s="79" t="s">
        <v>48</v>
      </c>
      <c r="E149" s="79" t="s">
        <v>20</v>
      </c>
      <c r="F149" s="79" t="s">
        <v>21</v>
      </c>
      <c r="G149" s="79" t="s">
        <v>38</v>
      </c>
      <c r="H149" s="79"/>
      <c r="I149" s="87"/>
      <c r="J149" s="87" t="s">
        <v>31</v>
      </c>
      <c r="K149" s="79"/>
      <c r="L149" s="88" t="s">
        <v>899</v>
      </c>
      <c r="M149" s="79" t="s">
        <v>493</v>
      </c>
      <c r="N149" s="79" t="str">
        <f ca="1">VLOOKUP(B149,'đơn vị tt'!$C$1:$AG$555,25,0)</f>
        <v>DaNang Marriott Resort &amp; Spa, Non Nuoc Beach Villas</v>
      </c>
      <c r="O149" s="79" t="str">
        <f ca="1">VLOOKUP(B149,'đơn vị tt'!$C$1:$AG$555,26,0)</f>
        <v>Nhà hàng</v>
      </c>
      <c r="P149" s="79" t="str">
        <f ca="1">VLOOKUP(B149,'đơn vị tt'!$C$1:$AG$555,23,0)</f>
        <v>DUYỆT</v>
      </c>
      <c r="Q149" s="79" t="str">
        <f>VLOOKUP(B149,'XÉT ĐIỀU KIỆN THAM DỰ THỰC TẬP'!$A$10:$AB$633,22,0)</f>
        <v>XÉT LÀM KHÓA LUẬN</v>
      </c>
      <c r="R149" s="79" t="e">
        <f ca="1">VLOOKUP(B149,'chuyển KL-&gt;CĐ'!$C$2:$O$1000,2,0)</f>
        <v>#N/A</v>
      </c>
      <c r="S149" s="79" t="e">
        <f ca="1">VLOOKUP(B149,'chuyển KL-&gt;CĐ'!$C$2:$O$1000,10,0)</f>
        <v>#N/A</v>
      </c>
    </row>
    <row r="150" spans="1:19" s="89" customFormat="1" ht="38.25" x14ac:dyDescent="0.2">
      <c r="A150" s="86">
        <v>45699.701518113427</v>
      </c>
      <c r="B150" s="79">
        <v>27217141068</v>
      </c>
      <c r="C150" s="79" t="s">
        <v>229</v>
      </c>
      <c r="D150" s="79" t="s">
        <v>26</v>
      </c>
      <c r="E150" s="79" t="s">
        <v>20</v>
      </c>
      <c r="F150" s="79" t="s">
        <v>21</v>
      </c>
      <c r="G150" s="79" t="s">
        <v>38</v>
      </c>
      <c r="H150" s="79"/>
      <c r="I150" s="87"/>
      <c r="J150" s="87" t="s">
        <v>31</v>
      </c>
      <c r="K150" s="79" t="s">
        <v>153</v>
      </c>
      <c r="L150" s="88" t="s">
        <v>229</v>
      </c>
      <c r="M150" s="79" t="s">
        <v>493</v>
      </c>
      <c r="N150" s="79" t="e">
        <f ca="1">VLOOKUP(B150,'đơn vị tt'!$C$1:$AG$555,25,0)</f>
        <v>#N/A</v>
      </c>
      <c r="O150" s="79" t="e">
        <f ca="1">VLOOKUP(B150,'đơn vị tt'!$C$1:$AG$555,26,0)</f>
        <v>#N/A</v>
      </c>
      <c r="P150" s="79" t="e">
        <f ca="1">VLOOKUP(B150,'đơn vị tt'!$C$1:$AG$555,23,0)</f>
        <v>#N/A</v>
      </c>
      <c r="Q150" s="79" t="str">
        <f>VLOOKUP(B150,'XÉT ĐIỀU KIỆN THAM DỰ THỰC TẬP'!$A$10:$AB$633,22,0)</f>
        <v>CHUYÊN ĐỀ</v>
      </c>
      <c r="R150" s="79"/>
      <c r="S150" s="79"/>
    </row>
    <row r="151" spans="1:19" s="89" customFormat="1" ht="38.25" x14ac:dyDescent="0.2">
      <c r="A151" s="86">
        <v>45651.714556064813</v>
      </c>
      <c r="B151" s="79">
        <v>27207130900</v>
      </c>
      <c r="C151" s="79" t="s">
        <v>230</v>
      </c>
      <c r="D151" s="79" t="s">
        <v>63</v>
      </c>
      <c r="E151" s="79" t="s">
        <v>20</v>
      </c>
      <c r="F151" s="79" t="s">
        <v>21</v>
      </c>
      <c r="G151" s="79" t="s">
        <v>38</v>
      </c>
      <c r="H151" s="79"/>
      <c r="I151" s="87"/>
      <c r="J151" s="87" t="s">
        <v>31</v>
      </c>
      <c r="K151" s="79"/>
      <c r="L151" s="88" t="s">
        <v>900</v>
      </c>
      <c r="M151" s="79" t="s">
        <v>493</v>
      </c>
      <c r="N151" s="79" t="e">
        <f ca="1">VLOOKUP(B151,'đơn vị tt'!$C$1:$AG$555,25,0)</f>
        <v>#N/A</v>
      </c>
      <c r="O151" s="79" t="e">
        <f ca="1">VLOOKUP(B151,'đơn vị tt'!$C$1:$AG$555,26,0)</f>
        <v>#N/A</v>
      </c>
      <c r="P151" s="79" t="e">
        <f ca="1">VLOOKUP(B151,'đơn vị tt'!$C$1:$AG$555,23,0)</f>
        <v>#N/A</v>
      </c>
      <c r="Q151" s="79" t="str">
        <f>VLOOKUP(B151,'XÉT ĐIỀU KIỆN THAM DỰ THỰC TẬP'!$A$10:$AB$633,22,0)</f>
        <v>CHUYÊN ĐỀ</v>
      </c>
      <c r="R151" s="79"/>
      <c r="S151" s="79"/>
    </row>
    <row r="152" spans="1:19" s="89" customFormat="1" ht="38.25" x14ac:dyDescent="0.2">
      <c r="A152" s="86">
        <v>45651.731549641205</v>
      </c>
      <c r="B152" s="79">
        <v>27207131543</v>
      </c>
      <c r="C152" s="79" t="s">
        <v>231</v>
      </c>
      <c r="D152" s="79" t="s">
        <v>167</v>
      </c>
      <c r="E152" s="79" t="s">
        <v>20</v>
      </c>
      <c r="F152" s="79" t="s">
        <v>21</v>
      </c>
      <c r="G152" s="79" t="s">
        <v>38</v>
      </c>
      <c r="H152" s="79"/>
      <c r="I152" s="87"/>
      <c r="J152" s="87" t="s">
        <v>31</v>
      </c>
      <c r="K152" s="79"/>
      <c r="L152" s="88" t="s">
        <v>231</v>
      </c>
      <c r="M152" s="79" t="s">
        <v>493</v>
      </c>
      <c r="N152" s="79" t="e">
        <f ca="1">VLOOKUP(B152,'đơn vị tt'!$C$1:$AG$555,25,0)</f>
        <v>#N/A</v>
      </c>
      <c r="O152" s="79" t="e">
        <f ca="1">VLOOKUP(B152,'đơn vị tt'!$C$1:$AG$555,26,0)</f>
        <v>#N/A</v>
      </c>
      <c r="P152" s="79" t="e">
        <f ca="1">VLOOKUP(B152,'đơn vị tt'!$C$1:$AG$555,23,0)</f>
        <v>#N/A</v>
      </c>
      <c r="Q152" s="79" t="str">
        <f>VLOOKUP(B152,'XÉT ĐIỀU KIỆN THAM DỰ THỰC TẬP'!$A$10:$AB$633,22,0)</f>
        <v>không đủ điều kiện</v>
      </c>
      <c r="R152" s="79"/>
      <c r="S152" s="79"/>
    </row>
    <row r="153" spans="1:19" s="89" customFormat="1" ht="25.5" x14ac:dyDescent="0.2">
      <c r="A153" s="86">
        <v>45651.737617615741</v>
      </c>
      <c r="B153" s="79">
        <v>27217102556</v>
      </c>
      <c r="C153" s="79" t="s">
        <v>232</v>
      </c>
      <c r="D153" s="79" t="s">
        <v>48</v>
      </c>
      <c r="E153" s="79" t="s">
        <v>20</v>
      </c>
      <c r="F153" s="79" t="s">
        <v>21</v>
      </c>
      <c r="G153" s="79" t="s">
        <v>22</v>
      </c>
      <c r="H153" s="79"/>
      <c r="I153" s="87"/>
      <c r="J153" s="87" t="s">
        <v>31</v>
      </c>
      <c r="K153" s="79"/>
      <c r="L153" s="88" t="s">
        <v>232</v>
      </c>
      <c r="M153" s="79" t="s">
        <v>493</v>
      </c>
      <c r="N153" s="79" t="str">
        <f ca="1">VLOOKUP(B153,'đơn vị tt'!$C$1:$AG$555,25,0)</f>
        <v>Hyatt regency DaNang Resort</v>
      </c>
      <c r="O153" s="79" t="str">
        <f ca="1">VLOOKUP(B153,'đơn vị tt'!$C$1:$AG$555,26,0)</f>
        <v>Nhà hàng</v>
      </c>
      <c r="P153" s="79" t="str">
        <f ca="1">VLOOKUP(B153,'đơn vị tt'!$C$1:$AG$555,23,0)</f>
        <v>DUYỆT</v>
      </c>
      <c r="Q153" s="79" t="str">
        <f>VLOOKUP(B153,'XÉT ĐIỀU KIỆN THAM DỰ THỰC TẬP'!$A$10:$AB$633,22,0)</f>
        <v>CHUYÊN ĐỀ</v>
      </c>
      <c r="R153" s="79" t="str">
        <f ca="1">VLOOKUP(B153,'chuyển KL-&gt;CĐ'!$C$2:$O$1000,2,0)</f>
        <v>Đặng Thu Phương</v>
      </c>
      <c r="S153" s="79" t="str">
        <f ca="1">VLOOKUP(B153,'chuyển KL-&gt;CĐ'!$C$2:$O$1000,10,0)</f>
        <v>ĐÃ NỘP</v>
      </c>
    </row>
    <row r="154" spans="1:19" s="89" customFormat="1" ht="38.25" x14ac:dyDescent="0.2">
      <c r="A154" s="86">
        <v>45651.738726296295</v>
      </c>
      <c r="B154" s="79">
        <v>27207141615</v>
      </c>
      <c r="C154" s="79" t="s">
        <v>233</v>
      </c>
      <c r="D154" s="79" t="s">
        <v>26</v>
      </c>
      <c r="E154" s="79" t="s">
        <v>20</v>
      </c>
      <c r="F154" s="79" t="s">
        <v>21</v>
      </c>
      <c r="G154" s="79" t="s">
        <v>38</v>
      </c>
      <c r="H154" s="79"/>
      <c r="I154" s="87"/>
      <c r="J154" s="87" t="s">
        <v>31</v>
      </c>
      <c r="K154" s="79"/>
      <c r="L154" s="88" t="s">
        <v>901</v>
      </c>
      <c r="M154" s="79" t="s">
        <v>493</v>
      </c>
      <c r="N154" s="79" t="str">
        <f ca="1">VLOOKUP(B154,'đơn vị tt'!$C$1:$AG$555,25,0)</f>
        <v>Satya Danang Hotel</v>
      </c>
      <c r="O154" s="79" t="str">
        <f ca="1">VLOOKUP(B154,'đơn vị tt'!$C$1:$AG$555,26,0)</f>
        <v>Buồng phòng</v>
      </c>
      <c r="P154" s="79" t="str">
        <f ca="1">VLOOKUP(B154,'đơn vị tt'!$C$1:$AG$555,23,0)</f>
        <v>DUYỆT</v>
      </c>
      <c r="Q154" s="79" t="str">
        <f>VLOOKUP(B154,'XÉT ĐIỀU KIỆN THAM DỰ THỰC TẬP'!$A$10:$AB$633,22,0)</f>
        <v>CHUYÊN ĐỀ</v>
      </c>
      <c r="R154" s="79" t="str">
        <f ca="1">VLOOKUP(B154,'chuyển KL-&gt;CĐ'!$C$2:$O$1000,2,0)</f>
        <v>Lê Thị Thủy Tiên</v>
      </c>
      <c r="S154" s="79" t="str">
        <f ca="1">VLOOKUP(B154,'chuyển KL-&gt;CĐ'!$C$2:$O$1000,10,0)</f>
        <v>ĐÃ NỘP</v>
      </c>
    </row>
    <row r="155" spans="1:19" s="89" customFormat="1" ht="38.25" x14ac:dyDescent="0.2">
      <c r="A155" s="86">
        <v>45651.771843773153</v>
      </c>
      <c r="B155" s="79">
        <v>27217131784</v>
      </c>
      <c r="C155" s="79" t="s">
        <v>234</v>
      </c>
      <c r="D155" s="79" t="s">
        <v>108</v>
      </c>
      <c r="E155" s="79" t="s">
        <v>20</v>
      </c>
      <c r="F155" s="79" t="s">
        <v>21</v>
      </c>
      <c r="G155" s="79" t="s">
        <v>38</v>
      </c>
      <c r="H155" s="79"/>
      <c r="I155" s="87"/>
      <c r="J155" s="87" t="s">
        <v>31</v>
      </c>
      <c r="K155" s="79"/>
      <c r="L155" s="88" t="s">
        <v>234</v>
      </c>
      <c r="M155" s="79" t="s">
        <v>493</v>
      </c>
      <c r="N155" s="79" t="str">
        <f ca="1">VLOOKUP(B155,'đơn vị tt'!$C$1:$AG$555,25,0)</f>
        <v>Grand Tourane Hotel</v>
      </c>
      <c r="O155" s="79" t="str">
        <f ca="1">VLOOKUP(B155,'đơn vị tt'!$C$1:$AG$555,26,0)</f>
        <v>Nhà hàng</v>
      </c>
      <c r="P155" s="79" t="str">
        <f ca="1">VLOOKUP(B155,'đơn vị tt'!$C$1:$AG$555,23,0)</f>
        <v>DUYỆT</v>
      </c>
      <c r="Q155" s="79" t="str">
        <f>VLOOKUP(B155,'XÉT ĐIỀU KIỆN THAM DỰ THỰC TẬP'!$A$10:$AB$633,22,0)</f>
        <v>CHUYÊN ĐỀ</v>
      </c>
      <c r="R155" s="79"/>
      <c r="S155" s="79"/>
    </row>
    <row r="156" spans="1:19" s="89" customFormat="1" ht="38.25" x14ac:dyDescent="0.2">
      <c r="A156" s="86">
        <v>45651.781943101851</v>
      </c>
      <c r="B156" s="79">
        <v>27207100524</v>
      </c>
      <c r="C156" s="79" t="s">
        <v>235</v>
      </c>
      <c r="D156" s="79" t="s">
        <v>26</v>
      </c>
      <c r="E156" s="79" t="s">
        <v>42</v>
      </c>
      <c r="F156" s="79" t="s">
        <v>21</v>
      </c>
      <c r="G156" s="79" t="s">
        <v>38</v>
      </c>
      <c r="H156" s="79"/>
      <c r="I156" s="87"/>
      <c r="J156" s="87" t="s">
        <v>31</v>
      </c>
      <c r="K156" s="79"/>
      <c r="L156" s="88" t="s">
        <v>235</v>
      </c>
      <c r="M156" s="79" t="s">
        <v>493</v>
      </c>
      <c r="N156" s="79" t="e">
        <f ca="1">VLOOKUP(B156,'đơn vị tt'!$C$1:$AG$555,25,0)</f>
        <v>#N/A</v>
      </c>
      <c r="O156" s="79" t="e">
        <f ca="1">VLOOKUP(B156,'đơn vị tt'!$C$1:$AG$555,26,0)</f>
        <v>#N/A</v>
      </c>
      <c r="P156" s="79" t="e">
        <f ca="1">VLOOKUP(B156,'đơn vị tt'!$C$1:$AG$555,23,0)</f>
        <v>#N/A</v>
      </c>
      <c r="Q156" s="79" t="str">
        <f>VLOOKUP(B156,'XÉT ĐIỀU KIỆN THAM DỰ THỰC TẬP'!$A$10:$AB$633,22,0)</f>
        <v>không đủ điều kiện</v>
      </c>
      <c r="R156" s="79"/>
      <c r="S156" s="79"/>
    </row>
    <row r="157" spans="1:19" s="89" customFormat="1" ht="38.25" x14ac:dyDescent="0.2">
      <c r="A157" s="86">
        <v>45651.784141631942</v>
      </c>
      <c r="B157" s="79">
        <v>27207131162</v>
      </c>
      <c r="C157" s="79" t="s">
        <v>236</v>
      </c>
      <c r="D157" s="79" t="s">
        <v>120</v>
      </c>
      <c r="E157" s="79" t="s">
        <v>20</v>
      </c>
      <c r="F157" s="79" t="s">
        <v>21</v>
      </c>
      <c r="G157" s="79" t="s">
        <v>27</v>
      </c>
      <c r="H157" s="79"/>
      <c r="I157" s="87"/>
      <c r="J157" s="87" t="s">
        <v>31</v>
      </c>
      <c r="K157" s="79"/>
      <c r="L157" s="88" t="s">
        <v>236</v>
      </c>
      <c r="M157" s="79" t="s">
        <v>493</v>
      </c>
      <c r="N157" s="79" t="str">
        <f ca="1">VLOOKUP(B157,'đơn vị tt'!$C$1:$AG$555,25,0)</f>
        <v>Da Nang Mikazuki Japanese Resorts &amp; Spa</v>
      </c>
      <c r="O157" s="79" t="str">
        <f ca="1">VLOOKUP(B157,'đơn vị tt'!$C$1:$AG$555,26,0)</f>
        <v>Buồng phòng</v>
      </c>
      <c r="P157" s="79" t="str">
        <f ca="1">VLOOKUP(B157,'đơn vị tt'!$C$1:$AG$555,23,0)</f>
        <v>DUYỆT</v>
      </c>
      <c r="Q157" s="79" t="str">
        <f>VLOOKUP(B157,'XÉT ĐIỀU KIỆN THAM DỰ THỰC TẬP'!$A$10:$AB$633,22,0)</f>
        <v>CHUYÊN ĐỀ</v>
      </c>
      <c r="R157" s="79"/>
      <c r="S157" s="79"/>
    </row>
    <row r="158" spans="1:19" s="89" customFormat="1" ht="38.25" x14ac:dyDescent="0.2">
      <c r="A158" s="86">
        <v>45651.814211921301</v>
      </c>
      <c r="B158" s="79">
        <v>27207152647</v>
      </c>
      <c r="C158" s="79" t="s">
        <v>237</v>
      </c>
      <c r="D158" s="79" t="s">
        <v>110</v>
      </c>
      <c r="E158" s="79" t="s">
        <v>20</v>
      </c>
      <c r="F158" s="79" t="s">
        <v>21</v>
      </c>
      <c r="G158" s="79" t="s">
        <v>38</v>
      </c>
      <c r="H158" s="79"/>
      <c r="I158" s="87"/>
      <c r="J158" s="87" t="s">
        <v>31</v>
      </c>
      <c r="K158" s="79"/>
      <c r="L158" s="88" t="s">
        <v>237</v>
      </c>
      <c r="M158" s="79" t="s">
        <v>493</v>
      </c>
      <c r="N158" s="79" t="str">
        <f ca="1">VLOOKUP(B158,'đơn vị tt'!$C$1:$AG$555,25,0)</f>
        <v>Diamond Sea Hotel</v>
      </c>
      <c r="O158" s="79" t="str">
        <f ca="1">VLOOKUP(B158,'đơn vị tt'!$C$1:$AG$555,26,0)</f>
        <v>Buồng phòng</v>
      </c>
      <c r="P158" s="79" t="str">
        <f ca="1">VLOOKUP(B158,'đơn vị tt'!$C$1:$AG$555,23,0)</f>
        <v>DUYỆT</v>
      </c>
      <c r="Q158" s="79" t="str">
        <f>VLOOKUP(B158,'XÉT ĐIỀU KIỆN THAM DỰ THỰC TẬP'!$A$10:$AB$633,22,0)</f>
        <v>XÉT LÀM KHÓA LUẬN</v>
      </c>
      <c r="R158" s="79" t="e">
        <f ca="1">VLOOKUP(B158,'chuyển KL-&gt;CĐ'!$C$2:$O$1000,2,0)</f>
        <v>#N/A</v>
      </c>
      <c r="S158" s="79" t="e">
        <f ca="1">VLOOKUP(B158,'chuyển KL-&gt;CĐ'!$C$2:$O$1000,10,0)</f>
        <v>#N/A</v>
      </c>
    </row>
    <row r="159" spans="1:19" s="89" customFormat="1" ht="25.5" x14ac:dyDescent="0.2">
      <c r="A159" s="86">
        <v>45651.818464166667</v>
      </c>
      <c r="B159" s="79">
        <v>27207122720</v>
      </c>
      <c r="C159" s="79" t="s">
        <v>238</v>
      </c>
      <c r="D159" s="79" t="s">
        <v>108</v>
      </c>
      <c r="E159" s="79" t="s">
        <v>20</v>
      </c>
      <c r="F159" s="79" t="s">
        <v>21</v>
      </c>
      <c r="G159" s="79" t="s">
        <v>27</v>
      </c>
      <c r="H159" s="79"/>
      <c r="I159" s="87"/>
      <c r="J159" s="87" t="s">
        <v>31</v>
      </c>
      <c r="K159" s="79"/>
      <c r="L159" s="88" t="s">
        <v>238</v>
      </c>
      <c r="M159" s="79" t="s">
        <v>493</v>
      </c>
      <c r="N159" s="79" t="str">
        <f ca="1">VLOOKUP(B159,'đơn vị tt'!$C$1:$AG$555,25,0)</f>
        <v>Grand Tourane Hotel</v>
      </c>
      <c r="O159" s="79" t="str">
        <f ca="1">VLOOKUP(B159,'đơn vị tt'!$C$1:$AG$555,26,0)</f>
        <v>Nhà hàng</v>
      </c>
      <c r="P159" s="79" t="str">
        <f ca="1">VLOOKUP(B159,'đơn vị tt'!$C$1:$AG$555,23,0)</f>
        <v>DUYỆT</v>
      </c>
      <c r="Q159" s="79" t="str">
        <f>VLOOKUP(B159,'XÉT ĐIỀU KIỆN THAM DỰ THỰC TẬP'!$A$10:$AB$633,22,0)</f>
        <v>CHUYÊN ĐỀ</v>
      </c>
      <c r="R159" s="79"/>
      <c r="S159" s="79"/>
    </row>
    <row r="160" spans="1:19" s="89" customFormat="1" ht="38.25" x14ac:dyDescent="0.2">
      <c r="A160" s="86">
        <v>45651.823323715274</v>
      </c>
      <c r="B160" s="79">
        <v>27217143521</v>
      </c>
      <c r="C160" s="79" t="s">
        <v>239</v>
      </c>
      <c r="D160" s="79" t="s">
        <v>240</v>
      </c>
      <c r="E160" s="79" t="s">
        <v>20</v>
      </c>
      <c r="F160" s="79" t="s">
        <v>21</v>
      </c>
      <c r="G160" s="79" t="s">
        <v>38</v>
      </c>
      <c r="H160" s="79"/>
      <c r="I160" s="87"/>
      <c r="J160" s="87" t="s">
        <v>31</v>
      </c>
      <c r="K160" s="79"/>
      <c r="L160" s="88" t="s">
        <v>239</v>
      </c>
      <c r="M160" s="79" t="s">
        <v>493</v>
      </c>
      <c r="N160" s="79" t="str">
        <f ca="1">VLOOKUP(B160,'đơn vị tt'!$C$1:$AG$555,25,0)</f>
        <v>Hilton Garden Inn Danang</v>
      </c>
      <c r="O160" s="79" t="str">
        <f ca="1">VLOOKUP(B160,'đơn vị tt'!$C$1:$AG$555,26,0)</f>
        <v>Nhà hàng</v>
      </c>
      <c r="P160" s="79" t="str">
        <f ca="1">VLOOKUP(B160,'đơn vị tt'!$C$1:$AG$555,23,0)</f>
        <v>DUYỆT</v>
      </c>
      <c r="Q160" s="79" t="str">
        <f>VLOOKUP(B160,'XÉT ĐIỀU KIỆN THAM DỰ THỰC TẬP'!$A$10:$AB$633,22,0)</f>
        <v>CHUYÊN ĐỀ</v>
      </c>
      <c r="R160" s="79"/>
      <c r="S160" s="79"/>
    </row>
    <row r="161" spans="1:19" s="89" customFormat="1" ht="38.25" x14ac:dyDescent="0.2">
      <c r="A161" s="86">
        <v>45651.842332094908</v>
      </c>
      <c r="B161" s="79">
        <v>27207146805</v>
      </c>
      <c r="C161" s="79" t="s">
        <v>241</v>
      </c>
      <c r="D161" s="79" t="s">
        <v>48</v>
      </c>
      <c r="E161" s="79" t="s">
        <v>20</v>
      </c>
      <c r="F161" s="79" t="s">
        <v>21</v>
      </c>
      <c r="G161" s="79" t="s">
        <v>38</v>
      </c>
      <c r="H161" s="79"/>
      <c r="I161" s="87"/>
      <c r="J161" s="87" t="s">
        <v>31</v>
      </c>
      <c r="K161" s="79"/>
      <c r="L161" s="88" t="s">
        <v>241</v>
      </c>
      <c r="M161" s="79" t="s">
        <v>493</v>
      </c>
      <c r="N161" s="79" t="str">
        <f ca="1">VLOOKUP(B161,'đơn vị tt'!$C$1:$AG$555,25,0)</f>
        <v>Wyndham DaNang Golden Bay</v>
      </c>
      <c r="O161" s="79" t="str">
        <f ca="1">VLOOKUP(B161,'đơn vị tt'!$C$1:$AG$555,26,0)</f>
        <v>Nhà hàng</v>
      </c>
      <c r="P161" s="79" t="str">
        <f ca="1">VLOOKUP(B161,'đơn vị tt'!$C$1:$AG$555,23,0)</f>
        <v>DUYỆT</v>
      </c>
      <c r="Q161" s="79" t="str">
        <f>VLOOKUP(B161,'XÉT ĐIỀU KIỆN THAM DỰ THỰC TẬP'!$A$10:$AB$633,22,0)</f>
        <v>CHUYÊN ĐỀ</v>
      </c>
      <c r="R161" s="79" t="str">
        <f ca="1">VLOOKUP(B161,'chuyển KL-&gt;CĐ'!$C$2:$O$1000,2,0)</f>
        <v>Nguyễn Thị Như ÝK27</v>
      </c>
      <c r="S161" s="79" t="str">
        <f ca="1">VLOOKUP(B161,'chuyển KL-&gt;CĐ'!$C$2:$O$1000,10,0)</f>
        <v>ĐÃ NỘP</v>
      </c>
    </row>
    <row r="162" spans="1:19" s="89" customFormat="1" ht="38.25" x14ac:dyDescent="0.2">
      <c r="A162" s="86">
        <v>45651.86265920139</v>
      </c>
      <c r="B162" s="79">
        <v>24207107852</v>
      </c>
      <c r="C162" s="79" t="s">
        <v>242</v>
      </c>
      <c r="D162" s="79" t="s">
        <v>243</v>
      </c>
      <c r="E162" s="79" t="s">
        <v>42</v>
      </c>
      <c r="F162" s="79" t="s">
        <v>244</v>
      </c>
      <c r="G162" s="79" t="s">
        <v>38</v>
      </c>
      <c r="H162" s="79" t="s">
        <v>23</v>
      </c>
      <c r="I162" s="87">
        <v>15</v>
      </c>
      <c r="J162" s="87" t="s">
        <v>101</v>
      </c>
      <c r="K162" s="79"/>
      <c r="L162" s="88" t="s">
        <v>242</v>
      </c>
      <c r="M162" s="79" t="s">
        <v>440</v>
      </c>
      <c r="N162" s="79" t="str">
        <f ca="1">VLOOKUP(B162,'đơn vị tt'!$C$1:$AG$555,25,0)</f>
        <v>Khách sạn Shilla Monogram Quangnam Danang</v>
      </c>
      <c r="O162" s="79" t="str">
        <f ca="1">VLOOKUP(B162,'đơn vị tt'!$C$1:$AG$555,26,0)</f>
        <v>Nhà hàng</v>
      </c>
      <c r="P162" s="79" t="str">
        <f ca="1">VLOOKUP(B162,'đơn vị tt'!$C$1:$AG$555,23,0)</f>
        <v>DUYỆT</v>
      </c>
      <c r="Q162" s="79" t="str">
        <f>VLOOKUP(B162,'XÉT ĐIỀU KIỆN THAM DỰ THỰC TẬP'!$A$10:$AB$633,22,0)</f>
        <v>CHUYÊN ĐỀ</v>
      </c>
      <c r="R162" s="79"/>
      <c r="S162" s="79"/>
    </row>
    <row r="163" spans="1:19" s="89" customFormat="1" ht="38.25" x14ac:dyDescent="0.2">
      <c r="A163" s="86">
        <v>45651.883554363427</v>
      </c>
      <c r="B163" s="79">
        <v>25207103269</v>
      </c>
      <c r="C163" s="79" t="s">
        <v>245</v>
      </c>
      <c r="D163" s="79" t="s">
        <v>167</v>
      </c>
      <c r="E163" s="79" t="s">
        <v>20</v>
      </c>
      <c r="F163" s="79" t="s">
        <v>21</v>
      </c>
      <c r="G163" s="79" t="s">
        <v>22</v>
      </c>
      <c r="H163" s="79"/>
      <c r="I163" s="87"/>
      <c r="J163" s="87" t="s">
        <v>31</v>
      </c>
      <c r="K163" s="79"/>
      <c r="L163" s="88" t="s">
        <v>245</v>
      </c>
      <c r="M163" s="79" t="s">
        <v>493</v>
      </c>
      <c r="N163" s="79" t="str">
        <f ca="1">VLOOKUP(B163,'đơn vị tt'!$C$1:$AG$555,25,0)</f>
        <v>Làng lụa Hội An - HoiAn Silk Village Resort &amp; Spa</v>
      </c>
      <c r="O163" s="79" t="str">
        <f ca="1">VLOOKUP(B163,'đơn vị tt'!$C$1:$AG$555,26,0)</f>
        <v>Tiền sảnh</v>
      </c>
      <c r="P163" s="79" t="str">
        <f ca="1">VLOOKUP(B163,'đơn vị tt'!$C$1:$AG$555,23,0)</f>
        <v>KHÔNG DUYỆT</v>
      </c>
      <c r="Q163" s="79" t="str">
        <f>VLOOKUP(B163,'XÉT ĐIỀU KIỆN THAM DỰ THỰC TẬP'!$A$10:$AB$633,22,0)</f>
        <v>CHUYÊN ĐỀ</v>
      </c>
      <c r="R163" s="79"/>
      <c r="S163" s="79"/>
    </row>
    <row r="164" spans="1:19" s="89" customFormat="1" ht="25.5" x14ac:dyDescent="0.2">
      <c r="A164" s="86">
        <v>45651.885342222224</v>
      </c>
      <c r="B164" s="79">
        <v>27207152769</v>
      </c>
      <c r="C164" s="79" t="s">
        <v>246</v>
      </c>
      <c r="D164" s="79" t="s">
        <v>48</v>
      </c>
      <c r="E164" s="79" t="s">
        <v>20</v>
      </c>
      <c r="F164" s="79" t="s">
        <v>21</v>
      </c>
      <c r="G164" s="79" t="s">
        <v>27</v>
      </c>
      <c r="H164" s="79"/>
      <c r="I164" s="87"/>
      <c r="J164" s="87" t="s">
        <v>31</v>
      </c>
      <c r="K164" s="79"/>
      <c r="L164" s="88" t="s">
        <v>246</v>
      </c>
      <c r="M164" s="79" t="s">
        <v>493</v>
      </c>
      <c r="N164" s="79" t="str">
        <f ca="1">VLOOKUP(B164,'đơn vị tt'!$C$1:$AG$555,25,0)</f>
        <v>Minh Toàn Galaxy Hotel Đà Nẵng</v>
      </c>
      <c r="O164" s="79" t="str">
        <f ca="1">VLOOKUP(B164,'đơn vị tt'!$C$1:$AG$555,26,0)</f>
        <v>Tiền sảnh</v>
      </c>
      <c r="P164" s="79" t="str">
        <f ca="1">VLOOKUP(B164,'đơn vị tt'!$C$1:$AG$555,23,0)</f>
        <v>DUYỆT</v>
      </c>
      <c r="Q164" s="79" t="str">
        <f>VLOOKUP(B164,'XÉT ĐIỀU KIỆN THAM DỰ THỰC TẬP'!$A$10:$AB$633,22,0)</f>
        <v>CHUYÊN ĐỀ</v>
      </c>
      <c r="R164" s="79"/>
      <c r="S164" s="79"/>
    </row>
    <row r="165" spans="1:19" s="89" customFormat="1" ht="38.25" x14ac:dyDescent="0.2">
      <c r="A165" s="86">
        <v>45651.899576446755</v>
      </c>
      <c r="B165" s="79">
        <v>27207134678</v>
      </c>
      <c r="C165" s="79" t="s">
        <v>247</v>
      </c>
      <c r="D165" s="79" t="s">
        <v>26</v>
      </c>
      <c r="E165" s="79" t="s">
        <v>20</v>
      </c>
      <c r="F165" s="79" t="s">
        <v>21</v>
      </c>
      <c r="G165" s="79" t="s">
        <v>38</v>
      </c>
      <c r="H165" s="79"/>
      <c r="I165" s="87"/>
      <c r="J165" s="87" t="s">
        <v>31</v>
      </c>
      <c r="K165" s="79"/>
      <c r="L165" s="88" t="s">
        <v>247</v>
      </c>
      <c r="M165" s="79" t="s">
        <v>493</v>
      </c>
      <c r="N165" s="79" t="str">
        <f ca="1">VLOOKUP(B165,'đơn vị tt'!$C$1:$AG$555,25,0)</f>
        <v>Paracel Danang Hotel</v>
      </c>
      <c r="O165" s="79" t="str">
        <f ca="1">VLOOKUP(B165,'đơn vị tt'!$C$1:$AG$555,26,0)</f>
        <v>Nhà hàng</v>
      </c>
      <c r="P165" s="79" t="str">
        <f ca="1">VLOOKUP(B165,'đơn vị tt'!$C$1:$AG$555,23,0)</f>
        <v>DUYỆT</v>
      </c>
      <c r="Q165" s="79" t="str">
        <f>VLOOKUP(B165,'XÉT ĐIỀU KIỆN THAM DỰ THỰC TẬP'!$A$10:$AB$633,22,0)</f>
        <v>CHUYÊN ĐỀ</v>
      </c>
      <c r="R165" s="79"/>
      <c r="S165" s="79"/>
    </row>
    <row r="166" spans="1:19" s="89" customFormat="1" ht="38.25" x14ac:dyDescent="0.2">
      <c r="A166" s="86">
        <v>45651.926926666667</v>
      </c>
      <c r="B166" s="79">
        <v>27217133352</v>
      </c>
      <c r="C166" s="79" t="s">
        <v>248</v>
      </c>
      <c r="D166" s="79" t="s">
        <v>63</v>
      </c>
      <c r="E166" s="79" t="s">
        <v>20</v>
      </c>
      <c r="F166" s="79" t="s">
        <v>21</v>
      </c>
      <c r="G166" s="79" t="s">
        <v>27</v>
      </c>
      <c r="H166" s="79"/>
      <c r="I166" s="87"/>
      <c r="J166" s="87" t="s">
        <v>31</v>
      </c>
      <c r="K166" s="79"/>
      <c r="L166" s="88" t="s">
        <v>248</v>
      </c>
      <c r="M166" s="79" t="s">
        <v>493</v>
      </c>
      <c r="N166" s="79" t="str">
        <f ca="1">VLOOKUP(B166,'đơn vị tt'!$C$1:$AG$555,25,0)</f>
        <v>Da Nang Mikazuki Japanese Resorts &amp; Spa</v>
      </c>
      <c r="O166" s="79" t="str">
        <f ca="1">VLOOKUP(B166,'đơn vị tt'!$C$1:$AG$555,26,0)</f>
        <v>Buồng phòng</v>
      </c>
      <c r="P166" s="79" t="str">
        <f ca="1">VLOOKUP(B166,'đơn vị tt'!$C$1:$AG$555,23,0)</f>
        <v>DUYỆT</v>
      </c>
      <c r="Q166" s="79" t="str">
        <f>VLOOKUP(B166,'XÉT ĐIỀU KIỆN THAM DỰ THỰC TẬP'!$A$10:$AB$633,22,0)</f>
        <v>CHUYÊN ĐỀ</v>
      </c>
      <c r="R166" s="79"/>
      <c r="S166" s="79"/>
    </row>
    <row r="167" spans="1:19" s="89" customFormat="1" ht="38.25" x14ac:dyDescent="0.2">
      <c r="A167" s="86">
        <v>45652.010930798613</v>
      </c>
      <c r="B167" s="79">
        <v>27207122197</v>
      </c>
      <c r="C167" s="79" t="s">
        <v>249</v>
      </c>
      <c r="D167" s="79" t="s">
        <v>19</v>
      </c>
      <c r="E167" s="79" t="s">
        <v>20</v>
      </c>
      <c r="F167" s="79" t="s">
        <v>21</v>
      </c>
      <c r="G167" s="79" t="s">
        <v>38</v>
      </c>
      <c r="H167" s="79"/>
      <c r="I167" s="87"/>
      <c r="J167" s="87" t="s">
        <v>31</v>
      </c>
      <c r="K167" s="79"/>
      <c r="L167" s="88" t="s">
        <v>249</v>
      </c>
      <c r="M167" s="79" t="s">
        <v>493</v>
      </c>
      <c r="N167" s="79" t="str">
        <f ca="1">VLOOKUP(B167,'đơn vị tt'!$C$1:$AG$555,25,0)</f>
        <v>Khách sạn Shilla Monogram Quangnam Danang</v>
      </c>
      <c r="O167" s="79" t="str">
        <f ca="1">VLOOKUP(B167,'đơn vị tt'!$C$1:$AG$555,26,0)</f>
        <v>Tiền sảnh</v>
      </c>
      <c r="P167" s="79" t="str">
        <f ca="1">VLOOKUP(B167,'đơn vị tt'!$C$1:$AG$555,23,0)</f>
        <v>DUYỆT</v>
      </c>
      <c r="Q167" s="79" t="str">
        <f>VLOOKUP(B167,'XÉT ĐIỀU KIỆN THAM DỰ THỰC TẬP'!$A$10:$AB$633,22,0)</f>
        <v>CHUYÊN ĐỀ</v>
      </c>
      <c r="R167" s="79" t="str">
        <f ca="1">VLOOKUP(B167,'chuyển KL-&gt;CĐ'!$C$2:$O$1000,2,0)</f>
        <v>Nguyễn Thị Ngọc Tứ</v>
      </c>
      <c r="S167" s="79" t="str">
        <f ca="1">VLOOKUP(B167,'chuyển KL-&gt;CĐ'!$C$2:$O$1000,10,0)</f>
        <v>ĐÃ NỘP</v>
      </c>
    </row>
    <row r="168" spans="1:19" s="89" customFormat="1" ht="38.25" x14ac:dyDescent="0.2">
      <c r="A168" s="86">
        <v>45659.451871030091</v>
      </c>
      <c r="B168" s="79">
        <v>26217142313</v>
      </c>
      <c r="C168" s="79" t="s">
        <v>250</v>
      </c>
      <c r="D168" s="79" t="s">
        <v>69</v>
      </c>
      <c r="E168" s="79" t="s">
        <v>20</v>
      </c>
      <c r="F168" s="79" t="s">
        <v>34</v>
      </c>
      <c r="G168" s="79" t="s">
        <v>38</v>
      </c>
      <c r="H168" s="79" t="s">
        <v>23</v>
      </c>
      <c r="I168" s="87">
        <v>16</v>
      </c>
      <c r="J168" s="90">
        <v>45717</v>
      </c>
      <c r="K168" s="79"/>
      <c r="L168" s="88" t="s">
        <v>250</v>
      </c>
      <c r="M168" s="79" t="s">
        <v>493</v>
      </c>
      <c r="N168" s="79" t="str">
        <f ca="1">VLOOKUP(B168,'đơn vị tt'!$C$1:$AG$555,25,0)</f>
        <v>Hotel Royal HoiAn</v>
      </c>
      <c r="O168" s="79" t="str">
        <f ca="1">VLOOKUP(B168,'đơn vị tt'!$C$1:$AG$555,26,0)</f>
        <v>Buồng phòng</v>
      </c>
      <c r="P168" s="79" t="str">
        <f ca="1">VLOOKUP(B168,'đơn vị tt'!$C$1:$AG$555,23,0)</f>
        <v>DUYỆT</v>
      </c>
      <c r="Q168" s="79" t="str">
        <f>VLOOKUP(B168,'XÉT ĐIỀU KIỆN THAM DỰ THỰC TẬP'!$A$10:$AB$633,22,0)</f>
        <v>CHUYÊN ĐỀ</v>
      </c>
      <c r="R168" s="79"/>
      <c r="S168" s="79"/>
    </row>
    <row r="169" spans="1:19" s="89" customFormat="1" ht="38.25" x14ac:dyDescent="0.2">
      <c r="A169" s="86">
        <v>45652.352365555555</v>
      </c>
      <c r="B169" s="79">
        <v>27207152556</v>
      </c>
      <c r="C169" s="79" t="s">
        <v>251</v>
      </c>
      <c r="D169" s="79" t="s">
        <v>48</v>
      </c>
      <c r="E169" s="79" t="s">
        <v>20</v>
      </c>
      <c r="F169" s="79" t="s">
        <v>21</v>
      </c>
      <c r="G169" s="79" t="s">
        <v>38</v>
      </c>
      <c r="H169" s="79"/>
      <c r="I169" s="87"/>
      <c r="J169" s="87" t="s">
        <v>31</v>
      </c>
      <c r="K169" s="79"/>
      <c r="L169" s="88" t="s">
        <v>251</v>
      </c>
      <c r="M169" s="79" t="s">
        <v>493</v>
      </c>
      <c r="N169" s="79" t="str">
        <f ca="1">VLOOKUP(B169,'đơn vị tt'!$C$1:$AG$555,25,0)</f>
        <v>Canvas Danang Beach Hotel</v>
      </c>
      <c r="O169" s="79" t="str">
        <f ca="1">VLOOKUP(B169,'đơn vị tt'!$C$1:$AG$555,26,0)</f>
        <v>Tiền sảnh</v>
      </c>
      <c r="P169" s="79" t="str">
        <f ca="1">VLOOKUP(B169,'đơn vị tt'!$C$1:$AG$555,23,0)</f>
        <v>DUYỆT</v>
      </c>
      <c r="Q169" s="79" t="str">
        <f>VLOOKUP(B169,'XÉT ĐIỀU KIỆN THAM DỰ THỰC TẬP'!$A$10:$AB$633,22,0)</f>
        <v>XÉT LÀM KHÓA LUẬN</v>
      </c>
      <c r="R169" s="79" t="str">
        <f ca="1">VLOOKUP(B169,'chuyển KL-&gt;CĐ'!$C$2:$O$1000,2,0)</f>
        <v>Võ Thị Cúc</v>
      </c>
      <c r="S169" s="79">
        <f ca="1">VLOOKUP(B169,'chuyển KL-&gt;CĐ'!$C$2:$O$1000,10,0)</f>
        <v>0</v>
      </c>
    </row>
    <row r="170" spans="1:19" s="89" customFormat="1" ht="38.25" x14ac:dyDescent="0.2">
      <c r="A170" s="86">
        <v>45652.381553761574</v>
      </c>
      <c r="B170" s="79">
        <v>27207134467</v>
      </c>
      <c r="C170" s="79" t="s">
        <v>252</v>
      </c>
      <c r="D170" s="79" t="s">
        <v>19</v>
      </c>
      <c r="E170" s="79" t="s">
        <v>20</v>
      </c>
      <c r="F170" s="79" t="s">
        <v>21</v>
      </c>
      <c r="G170" s="79" t="s">
        <v>38</v>
      </c>
      <c r="H170" s="79"/>
      <c r="I170" s="87"/>
      <c r="J170" s="87" t="s">
        <v>31</v>
      </c>
      <c r="K170" s="79"/>
      <c r="L170" s="88" t="s">
        <v>252</v>
      </c>
      <c r="M170" s="79" t="s">
        <v>493</v>
      </c>
      <c r="N170" s="79" t="str">
        <f ca="1">VLOOKUP(B170,'đơn vị tt'!$C$1:$AG$555,25,0)</f>
        <v>Khách sạn Đức Long Gia Lai - Dung Quất</v>
      </c>
      <c r="O170" s="79" t="str">
        <f ca="1">VLOOKUP(B170,'đơn vị tt'!$C$1:$AG$555,26,0)</f>
        <v>Lễ tân</v>
      </c>
      <c r="P170" s="79" t="str">
        <f ca="1">VLOOKUP(B170,'đơn vị tt'!$C$1:$AG$555,23,0)</f>
        <v>DUYỆT</v>
      </c>
      <c r="Q170" s="79" t="str">
        <f>VLOOKUP(B170,'XÉT ĐIỀU KIỆN THAM DỰ THỰC TẬP'!$A$10:$AB$633,22,0)</f>
        <v>CHUYÊN ĐỀ</v>
      </c>
      <c r="R170" s="79"/>
      <c r="S170" s="79"/>
    </row>
    <row r="171" spans="1:19" s="89" customFormat="1" ht="38.25" x14ac:dyDescent="0.2">
      <c r="A171" s="86">
        <v>45652.503362696763</v>
      </c>
      <c r="B171" s="79">
        <v>27217145582</v>
      </c>
      <c r="C171" s="79" t="s">
        <v>253</v>
      </c>
      <c r="D171" s="79" t="s">
        <v>48</v>
      </c>
      <c r="E171" s="79" t="s">
        <v>20</v>
      </c>
      <c r="F171" s="79" t="s">
        <v>21</v>
      </c>
      <c r="G171" s="79" t="s">
        <v>38</v>
      </c>
      <c r="H171" s="79"/>
      <c r="I171" s="87"/>
      <c r="J171" s="87" t="s">
        <v>31</v>
      </c>
      <c r="K171" s="79"/>
      <c r="L171" s="88" t="s">
        <v>253</v>
      </c>
      <c r="M171" s="79" t="s">
        <v>493</v>
      </c>
      <c r="N171" s="79" t="str">
        <f ca="1">VLOOKUP(B171,'đơn vị tt'!$C$1:$AG$555,25,0)</f>
        <v>Hyatt regency DaNang Resort</v>
      </c>
      <c r="O171" s="79" t="str">
        <f ca="1">VLOOKUP(B171,'đơn vị tt'!$C$1:$AG$555,26,0)</f>
        <v>Buồng phòng</v>
      </c>
      <c r="P171" s="79" t="str">
        <f ca="1">VLOOKUP(B171,'đơn vị tt'!$C$1:$AG$555,23,0)</f>
        <v>DUYỆT</v>
      </c>
      <c r="Q171" s="79" t="str">
        <f>VLOOKUP(B171,'XÉT ĐIỀU KIỆN THAM DỰ THỰC TẬP'!$A$10:$AB$633,22,0)</f>
        <v>CHUYÊN ĐỀ</v>
      </c>
      <c r="R171" s="79"/>
      <c r="S171" s="79"/>
    </row>
    <row r="172" spans="1:19" s="89" customFormat="1" ht="38.25" x14ac:dyDescent="0.2">
      <c r="A172" s="86">
        <v>45652.554348194448</v>
      </c>
      <c r="B172" s="79">
        <v>27207100842</v>
      </c>
      <c r="C172" s="79" t="s">
        <v>254</v>
      </c>
      <c r="D172" s="79" t="s">
        <v>26</v>
      </c>
      <c r="E172" s="79" t="s">
        <v>20</v>
      </c>
      <c r="F172" s="79" t="s">
        <v>21</v>
      </c>
      <c r="G172" s="79" t="s">
        <v>38</v>
      </c>
      <c r="H172" s="79"/>
      <c r="I172" s="87"/>
      <c r="J172" s="87" t="s">
        <v>31</v>
      </c>
      <c r="K172" s="79"/>
      <c r="L172" s="88" t="s">
        <v>254</v>
      </c>
      <c r="M172" s="79" t="s">
        <v>493</v>
      </c>
      <c r="N172" s="79" t="str">
        <f ca="1">VLOOKUP(B172,'đơn vị tt'!$C$1:$AG$555,25,0)</f>
        <v>Meliá Danang Beach Resort</v>
      </c>
      <c r="O172" s="79" t="str">
        <f ca="1">VLOOKUP(B172,'đơn vị tt'!$C$1:$AG$555,26,0)</f>
        <v>Tiền sảnh</v>
      </c>
      <c r="P172" s="79" t="str">
        <f ca="1">VLOOKUP(B172,'đơn vị tt'!$C$1:$AG$555,23,0)</f>
        <v>DUYỆT</v>
      </c>
      <c r="Q172" s="79" t="str">
        <f>VLOOKUP(B172,'XÉT ĐIỀU KIỆN THAM DỰ THỰC TẬP'!$A$10:$AB$633,22,0)</f>
        <v>CHUYÊN ĐỀ</v>
      </c>
      <c r="R172" s="79"/>
      <c r="S172" s="79"/>
    </row>
    <row r="173" spans="1:19" s="89" customFormat="1" ht="38.25" x14ac:dyDescent="0.2">
      <c r="A173" s="86">
        <v>45652.56207670139</v>
      </c>
      <c r="B173" s="79">
        <v>27207131471</v>
      </c>
      <c r="C173" s="79" t="s">
        <v>255</v>
      </c>
      <c r="D173" s="79" t="s">
        <v>79</v>
      </c>
      <c r="E173" s="79" t="s">
        <v>42</v>
      </c>
      <c r="F173" s="79" t="s">
        <v>21</v>
      </c>
      <c r="G173" s="79" t="s">
        <v>38</v>
      </c>
      <c r="H173" s="79"/>
      <c r="I173" s="87"/>
      <c r="J173" s="87" t="s">
        <v>31</v>
      </c>
      <c r="K173" s="79"/>
      <c r="L173" s="88" t="s">
        <v>255</v>
      </c>
      <c r="M173" s="79" t="s">
        <v>440</v>
      </c>
      <c r="N173" s="79" t="str">
        <f ca="1">VLOOKUP(B173,'đơn vị tt'!$C$1:$AG$555,25,0)</f>
        <v>Hyatt regency DaNang Resort</v>
      </c>
      <c r="O173" s="79" t="str">
        <f ca="1">VLOOKUP(B173,'đơn vị tt'!$C$1:$AG$555,26,0)</f>
        <v>Tiền sảnh</v>
      </c>
      <c r="P173" s="79" t="str">
        <f ca="1">VLOOKUP(B173,'đơn vị tt'!$C$1:$AG$555,23,0)</f>
        <v>DUYỆT</v>
      </c>
      <c r="Q173" s="79" t="str">
        <f>VLOOKUP(B173,'XÉT ĐIỀU KIỆN THAM DỰ THỰC TẬP'!$A$10:$AB$633,22,0)</f>
        <v>CHUYÊN ĐỀ</v>
      </c>
      <c r="R173" s="79"/>
      <c r="S173" s="79"/>
    </row>
    <row r="174" spans="1:19" s="89" customFormat="1" ht="38.25" x14ac:dyDescent="0.2">
      <c r="A174" s="86">
        <v>45652.598694652777</v>
      </c>
      <c r="B174" s="79">
        <v>27207147439</v>
      </c>
      <c r="C174" s="79" t="s">
        <v>256</v>
      </c>
      <c r="D174" s="79" t="s">
        <v>108</v>
      </c>
      <c r="E174" s="79" t="s">
        <v>20</v>
      </c>
      <c r="F174" s="79" t="s">
        <v>21</v>
      </c>
      <c r="G174" s="79" t="s">
        <v>38</v>
      </c>
      <c r="H174" s="79"/>
      <c r="I174" s="87"/>
      <c r="J174" s="87" t="s">
        <v>31</v>
      </c>
      <c r="K174" s="79"/>
      <c r="L174" s="88" t="s">
        <v>256</v>
      </c>
      <c r="M174" s="79" t="s">
        <v>493</v>
      </c>
      <c r="N174" s="79" t="str">
        <f ca="1">VLOOKUP(B174,'đơn vị tt'!$C$1:$AG$555,25,0)</f>
        <v>Khách sạn Như Minh Plaza</v>
      </c>
      <c r="O174" s="79" t="str">
        <f ca="1">VLOOKUP(B174,'đơn vị tt'!$C$1:$AG$555,26,0)</f>
        <v>Nhà hàng</v>
      </c>
      <c r="P174" s="79" t="str">
        <f ca="1">VLOOKUP(B174,'đơn vị tt'!$C$1:$AG$555,23,0)</f>
        <v>DUYỆT</v>
      </c>
      <c r="Q174" s="79" t="str">
        <f>VLOOKUP(B174,'XÉT ĐIỀU KIỆN THAM DỰ THỰC TẬP'!$A$10:$AB$633,22,0)</f>
        <v>không đủ điều kiện</v>
      </c>
      <c r="R174" s="79"/>
      <c r="S174" s="79"/>
    </row>
    <row r="175" spans="1:19" s="89" customFormat="1" ht="38.25" x14ac:dyDescent="0.2">
      <c r="A175" s="86">
        <v>45652.600670740736</v>
      </c>
      <c r="B175" s="79">
        <v>27207120791</v>
      </c>
      <c r="C175" s="79" t="s">
        <v>257</v>
      </c>
      <c r="D175" s="79" t="s">
        <v>108</v>
      </c>
      <c r="E175" s="79" t="s">
        <v>20</v>
      </c>
      <c r="F175" s="79" t="s">
        <v>21</v>
      </c>
      <c r="G175" s="79" t="s">
        <v>38</v>
      </c>
      <c r="H175" s="79"/>
      <c r="I175" s="87"/>
      <c r="J175" s="87" t="s">
        <v>31</v>
      </c>
      <c r="K175" s="79"/>
      <c r="L175" s="88" t="s">
        <v>257</v>
      </c>
      <c r="M175" s="79" t="s">
        <v>493</v>
      </c>
      <c r="N175" s="79" t="str">
        <f ca="1">VLOOKUP(B175,'đơn vị tt'!$C$1:$AG$555,25,0)</f>
        <v>Khách sạn Như Minh Plaza</v>
      </c>
      <c r="O175" s="79" t="str">
        <f ca="1">VLOOKUP(B175,'đơn vị tt'!$C$1:$AG$555,26,0)</f>
        <v>Tiền sảnh</v>
      </c>
      <c r="P175" s="79" t="str">
        <f ca="1">VLOOKUP(B175,'đơn vị tt'!$C$1:$AG$555,23,0)</f>
        <v>DUYỆT</v>
      </c>
      <c r="Q175" s="79" t="str">
        <f>VLOOKUP(B175,'XÉT ĐIỀU KIỆN THAM DỰ THỰC TẬP'!$A$10:$AB$633,22,0)</f>
        <v>CHUYÊN ĐỀ</v>
      </c>
      <c r="R175" s="79"/>
      <c r="S175" s="79"/>
    </row>
    <row r="176" spans="1:19" s="89" customFormat="1" ht="25.5" x14ac:dyDescent="0.2">
      <c r="A176" s="86">
        <v>45652.659405300925</v>
      </c>
      <c r="B176" s="79">
        <v>27207125326</v>
      </c>
      <c r="C176" s="79" t="s">
        <v>258</v>
      </c>
      <c r="D176" s="79" t="s">
        <v>108</v>
      </c>
      <c r="E176" s="79" t="s">
        <v>20</v>
      </c>
      <c r="F176" s="79" t="s">
        <v>21</v>
      </c>
      <c r="G176" s="79" t="s">
        <v>27</v>
      </c>
      <c r="H176" s="79"/>
      <c r="I176" s="87"/>
      <c r="J176" s="87" t="s">
        <v>31</v>
      </c>
      <c r="K176" s="79"/>
      <c r="L176" s="88" t="s">
        <v>258</v>
      </c>
      <c r="M176" s="79" t="s">
        <v>493</v>
      </c>
      <c r="N176" s="79" t="str">
        <f ca="1">VLOOKUP(B176,'đơn vị tt'!$C$1:$AG$555,25,0)</f>
        <v>Cicilia Hotel &amp; Spa</v>
      </c>
      <c r="O176" s="79" t="str">
        <f ca="1">VLOOKUP(B176,'đơn vị tt'!$C$1:$AG$555,26,0)</f>
        <v>Nhân sự</v>
      </c>
      <c r="P176" s="79" t="str">
        <f ca="1">VLOOKUP(B176,'đơn vị tt'!$C$1:$AG$555,23,0)</f>
        <v>DUYỆT</v>
      </c>
      <c r="Q176" s="79" t="str">
        <f>VLOOKUP(B176,'XÉT ĐIỀU KIỆN THAM DỰ THỰC TẬP'!$A$10:$AB$633,22,0)</f>
        <v>CHUYÊN ĐỀ</v>
      </c>
      <c r="R176" s="79"/>
      <c r="S176" s="79"/>
    </row>
    <row r="177" spans="1:19" s="89" customFormat="1" ht="25.5" x14ac:dyDescent="0.2">
      <c r="A177" s="86">
        <v>45652.834638541666</v>
      </c>
      <c r="B177" s="79">
        <v>27207147294</v>
      </c>
      <c r="C177" s="79" t="s">
        <v>259</v>
      </c>
      <c r="D177" s="79" t="s">
        <v>48</v>
      </c>
      <c r="E177" s="79" t="s">
        <v>20</v>
      </c>
      <c r="F177" s="79" t="s">
        <v>21</v>
      </c>
      <c r="G177" s="79" t="s">
        <v>27</v>
      </c>
      <c r="H177" s="79"/>
      <c r="I177" s="87"/>
      <c r="J177" s="87" t="s">
        <v>31</v>
      </c>
      <c r="K177" s="79"/>
      <c r="L177" s="88" t="s">
        <v>259</v>
      </c>
      <c r="M177" s="79" t="s">
        <v>493</v>
      </c>
      <c r="N177" s="79" t="str">
        <f ca="1">VLOOKUP(B177,'đơn vị tt'!$C$1:$AG$555,25,0)</f>
        <v>Four Points by Sheraton Danang</v>
      </c>
      <c r="O177" s="79" t="str">
        <f ca="1">VLOOKUP(B177,'đơn vị tt'!$C$1:$AG$555,26,0)</f>
        <v>Buồng phòng</v>
      </c>
      <c r="P177" s="79" t="str">
        <f ca="1">VLOOKUP(B177,'đơn vị tt'!$C$1:$AG$555,23,0)</f>
        <v>DUYỆT</v>
      </c>
      <c r="Q177" s="79" t="str">
        <f>VLOOKUP(B177,'XÉT ĐIỀU KIỆN THAM DỰ THỰC TẬP'!$A$10:$AB$633,22,0)</f>
        <v>không đủ điều kiện</v>
      </c>
      <c r="R177" s="79"/>
      <c r="S177" s="79"/>
    </row>
    <row r="178" spans="1:19" s="89" customFormat="1" ht="25.5" x14ac:dyDescent="0.2">
      <c r="A178" s="86">
        <v>45652.882727743054</v>
      </c>
      <c r="B178" s="79">
        <v>27207146213</v>
      </c>
      <c r="C178" s="79" t="s">
        <v>260</v>
      </c>
      <c r="D178" s="79" t="s">
        <v>63</v>
      </c>
      <c r="E178" s="79" t="s">
        <v>20</v>
      </c>
      <c r="F178" s="79" t="s">
        <v>21</v>
      </c>
      <c r="G178" s="79" t="s">
        <v>27</v>
      </c>
      <c r="H178" s="79"/>
      <c r="I178" s="87"/>
      <c r="J178" s="87" t="s">
        <v>31</v>
      </c>
      <c r="K178" s="79"/>
      <c r="L178" s="88" t="s">
        <v>260</v>
      </c>
      <c r="M178" s="79" t="s">
        <v>493</v>
      </c>
      <c r="N178" s="79" t="str">
        <f ca="1">VLOOKUP(B178,'đơn vị tt'!$C$1:$AG$555,25,0)</f>
        <v>Allegro Hoi An - A Little Luxury Hotel &amp; Spa</v>
      </c>
      <c r="O178" s="79" t="str">
        <f ca="1">VLOOKUP(B178,'đơn vị tt'!$C$1:$AG$555,26,0)</f>
        <v>Nhà hàng</v>
      </c>
      <c r="P178" s="79" t="str">
        <f ca="1">VLOOKUP(B178,'đơn vị tt'!$C$1:$AG$555,23,0)</f>
        <v>DUYỆT</v>
      </c>
      <c r="Q178" s="79" t="str">
        <f>VLOOKUP(B178,'XÉT ĐIỀU KIỆN THAM DỰ THỰC TẬP'!$A$10:$AB$633,22,0)</f>
        <v>không đủ điều kiện</v>
      </c>
      <c r="R178" s="79"/>
      <c r="S178" s="79"/>
    </row>
    <row r="179" spans="1:19" s="89" customFormat="1" ht="38.25" x14ac:dyDescent="0.2">
      <c r="A179" s="86">
        <v>45652.9718434838</v>
      </c>
      <c r="B179" s="79">
        <v>27207139716</v>
      </c>
      <c r="C179" s="79" t="s">
        <v>261</v>
      </c>
      <c r="D179" s="79" t="s">
        <v>116</v>
      </c>
      <c r="E179" s="79" t="s">
        <v>20</v>
      </c>
      <c r="F179" s="79" t="s">
        <v>21</v>
      </c>
      <c r="G179" s="79" t="s">
        <v>38</v>
      </c>
      <c r="H179" s="79"/>
      <c r="I179" s="87"/>
      <c r="J179" s="87" t="s">
        <v>31</v>
      </c>
      <c r="K179" s="79"/>
      <c r="L179" s="88" t="s">
        <v>261</v>
      </c>
      <c r="M179" s="79" t="s">
        <v>493</v>
      </c>
      <c r="N179" s="79" t="str">
        <f ca="1">VLOOKUP(B179,'đơn vị tt'!$C$1:$AG$555,25,0)</f>
        <v>Vanda Hotel</v>
      </c>
      <c r="O179" s="79" t="str">
        <f ca="1">VLOOKUP(B179,'đơn vị tt'!$C$1:$AG$555,26,0)</f>
        <v>Buồng phòng</v>
      </c>
      <c r="P179" s="79" t="str">
        <f ca="1">VLOOKUP(B179,'đơn vị tt'!$C$1:$AG$555,23,0)</f>
        <v>DUYỆT</v>
      </c>
      <c r="Q179" s="79" t="str">
        <f>VLOOKUP(B179,'XÉT ĐIỀU KIỆN THAM DỰ THỰC TẬP'!$A$10:$AB$633,22,0)</f>
        <v>CHUYÊN ĐỀ</v>
      </c>
      <c r="R179" s="79" t="str">
        <f ca="1">VLOOKUP(B179,'chuyển KL-&gt;CĐ'!$C$2:$O$1000,2,0)</f>
        <v>Phạm Thị Thanh Huyền</v>
      </c>
      <c r="S179" s="79" t="str">
        <f ca="1">VLOOKUP(B179,'chuyển KL-&gt;CĐ'!$C$2:$O$1000,10,0)</f>
        <v>ĐÃ NỘP</v>
      </c>
    </row>
    <row r="180" spans="1:19" s="89" customFormat="1" ht="38.25" x14ac:dyDescent="0.2">
      <c r="A180" s="86">
        <v>45653.469633877314</v>
      </c>
      <c r="B180" s="79">
        <v>27207120204</v>
      </c>
      <c r="C180" s="79" t="s">
        <v>262</v>
      </c>
      <c r="D180" s="79" t="s">
        <v>116</v>
      </c>
      <c r="E180" s="79" t="s">
        <v>20</v>
      </c>
      <c r="F180" s="79" t="s">
        <v>21</v>
      </c>
      <c r="G180" s="79" t="s">
        <v>38</v>
      </c>
      <c r="H180" s="79"/>
      <c r="I180" s="87"/>
      <c r="J180" s="87" t="s">
        <v>31</v>
      </c>
      <c r="K180" s="79"/>
      <c r="L180" s="88" t="s">
        <v>262</v>
      </c>
      <c r="M180" s="79" t="s">
        <v>493</v>
      </c>
      <c r="N180" s="79" t="str">
        <f ca="1">VLOOKUP(B180,'đơn vị tt'!$C$1:$AG$555,25,0)</f>
        <v>Rosamia Da Nang Hotel</v>
      </c>
      <c r="O180" s="79" t="str">
        <f ca="1">VLOOKUP(B180,'đơn vị tt'!$C$1:$AG$555,26,0)</f>
        <v>Lễ tân Spa</v>
      </c>
      <c r="P180" s="79" t="str">
        <f ca="1">VLOOKUP(B180,'đơn vị tt'!$C$1:$AG$555,23,0)</f>
        <v>DUYỆT</v>
      </c>
      <c r="Q180" s="79" t="str">
        <f>VLOOKUP(B180,'XÉT ĐIỀU KIỆN THAM DỰ THỰC TẬP'!$A$10:$AB$633,22,0)</f>
        <v>CHUYÊN ĐỀ</v>
      </c>
      <c r="R180" s="79"/>
      <c r="S180" s="79"/>
    </row>
    <row r="181" spans="1:19" s="89" customFormat="1" ht="25.5" x14ac:dyDescent="0.2">
      <c r="A181" s="86">
        <v>45664.791265520835</v>
      </c>
      <c r="B181" s="79">
        <v>26207131837</v>
      </c>
      <c r="C181" s="79" t="s">
        <v>263</v>
      </c>
      <c r="D181" s="79" t="s">
        <v>264</v>
      </c>
      <c r="E181" s="79" t="s">
        <v>20</v>
      </c>
      <c r="F181" s="79" t="s">
        <v>34</v>
      </c>
      <c r="G181" s="79" t="s">
        <v>27</v>
      </c>
      <c r="H181" s="79" t="s">
        <v>23</v>
      </c>
      <c r="I181" s="87">
        <v>17</v>
      </c>
      <c r="J181" s="90">
        <v>45931</v>
      </c>
      <c r="K181" s="79"/>
      <c r="L181" s="88" t="s">
        <v>263</v>
      </c>
      <c r="M181" s="79" t="s">
        <v>493</v>
      </c>
      <c r="N181" s="79" t="str">
        <f ca="1">VLOOKUP(B181,'đơn vị tt'!$C$1:$AG$555,25,0)</f>
        <v>Satya Danang Hotel</v>
      </c>
      <c r="O181" s="79" t="str">
        <f ca="1">VLOOKUP(B181,'đơn vị tt'!$C$1:$AG$555,26,0)</f>
        <v>Nhà hàng</v>
      </c>
      <c r="P181" s="79" t="str">
        <f ca="1">VLOOKUP(B181,'đơn vị tt'!$C$1:$AG$555,23,0)</f>
        <v>DUYỆT</v>
      </c>
      <c r="Q181" s="79" t="str">
        <f>VLOOKUP(B181,'XÉT ĐIỀU KIỆN THAM DỰ THỰC TẬP'!$A$10:$AB$633,22,0)</f>
        <v>không đủ điều kiện</v>
      </c>
      <c r="R181" s="79"/>
      <c r="S181" s="79"/>
    </row>
    <row r="182" spans="1:19" s="89" customFormat="1" ht="38.25" x14ac:dyDescent="0.2">
      <c r="A182" s="86">
        <v>45653.487195787035</v>
      </c>
      <c r="B182" s="79">
        <v>27217142556</v>
      </c>
      <c r="C182" s="79" t="s">
        <v>265</v>
      </c>
      <c r="D182" s="79" t="s">
        <v>63</v>
      </c>
      <c r="E182" s="79" t="s">
        <v>20</v>
      </c>
      <c r="F182" s="79" t="s">
        <v>21</v>
      </c>
      <c r="G182" s="79" t="s">
        <v>38</v>
      </c>
      <c r="H182" s="79"/>
      <c r="I182" s="87"/>
      <c r="J182" s="87" t="s">
        <v>31</v>
      </c>
      <c r="K182" s="79"/>
      <c r="L182" s="88" t="s">
        <v>902</v>
      </c>
      <c r="M182" s="79" t="s">
        <v>493</v>
      </c>
      <c r="N182" s="79" t="str">
        <f ca="1">VLOOKUP(B182,'đơn vị tt'!$C$1:$AG$555,25,0)</f>
        <v>Hyatt regency DaNang Resort</v>
      </c>
      <c r="O182" s="79" t="str">
        <f ca="1">VLOOKUP(B182,'đơn vị tt'!$C$1:$AG$555,26,0)</f>
        <v>Buồng phòng</v>
      </c>
      <c r="P182" s="79" t="str">
        <f ca="1">VLOOKUP(B182,'đơn vị tt'!$C$1:$AG$555,23,0)</f>
        <v>DUYỆT</v>
      </c>
      <c r="Q182" s="79" t="str">
        <f>VLOOKUP(B182,'XÉT ĐIỀU KIỆN THAM DỰ THỰC TẬP'!$A$10:$AB$633,22,0)</f>
        <v>CHUYÊN ĐỀ</v>
      </c>
      <c r="R182" s="79" t="str">
        <f ca="1">VLOOKUP(B182,'chuyển KL-&gt;CĐ'!$C$2:$O$1000,2,0)</f>
        <v>Trần Thu Phương</v>
      </c>
      <c r="S182" s="79" t="str">
        <f ca="1">VLOOKUP(B182,'chuyển KL-&gt;CĐ'!$C$2:$O$1000,10,0)</f>
        <v>ĐÃ NỘP</v>
      </c>
    </row>
    <row r="183" spans="1:19" s="89" customFormat="1" ht="25.5" x14ac:dyDescent="0.2">
      <c r="A183" s="86">
        <v>45653.515366874999</v>
      </c>
      <c r="B183" s="79">
        <v>27207141584</v>
      </c>
      <c r="C183" s="79" t="s">
        <v>266</v>
      </c>
      <c r="D183" s="79" t="s">
        <v>108</v>
      </c>
      <c r="E183" s="79" t="s">
        <v>20</v>
      </c>
      <c r="F183" s="79" t="s">
        <v>21</v>
      </c>
      <c r="G183" s="79" t="s">
        <v>27</v>
      </c>
      <c r="H183" s="79"/>
      <c r="I183" s="87"/>
      <c r="J183" s="87" t="s">
        <v>31</v>
      </c>
      <c r="K183" s="79"/>
      <c r="L183" s="88" t="s">
        <v>266</v>
      </c>
      <c r="M183" s="79" t="s">
        <v>493</v>
      </c>
      <c r="N183" s="79" t="str">
        <f ca="1">VLOOKUP(B183,'đơn vị tt'!$C$1:$AG$555,25,0)</f>
        <v>Vanda Hotel</v>
      </c>
      <c r="O183" s="79" t="str">
        <f ca="1">VLOOKUP(B183,'đơn vị tt'!$C$1:$AG$555,26,0)</f>
        <v>Buồng phòng</v>
      </c>
      <c r="P183" s="79" t="str">
        <f ca="1">VLOOKUP(B183,'đơn vị tt'!$C$1:$AG$555,23,0)</f>
        <v>DUYỆT</v>
      </c>
      <c r="Q183" s="79" t="str">
        <f>VLOOKUP(B183,'XÉT ĐIỀU KIỆN THAM DỰ THỰC TẬP'!$A$10:$AB$633,22,0)</f>
        <v>không đủ điều kiện</v>
      </c>
      <c r="R183" s="79"/>
      <c r="S183" s="79"/>
    </row>
    <row r="184" spans="1:19" s="89" customFormat="1" ht="25.5" x14ac:dyDescent="0.2">
      <c r="A184" s="86">
        <v>45653.516041504627</v>
      </c>
      <c r="B184" s="79">
        <v>27207125399</v>
      </c>
      <c r="C184" s="79" t="s">
        <v>267</v>
      </c>
      <c r="D184" s="79" t="s">
        <v>108</v>
      </c>
      <c r="E184" s="79" t="s">
        <v>20</v>
      </c>
      <c r="F184" s="79" t="s">
        <v>21</v>
      </c>
      <c r="G184" s="79" t="s">
        <v>27</v>
      </c>
      <c r="H184" s="79"/>
      <c r="I184" s="87"/>
      <c r="J184" s="87" t="s">
        <v>31</v>
      </c>
      <c r="K184" s="79"/>
      <c r="L184" s="88" t="s">
        <v>903</v>
      </c>
      <c r="M184" s="79" t="s">
        <v>493</v>
      </c>
      <c r="N184" s="79" t="str">
        <f ca="1">VLOOKUP(B184,'đơn vị tt'!$C$1:$AG$555,25,0)</f>
        <v>Rosamia Da Nang Hotel</v>
      </c>
      <c r="O184" s="79" t="str">
        <f ca="1">VLOOKUP(B184,'đơn vị tt'!$C$1:$AG$555,26,0)</f>
        <v>Buồng phòng</v>
      </c>
      <c r="P184" s="79" t="str">
        <f ca="1">VLOOKUP(B184,'đơn vị tt'!$C$1:$AG$555,23,0)</f>
        <v>DUYỆT</v>
      </c>
      <c r="Q184" s="79" t="str">
        <f>VLOOKUP(B184,'XÉT ĐIỀU KIỆN THAM DỰ THỰC TẬP'!$A$10:$AB$633,22,0)</f>
        <v>không đủ điều kiện</v>
      </c>
      <c r="R184" s="79"/>
      <c r="S184" s="79"/>
    </row>
    <row r="185" spans="1:19" s="89" customFormat="1" ht="25.5" x14ac:dyDescent="0.2">
      <c r="A185" s="86">
        <v>45653.517581516207</v>
      </c>
      <c r="B185" s="79">
        <v>27207141496</v>
      </c>
      <c r="C185" s="79" t="s">
        <v>268</v>
      </c>
      <c r="D185" s="79" t="s">
        <v>108</v>
      </c>
      <c r="E185" s="79" t="s">
        <v>20</v>
      </c>
      <c r="F185" s="79" t="s">
        <v>21</v>
      </c>
      <c r="G185" s="79" t="s">
        <v>27</v>
      </c>
      <c r="H185" s="79"/>
      <c r="I185" s="87"/>
      <c r="J185" s="87" t="s">
        <v>31</v>
      </c>
      <c r="K185" s="79"/>
      <c r="L185" s="88" t="s">
        <v>268</v>
      </c>
      <c r="M185" s="79" t="s">
        <v>493</v>
      </c>
      <c r="N185" s="79" t="str">
        <f ca="1">VLOOKUP(B185,'đơn vị tt'!$C$1:$AG$555,25,0)</f>
        <v>Vanda Hotel</v>
      </c>
      <c r="O185" s="79" t="str">
        <f ca="1">VLOOKUP(B185,'đơn vị tt'!$C$1:$AG$555,26,0)</f>
        <v>Buồng phòng</v>
      </c>
      <c r="P185" s="79" t="str">
        <f ca="1">VLOOKUP(B185,'đơn vị tt'!$C$1:$AG$555,23,0)</f>
        <v>DUYỆT</v>
      </c>
      <c r="Q185" s="79" t="str">
        <f>VLOOKUP(B185,'XÉT ĐIỀU KIỆN THAM DỰ THỰC TẬP'!$A$10:$AB$633,22,0)</f>
        <v>không đủ điều kiện</v>
      </c>
      <c r="R185" s="79"/>
      <c r="S185" s="79"/>
    </row>
    <row r="186" spans="1:19" s="89" customFormat="1" ht="38.25" x14ac:dyDescent="0.2">
      <c r="A186" s="86">
        <v>45655.711766099535</v>
      </c>
      <c r="B186" s="79">
        <v>27217128739</v>
      </c>
      <c r="C186" s="79" t="s">
        <v>269</v>
      </c>
      <c r="D186" s="79" t="s">
        <v>116</v>
      </c>
      <c r="E186" s="79" t="s">
        <v>20</v>
      </c>
      <c r="F186" s="79" t="s">
        <v>21</v>
      </c>
      <c r="G186" s="79" t="s">
        <v>38</v>
      </c>
      <c r="H186" s="79"/>
      <c r="I186" s="90"/>
      <c r="J186" s="90">
        <v>45717</v>
      </c>
      <c r="K186" s="79"/>
      <c r="L186" s="88" t="s">
        <v>269</v>
      </c>
      <c r="M186" s="79" t="s">
        <v>493</v>
      </c>
      <c r="N186" s="79" t="str">
        <f ca="1">VLOOKUP(B186,'đơn vị tt'!$C$1:$AG$555,25,0)</f>
        <v>Hyatt regency DaNang Resort</v>
      </c>
      <c r="O186" s="79" t="str">
        <f ca="1">VLOOKUP(B186,'đơn vị tt'!$C$1:$AG$555,26,0)</f>
        <v>Nhà hàng</v>
      </c>
      <c r="P186" s="79" t="str">
        <f ca="1">VLOOKUP(B186,'đơn vị tt'!$C$1:$AG$555,23,0)</f>
        <v>DUYỆT</v>
      </c>
      <c r="Q186" s="79" t="str">
        <f>VLOOKUP(B186,'XÉT ĐIỀU KIỆN THAM DỰ THỰC TẬP'!$A$10:$AB$633,22,0)</f>
        <v>CHUYÊN ĐỀ</v>
      </c>
      <c r="R186" s="79" t="str">
        <f ca="1">VLOOKUP(B186,'chuyển KL-&gt;CĐ'!$C$2:$O$1000,2,0)</f>
        <v>Nguyễn Khắc Anh</v>
      </c>
      <c r="S186" s="79" t="str">
        <f ca="1">VLOOKUP(B186,'chuyển KL-&gt;CĐ'!$C$2:$O$1000,10,0)</f>
        <v>ĐÃ NỘP</v>
      </c>
    </row>
    <row r="187" spans="1:19" s="89" customFormat="1" ht="25.5" x14ac:dyDescent="0.2">
      <c r="A187" s="86">
        <v>45653.744570474533</v>
      </c>
      <c r="B187" s="79">
        <v>27207127705</v>
      </c>
      <c r="C187" s="79" t="s">
        <v>270</v>
      </c>
      <c r="D187" s="79" t="s">
        <v>63</v>
      </c>
      <c r="E187" s="79" t="s">
        <v>20</v>
      </c>
      <c r="F187" s="79" t="s">
        <v>21</v>
      </c>
      <c r="G187" s="79" t="s">
        <v>27</v>
      </c>
      <c r="H187" s="79"/>
      <c r="I187" s="90"/>
      <c r="J187" s="90">
        <v>45717</v>
      </c>
      <c r="K187" s="79"/>
      <c r="L187" s="88" t="s">
        <v>904</v>
      </c>
      <c r="M187" s="79" t="s">
        <v>493</v>
      </c>
      <c r="N187" s="79" t="str">
        <f ca="1">VLOOKUP(B187,'đơn vị tt'!$C$1:$AG$555,25,0)</f>
        <v>New Orient Hotel Đà Nẵng</v>
      </c>
      <c r="O187" s="79" t="str">
        <f ca="1">VLOOKUP(B187,'đơn vị tt'!$C$1:$AG$555,26,0)</f>
        <v>Nhà hàng</v>
      </c>
      <c r="P187" s="79" t="str">
        <f ca="1">VLOOKUP(B187,'đơn vị tt'!$C$1:$AG$555,23,0)</f>
        <v>DUYỆT</v>
      </c>
      <c r="Q187" s="79" t="str">
        <f>VLOOKUP(B187,'XÉT ĐIỀU KIỆN THAM DỰ THỰC TẬP'!$A$10:$AB$633,22,0)</f>
        <v>không đủ điều kiện</v>
      </c>
      <c r="R187" s="79"/>
      <c r="S187" s="79"/>
    </row>
    <row r="188" spans="1:19" s="89" customFormat="1" ht="38.25" x14ac:dyDescent="0.2">
      <c r="A188" s="86">
        <v>45658.607562974532</v>
      </c>
      <c r="B188" s="79">
        <v>27207138525</v>
      </c>
      <c r="C188" s="79" t="s">
        <v>271</v>
      </c>
      <c r="D188" s="79" t="s">
        <v>272</v>
      </c>
      <c r="E188" s="79" t="s">
        <v>20</v>
      </c>
      <c r="F188" s="79" t="s">
        <v>21</v>
      </c>
      <c r="G188" s="79" t="s">
        <v>38</v>
      </c>
      <c r="H188" s="79"/>
      <c r="I188" s="90"/>
      <c r="J188" s="90">
        <v>45717</v>
      </c>
      <c r="K188" s="79"/>
      <c r="L188" s="88" t="s">
        <v>905</v>
      </c>
      <c r="M188" s="79" t="s">
        <v>493</v>
      </c>
      <c r="N188" s="79" t="str">
        <f ca="1">VLOOKUP(B188,'đơn vị tt'!$C$1:$AG$555,25,0)</f>
        <v>Grand Mercure Đà Nẵng</v>
      </c>
      <c r="O188" s="79" t="str">
        <f ca="1">VLOOKUP(B188,'đơn vị tt'!$C$1:$AG$555,26,0)</f>
        <v>Nhà hàng</v>
      </c>
      <c r="P188" s="79" t="str">
        <f ca="1">VLOOKUP(B188,'đơn vị tt'!$C$1:$AG$555,23,0)</f>
        <v>DUYỆT</v>
      </c>
      <c r="Q188" s="79" t="str">
        <f>VLOOKUP(B188,'XÉT ĐIỀU KIỆN THAM DỰ THỰC TẬP'!$A$10:$AB$633,22,0)</f>
        <v>CHUYÊN ĐỀ</v>
      </c>
      <c r="R188" s="79"/>
      <c r="S188" s="79"/>
    </row>
    <row r="189" spans="1:19" s="89" customFormat="1" ht="25.5" x14ac:dyDescent="0.2">
      <c r="A189" s="86">
        <v>45657.936010740741</v>
      </c>
      <c r="B189" s="79">
        <v>27217137887</v>
      </c>
      <c r="C189" s="79" t="s">
        <v>273</v>
      </c>
      <c r="D189" s="79" t="s">
        <v>19</v>
      </c>
      <c r="E189" s="79" t="s">
        <v>20</v>
      </c>
      <c r="F189" s="79" t="s">
        <v>21</v>
      </c>
      <c r="G189" s="79" t="s">
        <v>27</v>
      </c>
      <c r="H189" s="79"/>
      <c r="I189" s="90"/>
      <c r="J189" s="90">
        <v>45717</v>
      </c>
      <c r="K189" s="79"/>
      <c r="L189" s="88" t="s">
        <v>906</v>
      </c>
      <c r="M189" s="79" t="s">
        <v>493</v>
      </c>
      <c r="N189" s="79" t="str">
        <f ca="1">VLOOKUP(B189,'đơn vị tt'!$C$1:$AG$555,25,0)</f>
        <v xml:space="preserve">Khách sạn Avatar Đà Nẵng </v>
      </c>
      <c r="O189" s="79" t="str">
        <f ca="1">VLOOKUP(B189,'đơn vị tt'!$C$1:$AG$555,26,0)</f>
        <v>Nhà hàng</v>
      </c>
      <c r="P189" s="79" t="str">
        <f ca="1">VLOOKUP(B189,'đơn vị tt'!$C$1:$AG$555,23,0)</f>
        <v>DUYỆT</v>
      </c>
      <c r="Q189" s="79" t="str">
        <f>VLOOKUP(B189,'XÉT ĐIỀU KIỆN THAM DỰ THỰC TẬP'!$A$10:$AB$633,22,0)</f>
        <v>không đủ điều kiện</v>
      </c>
      <c r="R189" s="79"/>
      <c r="S189" s="79"/>
    </row>
    <row r="190" spans="1:19" s="89" customFormat="1" ht="25.5" x14ac:dyDescent="0.2">
      <c r="A190" s="86">
        <v>45654.50173744213</v>
      </c>
      <c r="B190" s="79">
        <v>27207147707</v>
      </c>
      <c r="C190" s="79" t="s">
        <v>274</v>
      </c>
      <c r="D190" s="79" t="s">
        <v>275</v>
      </c>
      <c r="E190" s="79" t="s">
        <v>20</v>
      </c>
      <c r="F190" s="79" t="s">
        <v>21</v>
      </c>
      <c r="G190" s="79" t="s">
        <v>27</v>
      </c>
      <c r="H190" s="79"/>
      <c r="I190" s="90"/>
      <c r="J190" s="90">
        <v>45717</v>
      </c>
      <c r="K190" s="79"/>
      <c r="L190" s="88" t="s">
        <v>907</v>
      </c>
      <c r="M190" s="79" t="s">
        <v>493</v>
      </c>
      <c r="N190" s="79" t="e">
        <f ca="1">VLOOKUP(B190,'đơn vị tt'!$C$1:$AG$555,25,0)</f>
        <v>#N/A</v>
      </c>
      <c r="O190" s="79" t="e">
        <f ca="1">VLOOKUP(B190,'đơn vị tt'!$C$1:$AG$555,26,0)</f>
        <v>#N/A</v>
      </c>
      <c r="P190" s="79" t="e">
        <f ca="1">VLOOKUP(B190,'đơn vị tt'!$C$1:$AG$555,23,0)</f>
        <v>#N/A</v>
      </c>
      <c r="Q190" s="79" t="str">
        <f>VLOOKUP(B190,'XÉT ĐIỀU KIỆN THAM DỰ THỰC TẬP'!$A$10:$AB$633,22,0)</f>
        <v>CHUYÊN ĐỀ</v>
      </c>
      <c r="R190" s="79"/>
      <c r="S190" s="79"/>
    </row>
    <row r="191" spans="1:19" s="89" customFormat="1" ht="25.5" x14ac:dyDescent="0.2">
      <c r="A191" s="86">
        <v>45654.505120844908</v>
      </c>
      <c r="B191" s="79">
        <v>27207128839</v>
      </c>
      <c r="C191" s="79" t="s">
        <v>276</v>
      </c>
      <c r="D191" s="79" t="s">
        <v>108</v>
      </c>
      <c r="E191" s="79" t="s">
        <v>20</v>
      </c>
      <c r="F191" s="79" t="s">
        <v>21</v>
      </c>
      <c r="G191" s="79" t="s">
        <v>27</v>
      </c>
      <c r="H191" s="79"/>
      <c r="I191" s="90"/>
      <c r="J191" s="90">
        <v>45717</v>
      </c>
      <c r="K191" s="79"/>
      <c r="L191" s="88" t="s">
        <v>276</v>
      </c>
      <c r="M191" s="79" t="s">
        <v>493</v>
      </c>
      <c r="N191" s="79" t="str">
        <f ca="1">VLOOKUP(B191,'đơn vị tt'!$C$1:$AG$555,25,0)</f>
        <v>Vanda Hotel</v>
      </c>
      <c r="O191" s="79" t="str">
        <f ca="1">VLOOKUP(B191,'đơn vị tt'!$C$1:$AG$555,26,0)</f>
        <v>Nhà hàng</v>
      </c>
      <c r="P191" s="79" t="str">
        <f ca="1">VLOOKUP(B191,'đơn vị tt'!$C$1:$AG$555,23,0)</f>
        <v>DUYỆT</v>
      </c>
      <c r="Q191" s="79" t="str">
        <f>VLOOKUP(B191,'XÉT ĐIỀU KIỆN THAM DỰ THỰC TẬP'!$A$10:$AB$633,22,0)</f>
        <v>CHUYÊN ĐỀ</v>
      </c>
      <c r="R191" s="79"/>
      <c r="S191" s="79"/>
    </row>
    <row r="192" spans="1:19" s="89" customFormat="1" ht="38.25" x14ac:dyDescent="0.2">
      <c r="A192" s="86">
        <v>45654.521031712968</v>
      </c>
      <c r="B192" s="79">
        <v>27217128905</v>
      </c>
      <c r="C192" s="79" t="s">
        <v>277</v>
      </c>
      <c r="D192" s="79" t="s">
        <v>46</v>
      </c>
      <c r="E192" s="79" t="s">
        <v>42</v>
      </c>
      <c r="F192" s="79" t="s">
        <v>21</v>
      </c>
      <c r="G192" s="79" t="s">
        <v>22</v>
      </c>
      <c r="H192" s="79"/>
      <c r="I192" s="90"/>
      <c r="J192" s="90">
        <v>45717</v>
      </c>
      <c r="K192" s="79"/>
      <c r="L192" s="88" t="s">
        <v>277</v>
      </c>
      <c r="M192" s="79" t="s">
        <v>440</v>
      </c>
      <c r="N192" s="79" t="str">
        <f ca="1">VLOOKUP(B192,'đơn vị tt'!$C$1:$AG$555,25,0)</f>
        <v>Pullman Danang Beach Resort</v>
      </c>
      <c r="O192" s="79" t="str">
        <f ca="1">VLOOKUP(B192,'đơn vị tt'!$C$1:$AG$555,26,0)</f>
        <v>Nhà hàng</v>
      </c>
      <c r="P192" s="79" t="str">
        <f ca="1">VLOOKUP(B192,'đơn vị tt'!$C$1:$AG$555,23,0)</f>
        <v>DUYỆT</v>
      </c>
      <c r="Q192" s="79" t="str">
        <f>VLOOKUP(B192,'XÉT ĐIỀU KIỆN THAM DỰ THỰC TẬP'!$A$10:$AB$633,22,0)</f>
        <v>không đủ điều kiện</v>
      </c>
      <c r="R192" s="79"/>
      <c r="S192" s="79"/>
    </row>
    <row r="193" spans="1:19" s="89" customFormat="1" ht="38.25" x14ac:dyDescent="0.2">
      <c r="A193" s="86">
        <v>45654.538805405093</v>
      </c>
      <c r="B193" s="79">
        <v>27217133018</v>
      </c>
      <c r="C193" s="79" t="s">
        <v>278</v>
      </c>
      <c r="D193" s="79" t="s">
        <v>120</v>
      </c>
      <c r="E193" s="79" t="s">
        <v>20</v>
      </c>
      <c r="F193" s="79" t="s">
        <v>21</v>
      </c>
      <c r="G193" s="79" t="s">
        <v>38</v>
      </c>
      <c r="H193" s="79"/>
      <c r="I193" s="90"/>
      <c r="J193" s="90">
        <v>45717</v>
      </c>
      <c r="K193" s="79"/>
      <c r="L193" s="88" t="s">
        <v>278</v>
      </c>
      <c r="M193" s="79" t="s">
        <v>493</v>
      </c>
      <c r="N193" s="79" t="str">
        <f ca="1">VLOOKUP(B193,'đơn vị tt'!$C$1:$AG$555,25,0)</f>
        <v>Khách sạn Mandila Beach Đà Nẵng</v>
      </c>
      <c r="O193" s="79" t="str">
        <f ca="1">VLOOKUP(B193,'đơn vị tt'!$C$1:$AG$555,26,0)</f>
        <v>Buồng phòng</v>
      </c>
      <c r="P193" s="79" t="str">
        <f ca="1">VLOOKUP(B193,'đơn vị tt'!$C$1:$AG$555,23,0)</f>
        <v>DUYỆT</v>
      </c>
      <c r="Q193" s="79" t="str">
        <f>VLOOKUP(B193,'XÉT ĐIỀU KIỆN THAM DỰ THỰC TẬP'!$A$10:$AB$633,22,0)</f>
        <v>CHUYÊN ĐỀ</v>
      </c>
      <c r="R193" s="79"/>
      <c r="S193" s="79"/>
    </row>
    <row r="194" spans="1:19" s="89" customFormat="1" ht="25.5" x14ac:dyDescent="0.2">
      <c r="A194" s="86">
        <v>45656.585413229172</v>
      </c>
      <c r="B194" s="79">
        <v>26207124697</v>
      </c>
      <c r="C194" s="79" t="s">
        <v>279</v>
      </c>
      <c r="D194" s="79" t="s">
        <v>200</v>
      </c>
      <c r="E194" s="79" t="s">
        <v>20</v>
      </c>
      <c r="F194" s="79" t="s">
        <v>34</v>
      </c>
      <c r="G194" s="79" t="s">
        <v>113</v>
      </c>
      <c r="H194" s="79" t="s">
        <v>23</v>
      </c>
      <c r="I194" s="87">
        <v>18</v>
      </c>
      <c r="J194" s="90">
        <v>45870</v>
      </c>
      <c r="K194" s="79"/>
      <c r="L194" s="88" t="s">
        <v>279</v>
      </c>
      <c r="M194" s="79" t="s">
        <v>493</v>
      </c>
      <c r="N194" s="79" t="str">
        <f ca="1">VLOOKUP(B194,'đơn vị tt'!$C$1:$AG$555,25,0)</f>
        <v>Sala Danang Beach Hotel</v>
      </c>
      <c r="O194" s="79" t="str">
        <f ca="1">VLOOKUP(B194,'đơn vị tt'!$C$1:$AG$555,26,0)</f>
        <v>Nhà hàng</v>
      </c>
      <c r="P194" s="79" t="str">
        <f ca="1">VLOOKUP(B194,'đơn vị tt'!$C$1:$AG$555,23,0)</f>
        <v>DUYỆT</v>
      </c>
      <c r="Q194" s="79" t="str">
        <f>VLOOKUP(B194,'XÉT ĐIỀU KIỆN THAM DỰ THỰC TẬP'!$A$10:$AB$633,22,0)</f>
        <v>CHUYÊN ĐỀ</v>
      </c>
      <c r="R194" s="79"/>
      <c r="S194" s="79"/>
    </row>
    <row r="195" spans="1:19" s="89" customFormat="1" ht="38.25" x14ac:dyDescent="0.2">
      <c r="A195" s="86">
        <v>45658.706489629629</v>
      </c>
      <c r="B195" s="79">
        <v>27207145668</v>
      </c>
      <c r="C195" s="79" t="s">
        <v>280</v>
      </c>
      <c r="D195" s="79" t="s">
        <v>211</v>
      </c>
      <c r="E195" s="79" t="s">
        <v>20</v>
      </c>
      <c r="F195" s="79" t="s">
        <v>21</v>
      </c>
      <c r="G195" s="79" t="s">
        <v>38</v>
      </c>
      <c r="H195" s="79"/>
      <c r="I195" s="90"/>
      <c r="J195" s="90">
        <v>45717</v>
      </c>
      <c r="K195" s="79"/>
      <c r="L195" s="88" t="s">
        <v>908</v>
      </c>
      <c r="M195" s="79" t="s">
        <v>493</v>
      </c>
      <c r="N195" s="79" t="e">
        <f ca="1">VLOOKUP(B195,'đơn vị tt'!$C$1:$AG$555,25,0)</f>
        <v>#N/A</v>
      </c>
      <c r="O195" s="79" t="e">
        <f ca="1">VLOOKUP(B195,'đơn vị tt'!$C$1:$AG$555,26,0)</f>
        <v>#N/A</v>
      </c>
      <c r="P195" s="79" t="e">
        <f ca="1">VLOOKUP(B195,'đơn vị tt'!$C$1:$AG$555,23,0)</f>
        <v>#N/A</v>
      </c>
      <c r="Q195" s="79" t="str">
        <f>VLOOKUP(B195,'XÉT ĐIỀU KIỆN THAM DỰ THỰC TẬP'!$A$10:$AB$633,22,0)</f>
        <v>CHUYÊN ĐỀ</v>
      </c>
      <c r="R195" s="79"/>
      <c r="S195" s="79"/>
    </row>
    <row r="196" spans="1:19" s="89" customFormat="1" ht="38.25" x14ac:dyDescent="0.2">
      <c r="A196" s="86">
        <v>45654.73104893518</v>
      </c>
      <c r="B196" s="79">
        <v>27207100676</v>
      </c>
      <c r="C196" s="79" t="s">
        <v>281</v>
      </c>
      <c r="D196" s="79" t="s">
        <v>63</v>
      </c>
      <c r="E196" s="79" t="s">
        <v>20</v>
      </c>
      <c r="F196" s="79" t="s">
        <v>21</v>
      </c>
      <c r="G196" s="79" t="s">
        <v>38</v>
      </c>
      <c r="H196" s="79"/>
      <c r="I196" s="90"/>
      <c r="J196" s="90">
        <v>45717</v>
      </c>
      <c r="K196" s="79"/>
      <c r="L196" s="88" t="s">
        <v>281</v>
      </c>
      <c r="M196" s="79" t="s">
        <v>493</v>
      </c>
      <c r="N196" s="79" t="str">
        <f ca="1">VLOOKUP(B196,'đơn vị tt'!$C$1:$AG$555,25,0)</f>
        <v>Sheraton Grand Danang resort and Convention Center</v>
      </c>
      <c r="O196" s="79" t="str">
        <f ca="1">VLOOKUP(B196,'đơn vị tt'!$C$1:$AG$555,26,0)</f>
        <v>Nhà hàng</v>
      </c>
      <c r="P196" s="79" t="str">
        <f ca="1">VLOOKUP(B196,'đơn vị tt'!$C$1:$AG$555,23,0)</f>
        <v>DUYỆT</v>
      </c>
      <c r="Q196" s="79" t="str">
        <f>VLOOKUP(B196,'XÉT ĐIỀU KIỆN THAM DỰ THỰC TẬP'!$A$10:$AB$633,22,0)</f>
        <v>CHUYÊN ĐỀ</v>
      </c>
      <c r="R196" s="79"/>
      <c r="S196" s="79"/>
    </row>
    <row r="197" spans="1:19" s="89" customFormat="1" ht="38.25" x14ac:dyDescent="0.2">
      <c r="A197" s="86">
        <v>45654.740008946756</v>
      </c>
      <c r="B197" s="79">
        <v>27207102890</v>
      </c>
      <c r="C197" s="79" t="s">
        <v>282</v>
      </c>
      <c r="D197" s="79" t="s">
        <v>283</v>
      </c>
      <c r="E197" s="79" t="s">
        <v>20</v>
      </c>
      <c r="F197" s="79" t="s">
        <v>21</v>
      </c>
      <c r="G197" s="79" t="s">
        <v>38</v>
      </c>
      <c r="H197" s="79"/>
      <c r="I197" s="90"/>
      <c r="J197" s="90">
        <v>45717</v>
      </c>
      <c r="K197" s="79"/>
      <c r="L197" s="88" t="s">
        <v>909</v>
      </c>
      <c r="M197" s="79" t="s">
        <v>493</v>
      </c>
      <c r="N197" s="79" t="e">
        <f ca="1">VLOOKUP(B197,'đơn vị tt'!$C$1:$AG$555,25,0)</f>
        <v>#N/A</v>
      </c>
      <c r="O197" s="79" t="e">
        <f ca="1">VLOOKUP(B197,'đơn vị tt'!$C$1:$AG$555,26,0)</f>
        <v>#N/A</v>
      </c>
      <c r="P197" s="79" t="e">
        <f ca="1">VLOOKUP(B197,'đơn vị tt'!$C$1:$AG$555,23,0)</f>
        <v>#N/A</v>
      </c>
      <c r="Q197" s="79" t="str">
        <f>VLOOKUP(B197,'XÉT ĐIỀU KIỆN THAM DỰ THỰC TẬP'!$A$10:$AB$633,22,0)</f>
        <v>CHUYÊN ĐỀ</v>
      </c>
      <c r="R197" s="79"/>
      <c r="S197" s="79"/>
    </row>
    <row r="198" spans="1:19" s="89" customFormat="1" ht="25.5" x14ac:dyDescent="0.2">
      <c r="A198" s="86">
        <v>45660.443388182874</v>
      </c>
      <c r="B198" s="79">
        <v>27207127524</v>
      </c>
      <c r="C198" s="79" t="s">
        <v>284</v>
      </c>
      <c r="D198" s="79" t="s">
        <v>108</v>
      </c>
      <c r="E198" s="79" t="s">
        <v>20</v>
      </c>
      <c r="F198" s="79" t="s">
        <v>21</v>
      </c>
      <c r="G198" s="79" t="s">
        <v>27</v>
      </c>
      <c r="H198" s="79"/>
      <c r="I198" s="90"/>
      <c r="J198" s="90">
        <v>45717</v>
      </c>
      <c r="K198" s="79"/>
      <c r="L198" s="88" t="s">
        <v>910</v>
      </c>
      <c r="M198" s="79" t="s">
        <v>493</v>
      </c>
      <c r="N198" s="79" t="e">
        <f ca="1">VLOOKUP(B198,'đơn vị tt'!$C$1:$AG$555,25,0)</f>
        <v>#N/A</v>
      </c>
      <c r="O198" s="79" t="e">
        <f ca="1">VLOOKUP(B198,'đơn vị tt'!$C$1:$AG$555,26,0)</f>
        <v>#N/A</v>
      </c>
      <c r="P198" s="79" t="e">
        <f ca="1">VLOOKUP(B198,'đơn vị tt'!$C$1:$AG$555,23,0)</f>
        <v>#N/A</v>
      </c>
      <c r="Q198" s="79" t="str">
        <f>VLOOKUP(B198,'XÉT ĐIỀU KIỆN THAM DỰ THỰC TẬP'!$A$10:$AB$633,22,0)</f>
        <v>CHUYÊN ĐỀ</v>
      </c>
      <c r="R198" s="79"/>
      <c r="S198" s="79"/>
    </row>
    <row r="199" spans="1:19" s="89" customFormat="1" ht="38.25" x14ac:dyDescent="0.2">
      <c r="A199" s="86">
        <v>45658.860822951392</v>
      </c>
      <c r="B199" s="79">
        <v>27217132880</v>
      </c>
      <c r="C199" s="79" t="s">
        <v>285</v>
      </c>
      <c r="D199" s="79" t="s">
        <v>108</v>
      </c>
      <c r="E199" s="79" t="s">
        <v>20</v>
      </c>
      <c r="F199" s="79" t="s">
        <v>21</v>
      </c>
      <c r="G199" s="79" t="s">
        <v>38</v>
      </c>
      <c r="H199" s="79"/>
      <c r="I199" s="90"/>
      <c r="J199" s="90">
        <v>45717</v>
      </c>
      <c r="K199" s="79"/>
      <c r="L199" s="88" t="s">
        <v>285</v>
      </c>
      <c r="M199" s="79" t="s">
        <v>493</v>
      </c>
      <c r="N199" s="79" t="str">
        <f ca="1">VLOOKUP(B199,'đơn vị tt'!$C$1:$AG$555,25,0)</f>
        <v>Wyndham DaNang Golden Bay</v>
      </c>
      <c r="O199" s="79" t="str">
        <f ca="1">VLOOKUP(B199,'đơn vị tt'!$C$1:$AG$555,26,0)</f>
        <v>Nhà hàng</v>
      </c>
      <c r="P199" s="79" t="str">
        <f ca="1">VLOOKUP(B199,'đơn vị tt'!$C$1:$AG$555,23,0)</f>
        <v>DUYỆT</v>
      </c>
      <c r="Q199" s="79" t="str">
        <f>VLOOKUP(B199,'XÉT ĐIỀU KIỆN THAM DỰ THỰC TẬP'!$A$10:$AB$633,22,0)</f>
        <v>CHUYÊN ĐỀ</v>
      </c>
      <c r="R199" s="79"/>
      <c r="S199" s="79"/>
    </row>
    <row r="200" spans="1:19" s="89" customFormat="1" ht="38.25" x14ac:dyDescent="0.2">
      <c r="A200" s="86">
        <v>45655.615238831015</v>
      </c>
      <c r="B200" s="79">
        <v>27207100850</v>
      </c>
      <c r="C200" s="79" t="s">
        <v>286</v>
      </c>
      <c r="D200" s="79" t="s">
        <v>184</v>
      </c>
      <c r="E200" s="79" t="s">
        <v>20</v>
      </c>
      <c r="F200" s="79" t="s">
        <v>21</v>
      </c>
      <c r="G200" s="79" t="s">
        <v>38</v>
      </c>
      <c r="H200" s="79"/>
      <c r="I200" s="90"/>
      <c r="J200" s="90">
        <v>45717</v>
      </c>
      <c r="K200" s="79"/>
      <c r="L200" s="88" t="s">
        <v>911</v>
      </c>
      <c r="M200" s="79" t="s">
        <v>493</v>
      </c>
      <c r="N200" s="79" t="str">
        <f ca="1">VLOOKUP(B200,'đơn vị tt'!$C$1:$AG$555,25,0)</f>
        <v>Meliá Vinpearl Danang Riverfront</v>
      </c>
      <c r="O200" s="79" t="str">
        <f ca="1">VLOOKUP(B200,'đơn vị tt'!$C$1:$AG$555,26,0)</f>
        <v>Buồng phòng</v>
      </c>
      <c r="P200" s="79" t="str">
        <f ca="1">VLOOKUP(B200,'đơn vị tt'!$C$1:$AG$555,23,0)</f>
        <v>DUYỆT</v>
      </c>
      <c r="Q200" s="79" t="str">
        <f>VLOOKUP(B200,'XÉT ĐIỀU KIỆN THAM DỰ THỰC TẬP'!$A$10:$AB$633,22,0)</f>
        <v>CHUYÊN ĐỀ</v>
      </c>
      <c r="R200" s="79" t="str">
        <f ca="1">VLOOKUP(B200,'chuyển KL-&gt;CĐ'!$C$2:$O$1000,2,0)</f>
        <v xml:space="preserve">DƯƠNG NGUYỄN KHÁNH GIANG </v>
      </c>
      <c r="S200" s="79" t="str">
        <f ca="1">VLOOKUP(B200,'chuyển KL-&gt;CĐ'!$C$2:$O$1000,10,0)</f>
        <v>ĐÃ NỘP</v>
      </c>
    </row>
    <row r="201" spans="1:19" s="89" customFormat="1" ht="25.5" x14ac:dyDescent="0.2">
      <c r="A201" s="86">
        <v>45655.655619907411</v>
      </c>
      <c r="B201" s="79">
        <v>27217101082</v>
      </c>
      <c r="C201" s="79" t="s">
        <v>287</v>
      </c>
      <c r="D201" s="79" t="s">
        <v>124</v>
      </c>
      <c r="E201" s="79" t="s">
        <v>20</v>
      </c>
      <c r="F201" s="79" t="s">
        <v>21</v>
      </c>
      <c r="G201" s="79" t="s">
        <v>27</v>
      </c>
      <c r="H201" s="79"/>
      <c r="I201" s="90"/>
      <c r="J201" s="90">
        <v>45717</v>
      </c>
      <c r="K201" s="79"/>
      <c r="L201" s="88" t="s">
        <v>287</v>
      </c>
      <c r="M201" s="79" t="s">
        <v>493</v>
      </c>
      <c r="N201" s="79" t="str">
        <f ca="1">VLOOKUP(B201,'đơn vị tt'!$C$1:$AG$555,25,0)</f>
        <v>Vanda Hotel</v>
      </c>
      <c r="O201" s="79" t="str">
        <f ca="1">VLOOKUP(B201,'đơn vị tt'!$C$1:$AG$555,26,0)</f>
        <v>Nhà hàng</v>
      </c>
      <c r="P201" s="79" t="str">
        <f ca="1">VLOOKUP(B201,'đơn vị tt'!$C$1:$AG$555,23,0)</f>
        <v>DUYỆT</v>
      </c>
      <c r="Q201" s="79" t="str">
        <f>VLOOKUP(B201,'XÉT ĐIỀU KIỆN THAM DỰ THỰC TẬP'!$A$10:$AB$633,22,0)</f>
        <v>CHUYÊN ĐỀ</v>
      </c>
      <c r="R201" s="79"/>
      <c r="S201" s="79"/>
    </row>
    <row r="202" spans="1:19" s="89" customFormat="1" ht="38.25" x14ac:dyDescent="0.2">
      <c r="A202" s="86">
        <v>45655.725301666665</v>
      </c>
      <c r="B202" s="79">
        <v>24207105293</v>
      </c>
      <c r="C202" s="79" t="s">
        <v>288</v>
      </c>
      <c r="D202" s="79" t="s">
        <v>289</v>
      </c>
      <c r="E202" s="79" t="s">
        <v>20</v>
      </c>
      <c r="F202" s="79" t="s">
        <v>244</v>
      </c>
      <c r="G202" s="79" t="s">
        <v>38</v>
      </c>
      <c r="H202" s="79" t="s">
        <v>23</v>
      </c>
      <c r="I202" s="87">
        <v>19</v>
      </c>
      <c r="J202" s="87" t="s">
        <v>101</v>
      </c>
      <c r="K202" s="79"/>
      <c r="L202" s="88" t="s">
        <v>912</v>
      </c>
      <c r="M202" s="79" t="s">
        <v>493</v>
      </c>
      <c r="N202" s="79" t="str">
        <f ca="1">VLOOKUP(B202,'đơn vị tt'!$C$1:$AG$555,25,0)</f>
        <v>Diamond sea hotel</v>
      </c>
      <c r="O202" s="79" t="str">
        <f ca="1">VLOOKUP(B202,'đơn vị tt'!$C$1:$AG$555,26,0)</f>
        <v>Nhà hàng</v>
      </c>
      <c r="P202" s="79" t="str">
        <f ca="1">VLOOKUP(B202,'đơn vị tt'!$C$1:$AG$555,23,0)</f>
        <v>DUYỆT</v>
      </c>
      <c r="Q202" s="79" t="str">
        <f>VLOOKUP(B202,'XÉT ĐIỀU KIỆN THAM DỰ THỰC TẬP'!$A$10:$AB$633,22,0)</f>
        <v>CHUYÊN ĐỀ</v>
      </c>
      <c r="R202" s="79"/>
      <c r="S202" s="79"/>
    </row>
    <row r="203" spans="1:19" s="89" customFormat="1" ht="38.25" x14ac:dyDescent="0.2">
      <c r="A203" s="86">
        <v>45658.607257222218</v>
      </c>
      <c r="B203" s="79">
        <v>27207133398</v>
      </c>
      <c r="C203" s="79" t="s">
        <v>290</v>
      </c>
      <c r="D203" s="79" t="s">
        <v>26</v>
      </c>
      <c r="E203" s="79" t="s">
        <v>20</v>
      </c>
      <c r="F203" s="79" t="s">
        <v>21</v>
      </c>
      <c r="G203" s="79" t="s">
        <v>38</v>
      </c>
      <c r="H203" s="79"/>
      <c r="I203" s="90"/>
      <c r="J203" s="90">
        <v>45717</v>
      </c>
      <c r="K203" s="79"/>
      <c r="L203" s="88" t="s">
        <v>290</v>
      </c>
      <c r="M203" s="79" t="s">
        <v>493</v>
      </c>
      <c r="N203" s="79" t="e">
        <f ca="1">VLOOKUP(B203,'đơn vị tt'!$C$1:$AG$555,25,0)</f>
        <v>#N/A</v>
      </c>
      <c r="O203" s="79" t="e">
        <f ca="1">VLOOKUP(B203,'đơn vị tt'!$C$1:$AG$555,26,0)</f>
        <v>#N/A</v>
      </c>
      <c r="P203" s="79" t="e">
        <f ca="1">VLOOKUP(B203,'đơn vị tt'!$C$1:$AG$555,23,0)</f>
        <v>#N/A</v>
      </c>
      <c r="Q203" s="79" t="str">
        <f>VLOOKUP(B203,'XÉT ĐIỀU KIỆN THAM DỰ THỰC TẬP'!$A$10:$AB$633,22,0)</f>
        <v>CHUYÊN ĐỀ</v>
      </c>
      <c r="R203" s="79"/>
      <c r="S203" s="79"/>
    </row>
    <row r="204" spans="1:19" s="89" customFormat="1" ht="38.25" x14ac:dyDescent="0.2">
      <c r="A204" s="86">
        <v>45656.519570173608</v>
      </c>
      <c r="B204" s="79">
        <v>27217100378</v>
      </c>
      <c r="C204" s="79" t="s">
        <v>291</v>
      </c>
      <c r="D204" s="79" t="s">
        <v>19</v>
      </c>
      <c r="E204" s="79" t="s">
        <v>20</v>
      </c>
      <c r="F204" s="79" t="s">
        <v>21</v>
      </c>
      <c r="G204" s="79" t="s">
        <v>38</v>
      </c>
      <c r="H204" s="79"/>
      <c r="I204" s="90"/>
      <c r="J204" s="90">
        <v>45717</v>
      </c>
      <c r="K204" s="79"/>
      <c r="L204" s="88" t="s">
        <v>291</v>
      </c>
      <c r="M204" s="79" t="s">
        <v>493</v>
      </c>
      <c r="N204" s="79" t="str">
        <f ca="1">VLOOKUP(B204,'đơn vị tt'!$C$1:$AG$555,25,0)</f>
        <v>Khách sạn Hilton Đà Nẵng</v>
      </c>
      <c r="O204" s="79" t="str">
        <f ca="1">VLOOKUP(B204,'đơn vị tt'!$C$1:$AG$555,26,0)</f>
        <v>Nhà hàng</v>
      </c>
      <c r="P204" s="79" t="str">
        <f ca="1">VLOOKUP(B204,'đơn vị tt'!$C$1:$AG$555,23,0)</f>
        <v>DUYỆT</v>
      </c>
      <c r="Q204" s="79" t="str">
        <f>VLOOKUP(B204,'XÉT ĐIỀU KIỆN THAM DỰ THỰC TẬP'!$A$10:$AB$633,22,0)</f>
        <v>CHUYÊN ĐỀ</v>
      </c>
      <c r="R204" s="79"/>
      <c r="S204" s="79"/>
    </row>
    <row r="205" spans="1:19" s="89" customFormat="1" ht="25.5" x14ac:dyDescent="0.2">
      <c r="A205" s="86">
        <v>45699.748311111107</v>
      </c>
      <c r="B205" s="79">
        <v>27207100837</v>
      </c>
      <c r="C205" s="79" t="s">
        <v>292</v>
      </c>
      <c r="D205" s="79" t="s">
        <v>108</v>
      </c>
      <c r="E205" s="79" t="s">
        <v>20</v>
      </c>
      <c r="F205" s="79" t="s">
        <v>21</v>
      </c>
      <c r="G205" s="79" t="s">
        <v>27</v>
      </c>
      <c r="H205" s="79"/>
      <c r="I205" s="90"/>
      <c r="J205" s="90">
        <v>45717</v>
      </c>
      <c r="K205" s="79"/>
      <c r="L205" s="88" t="s">
        <v>292</v>
      </c>
      <c r="M205" s="79" t="s">
        <v>493</v>
      </c>
      <c r="N205" s="79" t="str">
        <f ca="1">VLOOKUP(B205,'đơn vị tt'!$C$1:$AG$555,25,0)</f>
        <v xml:space="preserve">The Nalod Đà Năng </v>
      </c>
      <c r="O205" s="79" t="str">
        <f ca="1">VLOOKUP(B205,'đơn vị tt'!$C$1:$AG$555,26,0)</f>
        <v>Nhà hàng</v>
      </c>
      <c r="P205" s="79" t="str">
        <f ca="1">VLOOKUP(B205,'đơn vị tt'!$C$1:$AG$555,23,0)</f>
        <v>KHÔNG DUYỆT</v>
      </c>
      <c r="Q205" s="79" t="str">
        <f>VLOOKUP(B205,'XÉT ĐIỀU KIỆN THAM DỰ THỰC TẬP'!$A$10:$AB$633,22,0)</f>
        <v>CHUYÊN ĐỀ</v>
      </c>
      <c r="R205" s="79"/>
      <c r="S205" s="79"/>
    </row>
    <row r="206" spans="1:19" s="89" customFormat="1" ht="25.5" x14ac:dyDescent="0.2">
      <c r="A206" s="86">
        <v>45665.401704652773</v>
      </c>
      <c r="B206" s="79">
        <v>26217236080</v>
      </c>
      <c r="C206" s="79" t="s">
        <v>293</v>
      </c>
      <c r="D206" s="79" t="s">
        <v>200</v>
      </c>
      <c r="E206" s="79" t="s">
        <v>20</v>
      </c>
      <c r="F206" s="79" t="s">
        <v>34</v>
      </c>
      <c r="G206" s="79" t="s">
        <v>27</v>
      </c>
      <c r="H206" s="79" t="s">
        <v>23</v>
      </c>
      <c r="I206" s="87">
        <v>20</v>
      </c>
      <c r="J206" s="90"/>
      <c r="K206" s="79" t="s">
        <v>201</v>
      </c>
      <c r="L206" s="88" t="s">
        <v>293</v>
      </c>
      <c r="M206" s="79" t="s">
        <v>493</v>
      </c>
      <c r="N206" s="79" t="str">
        <f ca="1">VLOOKUP(B206,'đơn vị tt'!$C$1:$AG$555,25,0)</f>
        <v>Le Sands Oceanfront Da Nang Hotel</v>
      </c>
      <c r="O206" s="79" t="str">
        <f ca="1">VLOOKUP(B206,'đơn vị tt'!$C$1:$AG$555,26,0)</f>
        <v>Nhà hàng</v>
      </c>
      <c r="P206" s="79" t="str">
        <f ca="1">VLOOKUP(B206,'đơn vị tt'!$C$1:$AG$555,23,0)</f>
        <v>DUYỆT</v>
      </c>
      <c r="Q206" s="79" t="str">
        <f>VLOOKUP(B206,'XÉT ĐIỀU KIỆN THAM DỰ THỰC TẬP'!$A$10:$AB$633,22,0)</f>
        <v>CHUYÊN ĐỀ</v>
      </c>
      <c r="R206" s="79"/>
      <c r="S206" s="79"/>
    </row>
    <row r="207" spans="1:19" s="89" customFormat="1" ht="38.25" x14ac:dyDescent="0.2">
      <c r="A207" s="86">
        <v>45656.601073506943</v>
      </c>
      <c r="B207" s="79">
        <v>27207132631</v>
      </c>
      <c r="C207" s="79" t="s">
        <v>294</v>
      </c>
      <c r="D207" s="79" t="s">
        <v>295</v>
      </c>
      <c r="E207" s="79" t="s">
        <v>20</v>
      </c>
      <c r="F207" s="79" t="s">
        <v>21</v>
      </c>
      <c r="G207" s="79" t="s">
        <v>38</v>
      </c>
      <c r="H207" s="79"/>
      <c r="I207" s="90"/>
      <c r="J207" s="90">
        <v>45717</v>
      </c>
      <c r="K207" s="79"/>
      <c r="L207" s="88" t="s">
        <v>294</v>
      </c>
      <c r="M207" s="79" t="s">
        <v>493</v>
      </c>
      <c r="N207" s="79" t="str">
        <f ca="1">VLOOKUP(B207,'đơn vị tt'!$C$1:$AG$555,25,0)</f>
        <v>Cicilia Hotel &amp; Spa</v>
      </c>
      <c r="O207" s="79" t="str">
        <f ca="1">VLOOKUP(B207,'đơn vị tt'!$C$1:$AG$555,26,0)</f>
        <v>Nhà hàng</v>
      </c>
      <c r="P207" s="79" t="str">
        <f ca="1">VLOOKUP(B207,'đơn vị tt'!$C$1:$AG$555,23,0)</f>
        <v>DUYỆT</v>
      </c>
      <c r="Q207" s="79" t="str">
        <f>VLOOKUP(B207,'XÉT ĐIỀU KIỆN THAM DỰ THỰC TẬP'!$A$10:$AB$633,22,0)</f>
        <v>CHUYÊN ĐỀ</v>
      </c>
      <c r="R207" s="79"/>
      <c r="S207" s="79"/>
    </row>
    <row r="208" spans="1:19" s="89" customFormat="1" ht="25.5" x14ac:dyDescent="0.2">
      <c r="A208" s="86">
        <v>45656.728351504629</v>
      </c>
      <c r="B208" s="79">
        <v>27207130473</v>
      </c>
      <c r="C208" s="79" t="s">
        <v>296</v>
      </c>
      <c r="D208" s="79" t="s">
        <v>19</v>
      </c>
      <c r="E208" s="79" t="s">
        <v>20</v>
      </c>
      <c r="F208" s="79" t="s">
        <v>21</v>
      </c>
      <c r="G208" s="79" t="s">
        <v>27</v>
      </c>
      <c r="H208" s="79"/>
      <c r="I208" s="90"/>
      <c r="J208" s="90">
        <v>45717</v>
      </c>
      <c r="K208" s="79"/>
      <c r="L208" s="88" t="s">
        <v>296</v>
      </c>
      <c r="M208" s="79" t="s">
        <v>493</v>
      </c>
      <c r="N208" s="79" t="str">
        <f ca="1">VLOOKUP(B208,'đơn vị tt'!$C$1:$AG$555,25,0)</f>
        <v xml:space="preserve">Avatar Hotel </v>
      </c>
      <c r="O208" s="79" t="str">
        <f ca="1">VLOOKUP(B208,'đơn vị tt'!$C$1:$AG$555,26,0)</f>
        <v>Buồng phòng</v>
      </c>
      <c r="P208" s="79" t="str">
        <f ca="1">VLOOKUP(B208,'đơn vị tt'!$C$1:$AG$555,23,0)</f>
        <v>DUYỆT</v>
      </c>
      <c r="Q208" s="79" t="str">
        <f>VLOOKUP(B208,'XÉT ĐIỀU KIỆN THAM DỰ THỰC TẬP'!$A$10:$AB$633,22,0)</f>
        <v>CHUYÊN ĐỀ</v>
      </c>
      <c r="R208" s="79"/>
      <c r="S208" s="79"/>
    </row>
    <row r="209" spans="1:19" s="89" customFormat="1" ht="25.5" x14ac:dyDescent="0.2">
      <c r="A209" s="86">
        <v>45656.728505150459</v>
      </c>
      <c r="B209" s="79">
        <v>27207128299</v>
      </c>
      <c r="C209" s="79" t="s">
        <v>297</v>
      </c>
      <c r="D209" s="79" t="s">
        <v>19</v>
      </c>
      <c r="E209" s="79" t="s">
        <v>20</v>
      </c>
      <c r="F209" s="79" t="s">
        <v>21</v>
      </c>
      <c r="G209" s="79" t="s">
        <v>27</v>
      </c>
      <c r="H209" s="79"/>
      <c r="I209" s="90"/>
      <c r="J209" s="90">
        <v>45717</v>
      </c>
      <c r="K209" s="79"/>
      <c r="L209" s="88" t="s">
        <v>913</v>
      </c>
      <c r="M209" s="79" t="s">
        <v>493</v>
      </c>
      <c r="N209" s="79" t="str">
        <f ca="1">VLOOKUP(B209,'đơn vị tt'!$C$1:$AG$555,25,0)</f>
        <v>DLG Hotel DaNang</v>
      </c>
      <c r="O209" s="79" t="str">
        <f ca="1">VLOOKUP(B209,'đơn vị tt'!$C$1:$AG$555,26,0)</f>
        <v>Buồng phòng</v>
      </c>
      <c r="P209" s="79" t="str">
        <f ca="1">VLOOKUP(B209,'đơn vị tt'!$C$1:$AG$555,23,0)</f>
        <v>DUYỆT</v>
      </c>
      <c r="Q209" s="79" t="str">
        <f>VLOOKUP(B209,'XÉT ĐIỀU KIỆN THAM DỰ THỰC TẬP'!$A$10:$AB$633,22,0)</f>
        <v>CHUYÊN ĐỀ</v>
      </c>
      <c r="R209" s="79"/>
      <c r="S209" s="79"/>
    </row>
    <row r="210" spans="1:19" s="89" customFormat="1" ht="38.25" x14ac:dyDescent="0.2">
      <c r="A210" s="86">
        <v>45656.810441180554</v>
      </c>
      <c r="B210" s="79">
        <v>27217125794</v>
      </c>
      <c r="C210" s="79" t="s">
        <v>298</v>
      </c>
      <c r="D210" s="79" t="s">
        <v>116</v>
      </c>
      <c r="E210" s="79" t="s">
        <v>20</v>
      </c>
      <c r="F210" s="79" t="s">
        <v>21</v>
      </c>
      <c r="G210" s="79" t="s">
        <v>38</v>
      </c>
      <c r="H210" s="79"/>
      <c r="I210" s="90"/>
      <c r="J210" s="90">
        <v>45717</v>
      </c>
      <c r="K210" s="79"/>
      <c r="L210" s="88" t="s">
        <v>298</v>
      </c>
      <c r="M210" s="79" t="s">
        <v>493</v>
      </c>
      <c r="N210" s="79" t="str">
        <f ca="1">VLOOKUP(B210,'đơn vị tt'!$C$1:$AG$555,25,0)</f>
        <v>Grand Mercure Đà Nẵng</v>
      </c>
      <c r="O210" s="79" t="str">
        <f ca="1">VLOOKUP(B210,'đơn vị tt'!$C$1:$AG$555,26,0)</f>
        <v>Buồng phòng</v>
      </c>
      <c r="P210" s="79" t="str">
        <f ca="1">VLOOKUP(B210,'đơn vị tt'!$C$1:$AG$555,23,0)</f>
        <v>DUYỆT</v>
      </c>
      <c r="Q210" s="79" t="str">
        <f>VLOOKUP(B210,'XÉT ĐIỀU KIỆN THAM DỰ THỰC TẬP'!$A$10:$AB$633,22,0)</f>
        <v>CHUYÊN ĐỀ</v>
      </c>
      <c r="R210" s="79"/>
      <c r="S210" s="79"/>
    </row>
    <row r="211" spans="1:19" s="89" customFormat="1" ht="25.5" x14ac:dyDescent="0.2">
      <c r="A211" s="86">
        <v>45656.8425341088</v>
      </c>
      <c r="B211" s="79">
        <v>27218622482</v>
      </c>
      <c r="C211" s="79" t="s">
        <v>299</v>
      </c>
      <c r="D211" s="79" t="s">
        <v>300</v>
      </c>
      <c r="E211" s="79" t="s">
        <v>20</v>
      </c>
      <c r="F211" s="79" t="s">
        <v>21</v>
      </c>
      <c r="G211" s="79" t="s">
        <v>27</v>
      </c>
      <c r="H211" s="79"/>
      <c r="I211" s="90"/>
      <c r="J211" s="90">
        <v>45717</v>
      </c>
      <c r="K211" s="79"/>
      <c r="L211" s="88" t="s">
        <v>299</v>
      </c>
      <c r="M211" s="79" t="s">
        <v>493</v>
      </c>
      <c r="N211" s="79" t="e">
        <f ca="1">VLOOKUP(B211,'đơn vị tt'!$C$1:$AG$555,25,0)</f>
        <v>#N/A</v>
      </c>
      <c r="O211" s="79" t="e">
        <f ca="1">VLOOKUP(B211,'đơn vị tt'!$C$1:$AG$555,26,0)</f>
        <v>#N/A</v>
      </c>
      <c r="P211" s="79" t="e">
        <f ca="1">VLOOKUP(B211,'đơn vị tt'!$C$1:$AG$555,23,0)</f>
        <v>#N/A</v>
      </c>
      <c r="Q211" s="79" t="str">
        <f>VLOOKUP(B211,'XÉT ĐIỀU KIỆN THAM DỰ THỰC TẬP'!$A$10:$AB$633,22,0)</f>
        <v>không đủ điều kiện</v>
      </c>
      <c r="R211" s="79"/>
      <c r="S211" s="79"/>
    </row>
    <row r="212" spans="1:19" s="89" customFormat="1" ht="25.5" x14ac:dyDescent="0.2">
      <c r="A212" s="86">
        <v>45657.644092476854</v>
      </c>
      <c r="B212" s="79">
        <v>27217140939</v>
      </c>
      <c r="C212" s="79" t="s">
        <v>301</v>
      </c>
      <c r="D212" s="79" t="s">
        <v>302</v>
      </c>
      <c r="E212" s="79" t="s">
        <v>20</v>
      </c>
      <c r="F212" s="79" t="s">
        <v>21</v>
      </c>
      <c r="G212" s="79" t="s">
        <v>27</v>
      </c>
      <c r="H212" s="79"/>
      <c r="I212" s="90"/>
      <c r="J212" s="90">
        <v>45717</v>
      </c>
      <c r="K212" s="79"/>
      <c r="L212" s="88" t="s">
        <v>301</v>
      </c>
      <c r="M212" s="79" t="s">
        <v>493</v>
      </c>
      <c r="N212" s="79" t="str">
        <f ca="1">VLOOKUP(B212,'đơn vị tt'!$C$1:$AG$555,25,0)</f>
        <v>Vanda Hotel</v>
      </c>
      <c r="O212" s="79" t="str">
        <f ca="1">VLOOKUP(B212,'đơn vị tt'!$C$1:$AG$555,26,0)</f>
        <v>Nhà hàng</v>
      </c>
      <c r="P212" s="79" t="str">
        <f ca="1">VLOOKUP(B212,'đơn vị tt'!$C$1:$AG$555,23,0)</f>
        <v>DUYỆT</v>
      </c>
      <c r="Q212" s="79" t="str">
        <f>VLOOKUP(B212,'XÉT ĐIỀU KIỆN THAM DỰ THỰC TẬP'!$A$10:$AB$633,22,0)</f>
        <v>CHUYÊN ĐỀ</v>
      </c>
      <c r="R212" s="79"/>
      <c r="S212" s="79"/>
    </row>
    <row r="213" spans="1:19" s="89" customFormat="1" ht="38.25" x14ac:dyDescent="0.2">
      <c r="A213" s="86">
        <v>45657.687320173616</v>
      </c>
      <c r="B213" s="79">
        <v>27217133738</v>
      </c>
      <c r="C213" s="79" t="s">
        <v>303</v>
      </c>
      <c r="D213" s="79" t="s">
        <v>116</v>
      </c>
      <c r="E213" s="79" t="s">
        <v>20</v>
      </c>
      <c r="F213" s="79" t="s">
        <v>21</v>
      </c>
      <c r="G213" s="79" t="s">
        <v>38</v>
      </c>
      <c r="H213" s="79"/>
      <c r="I213" s="90"/>
      <c r="J213" s="90">
        <v>45717</v>
      </c>
      <c r="K213" s="79"/>
      <c r="L213" s="88" t="s">
        <v>303</v>
      </c>
      <c r="M213" s="79" t="s">
        <v>493</v>
      </c>
      <c r="N213" s="79" t="str">
        <f ca="1">VLOOKUP(B213,'đơn vị tt'!$C$1:$AG$555,25,0)</f>
        <v>Hyatt regency DaNang Resort</v>
      </c>
      <c r="O213" s="79" t="str">
        <f ca="1">VLOOKUP(B213,'đơn vị tt'!$C$1:$AG$555,26,0)</f>
        <v>Nhà hàng</v>
      </c>
      <c r="P213" s="79" t="str">
        <f ca="1">VLOOKUP(B213,'đơn vị tt'!$C$1:$AG$555,23,0)</f>
        <v>DUYỆT</v>
      </c>
      <c r="Q213" s="79" t="str">
        <f>VLOOKUP(B213,'XÉT ĐIỀU KIỆN THAM DỰ THỰC TẬP'!$A$10:$AB$633,22,0)</f>
        <v>CHUYÊN ĐỀ</v>
      </c>
      <c r="R213" s="79" t="str">
        <f ca="1">VLOOKUP(B213,'chuyển KL-&gt;CĐ'!$C$2:$O$1000,2,0)</f>
        <v>Hoàng Trần Thuý Vy</v>
      </c>
      <c r="S213" s="79" t="str">
        <f ca="1">VLOOKUP(B213,'chuyển KL-&gt;CĐ'!$C$2:$O$1000,10,0)</f>
        <v>ĐÃ NỘP</v>
      </c>
    </row>
    <row r="214" spans="1:19" s="89" customFormat="1" ht="38.25" x14ac:dyDescent="0.2">
      <c r="A214" s="86">
        <v>45657.690790775465</v>
      </c>
      <c r="B214" s="79">
        <v>27217127461</v>
      </c>
      <c r="C214" s="79" t="s">
        <v>304</v>
      </c>
      <c r="D214" s="79" t="s">
        <v>116</v>
      </c>
      <c r="E214" s="79" t="s">
        <v>20</v>
      </c>
      <c r="F214" s="79" t="s">
        <v>21</v>
      </c>
      <c r="G214" s="79" t="s">
        <v>38</v>
      </c>
      <c r="H214" s="79"/>
      <c r="I214" s="90"/>
      <c r="J214" s="90">
        <v>45717</v>
      </c>
      <c r="K214" s="79"/>
      <c r="L214" s="88" t="s">
        <v>914</v>
      </c>
      <c r="M214" s="79" t="s">
        <v>493</v>
      </c>
      <c r="N214" s="79" t="str">
        <f ca="1">VLOOKUP(B214,'đơn vị tt'!$C$1:$AG$555,25,0)</f>
        <v>Novotel DaNang Premier Han River</v>
      </c>
      <c r="O214" s="79" t="str">
        <f ca="1">VLOOKUP(B214,'đơn vị tt'!$C$1:$AG$555,26,0)</f>
        <v>Buồng phòng</v>
      </c>
      <c r="P214" s="79" t="str">
        <f ca="1">VLOOKUP(B214,'đơn vị tt'!$C$1:$AG$555,23,0)</f>
        <v>DUYỆT</v>
      </c>
      <c r="Q214" s="79" t="str">
        <f>VLOOKUP(B214,'XÉT ĐIỀU KIỆN THAM DỰ THỰC TẬP'!$A$10:$AB$633,22,0)</f>
        <v>CHUYÊN ĐỀ</v>
      </c>
      <c r="R214" s="79" t="str">
        <f ca="1">VLOOKUP(B214,'chuyển KL-&gt;CĐ'!$C$2:$O$1000,2,0)</f>
        <v xml:space="preserve">Bùi Văn Lợi </v>
      </c>
      <c r="S214" s="79" t="str">
        <f ca="1">VLOOKUP(B214,'chuyển KL-&gt;CĐ'!$C$2:$O$1000,10,0)</f>
        <v>ĐÃ NỘP</v>
      </c>
    </row>
    <row r="215" spans="1:19" s="89" customFormat="1" ht="38.25" x14ac:dyDescent="0.2">
      <c r="A215" s="86">
        <v>45657.696243981482</v>
      </c>
      <c r="B215" s="79">
        <v>27217144878</v>
      </c>
      <c r="C215" s="79" t="s">
        <v>305</v>
      </c>
      <c r="D215" s="79" t="s">
        <v>116</v>
      </c>
      <c r="E215" s="79" t="s">
        <v>20</v>
      </c>
      <c r="F215" s="79" t="s">
        <v>21</v>
      </c>
      <c r="G215" s="79" t="s">
        <v>38</v>
      </c>
      <c r="H215" s="79"/>
      <c r="I215" s="90"/>
      <c r="J215" s="90">
        <v>45717</v>
      </c>
      <c r="K215" s="79"/>
      <c r="L215" s="88" t="s">
        <v>305</v>
      </c>
      <c r="M215" s="79" t="s">
        <v>493</v>
      </c>
      <c r="N215" s="79" t="str">
        <f ca="1">VLOOKUP(B215,'đơn vị tt'!$C$1:$AG$555,25,0)</f>
        <v>Diamond Sea Hotel</v>
      </c>
      <c r="O215" s="79" t="str">
        <f ca="1">VLOOKUP(B215,'đơn vị tt'!$C$1:$AG$555,26,0)</f>
        <v>Buồng phòng</v>
      </c>
      <c r="P215" s="79" t="str">
        <f ca="1">VLOOKUP(B215,'đơn vị tt'!$C$1:$AG$555,23,0)</f>
        <v>DUYỆT</v>
      </c>
      <c r="Q215" s="79" t="str">
        <f>VLOOKUP(B215,'XÉT ĐIỀU KIỆN THAM DỰ THỰC TẬP'!$A$10:$AB$633,22,0)</f>
        <v>CHUYÊN ĐỀ</v>
      </c>
      <c r="R215" s="79" t="str">
        <f ca="1">VLOOKUP(B215,'chuyển KL-&gt;CĐ'!$C$2:$O$1000,2,0)</f>
        <v>Lê Ngọc Chinh</v>
      </c>
      <c r="S215" s="79" t="str">
        <f ca="1">VLOOKUP(B215,'chuyển KL-&gt;CĐ'!$C$2:$O$1000,10,0)</f>
        <v>ĐÃ NỘP</v>
      </c>
    </row>
    <row r="216" spans="1:19" s="89" customFormat="1" ht="38.25" x14ac:dyDescent="0.2">
      <c r="A216" s="86">
        <v>45657.697237083332</v>
      </c>
      <c r="B216" s="79">
        <v>27217141479</v>
      </c>
      <c r="C216" s="79" t="s">
        <v>306</v>
      </c>
      <c r="D216" s="79" t="s">
        <v>307</v>
      </c>
      <c r="E216" s="79" t="s">
        <v>20</v>
      </c>
      <c r="F216" s="79" t="s">
        <v>21</v>
      </c>
      <c r="G216" s="79" t="s">
        <v>38</v>
      </c>
      <c r="H216" s="79"/>
      <c r="I216" s="90"/>
      <c r="J216" s="90">
        <v>45717</v>
      </c>
      <c r="K216" s="79"/>
      <c r="L216" s="88" t="s">
        <v>306</v>
      </c>
      <c r="M216" s="79" t="s">
        <v>493</v>
      </c>
      <c r="N216" s="79" t="str">
        <f ca="1">VLOOKUP(B216,'đơn vị tt'!$C$1:$AG$555,25,0)</f>
        <v>Vanda Hotel</v>
      </c>
      <c r="O216" s="79" t="str">
        <f ca="1">VLOOKUP(B216,'đơn vị tt'!$C$1:$AG$555,26,0)</f>
        <v>Nhà hàng</v>
      </c>
      <c r="P216" s="79" t="str">
        <f ca="1">VLOOKUP(B216,'đơn vị tt'!$C$1:$AG$555,23,0)</f>
        <v>DUYỆT</v>
      </c>
      <c r="Q216" s="79" t="str">
        <f>VLOOKUP(B216,'XÉT ĐIỀU KIỆN THAM DỰ THỰC TẬP'!$A$10:$AB$633,22,0)</f>
        <v>CHUYÊN ĐỀ</v>
      </c>
      <c r="R216" s="79"/>
      <c r="S216" s="79"/>
    </row>
    <row r="217" spans="1:19" s="89" customFormat="1" ht="25.5" x14ac:dyDescent="0.2">
      <c r="A217" s="86">
        <v>45657.888478252316</v>
      </c>
      <c r="B217" s="79">
        <v>27207122888</v>
      </c>
      <c r="C217" s="79" t="s">
        <v>308</v>
      </c>
      <c r="D217" s="79" t="s">
        <v>141</v>
      </c>
      <c r="E217" s="79" t="s">
        <v>20</v>
      </c>
      <c r="F217" s="79" t="s">
        <v>21</v>
      </c>
      <c r="G217" s="79" t="s">
        <v>27</v>
      </c>
      <c r="H217" s="79"/>
      <c r="I217" s="90"/>
      <c r="J217" s="90">
        <v>45717</v>
      </c>
      <c r="K217" s="79"/>
      <c r="L217" s="88" t="s">
        <v>308</v>
      </c>
      <c r="M217" s="79" t="s">
        <v>493</v>
      </c>
      <c r="N217" s="79" t="str">
        <f ca="1">VLOOKUP(B217,'đơn vị tt'!$C$1:$AG$555,25,0)</f>
        <v>Novotel DaNang Premier Han River</v>
      </c>
      <c r="O217" s="79" t="str">
        <f ca="1">VLOOKUP(B217,'đơn vị tt'!$C$1:$AG$555,26,0)</f>
        <v>Nhà hàng</v>
      </c>
      <c r="P217" s="79" t="str">
        <f ca="1">VLOOKUP(B217,'đơn vị tt'!$C$1:$AG$555,23,0)</f>
        <v>DUYỆT</v>
      </c>
      <c r="Q217" s="79" t="str">
        <f>VLOOKUP(B217,'XÉT ĐIỀU KIỆN THAM DỰ THỰC TẬP'!$A$10:$AB$633,22,0)</f>
        <v>CHUYÊN ĐỀ</v>
      </c>
      <c r="R217" s="79"/>
      <c r="S217" s="79"/>
    </row>
    <row r="218" spans="1:19" s="89" customFormat="1" ht="38.25" x14ac:dyDescent="0.2">
      <c r="A218" s="86">
        <v>45658.447740671298</v>
      </c>
      <c r="B218" s="79">
        <v>25217104606</v>
      </c>
      <c r="C218" s="79" t="s">
        <v>309</v>
      </c>
      <c r="D218" s="79" t="s">
        <v>310</v>
      </c>
      <c r="E218" s="79" t="s">
        <v>42</v>
      </c>
      <c r="F218" s="79" t="s">
        <v>43</v>
      </c>
      <c r="G218" s="79" t="s">
        <v>27</v>
      </c>
      <c r="H218" s="79" t="s">
        <v>23</v>
      </c>
      <c r="I218" s="87">
        <v>21</v>
      </c>
      <c r="J218" s="90">
        <v>45717</v>
      </c>
      <c r="K218" s="79"/>
      <c r="L218" s="88" t="s">
        <v>309</v>
      </c>
      <c r="M218" s="79" t="s">
        <v>440</v>
      </c>
      <c r="N218" s="79" t="str">
        <f ca="1">VLOOKUP(B218,'đơn vị tt'!$C$1:$AG$555,25,0)</f>
        <v>Brilliant Hotel</v>
      </c>
      <c r="O218" s="79" t="str">
        <f ca="1">VLOOKUP(B218,'đơn vị tt'!$C$1:$AG$555,26,0)</f>
        <v>Tiền sảnh</v>
      </c>
      <c r="P218" s="79" t="str">
        <f ca="1">VLOOKUP(B218,'đơn vị tt'!$C$1:$AG$555,23,0)</f>
        <v>DUYỆT</v>
      </c>
      <c r="Q218" s="79" t="str">
        <f>VLOOKUP(B218,'XÉT ĐIỀU KIỆN THAM DỰ THỰC TẬP'!$A$10:$AB$633,22,0)</f>
        <v>CHUYÊN ĐỀ</v>
      </c>
      <c r="R218" s="79"/>
      <c r="S218" s="79"/>
    </row>
    <row r="219" spans="1:19" s="89" customFormat="1" ht="38.25" x14ac:dyDescent="0.2">
      <c r="A219" s="86">
        <v>45658.533055208332</v>
      </c>
      <c r="B219" s="79">
        <v>26217133260</v>
      </c>
      <c r="C219" s="79" t="s">
        <v>311</v>
      </c>
      <c r="D219" s="79" t="s">
        <v>312</v>
      </c>
      <c r="E219" s="79" t="s">
        <v>42</v>
      </c>
      <c r="F219" s="79" t="s">
        <v>34</v>
      </c>
      <c r="G219" s="79" t="s">
        <v>38</v>
      </c>
      <c r="H219" s="79" t="s">
        <v>23</v>
      </c>
      <c r="I219" s="87">
        <v>22</v>
      </c>
      <c r="J219" s="90">
        <v>45870</v>
      </c>
      <c r="K219" s="79"/>
      <c r="L219" s="88" t="s">
        <v>311</v>
      </c>
      <c r="M219" s="79" t="s">
        <v>440</v>
      </c>
      <c r="N219" s="79" t="str">
        <f ca="1">VLOOKUP(B219,'đơn vị tt'!$C$1:$AG$555,25,0)</f>
        <v>Khách sạn Shilla Monogram Quangnam Danang</v>
      </c>
      <c r="O219" s="79" t="str">
        <f ca="1">VLOOKUP(B219,'đơn vị tt'!$C$1:$AG$555,26,0)</f>
        <v>Nhà hàng</v>
      </c>
      <c r="P219" s="79" t="str">
        <f ca="1">VLOOKUP(B219,'đơn vị tt'!$C$1:$AG$555,23,0)</f>
        <v>DUYỆT</v>
      </c>
      <c r="Q219" s="79" t="str">
        <f>VLOOKUP(B219,'XÉT ĐIỀU KIỆN THAM DỰ THỰC TẬP'!$A$10:$AB$633,22,0)</f>
        <v>CHUYÊN ĐỀ</v>
      </c>
      <c r="R219" s="79"/>
      <c r="S219" s="79"/>
    </row>
    <row r="220" spans="1:19" s="89" customFormat="1" ht="38.25" x14ac:dyDescent="0.2">
      <c r="A220" s="86">
        <v>45658.616852372681</v>
      </c>
      <c r="B220" s="79">
        <v>27207128512</v>
      </c>
      <c r="C220" s="79" t="s">
        <v>313</v>
      </c>
      <c r="D220" s="79" t="s">
        <v>184</v>
      </c>
      <c r="E220" s="79" t="s">
        <v>20</v>
      </c>
      <c r="F220" s="79" t="s">
        <v>21</v>
      </c>
      <c r="G220" s="79" t="s">
        <v>38</v>
      </c>
      <c r="H220" s="79"/>
      <c r="I220" s="90"/>
      <c r="J220" s="90">
        <v>45717</v>
      </c>
      <c r="K220" s="79"/>
      <c r="L220" s="88" t="s">
        <v>313</v>
      </c>
      <c r="M220" s="79" t="s">
        <v>493</v>
      </c>
      <c r="N220" s="79" t="str">
        <f ca="1">VLOOKUP(B220,'đơn vị tt'!$C$1:$AG$555,25,0)</f>
        <v>Diamond Sea Hotel</v>
      </c>
      <c r="O220" s="79" t="str">
        <f ca="1">VLOOKUP(B220,'đơn vị tt'!$C$1:$AG$555,26,0)</f>
        <v>Buồng phòng</v>
      </c>
      <c r="P220" s="79" t="str">
        <f ca="1">VLOOKUP(B220,'đơn vị tt'!$C$1:$AG$555,23,0)</f>
        <v>DUYỆT</v>
      </c>
      <c r="Q220" s="79" t="str">
        <f>VLOOKUP(B220,'XÉT ĐIỀU KIỆN THAM DỰ THỰC TẬP'!$A$10:$AB$633,22,0)</f>
        <v>CHUYÊN ĐỀ</v>
      </c>
      <c r="R220" s="79"/>
      <c r="S220" s="79"/>
    </row>
    <row r="221" spans="1:19" s="89" customFormat="1" ht="25.5" x14ac:dyDescent="0.2">
      <c r="A221" s="86">
        <v>45658.864966770838</v>
      </c>
      <c r="B221" s="79">
        <v>27207129929</v>
      </c>
      <c r="C221" s="79" t="s">
        <v>314</v>
      </c>
      <c r="D221" s="79" t="s">
        <v>120</v>
      </c>
      <c r="E221" s="79" t="s">
        <v>20</v>
      </c>
      <c r="F221" s="79" t="s">
        <v>21</v>
      </c>
      <c r="G221" s="79" t="s">
        <v>22</v>
      </c>
      <c r="H221" s="79"/>
      <c r="I221" s="90"/>
      <c r="J221" s="90">
        <v>45717</v>
      </c>
      <c r="K221" s="79"/>
      <c r="L221" s="88" t="s">
        <v>314</v>
      </c>
      <c r="M221" s="79" t="s">
        <v>493</v>
      </c>
      <c r="N221" s="79" t="str">
        <f ca="1">VLOOKUP(B221,'đơn vị tt'!$C$1:$AG$555,25,0)</f>
        <v>Novotel DaNang Premier Han River</v>
      </c>
      <c r="O221" s="79" t="str">
        <f ca="1">VLOOKUP(B221,'đơn vị tt'!$C$1:$AG$555,26,0)</f>
        <v>Lễ tân Spa</v>
      </c>
      <c r="P221" s="79" t="str">
        <f ca="1">VLOOKUP(B221,'đơn vị tt'!$C$1:$AG$555,23,0)</f>
        <v>DUYỆT</v>
      </c>
      <c r="Q221" s="79" t="str">
        <f>VLOOKUP(B221,'XÉT ĐIỀU KIỆN THAM DỰ THỰC TẬP'!$A$10:$AB$633,22,0)</f>
        <v>CHUYÊN ĐỀ</v>
      </c>
      <c r="R221" s="79"/>
      <c r="S221" s="79"/>
    </row>
    <row r="222" spans="1:19" s="89" customFormat="1" ht="38.25" x14ac:dyDescent="0.2">
      <c r="A222" s="86">
        <v>45659.306239212965</v>
      </c>
      <c r="B222" s="79">
        <v>25217110499</v>
      </c>
      <c r="C222" s="79" t="s">
        <v>315</v>
      </c>
      <c r="D222" s="79" t="s">
        <v>316</v>
      </c>
      <c r="E222" s="79" t="s">
        <v>20</v>
      </c>
      <c r="F222" s="79" t="s">
        <v>43</v>
      </c>
      <c r="G222" s="79" t="s">
        <v>38</v>
      </c>
      <c r="H222" s="79" t="s">
        <v>23</v>
      </c>
      <c r="I222" s="87">
        <v>23</v>
      </c>
      <c r="J222" s="90">
        <v>45717</v>
      </c>
      <c r="K222" s="79"/>
      <c r="L222" s="88" t="s">
        <v>803</v>
      </c>
      <c r="M222" s="79" t="s">
        <v>493</v>
      </c>
      <c r="N222" s="79" t="str">
        <f ca="1">VLOOKUP(B222,'đơn vị tt'!$C$1:$AG$555,25,0)</f>
        <v>Diamond Sea Hotel</v>
      </c>
      <c r="O222" s="79" t="str">
        <f ca="1">VLOOKUP(B222,'đơn vị tt'!$C$1:$AG$555,26,0)</f>
        <v>Nhà hàng</v>
      </c>
      <c r="P222" s="79" t="str">
        <f ca="1">VLOOKUP(B222,'đơn vị tt'!$C$1:$AG$555,23,0)</f>
        <v>DUYỆT</v>
      </c>
      <c r="Q222" s="79" t="str">
        <f>VLOOKUP(B222,'XÉT ĐIỀU KIỆN THAM DỰ THỰC TẬP'!$A$10:$AB$633,22,0)</f>
        <v>CHUYÊN ĐỀ</v>
      </c>
      <c r="R222" s="79"/>
      <c r="S222" s="79"/>
    </row>
    <row r="223" spans="1:19" s="89" customFormat="1" ht="38.25" x14ac:dyDescent="0.2">
      <c r="A223" s="86">
        <v>45659.470250289349</v>
      </c>
      <c r="B223" s="79">
        <v>25217204586</v>
      </c>
      <c r="C223" s="79" t="s">
        <v>317</v>
      </c>
      <c r="D223" s="79" t="s">
        <v>318</v>
      </c>
      <c r="E223" s="79" t="s">
        <v>42</v>
      </c>
      <c r="F223" s="79" t="s">
        <v>43</v>
      </c>
      <c r="G223" s="79" t="s">
        <v>38</v>
      </c>
      <c r="H223" s="79" t="s">
        <v>23</v>
      </c>
      <c r="I223" s="87">
        <v>39</v>
      </c>
      <c r="J223" s="90">
        <v>45931</v>
      </c>
      <c r="K223" s="79"/>
      <c r="L223" s="88" t="s">
        <v>317</v>
      </c>
      <c r="M223" s="79" t="s">
        <v>440</v>
      </c>
      <c r="N223" s="79" t="str">
        <f ca="1">VLOOKUP(B223,'đơn vị tt'!$C$1:$AG$555,25,0)</f>
        <v>Brilliant Hotel</v>
      </c>
      <c r="O223" s="79" t="str">
        <f ca="1">VLOOKUP(B223,'đơn vị tt'!$C$1:$AG$555,26,0)</f>
        <v>Tiền sảnh</v>
      </c>
      <c r="P223" s="79" t="str">
        <f ca="1">VLOOKUP(B223,'đơn vị tt'!$C$1:$AG$555,23,0)</f>
        <v>DUYỆT</v>
      </c>
      <c r="Q223" s="79" t="str">
        <f>VLOOKUP(B223,'XÉT ĐIỀU KIỆN THAM DỰ THỰC TẬP'!$A$10:$AB$633,22,0)</f>
        <v>CHUYÊN ĐỀ</v>
      </c>
      <c r="R223" s="79"/>
      <c r="S223" s="79"/>
    </row>
    <row r="224" spans="1:19" s="89" customFormat="1" ht="25.5" x14ac:dyDescent="0.2">
      <c r="A224" s="86">
        <v>45659.536380717589</v>
      </c>
      <c r="B224" s="79">
        <v>27207147400</v>
      </c>
      <c r="C224" s="79" t="s">
        <v>319</v>
      </c>
      <c r="D224" s="79" t="s">
        <v>120</v>
      </c>
      <c r="E224" s="79" t="s">
        <v>20</v>
      </c>
      <c r="F224" s="79" t="s">
        <v>21</v>
      </c>
      <c r="G224" s="79" t="s">
        <v>113</v>
      </c>
      <c r="H224" s="79"/>
      <c r="I224" s="90"/>
      <c r="J224" s="90">
        <v>45717</v>
      </c>
      <c r="K224" s="79"/>
      <c r="L224" s="88" t="s">
        <v>319</v>
      </c>
      <c r="M224" s="79" t="s">
        <v>493</v>
      </c>
      <c r="N224" s="79" t="str">
        <f ca="1">VLOOKUP(B224,'đơn vị tt'!$C$1:$AG$555,25,0)</f>
        <v>Radisson Hotel Danang</v>
      </c>
      <c r="O224" s="79" t="str">
        <f ca="1">VLOOKUP(B224,'đơn vị tt'!$C$1:$AG$555,26,0)</f>
        <v>Nhà hàng</v>
      </c>
      <c r="P224" s="79" t="str">
        <f ca="1">VLOOKUP(B224,'đơn vị tt'!$C$1:$AG$555,23,0)</f>
        <v>DUYỆT</v>
      </c>
      <c r="Q224" s="79" t="str">
        <f>VLOOKUP(B224,'XÉT ĐIỀU KIỆN THAM DỰ THỰC TẬP'!$A$10:$AB$633,22,0)</f>
        <v>CHUYÊN ĐỀ</v>
      </c>
      <c r="R224" s="79"/>
      <c r="S224" s="79"/>
    </row>
    <row r="225" spans="1:19" s="89" customFormat="1" ht="25.5" x14ac:dyDescent="0.2">
      <c r="A225" s="86">
        <v>45659.536435486109</v>
      </c>
      <c r="B225" s="79">
        <v>27217123680</v>
      </c>
      <c r="C225" s="79" t="s">
        <v>320</v>
      </c>
      <c r="D225" s="79" t="s">
        <v>63</v>
      </c>
      <c r="E225" s="79" t="s">
        <v>20</v>
      </c>
      <c r="F225" s="79" t="s">
        <v>21</v>
      </c>
      <c r="G225" s="79" t="s">
        <v>113</v>
      </c>
      <c r="H225" s="79"/>
      <c r="I225" s="90"/>
      <c r="J225" s="90">
        <v>45717</v>
      </c>
      <c r="K225" s="79"/>
      <c r="L225" s="88" t="s">
        <v>915</v>
      </c>
      <c r="M225" s="79" t="s">
        <v>493</v>
      </c>
      <c r="N225" s="79" t="str">
        <f ca="1">VLOOKUP(B225,'đơn vị tt'!$C$1:$AG$555,25,0)</f>
        <v>Radisson hotel danang</v>
      </c>
      <c r="O225" s="79" t="str">
        <f ca="1">VLOOKUP(B225,'đơn vị tt'!$C$1:$AG$555,26,0)</f>
        <v>Nhà hàng</v>
      </c>
      <c r="P225" s="79" t="str">
        <f ca="1">VLOOKUP(B225,'đơn vị tt'!$C$1:$AG$555,23,0)</f>
        <v>DUYỆT</v>
      </c>
      <c r="Q225" s="79" t="str">
        <f>VLOOKUP(B225,'XÉT ĐIỀU KIỆN THAM DỰ THỰC TẬP'!$A$10:$AB$633,22,0)</f>
        <v>CHUYÊN ĐỀ</v>
      </c>
      <c r="R225" s="79"/>
      <c r="S225" s="79"/>
    </row>
    <row r="226" spans="1:19" s="89" customFormat="1" ht="38.25" x14ac:dyDescent="0.2">
      <c r="A226" s="86">
        <v>45659.574583055553</v>
      </c>
      <c r="B226" s="79">
        <v>27217152519</v>
      </c>
      <c r="C226" s="79" t="s">
        <v>321</v>
      </c>
      <c r="D226" s="79" t="s">
        <v>180</v>
      </c>
      <c r="E226" s="79" t="s">
        <v>20</v>
      </c>
      <c r="F226" s="79" t="s">
        <v>21</v>
      </c>
      <c r="G226" s="79" t="s">
        <v>38</v>
      </c>
      <c r="H226" s="79"/>
      <c r="I226" s="90"/>
      <c r="J226" s="90">
        <v>45717</v>
      </c>
      <c r="K226" s="79"/>
      <c r="L226" s="88" t="s">
        <v>321</v>
      </c>
      <c r="M226" s="79" t="s">
        <v>493</v>
      </c>
      <c r="N226" s="79" t="str">
        <f ca="1">VLOOKUP(B226,'đơn vị tt'!$C$1:$AG$555,25,0)</f>
        <v>Satya Danang Hotel</v>
      </c>
      <c r="O226" s="79" t="str">
        <f ca="1">VLOOKUP(B226,'đơn vị tt'!$C$1:$AG$555,26,0)</f>
        <v>Nhà hàng</v>
      </c>
      <c r="P226" s="79" t="str">
        <f ca="1">VLOOKUP(B226,'đơn vị tt'!$C$1:$AG$555,23,0)</f>
        <v>DUYỆT</v>
      </c>
      <c r="Q226" s="79" t="str">
        <f>VLOOKUP(B226,'XÉT ĐIỀU KIỆN THAM DỰ THỰC TẬP'!$A$10:$AB$633,22,0)</f>
        <v>không đủ điều kiện</v>
      </c>
      <c r="R226" s="79"/>
      <c r="S226" s="79"/>
    </row>
    <row r="227" spans="1:19" s="89" customFormat="1" ht="25.5" x14ac:dyDescent="0.2">
      <c r="A227" s="86">
        <v>45659.614472083333</v>
      </c>
      <c r="B227" s="79">
        <v>27207100874</v>
      </c>
      <c r="C227" s="79" t="s">
        <v>322</v>
      </c>
      <c r="D227" s="79" t="s">
        <v>108</v>
      </c>
      <c r="E227" s="79" t="s">
        <v>20</v>
      </c>
      <c r="F227" s="79" t="s">
        <v>21</v>
      </c>
      <c r="G227" s="79" t="s">
        <v>27</v>
      </c>
      <c r="H227" s="79"/>
      <c r="I227" s="90"/>
      <c r="J227" s="90">
        <v>45717</v>
      </c>
      <c r="K227" s="79"/>
      <c r="L227" s="88" t="s">
        <v>322</v>
      </c>
      <c r="M227" s="79" t="s">
        <v>493</v>
      </c>
      <c r="N227" s="79" t="str">
        <f ca="1">VLOOKUP(B227,'đơn vị tt'!$C$1:$AG$555,25,0)</f>
        <v>Chicland Hotel</v>
      </c>
      <c r="O227" s="79" t="str">
        <f ca="1">VLOOKUP(B227,'đơn vị tt'!$C$1:$AG$555,26,0)</f>
        <v>Nhà hàng</v>
      </c>
      <c r="P227" s="79" t="str">
        <f ca="1">VLOOKUP(B227,'đơn vị tt'!$C$1:$AG$555,23,0)</f>
        <v>DUYỆT</v>
      </c>
      <c r="Q227" s="79" t="str">
        <f>VLOOKUP(B227,'XÉT ĐIỀU KIỆN THAM DỰ THỰC TẬP'!$A$10:$AB$633,22,0)</f>
        <v>không đủ điều kiện</v>
      </c>
      <c r="R227" s="79"/>
      <c r="S227" s="79"/>
    </row>
    <row r="228" spans="1:19" s="89" customFormat="1" ht="38.25" x14ac:dyDescent="0.2">
      <c r="A228" s="86">
        <v>45660.469785624999</v>
      </c>
      <c r="B228" s="79">
        <v>27207136307</v>
      </c>
      <c r="C228" s="79" t="s">
        <v>323</v>
      </c>
      <c r="D228" s="79" t="s">
        <v>324</v>
      </c>
      <c r="E228" s="79" t="s">
        <v>20</v>
      </c>
      <c r="F228" s="79" t="s">
        <v>21</v>
      </c>
      <c r="G228" s="79" t="s">
        <v>27</v>
      </c>
      <c r="H228" s="79"/>
      <c r="I228" s="90"/>
      <c r="J228" s="90">
        <v>45717</v>
      </c>
      <c r="K228" s="79"/>
      <c r="L228" s="88" t="s">
        <v>323</v>
      </c>
      <c r="M228" s="79" t="s">
        <v>493</v>
      </c>
      <c r="N228" s="79" t="str">
        <f ca="1">VLOOKUP(B228,'đơn vị tt'!$C$1:$AG$555,25,0)</f>
        <v>Da Nang Mikazuki Japanese Resorts &amp; Spa</v>
      </c>
      <c r="O228" s="79" t="str">
        <f ca="1">VLOOKUP(B228,'đơn vị tt'!$C$1:$AG$555,26,0)</f>
        <v>Buồng phòng</v>
      </c>
      <c r="P228" s="79" t="str">
        <f ca="1">VLOOKUP(B228,'đơn vị tt'!$C$1:$AG$555,23,0)</f>
        <v>DUYỆT</v>
      </c>
      <c r="Q228" s="79" t="str">
        <f>VLOOKUP(B228,'XÉT ĐIỀU KIỆN THAM DỰ THỰC TẬP'!$A$10:$AB$633,22,0)</f>
        <v>CHUYÊN ĐỀ</v>
      </c>
      <c r="R228" s="79"/>
      <c r="S228" s="79"/>
    </row>
    <row r="229" spans="1:19" s="89" customFormat="1" ht="25.5" x14ac:dyDescent="0.2">
      <c r="A229" s="91">
        <v>45697.566123090277</v>
      </c>
      <c r="B229" s="92">
        <v>27217138091</v>
      </c>
      <c r="C229" s="92" t="s">
        <v>325</v>
      </c>
      <c r="D229" s="92" t="s">
        <v>19</v>
      </c>
      <c r="E229" s="92" t="s">
        <v>20</v>
      </c>
      <c r="F229" s="92" t="s">
        <v>21</v>
      </c>
      <c r="G229" s="92" t="s">
        <v>27</v>
      </c>
      <c r="H229" s="92"/>
      <c r="I229" s="93"/>
      <c r="J229" s="90"/>
      <c r="K229" s="93" t="s">
        <v>326</v>
      </c>
      <c r="L229" s="94" t="s">
        <v>325</v>
      </c>
      <c r="M229" s="92" t="s">
        <v>493</v>
      </c>
      <c r="N229" s="79" t="str">
        <f ca="1">VLOOKUP(B229,'đơn vị tt'!$C$1:$AG$555,25,0)</f>
        <v>DLG Hotel DaNang</v>
      </c>
      <c r="O229" s="79" t="str">
        <f ca="1">VLOOKUP(B229,'đơn vị tt'!$C$1:$AG$555,26,0)</f>
        <v>Buồng phòng</v>
      </c>
      <c r="P229" s="79" t="str">
        <f ca="1">VLOOKUP(B229,'đơn vị tt'!$C$1:$AG$555,23,0)</f>
        <v>DUYỆT</v>
      </c>
      <c r="Q229" s="79" t="str">
        <f>VLOOKUP(B229,'XÉT ĐIỀU KIỆN THAM DỰ THỰC TẬP'!$A$10:$AB$633,22,0)</f>
        <v>CHUYÊN ĐỀ</v>
      </c>
      <c r="R229" s="79"/>
      <c r="S229" s="79"/>
    </row>
    <row r="230" spans="1:19" s="89" customFormat="1" ht="25.5" x14ac:dyDescent="0.2">
      <c r="A230" s="86">
        <v>45660.62165306713</v>
      </c>
      <c r="B230" s="79">
        <v>27217100922</v>
      </c>
      <c r="C230" s="79" t="s">
        <v>327</v>
      </c>
      <c r="D230" s="79" t="s">
        <v>108</v>
      </c>
      <c r="E230" s="79" t="s">
        <v>20</v>
      </c>
      <c r="F230" s="79" t="s">
        <v>21</v>
      </c>
      <c r="G230" s="79" t="s">
        <v>27</v>
      </c>
      <c r="H230" s="79"/>
      <c r="I230" s="90"/>
      <c r="J230" s="90">
        <v>45717</v>
      </c>
      <c r="K230" s="95"/>
      <c r="L230" s="88" t="s">
        <v>916</v>
      </c>
      <c r="M230" s="79" t="s">
        <v>493</v>
      </c>
      <c r="N230" s="79" t="str">
        <f ca="1">VLOOKUP(B230,'đơn vị tt'!$C$1:$AG$555,25,0)</f>
        <v>Novotel DaNang Premier Han River</v>
      </c>
      <c r="O230" s="79" t="str">
        <f ca="1">VLOOKUP(B230,'đơn vị tt'!$C$1:$AG$555,26,0)</f>
        <v>Nhà hàng</v>
      </c>
      <c r="P230" s="79" t="str">
        <f ca="1">VLOOKUP(B230,'đơn vị tt'!$C$1:$AG$555,23,0)</f>
        <v>DUYỆT</v>
      </c>
      <c r="Q230" s="79" t="str">
        <f>VLOOKUP(B230,'XÉT ĐIỀU KIỆN THAM DỰ THỰC TẬP'!$A$10:$AB$633,22,0)</f>
        <v>không đủ điều kiện</v>
      </c>
      <c r="R230" s="79"/>
      <c r="S230" s="79"/>
    </row>
    <row r="231" spans="1:19" s="89" customFormat="1" ht="38.25" x14ac:dyDescent="0.2">
      <c r="A231" s="86">
        <v>45660.660503449079</v>
      </c>
      <c r="B231" s="79">
        <v>26217131257</v>
      </c>
      <c r="C231" s="79" t="s">
        <v>328</v>
      </c>
      <c r="D231" s="79" t="s">
        <v>312</v>
      </c>
      <c r="E231" s="79" t="s">
        <v>42</v>
      </c>
      <c r="F231" s="79" t="s">
        <v>34</v>
      </c>
      <c r="G231" s="79" t="s">
        <v>27</v>
      </c>
      <c r="H231" s="79" t="s">
        <v>23</v>
      </c>
      <c r="I231" s="87">
        <v>24</v>
      </c>
      <c r="J231" s="90">
        <v>45870</v>
      </c>
      <c r="K231" s="95"/>
      <c r="L231" s="88" t="s">
        <v>328</v>
      </c>
      <c r="M231" s="79" t="s">
        <v>440</v>
      </c>
      <c r="N231" s="79" t="str">
        <f ca="1">VLOOKUP(B231,'đơn vị tt'!$C$1:$AG$555,25,0)</f>
        <v>Meliá Danang Beach Resort</v>
      </c>
      <c r="O231" s="79" t="str">
        <f ca="1">VLOOKUP(B231,'đơn vị tt'!$C$1:$AG$555,26,0)</f>
        <v>Nhà hàng</v>
      </c>
      <c r="P231" s="79" t="str">
        <f ca="1">VLOOKUP(B231,'đơn vị tt'!$C$1:$AG$555,23,0)</f>
        <v>DUYỆT</v>
      </c>
      <c r="Q231" s="79" t="e">
        <f>VLOOKUP(B231,'XÉT ĐIỀU KIỆN THAM DỰ THỰC TẬP'!$A$10:$AB$633,22,0)</f>
        <v>#N/A</v>
      </c>
      <c r="R231" s="79"/>
      <c r="S231" s="79"/>
    </row>
    <row r="232" spans="1:19" s="89" customFormat="1" ht="25.5" x14ac:dyDescent="0.2">
      <c r="A232" s="86">
        <v>45660.778756041662</v>
      </c>
      <c r="B232" s="79">
        <v>26217132797</v>
      </c>
      <c r="C232" s="79" t="s">
        <v>329</v>
      </c>
      <c r="D232" s="79" t="s">
        <v>69</v>
      </c>
      <c r="E232" s="79" t="s">
        <v>20</v>
      </c>
      <c r="F232" s="79" t="s">
        <v>34</v>
      </c>
      <c r="G232" s="79" t="s">
        <v>27</v>
      </c>
      <c r="H232" s="79" t="s">
        <v>30</v>
      </c>
      <c r="I232" s="87">
        <v>25</v>
      </c>
      <c r="J232" s="87"/>
      <c r="K232" s="95"/>
      <c r="L232" s="88" t="s">
        <v>329</v>
      </c>
      <c r="M232" s="79" t="s">
        <v>493</v>
      </c>
      <c r="N232" s="79" t="e">
        <f ca="1">VLOOKUP(B232,'đơn vị tt'!$C$1:$AG$555,25,0)</f>
        <v>#N/A</v>
      </c>
      <c r="O232" s="79" t="e">
        <f ca="1">VLOOKUP(B232,'đơn vị tt'!$C$1:$AG$555,26,0)</f>
        <v>#N/A</v>
      </c>
      <c r="P232" s="79" t="e">
        <f ca="1">VLOOKUP(B232,'đơn vị tt'!$C$1:$AG$555,23,0)</f>
        <v>#N/A</v>
      </c>
      <c r="Q232" s="79" t="e">
        <f>VLOOKUP(B232,'XÉT ĐIỀU KIỆN THAM DỰ THỰC TẬP'!$A$10:$AB$633,22,0)</f>
        <v>#N/A</v>
      </c>
      <c r="R232" s="79"/>
      <c r="S232" s="79"/>
    </row>
    <row r="233" spans="1:19" s="89" customFormat="1" ht="38.25" x14ac:dyDescent="0.2">
      <c r="A233" s="86">
        <v>45661.253929872684</v>
      </c>
      <c r="B233" s="79">
        <v>24207201291</v>
      </c>
      <c r="C233" s="79" t="s">
        <v>330</v>
      </c>
      <c r="D233" s="79" t="s">
        <v>331</v>
      </c>
      <c r="E233" s="79" t="s">
        <v>73</v>
      </c>
      <c r="F233" s="79" t="s">
        <v>244</v>
      </c>
      <c r="G233" s="79" t="s">
        <v>27</v>
      </c>
      <c r="H233" s="79" t="s">
        <v>23</v>
      </c>
      <c r="I233" s="87">
        <v>26</v>
      </c>
      <c r="J233" s="87" t="s">
        <v>172</v>
      </c>
      <c r="K233" s="95"/>
      <c r="L233" s="88" t="s">
        <v>330</v>
      </c>
      <c r="M233" s="79" t="s">
        <v>487</v>
      </c>
      <c r="N233" s="79" t="str">
        <f ca="1">VLOOKUP(B233,'đơn vị tt'!$C$1:$AG$555,25,0)</f>
        <v>Chicland Hotel</v>
      </c>
      <c r="O233" s="79" t="str">
        <f ca="1">VLOOKUP(B233,'đơn vị tt'!$C$1:$AG$555,26,0)</f>
        <v>Nhà hàng</v>
      </c>
      <c r="P233" s="79" t="str">
        <f ca="1">VLOOKUP(B233,'đơn vị tt'!$C$1:$AG$555,23,0)</f>
        <v>KHÔNG DUYỆT</v>
      </c>
      <c r="Q233" s="79" t="str">
        <f>VLOOKUP(B233,'XÉT ĐIỀU KIỆN THAM DỰ THỰC TẬP'!$A$10:$AB$633,22,0)</f>
        <v>KHÓA LUẬN</v>
      </c>
      <c r="R233" s="79"/>
      <c r="S233" s="79"/>
    </row>
    <row r="234" spans="1:19" s="89" customFormat="1" ht="25.5" x14ac:dyDescent="0.2">
      <c r="A234" s="86">
        <v>45661.694479571757</v>
      </c>
      <c r="B234" s="79">
        <v>26217234333</v>
      </c>
      <c r="C234" s="79" t="s">
        <v>332</v>
      </c>
      <c r="D234" s="79" t="s">
        <v>223</v>
      </c>
      <c r="E234" s="79" t="s">
        <v>20</v>
      </c>
      <c r="F234" s="79" t="s">
        <v>34</v>
      </c>
      <c r="G234" s="79" t="s">
        <v>27</v>
      </c>
      <c r="H234" s="79" t="s">
        <v>23</v>
      </c>
      <c r="I234" s="87">
        <v>27</v>
      </c>
      <c r="J234" s="87" t="s">
        <v>101</v>
      </c>
      <c r="K234" s="95"/>
      <c r="L234" s="88" t="s">
        <v>332</v>
      </c>
      <c r="M234" s="79" t="s">
        <v>493</v>
      </c>
      <c r="N234" s="79" t="e">
        <f ca="1">VLOOKUP(B234,'đơn vị tt'!$C$1:$AG$555,25,0)</f>
        <v>#N/A</v>
      </c>
      <c r="O234" s="79" t="e">
        <f ca="1">VLOOKUP(B234,'đơn vị tt'!$C$1:$AG$555,26,0)</f>
        <v>#N/A</v>
      </c>
      <c r="P234" s="79" t="e">
        <f ca="1">VLOOKUP(B234,'đơn vị tt'!$C$1:$AG$555,23,0)</f>
        <v>#N/A</v>
      </c>
      <c r="Q234" s="79" t="str">
        <f>VLOOKUP(B234,'XÉT ĐIỀU KIỆN THAM DỰ THỰC TẬP'!$A$10:$AB$633,22,0)</f>
        <v>CHUYÊN ĐỀ</v>
      </c>
      <c r="R234" s="79"/>
      <c r="S234" s="79"/>
    </row>
    <row r="235" spans="1:19" s="89" customFormat="1" ht="25.5" x14ac:dyDescent="0.2">
      <c r="A235" s="86">
        <v>45662.193752951389</v>
      </c>
      <c r="B235" s="79">
        <v>26207231869</v>
      </c>
      <c r="C235" s="79" t="s">
        <v>333</v>
      </c>
      <c r="D235" s="79" t="s">
        <v>264</v>
      </c>
      <c r="E235" s="79" t="s">
        <v>20</v>
      </c>
      <c r="F235" s="79" t="s">
        <v>34</v>
      </c>
      <c r="G235" s="79" t="s">
        <v>27</v>
      </c>
      <c r="H235" s="79" t="s">
        <v>23</v>
      </c>
      <c r="I235" s="87">
        <v>28</v>
      </c>
      <c r="J235" s="87" t="s">
        <v>101</v>
      </c>
      <c r="K235" s="95"/>
      <c r="L235" s="88" t="s">
        <v>796</v>
      </c>
      <c r="M235" s="79" t="s">
        <v>493</v>
      </c>
      <c r="N235" s="79" t="str">
        <f ca="1">VLOOKUP(B235,'đơn vị tt'!$C$1:$AG$555,25,0)</f>
        <v xml:space="preserve">Sherwood Residence </v>
      </c>
      <c r="O235" s="79" t="str">
        <f ca="1">VLOOKUP(B235,'đơn vị tt'!$C$1:$AG$555,26,0)</f>
        <v>Nhà hàng</v>
      </c>
      <c r="P235" s="79" t="str">
        <f ca="1">VLOOKUP(B235,'đơn vị tt'!$C$1:$AG$555,23,0)</f>
        <v>DUYỆT</v>
      </c>
      <c r="Q235" s="79" t="str">
        <f>VLOOKUP(B235,'XÉT ĐIỀU KIỆN THAM DỰ THỰC TẬP'!$A$10:$AB$633,22,0)</f>
        <v>CHUYÊN ĐỀ</v>
      </c>
      <c r="R235" s="79"/>
      <c r="S235" s="79"/>
    </row>
    <row r="236" spans="1:19" s="89" customFormat="1" ht="38.25" x14ac:dyDescent="0.2">
      <c r="A236" s="86">
        <v>45675.469875381939</v>
      </c>
      <c r="B236" s="79">
        <v>25217202931</v>
      </c>
      <c r="C236" s="79" t="s">
        <v>334</v>
      </c>
      <c r="D236" s="79" t="s">
        <v>335</v>
      </c>
      <c r="E236" s="79" t="s">
        <v>20</v>
      </c>
      <c r="F236" s="79" t="s">
        <v>43</v>
      </c>
      <c r="G236" s="79" t="s">
        <v>38</v>
      </c>
      <c r="H236" s="79" t="s">
        <v>23</v>
      </c>
      <c r="I236" s="87">
        <v>29</v>
      </c>
      <c r="J236" s="87" t="s">
        <v>101</v>
      </c>
      <c r="K236" s="95"/>
      <c r="L236" s="88" t="s">
        <v>334</v>
      </c>
      <c r="M236" s="79" t="s">
        <v>493</v>
      </c>
      <c r="N236" s="79" t="str">
        <f ca="1">VLOOKUP(B236,'đơn vị tt'!$C$1:$AG$555,25,0)</f>
        <v>Phú Long Tam Kỳ Hotel &amp; Restaurant</v>
      </c>
      <c r="O236" s="79" t="str">
        <f ca="1">VLOOKUP(B236,'đơn vị tt'!$C$1:$AG$555,26,0)</f>
        <v>Tiền sảnh</v>
      </c>
      <c r="P236" s="79" t="str">
        <f ca="1">VLOOKUP(B236,'đơn vị tt'!$C$1:$AG$555,23,0)</f>
        <v>DUYỆT</v>
      </c>
      <c r="Q236" s="79" t="str">
        <f>VLOOKUP(B236,'XÉT ĐIỀU KIỆN THAM DỰ THỰC TẬP'!$A$10:$AB$633,22,0)</f>
        <v>CHUYÊN ĐỀ</v>
      </c>
      <c r="R236" s="79"/>
      <c r="S236" s="79"/>
    </row>
    <row r="237" spans="1:19" s="89" customFormat="1" ht="25.5" x14ac:dyDescent="0.2">
      <c r="A237" s="86">
        <v>45663.437190659723</v>
      </c>
      <c r="B237" s="79">
        <v>27213239364</v>
      </c>
      <c r="C237" s="79" t="s">
        <v>336</v>
      </c>
      <c r="D237" s="79" t="s">
        <v>337</v>
      </c>
      <c r="E237" s="79" t="s">
        <v>20</v>
      </c>
      <c r="F237" s="79" t="s">
        <v>21</v>
      </c>
      <c r="G237" s="79" t="s">
        <v>194</v>
      </c>
      <c r="H237" s="79"/>
      <c r="I237" s="87"/>
      <c r="J237" s="90">
        <v>45870</v>
      </c>
      <c r="K237" s="95"/>
      <c r="L237" s="88" t="s">
        <v>917</v>
      </c>
      <c r="M237" s="79" t="s">
        <v>493</v>
      </c>
      <c r="N237" s="79" t="e">
        <f ca="1">VLOOKUP(B237,'đơn vị tt'!$C$1:$AG$555,25,0)</f>
        <v>#N/A</v>
      </c>
      <c r="O237" s="79" t="e">
        <f ca="1">VLOOKUP(B237,'đơn vị tt'!$C$1:$AG$555,26,0)</f>
        <v>#N/A</v>
      </c>
      <c r="P237" s="79" t="e">
        <f ca="1">VLOOKUP(B237,'đơn vị tt'!$C$1:$AG$555,23,0)</f>
        <v>#N/A</v>
      </c>
      <c r="Q237" s="79" t="str">
        <f>VLOOKUP(B237,'XÉT ĐIỀU KIỆN THAM DỰ THỰC TẬP'!$A$10:$AB$633,22,0)</f>
        <v>CHUYÊN ĐỀ</v>
      </c>
      <c r="R237" s="79"/>
      <c r="S237" s="79"/>
    </row>
    <row r="238" spans="1:19" s="89" customFormat="1" ht="38.25" x14ac:dyDescent="0.2">
      <c r="A238" s="86">
        <v>45663.48700439815</v>
      </c>
      <c r="B238" s="79">
        <v>25217104376</v>
      </c>
      <c r="C238" s="79" t="s">
        <v>338</v>
      </c>
      <c r="D238" s="79" t="s">
        <v>339</v>
      </c>
      <c r="E238" s="79" t="s">
        <v>42</v>
      </c>
      <c r="F238" s="79" t="s">
        <v>43</v>
      </c>
      <c r="G238" s="79" t="s">
        <v>27</v>
      </c>
      <c r="H238" s="79" t="s">
        <v>23</v>
      </c>
      <c r="I238" s="87">
        <v>30</v>
      </c>
      <c r="J238" s="90">
        <v>45931</v>
      </c>
      <c r="K238" s="95"/>
      <c r="L238" s="88" t="s">
        <v>338</v>
      </c>
      <c r="M238" s="79" t="s">
        <v>440</v>
      </c>
      <c r="N238" s="79" t="str">
        <f ca="1">VLOOKUP(B238,'đơn vị tt'!$C$1:$AG$555,25,0)</f>
        <v>Premier Village Danang Resort</v>
      </c>
      <c r="O238" s="79" t="str">
        <f ca="1">VLOOKUP(B238,'đơn vị tt'!$C$1:$AG$555,26,0)</f>
        <v>Nhà hàng</v>
      </c>
      <c r="P238" s="79" t="str">
        <f ca="1">VLOOKUP(B238,'đơn vị tt'!$C$1:$AG$555,23,0)</f>
        <v>DUYỆT</v>
      </c>
      <c r="Q238" s="79" t="str">
        <f>VLOOKUP(B238,'XÉT ĐIỀU KIỆN THAM DỰ THỰC TẬP'!$A$10:$AB$633,22,0)</f>
        <v>CHUYÊN ĐỀ</v>
      </c>
      <c r="R238" s="79"/>
      <c r="S238" s="79"/>
    </row>
    <row r="239" spans="1:19" s="89" customFormat="1" ht="25.5" x14ac:dyDescent="0.2">
      <c r="A239" s="86">
        <v>45663.513716342597</v>
      </c>
      <c r="B239" s="79">
        <v>25207203604</v>
      </c>
      <c r="C239" s="79" t="s">
        <v>340</v>
      </c>
      <c r="D239" s="79" t="s">
        <v>341</v>
      </c>
      <c r="E239" s="79" t="s">
        <v>20</v>
      </c>
      <c r="F239" s="79" t="s">
        <v>43</v>
      </c>
      <c r="G239" s="79" t="s">
        <v>22</v>
      </c>
      <c r="H239" s="79" t="s">
        <v>23</v>
      </c>
      <c r="I239" s="87">
        <v>69</v>
      </c>
      <c r="J239" s="87" t="s">
        <v>101</v>
      </c>
      <c r="K239" s="95"/>
      <c r="L239" s="88" t="s">
        <v>340</v>
      </c>
      <c r="M239" s="79" t="s">
        <v>493</v>
      </c>
      <c r="N239" s="79" t="str">
        <f ca="1">VLOOKUP(B239,'đơn vị tt'!$C$1:$AG$555,25,0)</f>
        <v>Rosamia Da Nang Hotel</v>
      </c>
      <c r="O239" s="79" t="str">
        <f ca="1">VLOOKUP(B239,'đơn vị tt'!$C$1:$AG$555,26,0)</f>
        <v>Nhà hàng</v>
      </c>
      <c r="P239" s="79" t="str">
        <f ca="1">VLOOKUP(B239,'đơn vị tt'!$C$1:$AG$555,23,0)</f>
        <v>DUYỆT</v>
      </c>
      <c r="Q239" s="79" t="str">
        <f>VLOOKUP(B239,'XÉT ĐIỀU KIỆN THAM DỰ THỰC TẬP'!$A$10:$AB$633,22,0)</f>
        <v>CHUYÊN ĐỀ</v>
      </c>
      <c r="R239" s="79"/>
      <c r="S239" s="79"/>
    </row>
    <row r="240" spans="1:19" s="89" customFormat="1" ht="38.25" x14ac:dyDescent="0.2">
      <c r="A240" s="86">
        <v>45663.773235983797</v>
      </c>
      <c r="B240" s="79">
        <v>26217125586</v>
      </c>
      <c r="C240" s="79" t="s">
        <v>342</v>
      </c>
      <c r="D240" s="79" t="s">
        <v>312</v>
      </c>
      <c r="E240" s="79" t="s">
        <v>42</v>
      </c>
      <c r="F240" s="79" t="s">
        <v>34</v>
      </c>
      <c r="G240" s="79" t="s">
        <v>22</v>
      </c>
      <c r="H240" s="79" t="s">
        <v>23</v>
      </c>
      <c r="I240" s="87">
        <v>31</v>
      </c>
      <c r="J240" s="90">
        <v>45870</v>
      </c>
      <c r="K240" s="95"/>
      <c r="L240" s="88" t="s">
        <v>342</v>
      </c>
      <c r="M240" s="79" t="s">
        <v>440</v>
      </c>
      <c r="N240" s="79" t="str">
        <f ca="1">VLOOKUP(B240,'đơn vị tt'!$C$1:$AG$555,25,0)</f>
        <v>Novotel DaNang Premier Han River</v>
      </c>
      <c r="O240" s="79" t="str">
        <f ca="1">VLOOKUP(B240,'đơn vị tt'!$C$1:$AG$555,26,0)</f>
        <v>Nhà hàng</v>
      </c>
      <c r="P240" s="79" t="str">
        <f ca="1">VLOOKUP(B240,'đơn vị tt'!$C$1:$AG$555,23,0)</f>
        <v>KHÔNG DUYỆT</v>
      </c>
      <c r="Q240" s="79" t="str">
        <f>VLOOKUP(B240,'XÉT ĐIỀU KIỆN THAM DỰ THỰC TẬP'!$A$10:$AB$633,22,0)</f>
        <v>XÉT LÀM KHÓA LUẬN</v>
      </c>
      <c r="R240" s="79" t="e">
        <f ca="1">VLOOKUP(B240,'chuyển KL-&gt;CĐ'!$C$2:$O$1000,2,0)</f>
        <v>#N/A</v>
      </c>
      <c r="S240" s="79" t="e">
        <f ca="1">VLOOKUP(B240,'chuyển KL-&gt;CĐ'!$C$2:$O$1000,10,0)</f>
        <v>#N/A</v>
      </c>
    </row>
    <row r="241" spans="1:19" s="89" customFormat="1" ht="38.25" x14ac:dyDescent="0.2">
      <c r="A241" s="86">
        <v>45664.395813020834</v>
      </c>
      <c r="B241" s="79">
        <v>26217125462</v>
      </c>
      <c r="C241" s="79" t="s">
        <v>343</v>
      </c>
      <c r="D241" s="79" t="s">
        <v>312</v>
      </c>
      <c r="E241" s="79" t="s">
        <v>42</v>
      </c>
      <c r="F241" s="79" t="s">
        <v>34</v>
      </c>
      <c r="G241" s="79" t="s">
        <v>22</v>
      </c>
      <c r="H241" s="79" t="s">
        <v>23</v>
      </c>
      <c r="I241" s="87">
        <v>32</v>
      </c>
      <c r="J241" s="90">
        <v>45870</v>
      </c>
      <c r="K241" s="95"/>
      <c r="L241" s="88" t="s">
        <v>343</v>
      </c>
      <c r="M241" s="79" t="s">
        <v>440</v>
      </c>
      <c r="N241" s="79" t="str">
        <f ca="1">VLOOKUP(B241,'đơn vị tt'!$C$1:$AG$555,25,0)</f>
        <v>Meliá Danang Beach Resort</v>
      </c>
      <c r="O241" s="79" t="str">
        <f ca="1">VLOOKUP(B241,'đơn vị tt'!$C$1:$AG$555,26,0)</f>
        <v>Tiền sảnh</v>
      </c>
      <c r="P241" s="79" t="str">
        <f ca="1">VLOOKUP(B241,'đơn vị tt'!$C$1:$AG$555,23,0)</f>
        <v>DUYỆT</v>
      </c>
      <c r="Q241" s="79" t="str">
        <f>VLOOKUP(B241,'XÉT ĐIỀU KIỆN THAM DỰ THỰC TẬP'!$A$10:$AB$633,22,0)</f>
        <v>CHUYÊN ĐỀ</v>
      </c>
      <c r="R241" s="79"/>
      <c r="S241" s="79"/>
    </row>
    <row r="242" spans="1:19" s="89" customFormat="1" ht="25.5" x14ac:dyDescent="0.2">
      <c r="A242" s="86">
        <v>45664.444479699072</v>
      </c>
      <c r="B242" s="79">
        <v>26207135165</v>
      </c>
      <c r="C242" s="79" t="s">
        <v>344</v>
      </c>
      <c r="D242" s="79" t="s">
        <v>345</v>
      </c>
      <c r="E242" s="79" t="s">
        <v>20</v>
      </c>
      <c r="F242" s="79" t="s">
        <v>34</v>
      </c>
      <c r="G242" s="79" t="s">
        <v>27</v>
      </c>
      <c r="H242" s="79" t="s">
        <v>23</v>
      </c>
      <c r="I242" s="87">
        <v>33</v>
      </c>
      <c r="J242" s="90">
        <v>45870</v>
      </c>
      <c r="K242" s="95"/>
      <c r="L242" s="88" t="s">
        <v>797</v>
      </c>
      <c r="M242" s="79" t="s">
        <v>493</v>
      </c>
      <c r="N242" s="79" t="str">
        <f ca="1">VLOOKUP(B242,'đơn vị tt'!$C$1:$AG$555,25,0)</f>
        <v xml:space="preserve">Avatar Hotel </v>
      </c>
      <c r="O242" s="79" t="str">
        <f ca="1">VLOOKUP(B242,'đơn vị tt'!$C$1:$AG$555,26,0)</f>
        <v>Nhà hàng</v>
      </c>
      <c r="P242" s="79" t="str">
        <f ca="1">VLOOKUP(B242,'đơn vị tt'!$C$1:$AG$555,23,0)</f>
        <v>DUYỆT</v>
      </c>
      <c r="Q242" s="79" t="str">
        <f>VLOOKUP(B242,'XÉT ĐIỀU KIỆN THAM DỰ THỰC TẬP'!$A$10:$AB$633,22,0)</f>
        <v>CHUYÊN ĐỀ</v>
      </c>
      <c r="R242" s="79"/>
      <c r="S242" s="79"/>
    </row>
    <row r="243" spans="1:19" s="89" customFormat="1" ht="38.25" x14ac:dyDescent="0.2">
      <c r="A243" s="86">
        <v>45664.640482604169</v>
      </c>
      <c r="B243" s="79">
        <v>25207203811</v>
      </c>
      <c r="C243" s="79" t="s">
        <v>346</v>
      </c>
      <c r="D243" s="79" t="s">
        <v>347</v>
      </c>
      <c r="E243" s="79" t="s">
        <v>42</v>
      </c>
      <c r="F243" s="79" t="s">
        <v>34</v>
      </c>
      <c r="G243" s="79" t="s">
        <v>38</v>
      </c>
      <c r="H243" s="79" t="s">
        <v>23</v>
      </c>
      <c r="I243" s="87">
        <v>34</v>
      </c>
      <c r="J243" s="90"/>
      <c r="K243" s="79" t="s">
        <v>348</v>
      </c>
      <c r="L243" s="88" t="s">
        <v>918</v>
      </c>
      <c r="M243" s="79" t="s">
        <v>440</v>
      </c>
      <c r="N243" s="79" t="str">
        <f ca="1">VLOOKUP(B243,'đơn vị tt'!$C$1:$AG$555,25,0)</f>
        <v>Melia ChiangMai ThaiLand</v>
      </c>
      <c r="O243" s="79" t="str">
        <f ca="1">VLOOKUP(B243,'đơn vị tt'!$C$1:$AG$555,26,0)</f>
        <v>F&amp;B coordinator</v>
      </c>
      <c r="P243" s="79" t="str">
        <f ca="1">VLOOKUP(B243,'đơn vị tt'!$C$1:$AG$555,23,0)</f>
        <v>DUYỆT</v>
      </c>
      <c r="Q243" s="79" t="str">
        <f>VLOOKUP(B243,'XÉT ĐIỀU KIỆN THAM DỰ THỰC TẬP'!$A$10:$AB$633,22,0)</f>
        <v>CHUYÊN ĐỀ</v>
      </c>
      <c r="R243" s="79"/>
      <c r="S243" s="79"/>
    </row>
    <row r="244" spans="1:19" s="89" customFormat="1" ht="38.25" x14ac:dyDescent="0.2">
      <c r="A244" s="86">
        <v>45664.648832766208</v>
      </c>
      <c r="B244" s="79">
        <v>26217126206</v>
      </c>
      <c r="C244" s="79" t="s">
        <v>349</v>
      </c>
      <c r="D244" s="79" t="s">
        <v>350</v>
      </c>
      <c r="E244" s="79" t="s">
        <v>42</v>
      </c>
      <c r="F244" s="79" t="s">
        <v>34</v>
      </c>
      <c r="G244" s="79" t="s">
        <v>38</v>
      </c>
      <c r="H244" s="79" t="s">
        <v>23</v>
      </c>
      <c r="I244" s="87">
        <v>35</v>
      </c>
      <c r="J244" s="90">
        <v>45870</v>
      </c>
      <c r="K244" s="95"/>
      <c r="L244" s="88" t="s">
        <v>349</v>
      </c>
      <c r="M244" s="79" t="s">
        <v>440</v>
      </c>
      <c r="N244" s="79" t="str">
        <f ca="1">VLOOKUP(B244,'đơn vị tt'!$C$1:$AG$555,25,0)</f>
        <v>Khách sạn Shilla Monogram Quangnam Danang</v>
      </c>
      <c r="O244" s="79" t="str">
        <f ca="1">VLOOKUP(B244,'đơn vị tt'!$C$1:$AG$555,26,0)</f>
        <v>Nhà hàng</v>
      </c>
      <c r="P244" s="79" t="str">
        <f ca="1">VLOOKUP(B244,'đơn vị tt'!$C$1:$AG$555,23,0)</f>
        <v>DUYỆT</v>
      </c>
      <c r="Q244" s="79" t="str">
        <f>VLOOKUP(B244,'XÉT ĐIỀU KIỆN THAM DỰ THỰC TẬP'!$A$10:$AB$633,22,0)</f>
        <v>CHUYÊN ĐỀ</v>
      </c>
      <c r="R244" s="79"/>
      <c r="S244" s="79"/>
    </row>
    <row r="245" spans="1:19" s="89" customFormat="1" ht="38.25" x14ac:dyDescent="0.2">
      <c r="A245" s="86">
        <v>45664.687380462958</v>
      </c>
      <c r="B245" s="79">
        <v>26217129382</v>
      </c>
      <c r="C245" s="79" t="s">
        <v>351</v>
      </c>
      <c r="D245" s="79" t="s">
        <v>312</v>
      </c>
      <c r="E245" s="79" t="s">
        <v>42</v>
      </c>
      <c r="F245" s="79" t="s">
        <v>34</v>
      </c>
      <c r="G245" s="79" t="s">
        <v>38</v>
      </c>
      <c r="H245" s="79" t="s">
        <v>23</v>
      </c>
      <c r="I245" s="87">
        <v>36</v>
      </c>
      <c r="J245" s="90">
        <v>45870</v>
      </c>
      <c r="K245" s="95"/>
      <c r="L245" s="88" t="s">
        <v>351</v>
      </c>
      <c r="M245" s="79" t="s">
        <v>440</v>
      </c>
      <c r="N245" s="79" t="str">
        <f ca="1">VLOOKUP(B245,'đơn vị tt'!$C$1:$AG$555,25,0)</f>
        <v>Khách sạn Shilla Monogram Quangnam Danang</v>
      </c>
      <c r="O245" s="79" t="str">
        <f ca="1">VLOOKUP(B245,'đơn vị tt'!$C$1:$AG$555,26,0)</f>
        <v>Nhà hàng</v>
      </c>
      <c r="P245" s="79" t="str">
        <f ca="1">VLOOKUP(B245,'đơn vị tt'!$C$1:$AG$555,23,0)</f>
        <v>DUYỆT</v>
      </c>
      <c r="Q245" s="79" t="str">
        <f>VLOOKUP(B245,'XÉT ĐIỀU KIỆN THAM DỰ THỰC TẬP'!$A$10:$AB$633,22,0)</f>
        <v>CHUYÊN ĐỀ</v>
      </c>
      <c r="R245" s="79"/>
      <c r="S245" s="79"/>
    </row>
    <row r="246" spans="1:19" s="89" customFormat="1" ht="38.25" x14ac:dyDescent="0.2">
      <c r="A246" s="86">
        <v>45665.395345740741</v>
      </c>
      <c r="B246" s="79">
        <v>25217103085</v>
      </c>
      <c r="C246" s="79" t="s">
        <v>352</v>
      </c>
      <c r="D246" s="79" t="s">
        <v>353</v>
      </c>
      <c r="E246" s="79" t="s">
        <v>42</v>
      </c>
      <c r="F246" s="79" t="s">
        <v>43</v>
      </c>
      <c r="G246" s="79" t="s">
        <v>113</v>
      </c>
      <c r="H246" s="79" t="s">
        <v>23</v>
      </c>
      <c r="I246" s="87">
        <v>37</v>
      </c>
      <c r="J246" s="90"/>
      <c r="K246" s="79" t="s">
        <v>201</v>
      </c>
      <c r="L246" s="88" t="s">
        <v>352</v>
      </c>
      <c r="M246" s="79" t="s">
        <v>440</v>
      </c>
      <c r="N246" s="79" t="str">
        <f ca="1">VLOOKUP(B246,'đơn vị tt'!$C$1:$AG$555,25,0)</f>
        <v>Da Nang Mikazuki Japanese Resorts &amp; Spa</v>
      </c>
      <c r="O246" s="79" t="str">
        <f ca="1">VLOOKUP(B246,'đơn vị tt'!$C$1:$AG$555,26,0)</f>
        <v>Nhà hàng</v>
      </c>
      <c r="P246" s="79" t="str">
        <f ca="1">VLOOKUP(B246,'đơn vị tt'!$C$1:$AG$555,23,0)</f>
        <v>DUYỆT</v>
      </c>
      <c r="Q246" s="79" t="str">
        <f>VLOOKUP(B246,'XÉT ĐIỀU KIỆN THAM DỰ THỰC TẬP'!$A$10:$AB$633,22,0)</f>
        <v>CHUYÊN ĐỀ</v>
      </c>
      <c r="R246" s="79"/>
      <c r="S246" s="79"/>
    </row>
    <row r="247" spans="1:19" s="89" customFormat="1" ht="25.5" x14ac:dyDescent="0.2">
      <c r="A247" s="86">
        <v>45665.571370486112</v>
      </c>
      <c r="B247" s="79">
        <v>2321713977</v>
      </c>
      <c r="C247" s="79" t="s">
        <v>354</v>
      </c>
      <c r="D247" s="79" t="s">
        <v>355</v>
      </c>
      <c r="E247" s="79" t="s">
        <v>20</v>
      </c>
      <c r="F247" s="79" t="s">
        <v>34</v>
      </c>
      <c r="G247" s="79" t="s">
        <v>27</v>
      </c>
      <c r="H247" s="79" t="s">
        <v>23</v>
      </c>
      <c r="I247" s="87">
        <v>38</v>
      </c>
      <c r="J247" s="90">
        <v>45931</v>
      </c>
      <c r="K247" s="95"/>
      <c r="L247" s="88" t="s">
        <v>354</v>
      </c>
      <c r="M247" s="79" t="s">
        <v>493</v>
      </c>
      <c r="N247" s="79" t="str">
        <f ca="1">VLOOKUP(B247,'đơn vị tt'!$C$1:$AG$555,25,0)</f>
        <v>Grand Tourane Hotel</v>
      </c>
      <c r="O247" s="79" t="str">
        <f ca="1">VLOOKUP(B247,'đơn vị tt'!$C$1:$AG$555,26,0)</f>
        <v>Nhà hàng</v>
      </c>
      <c r="P247" s="79" t="str">
        <f ca="1">VLOOKUP(B247,'đơn vị tt'!$C$1:$AG$555,23,0)</f>
        <v>DUYỆT</v>
      </c>
      <c r="Q247" s="79" t="str">
        <f>VLOOKUP(B247,'XÉT ĐIỀU KIỆN THAM DỰ THỰC TẬP'!$A$10:$AB$633,22,0)</f>
        <v>không đủ điều kiện</v>
      </c>
      <c r="R247" s="79"/>
      <c r="S247" s="79"/>
    </row>
    <row r="248" spans="1:19" s="89" customFormat="1" ht="38.25" x14ac:dyDescent="0.2">
      <c r="A248" s="86">
        <v>45665.817094120372</v>
      </c>
      <c r="B248" s="79">
        <v>25217107474</v>
      </c>
      <c r="C248" s="79" t="s">
        <v>356</v>
      </c>
      <c r="D248" s="79" t="s">
        <v>357</v>
      </c>
      <c r="E248" s="79" t="s">
        <v>42</v>
      </c>
      <c r="F248" s="79" t="s">
        <v>43</v>
      </c>
      <c r="G248" s="79" t="s">
        <v>22</v>
      </c>
      <c r="H248" s="79" t="s">
        <v>23</v>
      </c>
      <c r="I248" s="87">
        <v>40</v>
      </c>
      <c r="J248" s="87" t="s">
        <v>101</v>
      </c>
      <c r="K248" s="95"/>
      <c r="L248" s="88" t="s">
        <v>356</v>
      </c>
      <c r="M248" s="79" t="s">
        <v>440</v>
      </c>
      <c r="N248" s="79" t="str">
        <f ca="1">VLOOKUP(B248,'đơn vị tt'!$C$1:$AG$555,25,0)</f>
        <v>Sel de Mer Hotel &amp; Suites</v>
      </c>
      <c r="O248" s="79" t="str">
        <f ca="1">VLOOKUP(B248,'đơn vị tt'!$C$1:$AG$555,26,0)</f>
        <v>Tiền sảnh</v>
      </c>
      <c r="P248" s="79" t="str">
        <f ca="1">VLOOKUP(B248,'đơn vị tt'!$C$1:$AG$555,23,0)</f>
        <v>KHÔNG DUYỆT</v>
      </c>
      <c r="Q248" s="79" t="str">
        <f>VLOOKUP(B248,'XÉT ĐIỀU KIỆN THAM DỰ THỰC TẬP'!$A$10:$AB$633,22,0)</f>
        <v>CHUYÊN ĐỀ</v>
      </c>
      <c r="R248" s="79"/>
      <c r="S248" s="79"/>
    </row>
    <row r="249" spans="1:19" s="89" customFormat="1" ht="38.25" x14ac:dyDescent="0.2">
      <c r="A249" s="86">
        <v>45670.537080798611</v>
      </c>
      <c r="B249" s="79">
        <v>27207100474</v>
      </c>
      <c r="C249" s="79" t="s">
        <v>358</v>
      </c>
      <c r="D249" s="79" t="s">
        <v>26</v>
      </c>
      <c r="E249" s="79" t="s">
        <v>20</v>
      </c>
      <c r="F249" s="79" t="s">
        <v>21</v>
      </c>
      <c r="G249" s="79" t="s">
        <v>38</v>
      </c>
      <c r="H249" s="79"/>
      <c r="I249" s="87"/>
      <c r="J249" s="90">
        <v>45931</v>
      </c>
      <c r="K249" s="95"/>
      <c r="L249" s="88" t="s">
        <v>358</v>
      </c>
      <c r="M249" s="79" t="s">
        <v>493</v>
      </c>
      <c r="N249" s="79" t="e">
        <f ca="1">VLOOKUP(B249,'đơn vị tt'!$C$1:$AG$555,25,0)</f>
        <v>#N/A</v>
      </c>
      <c r="O249" s="79" t="e">
        <f ca="1">VLOOKUP(B249,'đơn vị tt'!$C$1:$AG$555,26,0)</f>
        <v>#N/A</v>
      </c>
      <c r="P249" s="79" t="e">
        <f ca="1">VLOOKUP(B249,'đơn vị tt'!$C$1:$AG$555,23,0)</f>
        <v>#N/A</v>
      </c>
      <c r="Q249" s="79" t="str">
        <f>VLOOKUP(B249,'XÉT ĐIỀU KIỆN THAM DỰ THỰC TẬP'!$A$10:$AB$633,22,0)</f>
        <v>không đủ điều kiện</v>
      </c>
      <c r="R249" s="79"/>
      <c r="S249" s="79"/>
    </row>
    <row r="250" spans="1:19" s="89" customFormat="1" ht="25.5" x14ac:dyDescent="0.2">
      <c r="A250" s="86">
        <v>45666.69521795139</v>
      </c>
      <c r="B250" s="79">
        <v>25207117065</v>
      </c>
      <c r="C250" s="79" t="s">
        <v>359</v>
      </c>
      <c r="D250" s="79" t="s">
        <v>335</v>
      </c>
      <c r="E250" s="79" t="s">
        <v>20</v>
      </c>
      <c r="F250" s="79" t="s">
        <v>43</v>
      </c>
      <c r="G250" s="79" t="s">
        <v>27</v>
      </c>
      <c r="H250" s="79" t="s">
        <v>23</v>
      </c>
      <c r="I250" s="87">
        <v>41</v>
      </c>
      <c r="J250" s="87" t="s">
        <v>35</v>
      </c>
      <c r="K250" s="95"/>
      <c r="L250" s="88" t="s">
        <v>804</v>
      </c>
      <c r="M250" s="79" t="s">
        <v>493</v>
      </c>
      <c r="N250" s="79" t="e">
        <f ca="1">VLOOKUP(B250,'đơn vị tt'!$C$1:$AG$555,25,0)</f>
        <v>#N/A</v>
      </c>
      <c r="O250" s="79" t="e">
        <f ca="1">VLOOKUP(B250,'đơn vị tt'!$C$1:$AG$555,26,0)</f>
        <v>#N/A</v>
      </c>
      <c r="P250" s="79" t="e">
        <f ca="1">VLOOKUP(B250,'đơn vị tt'!$C$1:$AG$555,23,0)</f>
        <v>#N/A</v>
      </c>
      <c r="Q250" s="79" t="str">
        <f>VLOOKUP(B250,'XÉT ĐIỀU KIỆN THAM DỰ THỰC TẬP'!$A$10:$AB$633,22,0)</f>
        <v>CHUYÊN ĐỀ</v>
      </c>
      <c r="R250" s="79"/>
      <c r="S250" s="79"/>
    </row>
    <row r="251" spans="1:19" s="89" customFormat="1" ht="38.25" x14ac:dyDescent="0.2">
      <c r="A251" s="86">
        <v>45666.797560844905</v>
      </c>
      <c r="B251" s="79">
        <v>27202821012</v>
      </c>
      <c r="C251" s="79" t="s">
        <v>360</v>
      </c>
      <c r="D251" s="79" t="s">
        <v>48</v>
      </c>
      <c r="E251" s="79" t="s">
        <v>20</v>
      </c>
      <c r="F251" s="79" t="s">
        <v>21</v>
      </c>
      <c r="G251" s="79" t="s">
        <v>38</v>
      </c>
      <c r="H251" s="79"/>
      <c r="I251" s="87"/>
      <c r="J251" s="90">
        <v>45931</v>
      </c>
      <c r="K251" s="95"/>
      <c r="L251" s="88" t="s">
        <v>360</v>
      </c>
      <c r="M251" s="79" t="s">
        <v>493</v>
      </c>
      <c r="N251" s="79" t="str">
        <f ca="1">VLOOKUP(B251,'đơn vị tt'!$C$1:$AG$555,25,0)</f>
        <v>Renaissance Hoi An Resort &amp; Spa</v>
      </c>
      <c r="O251" s="79" t="str">
        <f ca="1">VLOOKUP(B251,'đơn vị tt'!$C$1:$AG$555,26,0)</f>
        <v>Buồng phòng</v>
      </c>
      <c r="P251" s="79" t="str">
        <f ca="1">VLOOKUP(B251,'đơn vị tt'!$C$1:$AG$555,23,0)</f>
        <v>DUYỆT</v>
      </c>
      <c r="Q251" s="79" t="str">
        <f>VLOOKUP(B251,'XÉT ĐIỀU KIỆN THAM DỰ THỰC TẬP'!$A$10:$AB$633,22,0)</f>
        <v>CHUYÊN ĐỀ</v>
      </c>
      <c r="R251" s="79"/>
      <c r="S251" s="79"/>
    </row>
    <row r="252" spans="1:19" s="89" customFormat="1" ht="38.25" x14ac:dyDescent="0.2">
      <c r="A252" s="86">
        <v>45667.436488206018</v>
      </c>
      <c r="B252" s="79">
        <v>26217100821</v>
      </c>
      <c r="C252" s="79" t="s">
        <v>361</v>
      </c>
      <c r="D252" s="79" t="s">
        <v>223</v>
      </c>
      <c r="E252" s="79" t="s">
        <v>20</v>
      </c>
      <c r="F252" s="79" t="s">
        <v>34</v>
      </c>
      <c r="G252" s="79" t="s">
        <v>38</v>
      </c>
      <c r="H252" s="79" t="s">
        <v>23</v>
      </c>
      <c r="I252" s="87">
        <v>42</v>
      </c>
      <c r="J252" s="87" t="s">
        <v>101</v>
      </c>
      <c r="K252" s="95"/>
      <c r="L252" s="88" t="s">
        <v>798</v>
      </c>
      <c r="M252" s="79" t="s">
        <v>493</v>
      </c>
      <c r="N252" s="79" t="e">
        <f ca="1">VLOOKUP(B252,'đơn vị tt'!$C$1:$AG$555,25,0)</f>
        <v>#N/A</v>
      </c>
      <c r="O252" s="79" t="e">
        <f ca="1">VLOOKUP(B252,'đơn vị tt'!$C$1:$AG$555,26,0)</f>
        <v>#N/A</v>
      </c>
      <c r="P252" s="79" t="e">
        <f ca="1">VLOOKUP(B252,'đơn vị tt'!$C$1:$AG$555,23,0)</f>
        <v>#N/A</v>
      </c>
      <c r="Q252" s="79" t="str">
        <f>VLOOKUP(B252,'XÉT ĐIỀU KIỆN THAM DỰ THỰC TẬP'!$A$10:$AB$633,22,0)</f>
        <v>CHUYÊN ĐỀ</v>
      </c>
      <c r="R252" s="79"/>
      <c r="S252" s="79"/>
    </row>
    <row r="253" spans="1:19" s="89" customFormat="1" ht="51" x14ac:dyDescent="0.2">
      <c r="A253" s="86">
        <v>45667.593246793986</v>
      </c>
      <c r="B253" s="79">
        <v>24207108486</v>
      </c>
      <c r="C253" s="79" t="s">
        <v>362</v>
      </c>
      <c r="D253" s="79" t="s">
        <v>363</v>
      </c>
      <c r="E253" s="79" t="s">
        <v>42</v>
      </c>
      <c r="F253" s="79" t="s">
        <v>43</v>
      </c>
      <c r="G253" s="79" t="s">
        <v>38</v>
      </c>
      <c r="H253" s="79" t="s">
        <v>23</v>
      </c>
      <c r="I253" s="87">
        <v>43</v>
      </c>
      <c r="J253" s="90">
        <v>45993</v>
      </c>
      <c r="K253" s="95"/>
      <c r="L253" s="88" t="s">
        <v>919</v>
      </c>
      <c r="M253" s="79" t="s">
        <v>440</v>
      </c>
      <c r="N253" s="79" t="str">
        <f ca="1">VLOOKUP(B253,'đơn vị tt'!$C$1:$AG$555,25,0)</f>
        <v>Da Nang Mikazuki Japanese Resorts &amp; Spa</v>
      </c>
      <c r="O253" s="79" t="str">
        <f ca="1">VLOOKUP(B253,'đơn vị tt'!$C$1:$AG$555,26,0)</f>
        <v xml:space="preserve">Làm tất cả vị trí khi thực tập ở Water Park Mikazuki </v>
      </c>
      <c r="P253" s="79" t="str">
        <f ca="1">VLOOKUP(B253,'đơn vị tt'!$C$1:$AG$555,23,0)</f>
        <v>KHÔNG DUYỆT</v>
      </c>
      <c r="Q253" s="79" t="str">
        <f>VLOOKUP(B253,'XÉT ĐIỀU KIỆN THAM DỰ THỰC TẬP'!$A$10:$AB$633,22,0)</f>
        <v>CHUYÊN ĐỀ</v>
      </c>
      <c r="R253" s="79"/>
      <c r="S253" s="79"/>
    </row>
    <row r="254" spans="1:19" s="89" customFormat="1" ht="38.25" x14ac:dyDescent="0.2">
      <c r="A254" s="86">
        <v>45668.005386377314</v>
      </c>
      <c r="B254" s="79">
        <v>27217100634</v>
      </c>
      <c r="C254" s="79" t="s">
        <v>364</v>
      </c>
      <c r="D254" s="79" t="s">
        <v>19</v>
      </c>
      <c r="E254" s="79" t="s">
        <v>20</v>
      </c>
      <c r="F254" s="79" t="s">
        <v>21</v>
      </c>
      <c r="G254" s="79" t="s">
        <v>38</v>
      </c>
      <c r="H254" s="79"/>
      <c r="I254" s="87"/>
      <c r="J254" s="90">
        <v>45931</v>
      </c>
      <c r="K254" s="95"/>
      <c r="L254" s="88" t="s">
        <v>364</v>
      </c>
      <c r="M254" s="79" t="s">
        <v>493</v>
      </c>
      <c r="N254" s="79" t="e">
        <f ca="1">VLOOKUP(B254,'đơn vị tt'!$C$1:$AG$555,25,0)</f>
        <v>#N/A</v>
      </c>
      <c r="O254" s="79" t="e">
        <f ca="1">VLOOKUP(B254,'đơn vị tt'!$C$1:$AG$555,26,0)</f>
        <v>#N/A</v>
      </c>
      <c r="P254" s="79" t="e">
        <f ca="1">VLOOKUP(B254,'đơn vị tt'!$C$1:$AG$555,23,0)</f>
        <v>#N/A</v>
      </c>
      <c r="Q254" s="79" t="str">
        <f>VLOOKUP(B254,'XÉT ĐIỀU KIỆN THAM DỰ THỰC TẬP'!$A$10:$AB$633,22,0)</f>
        <v>không đủ điều kiện</v>
      </c>
      <c r="R254" s="79"/>
      <c r="S254" s="79"/>
    </row>
    <row r="255" spans="1:19" s="89" customFormat="1" ht="38.25" x14ac:dyDescent="0.2">
      <c r="A255" s="86">
        <v>45668.502240787042</v>
      </c>
      <c r="B255" s="79">
        <v>26217134576</v>
      </c>
      <c r="C255" s="79" t="s">
        <v>365</v>
      </c>
      <c r="D255" s="79" t="s">
        <v>366</v>
      </c>
      <c r="E255" s="79" t="s">
        <v>42</v>
      </c>
      <c r="F255" s="79" t="s">
        <v>34</v>
      </c>
      <c r="G255" s="79" t="s">
        <v>38</v>
      </c>
      <c r="H255" s="79" t="s">
        <v>23</v>
      </c>
      <c r="I255" s="87">
        <v>44</v>
      </c>
      <c r="J255" s="87" t="s">
        <v>101</v>
      </c>
      <c r="K255" s="95"/>
      <c r="L255" s="88" t="s">
        <v>365</v>
      </c>
      <c r="M255" s="79" t="s">
        <v>440</v>
      </c>
      <c r="N255" s="79" t="str">
        <f ca="1">VLOOKUP(B255,'đơn vị tt'!$C$1:$AG$555,25,0)</f>
        <v>Khách sạn Shilla Monogram Quangnam Danang</v>
      </c>
      <c r="O255" s="79" t="str">
        <f ca="1">VLOOKUP(B255,'đơn vị tt'!$C$1:$AG$555,26,0)</f>
        <v>Nhà hàng</v>
      </c>
      <c r="P255" s="79" t="str">
        <f ca="1">VLOOKUP(B255,'đơn vị tt'!$C$1:$AG$555,23,0)</f>
        <v>DUYỆT</v>
      </c>
      <c r="Q255" s="79" t="str">
        <f>VLOOKUP(B255,'XÉT ĐIỀU KIỆN THAM DỰ THỰC TẬP'!$A$10:$AB$633,22,0)</f>
        <v>CHUYÊN ĐỀ</v>
      </c>
      <c r="R255" s="79"/>
      <c r="S255" s="79"/>
    </row>
    <row r="256" spans="1:19" s="89" customFormat="1" ht="38.25" x14ac:dyDescent="0.2">
      <c r="A256" s="86">
        <v>45668.66327070602</v>
      </c>
      <c r="B256" s="79">
        <v>27217146062</v>
      </c>
      <c r="C256" s="79" t="s">
        <v>367</v>
      </c>
      <c r="D256" s="79" t="s">
        <v>48</v>
      </c>
      <c r="E256" s="79" t="s">
        <v>20</v>
      </c>
      <c r="F256" s="79" t="s">
        <v>21</v>
      </c>
      <c r="G256" s="79" t="s">
        <v>38</v>
      </c>
      <c r="H256" s="79"/>
      <c r="I256" s="87"/>
      <c r="J256" s="87" t="s">
        <v>35</v>
      </c>
      <c r="K256" s="95"/>
      <c r="L256" s="88" t="s">
        <v>367</v>
      </c>
      <c r="M256" s="79" t="s">
        <v>493</v>
      </c>
      <c r="N256" s="79" t="str">
        <f ca="1">VLOOKUP(B256,'đơn vị tt'!$C$1:$AG$555,25,0)</f>
        <v>Grand Mercure Đà Nẵng</v>
      </c>
      <c r="O256" s="79" t="str">
        <f ca="1">VLOOKUP(B256,'đơn vị tt'!$C$1:$AG$555,26,0)</f>
        <v>Nhà hàng</v>
      </c>
      <c r="P256" s="79" t="str">
        <f ca="1">VLOOKUP(B256,'đơn vị tt'!$C$1:$AG$555,23,0)</f>
        <v>DUYỆT</v>
      </c>
      <c r="Q256" s="79" t="str">
        <f>VLOOKUP(B256,'XÉT ĐIỀU KIỆN THAM DỰ THỰC TẬP'!$A$10:$AB$633,22,0)</f>
        <v>CHUYÊN ĐỀ</v>
      </c>
      <c r="R256" s="79"/>
      <c r="S256" s="79"/>
    </row>
    <row r="257" spans="1:19" s="89" customFormat="1" ht="38.25" x14ac:dyDescent="0.2">
      <c r="A257" s="86">
        <v>45669.656325081014</v>
      </c>
      <c r="B257" s="79">
        <v>25207108683</v>
      </c>
      <c r="C257" s="79" t="s">
        <v>368</v>
      </c>
      <c r="D257" s="79" t="s">
        <v>369</v>
      </c>
      <c r="E257" s="79" t="s">
        <v>42</v>
      </c>
      <c r="F257" s="79" t="s">
        <v>370</v>
      </c>
      <c r="G257" s="79" t="s">
        <v>27</v>
      </c>
      <c r="H257" s="79" t="s">
        <v>30</v>
      </c>
      <c r="I257" s="87"/>
      <c r="J257" s="95"/>
      <c r="K257" s="79" t="s">
        <v>371</v>
      </c>
      <c r="L257" s="88" t="s">
        <v>368</v>
      </c>
      <c r="M257" s="79" t="s">
        <v>440</v>
      </c>
      <c r="N257" s="79" t="e">
        <f ca="1">VLOOKUP(B257,'đơn vị tt'!$C$1:$AG$555,25,0)</f>
        <v>#N/A</v>
      </c>
      <c r="O257" s="79" t="e">
        <f ca="1">VLOOKUP(B257,'đơn vị tt'!$C$1:$AG$555,26,0)</f>
        <v>#N/A</v>
      </c>
      <c r="P257" s="79" t="e">
        <f ca="1">VLOOKUP(B257,'đơn vị tt'!$C$1:$AG$555,23,0)</f>
        <v>#N/A</v>
      </c>
      <c r="Q257" s="79" t="e">
        <f>VLOOKUP(B257,'XÉT ĐIỀU KIỆN THAM DỰ THỰC TẬP'!$A$10:$AB$633,22,0)</f>
        <v>#N/A</v>
      </c>
      <c r="R257" s="79"/>
      <c r="S257" s="79"/>
    </row>
    <row r="258" spans="1:19" s="89" customFormat="1" ht="38.25" x14ac:dyDescent="0.2">
      <c r="A258" s="86">
        <v>45670.448972777776</v>
      </c>
      <c r="B258" s="79">
        <v>25217207909</v>
      </c>
      <c r="C258" s="79" t="s">
        <v>372</v>
      </c>
      <c r="D258" s="79" t="s">
        <v>373</v>
      </c>
      <c r="E258" s="79" t="s">
        <v>42</v>
      </c>
      <c r="F258" s="79" t="s">
        <v>34</v>
      </c>
      <c r="G258" s="79" t="s">
        <v>38</v>
      </c>
      <c r="H258" s="79" t="s">
        <v>23</v>
      </c>
      <c r="I258" s="87">
        <v>45</v>
      </c>
      <c r="J258" s="87" t="s">
        <v>35</v>
      </c>
      <c r="K258" s="95"/>
      <c r="L258" s="88" t="s">
        <v>920</v>
      </c>
      <c r="M258" s="79" t="s">
        <v>440</v>
      </c>
      <c r="N258" s="79" t="str">
        <f ca="1">VLOOKUP(B258,'đơn vị tt'!$C$1:$AG$555,25,0)</f>
        <v>Premier Village Danang Resort</v>
      </c>
      <c r="O258" s="79" t="str">
        <f ca="1">VLOOKUP(B258,'đơn vị tt'!$C$1:$AG$555,26,0)</f>
        <v>Nhà hàng</v>
      </c>
      <c r="P258" s="79" t="str">
        <f ca="1">VLOOKUP(B258,'đơn vị tt'!$C$1:$AG$555,23,0)</f>
        <v>DUYỆT</v>
      </c>
      <c r="Q258" s="79" t="str">
        <f>VLOOKUP(B258,'XÉT ĐIỀU KIỆN THAM DỰ THỰC TẬP'!$A$10:$AB$633,22,0)</f>
        <v>CHUYÊN ĐỀ</v>
      </c>
      <c r="R258" s="79"/>
      <c r="S258" s="79"/>
    </row>
    <row r="259" spans="1:19" s="89" customFormat="1" ht="38.25" x14ac:dyDescent="0.2">
      <c r="A259" s="86">
        <v>45670.531369166667</v>
      </c>
      <c r="B259" s="79">
        <v>27213239364</v>
      </c>
      <c r="C259" s="79" t="s">
        <v>336</v>
      </c>
      <c r="D259" s="79" t="s">
        <v>26</v>
      </c>
      <c r="E259" s="79" t="s">
        <v>20</v>
      </c>
      <c r="F259" s="79" t="s">
        <v>21</v>
      </c>
      <c r="G259" s="79" t="s">
        <v>38</v>
      </c>
      <c r="H259" s="79"/>
      <c r="I259" s="87"/>
      <c r="J259" s="87" t="s">
        <v>35</v>
      </c>
      <c r="K259" s="95"/>
      <c r="L259" s="88" t="s">
        <v>917</v>
      </c>
      <c r="M259" s="79" t="s">
        <v>493</v>
      </c>
      <c r="N259" s="79" t="e">
        <f ca="1">VLOOKUP(B259,'đơn vị tt'!$C$1:$AG$555,25,0)</f>
        <v>#N/A</v>
      </c>
      <c r="O259" s="79" t="e">
        <f ca="1">VLOOKUP(B259,'đơn vị tt'!$C$1:$AG$555,26,0)</f>
        <v>#N/A</v>
      </c>
      <c r="P259" s="79" t="e">
        <f ca="1">VLOOKUP(B259,'đơn vị tt'!$C$1:$AG$555,23,0)</f>
        <v>#N/A</v>
      </c>
      <c r="Q259" s="79" t="str">
        <f>VLOOKUP(B259,'XÉT ĐIỀU KIỆN THAM DỰ THỰC TẬP'!$A$10:$AB$633,22,0)</f>
        <v>CHUYÊN ĐỀ</v>
      </c>
      <c r="R259" s="79"/>
      <c r="S259" s="79"/>
    </row>
    <row r="260" spans="1:19" s="89" customFormat="1" ht="25.5" x14ac:dyDescent="0.2">
      <c r="A260" s="86">
        <v>45670.775618460648</v>
      </c>
      <c r="B260" s="79">
        <v>26211031383</v>
      </c>
      <c r="C260" s="79" t="s">
        <v>374</v>
      </c>
      <c r="D260" s="79" t="s">
        <v>375</v>
      </c>
      <c r="E260" s="79" t="s">
        <v>20</v>
      </c>
      <c r="F260" s="79" t="s">
        <v>34</v>
      </c>
      <c r="G260" s="79" t="s">
        <v>27</v>
      </c>
      <c r="H260" s="79" t="s">
        <v>23</v>
      </c>
      <c r="I260" s="87">
        <v>46</v>
      </c>
      <c r="J260" s="87" t="s">
        <v>35</v>
      </c>
      <c r="K260" s="95"/>
      <c r="L260" s="88" t="s">
        <v>799</v>
      </c>
      <c r="M260" s="79" t="s">
        <v>493</v>
      </c>
      <c r="N260" s="79" t="str">
        <f ca="1">VLOOKUP(B260,'đơn vị tt'!$C$1:$AG$555,25,0)</f>
        <v>Crowne Plaza Danang</v>
      </c>
      <c r="O260" s="79" t="str">
        <f ca="1">VLOOKUP(B260,'đơn vị tt'!$C$1:$AG$555,26,0)</f>
        <v>Nhà hàng</v>
      </c>
      <c r="P260" s="79" t="str">
        <f ca="1">VLOOKUP(B260,'đơn vị tt'!$C$1:$AG$555,23,0)</f>
        <v>DUYỆT</v>
      </c>
      <c r="Q260" s="79" t="str">
        <f>VLOOKUP(B260,'XÉT ĐIỀU KIỆN THAM DỰ THỰC TẬP'!$A$10:$AB$633,22,0)</f>
        <v>CHUYÊN ĐỀ</v>
      </c>
      <c r="R260" s="79"/>
      <c r="S260" s="79"/>
    </row>
    <row r="261" spans="1:19" s="89" customFormat="1" ht="25.5" x14ac:dyDescent="0.2">
      <c r="A261" s="86">
        <v>45671.037737407409</v>
      </c>
      <c r="B261" s="79">
        <v>26207125830</v>
      </c>
      <c r="C261" s="79" t="s">
        <v>376</v>
      </c>
      <c r="D261" s="79" t="s">
        <v>377</v>
      </c>
      <c r="E261" s="79" t="s">
        <v>20</v>
      </c>
      <c r="F261" s="79" t="s">
        <v>34</v>
      </c>
      <c r="G261" s="79" t="s">
        <v>27</v>
      </c>
      <c r="H261" s="79" t="s">
        <v>23</v>
      </c>
      <c r="I261" s="87">
        <v>48</v>
      </c>
      <c r="J261" s="87" t="s">
        <v>101</v>
      </c>
      <c r="K261" s="95"/>
      <c r="L261" s="88" t="s">
        <v>376</v>
      </c>
      <c r="M261" s="79" t="s">
        <v>493</v>
      </c>
      <c r="N261" s="79" t="str">
        <f ca="1">VLOOKUP(B261,'đơn vị tt'!$C$1:$AG$555,25,0)</f>
        <v>Premier Village Danang Resort</v>
      </c>
      <c r="O261" s="79" t="str">
        <f ca="1">VLOOKUP(B261,'đơn vị tt'!$C$1:$AG$555,26,0)</f>
        <v>Buồng phòng</v>
      </c>
      <c r="P261" s="79" t="str">
        <f ca="1">VLOOKUP(B261,'đơn vị tt'!$C$1:$AG$555,23,0)</f>
        <v>DUYỆT</v>
      </c>
      <c r="Q261" s="79" t="str">
        <f>VLOOKUP(B261,'XÉT ĐIỀU KIỆN THAM DỰ THỰC TẬP'!$A$10:$AB$633,22,0)</f>
        <v>CHUYÊN ĐỀ</v>
      </c>
      <c r="R261" s="79"/>
      <c r="S261" s="79"/>
    </row>
    <row r="262" spans="1:19" s="89" customFormat="1" ht="25.5" x14ac:dyDescent="0.2">
      <c r="A262" s="86">
        <v>45671.253644861106</v>
      </c>
      <c r="B262" s="79">
        <v>26207130385</v>
      </c>
      <c r="C262" s="79" t="s">
        <v>378</v>
      </c>
      <c r="D262" s="79" t="s">
        <v>264</v>
      </c>
      <c r="E262" s="79" t="s">
        <v>20</v>
      </c>
      <c r="F262" s="79" t="s">
        <v>34</v>
      </c>
      <c r="G262" s="79" t="s">
        <v>44</v>
      </c>
      <c r="H262" s="79" t="s">
        <v>23</v>
      </c>
      <c r="I262" s="87">
        <v>49</v>
      </c>
      <c r="J262" s="87" t="s">
        <v>35</v>
      </c>
      <c r="K262" s="95"/>
      <c r="L262" s="88" t="s">
        <v>921</v>
      </c>
      <c r="M262" s="79" t="s">
        <v>493</v>
      </c>
      <c r="N262" s="79"/>
      <c r="O262" s="79" t="e">
        <f ca="1">VLOOKUP(B262,'đơn vị tt'!$C$1:$AG$555,26,0)</f>
        <v>#N/A</v>
      </c>
      <c r="P262" s="79" t="e">
        <f ca="1">VLOOKUP(B262,'đơn vị tt'!$C$1:$AG$555,23,0)</f>
        <v>#N/A</v>
      </c>
      <c r="Q262" s="79" t="e">
        <f>VLOOKUP(B262,'XÉT ĐIỀU KIỆN THAM DỰ THỰC TẬP'!$A$10:$AB$633,22,0)</f>
        <v>#N/A</v>
      </c>
      <c r="R262" s="79"/>
      <c r="S262" s="79"/>
    </row>
    <row r="263" spans="1:19" s="89" customFormat="1" ht="38.25" x14ac:dyDescent="0.2">
      <c r="A263" s="86">
        <v>45671.560307361113</v>
      </c>
      <c r="B263" s="79">
        <v>27217133248</v>
      </c>
      <c r="C263" s="79" t="s">
        <v>379</v>
      </c>
      <c r="D263" s="79" t="s">
        <v>295</v>
      </c>
      <c r="E263" s="79" t="s">
        <v>20</v>
      </c>
      <c r="F263" s="79" t="s">
        <v>21</v>
      </c>
      <c r="G263" s="79" t="s">
        <v>38</v>
      </c>
      <c r="H263" s="79"/>
      <c r="I263" s="87"/>
      <c r="J263" s="87" t="s">
        <v>35</v>
      </c>
      <c r="K263" s="95"/>
      <c r="L263" s="88" t="s">
        <v>379</v>
      </c>
      <c r="M263" s="79" t="s">
        <v>493</v>
      </c>
      <c r="N263" s="79" t="str">
        <f ca="1">VLOOKUP(B263,'đơn vị tt'!$C$1:$AG$555,25,0)</f>
        <v>Grand Tourane Hotel</v>
      </c>
      <c r="O263" s="79" t="str">
        <f ca="1">VLOOKUP(B263,'đơn vị tt'!$C$1:$AG$555,26,0)</f>
        <v>Nhà hàng</v>
      </c>
      <c r="P263" s="79" t="str">
        <f ca="1">VLOOKUP(B263,'đơn vị tt'!$C$1:$AG$555,23,0)</f>
        <v>DUYỆT</v>
      </c>
      <c r="Q263" s="79" t="str">
        <f>VLOOKUP(B263,'XÉT ĐIỀU KIỆN THAM DỰ THỰC TẬP'!$A$10:$AB$633,22,0)</f>
        <v>không đủ điều kiện</v>
      </c>
      <c r="R263" s="79"/>
      <c r="S263" s="79"/>
    </row>
    <row r="264" spans="1:19" s="89" customFormat="1" ht="25.5" x14ac:dyDescent="0.2">
      <c r="A264" s="86">
        <v>45671.686821782409</v>
      </c>
      <c r="B264" s="79">
        <v>24207102344</v>
      </c>
      <c r="C264" s="79" t="s">
        <v>380</v>
      </c>
      <c r="D264" s="79" t="s">
        <v>381</v>
      </c>
      <c r="E264" s="79" t="s">
        <v>20</v>
      </c>
      <c r="F264" s="79" t="s">
        <v>43</v>
      </c>
      <c r="G264" s="79" t="s">
        <v>113</v>
      </c>
      <c r="H264" s="79" t="s">
        <v>23</v>
      </c>
      <c r="I264" s="87">
        <v>51</v>
      </c>
      <c r="J264" s="87" t="s">
        <v>101</v>
      </c>
      <c r="K264" s="95"/>
      <c r="L264" s="88" t="s">
        <v>380</v>
      </c>
      <c r="M264" s="79" t="s">
        <v>493</v>
      </c>
      <c r="N264" s="79" t="str">
        <f ca="1">VLOOKUP(B264,'đơn vị tt'!$C$1:$AG$555,25,0)</f>
        <v>New Orient Hotel Đà Nẵng</v>
      </c>
      <c r="O264" s="79" t="str">
        <f ca="1">VLOOKUP(B264,'đơn vị tt'!$C$1:$AG$555,26,0)</f>
        <v>Tiền sảnh</v>
      </c>
      <c r="P264" s="79" t="str">
        <f ca="1">VLOOKUP(B264,'đơn vị tt'!$C$1:$AG$555,23,0)</f>
        <v>DUYỆT</v>
      </c>
      <c r="Q264" s="79" t="str">
        <f>VLOOKUP(B264,'XÉT ĐIỀU KIỆN THAM DỰ THỰC TẬP'!$A$10:$AB$633,22,0)</f>
        <v>CHUYÊN ĐỀ</v>
      </c>
      <c r="R264" s="79"/>
      <c r="S264" s="79"/>
    </row>
    <row r="265" spans="1:19" s="89" customFormat="1" ht="25.5" x14ac:dyDescent="0.2">
      <c r="A265" s="86">
        <v>45672.514617800931</v>
      </c>
      <c r="B265" s="79">
        <v>26217122489</v>
      </c>
      <c r="C265" s="79" t="s">
        <v>382</v>
      </c>
      <c r="D265" s="79" t="s">
        <v>375</v>
      </c>
      <c r="E265" s="79" t="s">
        <v>20</v>
      </c>
      <c r="F265" s="79" t="s">
        <v>34</v>
      </c>
      <c r="G265" s="79" t="s">
        <v>22</v>
      </c>
      <c r="H265" s="79" t="s">
        <v>23</v>
      </c>
      <c r="I265" s="87">
        <v>52</v>
      </c>
      <c r="J265" s="87" t="s">
        <v>101</v>
      </c>
      <c r="K265" s="95"/>
      <c r="L265" s="88" t="s">
        <v>382</v>
      </c>
      <c r="M265" s="79" t="s">
        <v>493</v>
      </c>
      <c r="N265" s="79" t="str">
        <f ca="1">VLOOKUP(B265,'đơn vị tt'!$C$1:$AG$555,25,0)</f>
        <v>Grand Tourane Hotel</v>
      </c>
      <c r="O265" s="79" t="str">
        <f ca="1">VLOOKUP(B265,'đơn vị tt'!$C$1:$AG$555,26,0)</f>
        <v>Nhà hàng</v>
      </c>
      <c r="P265" s="79" t="str">
        <f ca="1">VLOOKUP(B265,'đơn vị tt'!$C$1:$AG$555,23,0)</f>
        <v>DUYỆT</v>
      </c>
      <c r="Q265" s="79" t="str">
        <f>VLOOKUP(B265,'XÉT ĐIỀU KIỆN THAM DỰ THỰC TẬP'!$A$10:$AB$633,22,0)</f>
        <v>không đủ điều kiện</v>
      </c>
      <c r="R265" s="79"/>
      <c r="S265" s="79"/>
    </row>
    <row r="266" spans="1:19" s="89" customFormat="1" ht="38.25" x14ac:dyDescent="0.2">
      <c r="A266" s="86">
        <v>45674.957073692131</v>
      </c>
      <c r="B266" s="79">
        <v>26207100647</v>
      </c>
      <c r="C266" s="79" t="s">
        <v>383</v>
      </c>
      <c r="D266" s="79" t="s">
        <v>46</v>
      </c>
      <c r="E266" s="79" t="s">
        <v>42</v>
      </c>
      <c r="F266" s="79" t="s">
        <v>21</v>
      </c>
      <c r="G266" s="79" t="s">
        <v>38</v>
      </c>
      <c r="H266" s="79" t="s">
        <v>23</v>
      </c>
      <c r="I266" s="87">
        <v>53</v>
      </c>
      <c r="J266" s="87" t="s">
        <v>101</v>
      </c>
      <c r="K266" s="95"/>
      <c r="L266" s="88" t="s">
        <v>383</v>
      </c>
      <c r="M266" s="79" t="s">
        <v>440</v>
      </c>
      <c r="N266" s="79" t="str">
        <f ca="1">VLOOKUP(B266,'đơn vị tt'!$C$1:$AG$555,25,0)</f>
        <v>Renaissance Hoi An Resort &amp; Spa</v>
      </c>
      <c r="O266" s="79" t="str">
        <f ca="1">VLOOKUP(B266,'đơn vị tt'!$C$1:$AG$555,26,0)</f>
        <v>Nhà hàng</v>
      </c>
      <c r="P266" s="79" t="str">
        <f ca="1">VLOOKUP(B266,'đơn vị tt'!$C$1:$AG$555,23,0)</f>
        <v>DUYỆT</v>
      </c>
      <c r="Q266" s="79" t="e">
        <f>VLOOKUP(B266,'XÉT ĐIỀU KIỆN THAM DỰ THỰC TẬP'!$A$10:$AB$633,22,0)</f>
        <v>#N/A</v>
      </c>
      <c r="R266" s="79"/>
      <c r="S266" s="79"/>
    </row>
    <row r="267" spans="1:19" s="89" customFormat="1" ht="25.5" x14ac:dyDescent="0.2">
      <c r="A267" s="86">
        <v>45672.645815509255</v>
      </c>
      <c r="B267" s="79">
        <v>26217135049</v>
      </c>
      <c r="C267" s="79" t="s">
        <v>384</v>
      </c>
      <c r="D267" s="79" t="s">
        <v>385</v>
      </c>
      <c r="E267" s="79" t="s">
        <v>20</v>
      </c>
      <c r="F267" s="79" t="s">
        <v>34</v>
      </c>
      <c r="G267" s="79" t="s">
        <v>113</v>
      </c>
      <c r="H267" s="79" t="s">
        <v>23</v>
      </c>
      <c r="I267" s="87">
        <v>54</v>
      </c>
      <c r="J267" s="87" t="s">
        <v>101</v>
      </c>
      <c r="K267" s="95"/>
      <c r="L267" s="88" t="s">
        <v>800</v>
      </c>
      <c r="M267" s="79" t="s">
        <v>493</v>
      </c>
      <c r="N267" s="79" t="str">
        <f ca="1">VLOOKUP(B267,'đơn vị tt'!$C$1:$AG$555,25,0)</f>
        <v>Grand Sunrise Boutique</v>
      </c>
      <c r="O267" s="79" t="str">
        <f ca="1">VLOOKUP(B267,'đơn vị tt'!$C$1:$AG$555,26,0)</f>
        <v>Nhà hàng</v>
      </c>
      <c r="P267" s="79" t="str">
        <f ca="1">VLOOKUP(B267,'đơn vị tt'!$C$1:$AG$555,23,0)</f>
        <v>KHÔNG DUYỆT</v>
      </c>
      <c r="Q267" s="79" t="str">
        <f>VLOOKUP(B267,'XÉT ĐIỀU KIỆN THAM DỰ THỰC TẬP'!$A$10:$AB$633,22,0)</f>
        <v>CHUYÊN ĐỀ</v>
      </c>
      <c r="R267" s="79"/>
      <c r="S267" s="79"/>
    </row>
    <row r="268" spans="1:19" s="89" customFormat="1" ht="38.25" x14ac:dyDescent="0.2">
      <c r="A268" s="86">
        <v>45672.663208680555</v>
      </c>
      <c r="B268" s="79">
        <v>25217117091</v>
      </c>
      <c r="C268" s="79" t="s">
        <v>386</v>
      </c>
      <c r="D268" s="79" t="s">
        <v>387</v>
      </c>
      <c r="E268" s="79" t="s">
        <v>42</v>
      </c>
      <c r="F268" s="79" t="s">
        <v>43</v>
      </c>
      <c r="G268" s="79" t="s">
        <v>38</v>
      </c>
      <c r="H268" s="79" t="s">
        <v>23</v>
      </c>
      <c r="I268" s="87">
        <v>55</v>
      </c>
      <c r="J268" s="87" t="s">
        <v>101</v>
      </c>
      <c r="K268" s="95"/>
      <c r="L268" s="88" t="s">
        <v>922</v>
      </c>
      <c r="M268" s="79" t="s">
        <v>440</v>
      </c>
      <c r="N268" s="79" t="e">
        <f ca="1">VLOOKUP(B268,'đơn vị tt'!$C$1:$AG$555,25,0)</f>
        <v>#N/A</v>
      </c>
      <c r="O268" s="79" t="e">
        <f ca="1">VLOOKUP(B268,'đơn vị tt'!$C$1:$AG$555,26,0)</f>
        <v>#N/A</v>
      </c>
      <c r="P268" s="79" t="e">
        <f ca="1">VLOOKUP(B268,'đơn vị tt'!$C$1:$AG$555,23,0)</f>
        <v>#N/A</v>
      </c>
      <c r="Q268" s="79" t="e">
        <f>VLOOKUP(B268,'XÉT ĐIỀU KIỆN THAM DỰ THỰC TẬP'!$A$10:$AB$633,22,0)</f>
        <v>#N/A</v>
      </c>
      <c r="R268" s="79"/>
      <c r="S268" s="79"/>
    </row>
    <row r="269" spans="1:19" s="89" customFormat="1" ht="25.5" x14ac:dyDescent="0.2">
      <c r="A269" s="86">
        <v>45673.244040775462</v>
      </c>
      <c r="B269" s="79">
        <v>25217102808</v>
      </c>
      <c r="C269" s="79" t="s">
        <v>388</v>
      </c>
      <c r="D269" s="79" t="s">
        <v>182</v>
      </c>
      <c r="E269" s="79" t="s">
        <v>20</v>
      </c>
      <c r="F269" s="79" t="s">
        <v>34</v>
      </c>
      <c r="G269" s="79" t="s">
        <v>22</v>
      </c>
      <c r="H269" s="79" t="s">
        <v>23</v>
      </c>
      <c r="I269" s="87">
        <v>56</v>
      </c>
      <c r="J269" s="87" t="s">
        <v>101</v>
      </c>
      <c r="K269" s="95"/>
      <c r="L269" s="88" t="s">
        <v>388</v>
      </c>
      <c r="M269" s="79" t="s">
        <v>493</v>
      </c>
      <c r="N269" s="79" t="str">
        <f ca="1">VLOOKUP(B269,'đơn vị tt'!$C$1:$AG$555,25,0)</f>
        <v>Chicland Hotel</v>
      </c>
      <c r="O269" s="79" t="str">
        <f ca="1">VLOOKUP(B269,'đơn vị tt'!$C$1:$AG$555,26,0)</f>
        <v>Buồng phòng</v>
      </c>
      <c r="P269" s="79" t="str">
        <f ca="1">VLOOKUP(B269,'đơn vị tt'!$C$1:$AG$555,23,0)</f>
        <v>DUYỆT</v>
      </c>
      <c r="Q269" s="79" t="str">
        <f>VLOOKUP(B269,'XÉT ĐIỀU KIỆN THAM DỰ THỰC TẬP'!$A$10:$AB$633,22,0)</f>
        <v>không đủ điều kiện</v>
      </c>
      <c r="R269" s="79"/>
      <c r="S269" s="79"/>
    </row>
    <row r="270" spans="1:19" s="89" customFormat="1" ht="25.5" x14ac:dyDescent="0.2">
      <c r="A270" s="86">
        <v>45673.477170208338</v>
      </c>
      <c r="B270" s="79">
        <v>26207125172</v>
      </c>
      <c r="C270" s="79" t="s">
        <v>389</v>
      </c>
      <c r="D270" s="79" t="s">
        <v>223</v>
      </c>
      <c r="E270" s="79" t="s">
        <v>20</v>
      </c>
      <c r="F270" s="79" t="s">
        <v>34</v>
      </c>
      <c r="G270" s="79" t="s">
        <v>113</v>
      </c>
      <c r="H270" s="79" t="s">
        <v>23</v>
      </c>
      <c r="I270" s="87">
        <v>57</v>
      </c>
      <c r="J270" s="87" t="s">
        <v>101</v>
      </c>
      <c r="K270" s="95"/>
      <c r="L270" s="88" t="s">
        <v>389</v>
      </c>
      <c r="M270" s="79" t="s">
        <v>493</v>
      </c>
      <c r="N270" s="79" t="str">
        <f ca="1">VLOOKUP(B270,'đơn vị tt'!$C$1:$AG$555,25,0)</f>
        <v>Paris Deli Danang Beach Hotel</v>
      </c>
      <c r="O270" s="79" t="str">
        <f ca="1">VLOOKUP(B270,'đơn vị tt'!$C$1:$AG$555,26,0)</f>
        <v>Nhà hàng</v>
      </c>
      <c r="P270" s="79" t="str">
        <f ca="1">VLOOKUP(B270,'đơn vị tt'!$C$1:$AG$555,23,0)</f>
        <v>DUYỆT</v>
      </c>
      <c r="Q270" s="79" t="str">
        <f>VLOOKUP(B270,'XÉT ĐIỀU KIỆN THAM DỰ THỰC TẬP'!$A$10:$AB$633,22,0)</f>
        <v>CHUYÊN ĐỀ</v>
      </c>
      <c r="R270" s="79"/>
      <c r="S270" s="79"/>
    </row>
    <row r="271" spans="1:19" s="89" customFormat="1" ht="38.25" x14ac:dyDescent="0.2">
      <c r="A271" s="86">
        <v>45673.585805625</v>
      </c>
      <c r="B271" s="79">
        <v>24212102088</v>
      </c>
      <c r="C271" s="79" t="s">
        <v>390</v>
      </c>
      <c r="D271" s="79" t="s">
        <v>391</v>
      </c>
      <c r="E271" s="79" t="s">
        <v>20</v>
      </c>
      <c r="F271" s="79" t="s">
        <v>43</v>
      </c>
      <c r="G271" s="79" t="s">
        <v>38</v>
      </c>
      <c r="H271" s="79" t="s">
        <v>23</v>
      </c>
      <c r="I271" s="87">
        <v>58</v>
      </c>
      <c r="J271" s="87" t="s">
        <v>101</v>
      </c>
      <c r="K271" s="95"/>
      <c r="L271" s="88" t="s">
        <v>390</v>
      </c>
      <c r="M271" s="79" t="s">
        <v>493</v>
      </c>
      <c r="N271" s="79" t="str">
        <f ca="1">VLOOKUP(B271,'đơn vị tt'!$C$1:$AG$555,25,0)</f>
        <v>Chicland Hotel</v>
      </c>
      <c r="O271" s="79" t="str">
        <f ca="1">VLOOKUP(B271,'đơn vị tt'!$C$1:$AG$555,26,0)</f>
        <v>Nhà hàng</v>
      </c>
      <c r="P271" s="79" t="str">
        <f ca="1">VLOOKUP(B271,'đơn vị tt'!$C$1:$AG$555,23,0)</f>
        <v>DUYỆT</v>
      </c>
      <c r="Q271" s="79" t="str">
        <f>VLOOKUP(B271,'XÉT ĐIỀU KIỆN THAM DỰ THỰC TẬP'!$A$10:$AB$633,22,0)</f>
        <v>CHUYÊN ĐỀ</v>
      </c>
      <c r="R271" s="79"/>
      <c r="S271" s="79"/>
    </row>
    <row r="272" spans="1:19" s="89" customFormat="1" ht="38.25" x14ac:dyDescent="0.2">
      <c r="A272" s="86">
        <v>45673.726920034722</v>
      </c>
      <c r="B272" s="79">
        <v>26217131943</v>
      </c>
      <c r="C272" s="79" t="s">
        <v>392</v>
      </c>
      <c r="D272" s="79" t="s">
        <v>393</v>
      </c>
      <c r="E272" s="79" t="s">
        <v>20</v>
      </c>
      <c r="F272" s="79" t="s">
        <v>34</v>
      </c>
      <c r="G272" s="79" t="s">
        <v>38</v>
      </c>
      <c r="H272" s="79" t="s">
        <v>30</v>
      </c>
      <c r="I272" s="87">
        <v>59</v>
      </c>
      <c r="J272" s="95"/>
      <c r="K272" s="95"/>
      <c r="L272" s="88" t="s">
        <v>392</v>
      </c>
      <c r="M272" s="79" t="s">
        <v>493</v>
      </c>
      <c r="N272" s="79" t="e">
        <f ca="1">VLOOKUP(B272,'đơn vị tt'!$C$1:$AG$555,25,0)</f>
        <v>#N/A</v>
      </c>
      <c r="O272" s="79" t="e">
        <f ca="1">VLOOKUP(B272,'đơn vị tt'!$C$1:$AG$555,26,0)</f>
        <v>#N/A</v>
      </c>
      <c r="P272" s="79" t="e">
        <f ca="1">VLOOKUP(B272,'đơn vị tt'!$C$1:$AG$555,23,0)</f>
        <v>#N/A</v>
      </c>
      <c r="Q272" s="79" t="e">
        <f>VLOOKUP(B272,'XÉT ĐIỀU KIỆN THAM DỰ THỰC TẬP'!$A$10:$AB$633,22,0)</f>
        <v>#N/A</v>
      </c>
      <c r="R272" s="79"/>
      <c r="S272" s="79"/>
    </row>
    <row r="273" spans="1:19" s="89" customFormat="1" ht="25.5" x14ac:dyDescent="0.2">
      <c r="A273" s="86">
        <v>45673.852407939819</v>
      </c>
      <c r="B273" s="79">
        <v>26217135186</v>
      </c>
      <c r="C273" s="79" t="s">
        <v>394</v>
      </c>
      <c r="D273" s="79" t="s">
        <v>395</v>
      </c>
      <c r="E273" s="79" t="s">
        <v>20</v>
      </c>
      <c r="F273" s="79" t="s">
        <v>34</v>
      </c>
      <c r="G273" s="79" t="s">
        <v>27</v>
      </c>
      <c r="H273" s="79" t="s">
        <v>30</v>
      </c>
      <c r="I273" s="87">
        <v>60</v>
      </c>
      <c r="J273" s="95"/>
      <c r="K273" s="95"/>
      <c r="L273" s="88" t="s">
        <v>923</v>
      </c>
      <c r="M273" s="79" t="s">
        <v>493</v>
      </c>
      <c r="N273" s="79" t="e">
        <f ca="1">VLOOKUP(B273,'đơn vị tt'!$C$1:$AG$555,25,0)</f>
        <v>#N/A</v>
      </c>
      <c r="O273" s="79" t="e">
        <f ca="1">VLOOKUP(B273,'đơn vị tt'!$C$1:$AG$555,26,0)</f>
        <v>#N/A</v>
      </c>
      <c r="P273" s="79" t="e">
        <f ca="1">VLOOKUP(B273,'đơn vị tt'!$C$1:$AG$555,23,0)</f>
        <v>#N/A</v>
      </c>
      <c r="Q273" s="79" t="e">
        <f>VLOOKUP(B273,'XÉT ĐIỀU KIỆN THAM DỰ THỰC TẬP'!$A$10:$AB$633,22,0)</f>
        <v>#N/A</v>
      </c>
      <c r="R273" s="79"/>
      <c r="S273" s="79"/>
    </row>
    <row r="274" spans="1:19" s="89" customFormat="1" ht="25.5" x14ac:dyDescent="0.2">
      <c r="A274" s="86">
        <v>45673.871408182866</v>
      </c>
      <c r="B274" s="79">
        <v>26217136263</v>
      </c>
      <c r="C274" s="79" t="s">
        <v>396</v>
      </c>
      <c r="D274" s="79" t="s">
        <v>223</v>
      </c>
      <c r="E274" s="79" t="s">
        <v>20</v>
      </c>
      <c r="F274" s="79" t="s">
        <v>34</v>
      </c>
      <c r="G274" s="79" t="s">
        <v>27</v>
      </c>
      <c r="H274" s="79" t="s">
        <v>30</v>
      </c>
      <c r="I274" s="87">
        <v>61</v>
      </c>
      <c r="J274" s="95"/>
      <c r="K274" s="95"/>
      <c r="L274" s="88" t="s">
        <v>396</v>
      </c>
      <c r="M274" s="79" t="s">
        <v>493</v>
      </c>
      <c r="N274" s="79" t="e">
        <f ca="1">VLOOKUP(B274,'đơn vị tt'!$C$1:$AG$555,25,0)</f>
        <v>#N/A</v>
      </c>
      <c r="O274" s="79" t="e">
        <f ca="1">VLOOKUP(B274,'đơn vị tt'!$C$1:$AG$555,26,0)</f>
        <v>#N/A</v>
      </c>
      <c r="P274" s="79" t="e">
        <f ca="1">VLOOKUP(B274,'đơn vị tt'!$C$1:$AG$555,23,0)</f>
        <v>#N/A</v>
      </c>
      <c r="Q274" s="79" t="e">
        <f>VLOOKUP(B274,'XÉT ĐIỀU KIỆN THAM DỰ THỰC TẬP'!$A$10:$AB$633,22,0)</f>
        <v>#N/A</v>
      </c>
      <c r="R274" s="79"/>
      <c r="S274" s="79"/>
    </row>
    <row r="275" spans="1:19" s="89" customFormat="1" ht="38.25" x14ac:dyDescent="0.2">
      <c r="A275" s="86">
        <v>45673.895002500001</v>
      </c>
      <c r="B275" s="79">
        <v>25217203161</v>
      </c>
      <c r="C275" s="79" t="s">
        <v>397</v>
      </c>
      <c r="D275" s="79" t="s">
        <v>398</v>
      </c>
      <c r="E275" s="79" t="s">
        <v>20</v>
      </c>
      <c r="F275" s="79" t="s">
        <v>43</v>
      </c>
      <c r="G275" s="79" t="s">
        <v>38</v>
      </c>
      <c r="H275" s="79" t="s">
        <v>23</v>
      </c>
      <c r="I275" s="87">
        <v>62</v>
      </c>
      <c r="J275" s="87" t="s">
        <v>101</v>
      </c>
      <c r="K275" s="95"/>
      <c r="L275" s="88" t="s">
        <v>397</v>
      </c>
      <c r="M275" s="79" t="s">
        <v>493</v>
      </c>
      <c r="N275" s="79" t="str">
        <f ca="1">VLOOKUP(B275,'đơn vị tt'!$C$1:$AG$555,25,0)</f>
        <v>Diamond Sea Hotel</v>
      </c>
      <c r="O275" s="79" t="str">
        <f ca="1">VLOOKUP(B275,'đơn vị tt'!$C$1:$AG$555,26,0)</f>
        <v>Tiền sảnh</v>
      </c>
      <c r="P275" s="79" t="str">
        <f ca="1">VLOOKUP(B275,'đơn vị tt'!$C$1:$AG$555,23,0)</f>
        <v>DUYỆT</v>
      </c>
      <c r="Q275" s="79" t="str">
        <f>VLOOKUP(B275,'XÉT ĐIỀU KIỆN THAM DỰ THỰC TẬP'!$A$10:$AB$633,22,0)</f>
        <v>CHUYÊN ĐỀ</v>
      </c>
      <c r="R275" s="79"/>
      <c r="S275" s="79"/>
    </row>
    <row r="276" spans="1:19" s="89" customFormat="1" ht="25.5" x14ac:dyDescent="0.2">
      <c r="A276" s="86">
        <v>45674.368139085651</v>
      </c>
      <c r="B276" s="79">
        <v>25217101543</v>
      </c>
      <c r="C276" s="79" t="s">
        <v>399</v>
      </c>
      <c r="D276" s="79" t="s">
        <v>400</v>
      </c>
      <c r="E276" s="79" t="s">
        <v>20</v>
      </c>
      <c r="F276" s="79" t="s">
        <v>43</v>
      </c>
      <c r="G276" s="79" t="s">
        <v>27</v>
      </c>
      <c r="H276" s="79" t="s">
        <v>30</v>
      </c>
      <c r="I276" s="87">
        <v>63</v>
      </c>
      <c r="J276" s="87" t="s">
        <v>101</v>
      </c>
      <c r="K276" s="95"/>
      <c r="L276" s="88" t="s">
        <v>399</v>
      </c>
      <c r="M276" s="79" t="s">
        <v>493</v>
      </c>
      <c r="N276" s="79" t="e">
        <f ca="1">VLOOKUP(B276,'đơn vị tt'!$C$1:$AG$555,25,0)</f>
        <v>#N/A</v>
      </c>
      <c r="O276" s="79" t="e">
        <f ca="1">VLOOKUP(B276,'đơn vị tt'!$C$1:$AG$555,26,0)</f>
        <v>#N/A</v>
      </c>
      <c r="P276" s="79" t="e">
        <f ca="1">VLOOKUP(B276,'đơn vị tt'!$C$1:$AG$555,23,0)</f>
        <v>#N/A</v>
      </c>
      <c r="Q276" s="79" t="e">
        <f>VLOOKUP(B276,'XÉT ĐIỀU KIỆN THAM DỰ THỰC TẬP'!$A$10:$AB$633,22,0)</f>
        <v>#N/A</v>
      </c>
      <c r="R276" s="79"/>
      <c r="S276" s="79"/>
    </row>
    <row r="277" spans="1:19" s="89" customFormat="1" ht="25.5" x14ac:dyDescent="0.2">
      <c r="A277" s="86">
        <v>45674.491953749995</v>
      </c>
      <c r="B277" s="79">
        <v>26207130140</v>
      </c>
      <c r="C277" s="79" t="s">
        <v>401</v>
      </c>
      <c r="D277" s="79" t="s">
        <v>223</v>
      </c>
      <c r="E277" s="79" t="s">
        <v>20</v>
      </c>
      <c r="F277" s="79" t="s">
        <v>34</v>
      </c>
      <c r="G277" s="79" t="s">
        <v>22</v>
      </c>
      <c r="H277" s="79" t="s">
        <v>23</v>
      </c>
      <c r="I277" s="87">
        <v>64</v>
      </c>
      <c r="J277" s="87" t="s">
        <v>101</v>
      </c>
      <c r="K277" s="95"/>
      <c r="L277" s="88" t="s">
        <v>401</v>
      </c>
      <c r="M277" s="79" t="s">
        <v>493</v>
      </c>
      <c r="N277" s="79" t="str">
        <f ca="1">VLOOKUP(B277,'đơn vị tt'!$C$1:$AG$555,25,0)</f>
        <v>Satya Danang Hotel</v>
      </c>
      <c r="O277" s="79" t="str">
        <f ca="1">VLOOKUP(B277,'đơn vị tt'!$C$1:$AG$555,26,0)</f>
        <v>Nhà hàng</v>
      </c>
      <c r="P277" s="79" t="str">
        <f ca="1">VLOOKUP(B277,'đơn vị tt'!$C$1:$AG$555,23,0)</f>
        <v>DUYỆT</v>
      </c>
      <c r="Q277" s="79" t="str">
        <f>VLOOKUP(B277,'XÉT ĐIỀU KIỆN THAM DỰ THỰC TẬP'!$A$10:$AB$633,22,0)</f>
        <v>CHUYÊN ĐỀ</v>
      </c>
      <c r="R277" s="79"/>
      <c r="S277" s="79"/>
    </row>
    <row r="278" spans="1:19" s="89" customFormat="1" ht="25.5" x14ac:dyDescent="0.2">
      <c r="A278" s="86">
        <v>45674.658306296296</v>
      </c>
      <c r="B278" s="79">
        <v>26217123458</v>
      </c>
      <c r="C278" s="79" t="s">
        <v>402</v>
      </c>
      <c r="D278" s="79" t="s">
        <v>403</v>
      </c>
      <c r="E278" s="79" t="s">
        <v>20</v>
      </c>
      <c r="F278" s="79" t="s">
        <v>34</v>
      </c>
      <c r="G278" s="79" t="s">
        <v>27</v>
      </c>
      <c r="H278" s="79" t="s">
        <v>23</v>
      </c>
      <c r="I278" s="87">
        <v>65</v>
      </c>
      <c r="J278" s="87" t="s">
        <v>101</v>
      </c>
      <c r="K278" s="79" t="s">
        <v>404</v>
      </c>
      <c r="L278" s="88" t="s">
        <v>402</v>
      </c>
      <c r="M278" s="79" t="s">
        <v>493</v>
      </c>
      <c r="N278" s="79" t="str">
        <f ca="1">VLOOKUP(B278,'đơn vị tt'!$C$1:$AG$555,25,0)</f>
        <v>Vanda Hotel</v>
      </c>
      <c r="O278" s="79" t="str">
        <f ca="1">VLOOKUP(B278,'đơn vị tt'!$C$1:$AG$555,26,0)</f>
        <v>Tiền sảnh</v>
      </c>
      <c r="P278" s="79" t="str">
        <f ca="1">VLOOKUP(B278,'đơn vị tt'!$C$1:$AG$555,23,0)</f>
        <v>DUYỆT</v>
      </c>
      <c r="Q278" s="79" t="str">
        <f>VLOOKUP(B278,'XÉT ĐIỀU KIỆN THAM DỰ THỰC TẬP'!$A$10:$AB$633,22,0)</f>
        <v>CHUYÊN ĐỀ</v>
      </c>
      <c r="R278" s="79"/>
      <c r="S278" s="79"/>
    </row>
    <row r="279" spans="1:19" s="89" customFormat="1" ht="25.5" x14ac:dyDescent="0.2">
      <c r="A279" s="86">
        <v>45674.934285868054</v>
      </c>
      <c r="B279" s="79">
        <v>26207132771</v>
      </c>
      <c r="C279" s="79" t="s">
        <v>405</v>
      </c>
      <c r="D279" s="79" t="s">
        <v>375</v>
      </c>
      <c r="E279" s="79" t="s">
        <v>20</v>
      </c>
      <c r="F279" s="79" t="s">
        <v>34</v>
      </c>
      <c r="G279" s="79" t="s">
        <v>113</v>
      </c>
      <c r="H279" s="79" t="s">
        <v>30</v>
      </c>
      <c r="I279" s="87">
        <v>66</v>
      </c>
      <c r="J279" s="95"/>
      <c r="K279" s="95"/>
      <c r="L279" s="88" t="s">
        <v>405</v>
      </c>
      <c r="M279" s="79" t="s">
        <v>493</v>
      </c>
      <c r="N279" s="79" t="e">
        <f ca="1">VLOOKUP(B279,'đơn vị tt'!$C$1:$AG$555,25,0)</f>
        <v>#N/A</v>
      </c>
      <c r="O279" s="79" t="e">
        <f ca="1">VLOOKUP(B279,'đơn vị tt'!$C$1:$AG$555,26,0)</f>
        <v>#N/A</v>
      </c>
      <c r="P279" s="79" t="e">
        <f ca="1">VLOOKUP(B279,'đơn vị tt'!$C$1:$AG$555,23,0)</f>
        <v>#N/A</v>
      </c>
      <c r="Q279" s="79" t="e">
        <f>VLOOKUP(B279,'XÉT ĐIỀU KIỆN THAM DỰ THỰC TẬP'!$A$10:$AB$633,22,0)</f>
        <v>#N/A</v>
      </c>
      <c r="R279" s="79"/>
      <c r="S279" s="79"/>
    </row>
    <row r="280" spans="1:19" s="89" customFormat="1" ht="25.5" x14ac:dyDescent="0.2">
      <c r="A280" s="86">
        <v>45675.355199861107</v>
      </c>
      <c r="B280" s="79">
        <v>26217134781</v>
      </c>
      <c r="C280" s="79" t="s">
        <v>406</v>
      </c>
      <c r="D280" s="79" t="s">
        <v>407</v>
      </c>
      <c r="E280" s="79" t="s">
        <v>20</v>
      </c>
      <c r="F280" s="79" t="s">
        <v>34</v>
      </c>
      <c r="G280" s="79" t="s">
        <v>44</v>
      </c>
      <c r="H280" s="79" t="s">
        <v>23</v>
      </c>
      <c r="I280" s="87">
        <v>67</v>
      </c>
      <c r="J280" s="87" t="s">
        <v>101</v>
      </c>
      <c r="K280" s="95"/>
      <c r="L280" s="88" t="s">
        <v>406</v>
      </c>
      <c r="M280" s="79" t="s">
        <v>493</v>
      </c>
      <c r="N280" s="79" t="e">
        <f ca="1">VLOOKUP(B280,'đơn vị tt'!$C$1:$AG$555,25,0)</f>
        <v>#N/A</v>
      </c>
      <c r="O280" s="79" t="e">
        <f ca="1">VLOOKUP(B280,'đơn vị tt'!$C$1:$AG$555,26,0)</f>
        <v>#N/A</v>
      </c>
      <c r="P280" s="79" t="e">
        <f ca="1">VLOOKUP(B280,'đơn vị tt'!$C$1:$AG$555,23,0)</f>
        <v>#N/A</v>
      </c>
      <c r="Q280" s="79" t="e">
        <f>VLOOKUP(B280,'XÉT ĐIỀU KIỆN THAM DỰ THỰC TẬP'!$A$10:$AB$633,22,0)</f>
        <v>#N/A</v>
      </c>
      <c r="R280" s="79"/>
      <c r="S280" s="79"/>
    </row>
    <row r="281" spans="1:19" s="89" customFormat="1" ht="38.25" x14ac:dyDescent="0.2">
      <c r="A281" s="86">
        <v>45675.399024155093</v>
      </c>
      <c r="B281" s="79">
        <v>25217103802</v>
      </c>
      <c r="C281" s="79" t="s">
        <v>408</v>
      </c>
      <c r="D281" s="79" t="s">
        <v>409</v>
      </c>
      <c r="E281" s="79" t="s">
        <v>42</v>
      </c>
      <c r="F281" s="79" t="s">
        <v>43</v>
      </c>
      <c r="G281" s="79" t="s">
        <v>410</v>
      </c>
      <c r="H281" s="79" t="s">
        <v>23</v>
      </c>
      <c r="I281" s="87">
        <v>68</v>
      </c>
      <c r="J281" s="90">
        <v>45993</v>
      </c>
      <c r="K281" s="95"/>
      <c r="L281" s="88" t="s">
        <v>408</v>
      </c>
      <c r="M281" s="79" t="s">
        <v>440</v>
      </c>
      <c r="N281" s="79" t="e">
        <f ca="1">VLOOKUP(B281,'đơn vị tt'!$C$1:$AG$555,25,0)</f>
        <v>#N/A</v>
      </c>
      <c r="O281" s="79" t="e">
        <f ca="1">VLOOKUP(B281,'đơn vị tt'!$C$1:$AG$555,26,0)</f>
        <v>#N/A</v>
      </c>
      <c r="P281" s="79" t="e">
        <f ca="1">VLOOKUP(B281,'đơn vị tt'!$C$1:$AG$555,23,0)</f>
        <v>#N/A</v>
      </c>
      <c r="Q281" s="79" t="e">
        <f>VLOOKUP(B281,'XÉT ĐIỀU KIỆN THAM DỰ THỰC TẬP'!$A$10:$AB$633,22,0)</f>
        <v>#N/A</v>
      </c>
      <c r="R281" s="79"/>
      <c r="S281" s="79"/>
    </row>
    <row r="282" spans="1:19" s="89" customFormat="1" ht="25.5" x14ac:dyDescent="0.2">
      <c r="A282" s="86">
        <v>45676.714963460647</v>
      </c>
      <c r="B282" s="79">
        <v>26207129998</v>
      </c>
      <c r="C282" s="79" t="s">
        <v>411</v>
      </c>
      <c r="D282" s="79" t="s">
        <v>412</v>
      </c>
      <c r="E282" s="79" t="s">
        <v>20</v>
      </c>
      <c r="F282" s="79" t="s">
        <v>34</v>
      </c>
      <c r="G282" s="79" t="s">
        <v>113</v>
      </c>
      <c r="H282" s="79" t="s">
        <v>23</v>
      </c>
      <c r="I282" s="87">
        <v>69</v>
      </c>
      <c r="J282" s="87" t="s">
        <v>172</v>
      </c>
      <c r="K282" s="95"/>
      <c r="L282" s="88" t="s">
        <v>411</v>
      </c>
      <c r="M282" s="79" t="s">
        <v>493</v>
      </c>
      <c r="N282" s="79" t="str">
        <f ca="1">VLOOKUP(B282,'đơn vị tt'!$C$1:$AG$555,25,0)</f>
        <v>Grand Mercure Đà Nẵng</v>
      </c>
      <c r="O282" s="79" t="str">
        <f ca="1">VLOOKUP(B282,'đơn vị tt'!$C$1:$AG$555,26,0)</f>
        <v>Buồng phòng</v>
      </c>
      <c r="P282" s="79" t="str">
        <f ca="1">VLOOKUP(B282,'đơn vị tt'!$C$1:$AG$555,23,0)</f>
        <v>DUYỆT</v>
      </c>
      <c r="Q282" s="79" t="str">
        <f>VLOOKUP(B282,'XÉT ĐIỀU KIỆN THAM DỰ THỰC TẬP'!$A$10:$AB$633,22,0)</f>
        <v>CHUYÊN ĐỀ</v>
      </c>
      <c r="R282" s="79"/>
      <c r="S282" s="79"/>
    </row>
    <row r="283" spans="1:19" s="89" customFormat="1" ht="25.5" x14ac:dyDescent="0.2">
      <c r="A283" s="86">
        <v>45676.82670539352</v>
      </c>
      <c r="B283" s="79">
        <v>26217129930</v>
      </c>
      <c r="C283" s="79" t="s">
        <v>413</v>
      </c>
      <c r="D283" s="79" t="s">
        <v>414</v>
      </c>
      <c r="E283" s="79" t="s">
        <v>20</v>
      </c>
      <c r="F283" s="79" t="s">
        <v>34</v>
      </c>
      <c r="G283" s="79" t="s">
        <v>27</v>
      </c>
      <c r="H283" s="79" t="s">
        <v>30</v>
      </c>
      <c r="I283" s="87">
        <v>70</v>
      </c>
      <c r="J283" s="95"/>
      <c r="K283" s="95"/>
      <c r="L283" s="88" t="s">
        <v>413</v>
      </c>
      <c r="M283" s="79" t="s">
        <v>493</v>
      </c>
      <c r="N283" s="79" t="e">
        <f ca="1">VLOOKUP(B283,'đơn vị tt'!$C$1:$AG$555,25,0)</f>
        <v>#N/A</v>
      </c>
      <c r="O283" s="79" t="e">
        <f ca="1">VLOOKUP(B283,'đơn vị tt'!$C$1:$AG$555,26,0)</f>
        <v>#N/A</v>
      </c>
      <c r="P283" s="79" t="e">
        <f ca="1">VLOOKUP(B283,'đơn vị tt'!$C$1:$AG$555,23,0)</f>
        <v>#N/A</v>
      </c>
      <c r="Q283" s="79" t="e">
        <f>VLOOKUP(B283,'XÉT ĐIỀU KIỆN THAM DỰ THỰC TẬP'!$A$10:$AB$633,22,0)</f>
        <v>#N/A</v>
      </c>
      <c r="R283" s="79"/>
      <c r="S283" s="79"/>
    </row>
    <row r="284" spans="1:19" s="89" customFormat="1" ht="25.5" x14ac:dyDescent="0.2">
      <c r="A284" s="86">
        <v>45677.407859606479</v>
      </c>
      <c r="B284" s="79">
        <v>2321714451</v>
      </c>
      <c r="C284" s="79" t="s">
        <v>415</v>
      </c>
      <c r="D284" s="79" t="s">
        <v>416</v>
      </c>
      <c r="E284" s="79" t="s">
        <v>20</v>
      </c>
      <c r="F284" s="79" t="s">
        <v>43</v>
      </c>
      <c r="G284" s="79" t="s">
        <v>22</v>
      </c>
      <c r="H284" s="79" t="s">
        <v>23</v>
      </c>
      <c r="I284" s="87">
        <v>71</v>
      </c>
      <c r="J284" s="87" t="s">
        <v>172</v>
      </c>
      <c r="K284" s="95"/>
      <c r="L284" s="88" t="s">
        <v>415</v>
      </c>
      <c r="M284" s="79" t="s">
        <v>493</v>
      </c>
      <c r="N284" s="79" t="str">
        <f ca="1">VLOOKUP(B284,'đơn vị tt'!$C$1:$AG$555,25,0)</f>
        <v>Minh Toàn Galaxy Hotel Đà Nẵng</v>
      </c>
      <c r="O284" s="79" t="str">
        <f ca="1">VLOOKUP(B284,'đơn vị tt'!$C$1:$AG$555,26,0)</f>
        <v>Tiền sảnh</v>
      </c>
      <c r="P284" s="79" t="str">
        <f ca="1">VLOOKUP(B284,'đơn vị tt'!$C$1:$AG$555,23,0)</f>
        <v>DUYỆT</v>
      </c>
      <c r="Q284" s="79" t="e">
        <f>VLOOKUP(B284,'XÉT ĐIỀU KIỆN THAM DỰ THỰC TẬP'!$A$10:$AB$633,22,0)</f>
        <v>#N/A</v>
      </c>
      <c r="R284" s="79"/>
      <c r="S284" s="79"/>
    </row>
    <row r="285" spans="1:19" s="89" customFormat="1" ht="38.25" x14ac:dyDescent="0.2">
      <c r="A285" s="86">
        <v>45678.701050960648</v>
      </c>
      <c r="B285" s="79">
        <v>26212932260</v>
      </c>
      <c r="C285" s="79" t="s">
        <v>417</v>
      </c>
      <c r="D285" s="79" t="s">
        <v>312</v>
      </c>
      <c r="E285" s="79" t="s">
        <v>42</v>
      </c>
      <c r="F285" s="79" t="s">
        <v>34</v>
      </c>
      <c r="G285" s="79" t="s">
        <v>38</v>
      </c>
      <c r="H285" s="79" t="s">
        <v>23</v>
      </c>
      <c r="I285" s="87">
        <v>72</v>
      </c>
      <c r="J285" s="90">
        <v>45993</v>
      </c>
      <c r="K285" s="95"/>
      <c r="L285" s="88" t="s">
        <v>417</v>
      </c>
      <c r="M285" s="79" t="s">
        <v>440</v>
      </c>
      <c r="N285" s="79" t="e">
        <f ca="1">VLOOKUP(B285,'đơn vị tt'!$C$1:$AG$555,25,0)</f>
        <v>#N/A</v>
      </c>
      <c r="O285" s="79" t="e">
        <f ca="1">VLOOKUP(B285,'đơn vị tt'!$C$1:$AG$555,26,0)</f>
        <v>#N/A</v>
      </c>
      <c r="P285" s="79" t="e">
        <f ca="1">VLOOKUP(B285,'đơn vị tt'!$C$1:$AG$555,23,0)</f>
        <v>#N/A</v>
      </c>
      <c r="Q285" s="79" t="str">
        <f>VLOOKUP(B285,'XÉT ĐIỀU KIỆN THAM DỰ THỰC TẬP'!$A$10:$AB$633,22,0)</f>
        <v>CHUYÊN ĐỀ</v>
      </c>
      <c r="R285" s="79" t="str">
        <f ca="1">VLOOKUP(B285,'chuyển KL-&gt;CĐ'!$C$2:$O$1000,2,0)</f>
        <v>Nguyễn Lê Anh Duy</v>
      </c>
      <c r="S285" s="79" t="str">
        <f ca="1">VLOOKUP(B285,'chuyển KL-&gt;CĐ'!$C$2:$O$1000,10,0)</f>
        <v>ĐÃ NỘP</v>
      </c>
    </row>
    <row r="286" spans="1:19" s="89" customFormat="1" ht="25.5" x14ac:dyDescent="0.2">
      <c r="A286" s="86">
        <v>45678.764814930561</v>
      </c>
      <c r="B286" s="79">
        <v>25217109645</v>
      </c>
      <c r="C286" s="79" t="s">
        <v>418</v>
      </c>
      <c r="D286" s="79" t="s">
        <v>391</v>
      </c>
      <c r="E286" s="79" t="s">
        <v>20</v>
      </c>
      <c r="F286" s="79" t="s">
        <v>43</v>
      </c>
      <c r="G286" s="79" t="s">
        <v>410</v>
      </c>
      <c r="H286" s="79" t="s">
        <v>23</v>
      </c>
      <c r="I286" s="87">
        <v>73</v>
      </c>
      <c r="J286" s="90">
        <v>45993</v>
      </c>
      <c r="K286" s="95"/>
      <c r="L286" s="88" t="s">
        <v>418</v>
      </c>
      <c r="M286" s="79" t="s">
        <v>493</v>
      </c>
      <c r="N286" s="79" t="e">
        <f ca="1">VLOOKUP(B286,'đơn vị tt'!$C$1:$AG$555,25,0)</f>
        <v>#N/A</v>
      </c>
      <c r="O286" s="79" t="e">
        <f ca="1">VLOOKUP(B286,'đơn vị tt'!$C$1:$AG$555,26,0)</f>
        <v>#N/A</v>
      </c>
      <c r="P286" s="79" t="e">
        <f ca="1">VLOOKUP(B286,'đơn vị tt'!$C$1:$AG$555,23,0)</f>
        <v>#N/A</v>
      </c>
      <c r="Q286" s="79" t="e">
        <f>VLOOKUP(B286,'XÉT ĐIỀU KIỆN THAM DỰ THỰC TẬP'!$A$10:$AB$633,22,0)</f>
        <v>#N/A</v>
      </c>
      <c r="R286" s="79"/>
      <c r="S286" s="79"/>
    </row>
    <row r="287" spans="1:19" s="89" customFormat="1" ht="38.25" x14ac:dyDescent="0.2">
      <c r="A287" s="86">
        <v>45679.67974975695</v>
      </c>
      <c r="B287" s="79">
        <v>26207100641</v>
      </c>
      <c r="C287" s="79" t="s">
        <v>419</v>
      </c>
      <c r="D287" s="79" t="s">
        <v>366</v>
      </c>
      <c r="E287" s="79" t="s">
        <v>42</v>
      </c>
      <c r="F287" s="79" t="s">
        <v>34</v>
      </c>
      <c r="G287" s="79" t="s">
        <v>44</v>
      </c>
      <c r="H287" s="79" t="s">
        <v>30</v>
      </c>
      <c r="I287" s="87">
        <v>74</v>
      </c>
      <c r="J287" s="95"/>
      <c r="K287" s="95"/>
      <c r="L287" s="88" t="s">
        <v>419</v>
      </c>
      <c r="M287" s="79" t="s">
        <v>440</v>
      </c>
      <c r="N287" s="79" t="e">
        <f ca="1">VLOOKUP(B287,'đơn vị tt'!$C$1:$AG$555,25,0)</f>
        <v>#N/A</v>
      </c>
      <c r="O287" s="79" t="e">
        <f ca="1">VLOOKUP(B287,'đơn vị tt'!$C$1:$AG$555,26,0)</f>
        <v>#N/A</v>
      </c>
      <c r="P287" s="79" t="e">
        <f ca="1">VLOOKUP(B287,'đơn vị tt'!$C$1:$AG$555,23,0)</f>
        <v>#N/A</v>
      </c>
      <c r="Q287" s="79" t="e">
        <f>VLOOKUP(B287,'XÉT ĐIỀU KIỆN THAM DỰ THỰC TẬP'!$A$10:$AB$633,22,0)</f>
        <v>#N/A</v>
      </c>
      <c r="R287" s="79"/>
      <c r="S287" s="79"/>
    </row>
    <row r="288" spans="1:19" s="89" customFormat="1" ht="38.25" x14ac:dyDescent="0.2">
      <c r="A288" s="86">
        <v>45679.736919780087</v>
      </c>
      <c r="B288" s="79">
        <v>26217142007</v>
      </c>
      <c r="C288" s="79" t="s">
        <v>420</v>
      </c>
      <c r="D288" s="79" t="s">
        <v>421</v>
      </c>
      <c r="E288" s="79" t="s">
        <v>42</v>
      </c>
      <c r="F288" s="79" t="s">
        <v>34</v>
      </c>
      <c r="G288" s="79" t="s">
        <v>27</v>
      </c>
      <c r="H288" s="79" t="s">
        <v>23</v>
      </c>
      <c r="I288" s="87">
        <v>75</v>
      </c>
      <c r="J288" s="90"/>
      <c r="K288" s="95"/>
      <c r="L288" s="88" t="s">
        <v>420</v>
      </c>
      <c r="M288" s="79" t="s">
        <v>440</v>
      </c>
      <c r="N288" s="79" t="str">
        <f ca="1">VLOOKUP(B288,'đơn vị tt'!$C$1:$AG$555,25,0)</f>
        <v>Four Points by Sheraton Danang</v>
      </c>
      <c r="O288" s="79" t="str">
        <f ca="1">VLOOKUP(B288,'đơn vị tt'!$C$1:$AG$555,26,0)</f>
        <v>Buồng phòng</v>
      </c>
      <c r="P288" s="79" t="str">
        <f ca="1">VLOOKUP(B288,'đơn vị tt'!$C$1:$AG$555,23,0)</f>
        <v>DUYỆT</v>
      </c>
      <c r="Q288" s="79" t="str">
        <f>VLOOKUP(B288,'XÉT ĐIỀU KIỆN THAM DỰ THỰC TẬP'!$A$10:$AB$633,22,0)</f>
        <v>CHUYÊN ĐỀ</v>
      </c>
      <c r="R288" s="79" t="e">
        <f ca="1">VLOOKUP(B288,'chuyển KL-&gt;CĐ'!$C$2:$O$1000,2,0)</f>
        <v>#N/A</v>
      </c>
      <c r="S288" s="79" t="e">
        <f ca="1">VLOOKUP(B288,'chuyển KL-&gt;CĐ'!$C$2:$O$1000,10,0)</f>
        <v>#N/A</v>
      </c>
    </row>
    <row r="289" spans="1:19" s="89" customFormat="1" ht="38.25" x14ac:dyDescent="0.2">
      <c r="A289" s="86">
        <v>45693.560787696755</v>
      </c>
      <c r="B289" s="79">
        <v>26217133880</v>
      </c>
      <c r="C289" s="79" t="s">
        <v>422</v>
      </c>
      <c r="D289" s="79" t="s">
        <v>53</v>
      </c>
      <c r="E289" s="79" t="s">
        <v>42</v>
      </c>
      <c r="F289" s="79" t="s">
        <v>21</v>
      </c>
      <c r="G289" s="79" t="s">
        <v>27</v>
      </c>
      <c r="H289" s="79"/>
      <c r="I289" s="87"/>
      <c r="J289" s="90">
        <v>45993</v>
      </c>
      <c r="K289" s="95"/>
      <c r="L289" s="88" t="s">
        <v>924</v>
      </c>
      <c r="M289" s="79" t="s">
        <v>440</v>
      </c>
      <c r="N289" s="79" t="e">
        <f ca="1">VLOOKUP(B289,'đơn vị tt'!$C$1:$AG$555,25,0)</f>
        <v>#N/A</v>
      </c>
      <c r="O289" s="79" t="e">
        <f ca="1">VLOOKUP(B289,'đơn vị tt'!$C$1:$AG$555,26,0)</f>
        <v>#N/A</v>
      </c>
      <c r="P289" s="79" t="e">
        <f ca="1">VLOOKUP(B289,'đơn vị tt'!$C$1:$AG$555,23,0)</f>
        <v>#N/A</v>
      </c>
      <c r="Q289" s="79" t="str">
        <f>VLOOKUP(B289,'XÉT ĐIỀU KIỆN THAM DỰ THỰC TẬP'!$A$10:$AB$633,22,0)</f>
        <v>CHUYÊN ĐỀ</v>
      </c>
      <c r="R289" s="79"/>
      <c r="S289" s="79"/>
    </row>
    <row r="290" spans="1:19" s="89" customFormat="1" ht="38.25" x14ac:dyDescent="0.2">
      <c r="A290" s="86">
        <v>45694.404508692125</v>
      </c>
      <c r="B290" s="79">
        <v>25207209274</v>
      </c>
      <c r="C290" s="79" t="s">
        <v>423</v>
      </c>
      <c r="D290" s="79" t="s">
        <v>424</v>
      </c>
      <c r="E290" s="79" t="s">
        <v>42</v>
      </c>
      <c r="F290" s="79" t="s">
        <v>43</v>
      </c>
      <c r="G290" s="79" t="s">
        <v>38</v>
      </c>
      <c r="H290" s="79" t="s">
        <v>23</v>
      </c>
      <c r="I290" s="87">
        <v>76</v>
      </c>
      <c r="J290" s="90">
        <v>45993</v>
      </c>
      <c r="K290" s="95"/>
      <c r="L290" s="88" t="s">
        <v>423</v>
      </c>
      <c r="M290" s="79" t="s">
        <v>440</v>
      </c>
      <c r="N290" s="79" t="e">
        <f ca="1">VLOOKUP(B290,'đơn vị tt'!$C$1:$AG$555,25,0)</f>
        <v>#N/A</v>
      </c>
      <c r="O290" s="79" t="e">
        <f ca="1">VLOOKUP(B290,'đơn vị tt'!$C$1:$AG$555,26,0)</f>
        <v>#N/A</v>
      </c>
      <c r="P290" s="79" t="e">
        <f ca="1">VLOOKUP(B290,'đơn vị tt'!$C$1:$AG$555,23,0)</f>
        <v>#N/A</v>
      </c>
      <c r="Q290" s="79" t="e">
        <f>VLOOKUP(B290,'XÉT ĐIỀU KIỆN THAM DỰ THỰC TẬP'!$A$10:$AB$633,22,0)</f>
        <v>#N/A</v>
      </c>
      <c r="R290" s="79"/>
      <c r="S290" s="79"/>
    </row>
    <row r="291" spans="1:19" s="89" customFormat="1" ht="38.25" x14ac:dyDescent="0.2">
      <c r="A291" s="86">
        <v>45699.840162337961</v>
      </c>
      <c r="B291" s="79">
        <v>26207142302</v>
      </c>
      <c r="C291" s="79" t="s">
        <v>425</v>
      </c>
      <c r="D291" s="79" t="s">
        <v>53</v>
      </c>
      <c r="E291" s="79" t="s">
        <v>42</v>
      </c>
      <c r="F291" s="79" t="s">
        <v>21</v>
      </c>
      <c r="G291" s="79" t="s">
        <v>27</v>
      </c>
      <c r="H291" s="79"/>
      <c r="I291" s="95"/>
      <c r="J291" s="90">
        <v>45993</v>
      </c>
      <c r="K291" s="95"/>
      <c r="L291" s="88" t="s">
        <v>425</v>
      </c>
      <c r="M291" s="79" t="s">
        <v>440</v>
      </c>
      <c r="N291" s="79" t="e">
        <f ca="1">VLOOKUP(B291,'đơn vị tt'!$C$1:$AG$555,25,0)</f>
        <v>#N/A</v>
      </c>
      <c r="O291" s="79" t="e">
        <f ca="1">VLOOKUP(B291,'đơn vị tt'!$C$1:$AG$555,26,0)</f>
        <v>#N/A</v>
      </c>
      <c r="P291" s="79" t="e">
        <f ca="1">VLOOKUP(B291,'đơn vị tt'!$C$1:$AG$555,23,0)</f>
        <v>#N/A</v>
      </c>
      <c r="Q291" s="79" t="str">
        <f>VLOOKUP(B291,'XÉT ĐIỀU KIỆN THAM DỰ THỰC TẬP'!$A$10:$AB$633,22,0)</f>
        <v>XÉT LÀM KHÓA LUẬN</v>
      </c>
      <c r="R291" s="79" t="str">
        <f ca="1">VLOOKUP(B291,'chuyển KL-&gt;CĐ'!$C$2:$O$1000,2,0)</f>
        <v>Trần Thị Mi</v>
      </c>
      <c r="S291" s="79">
        <f ca="1">VLOOKUP(B291,'chuyển KL-&gt;CĐ'!$C$2:$O$1000,10,0)</f>
        <v>0</v>
      </c>
    </row>
    <row r="292" spans="1:19" s="89" customFormat="1" ht="25.5" x14ac:dyDescent="0.2">
      <c r="A292" s="86">
        <v>45699.700348750004</v>
      </c>
      <c r="B292" s="79">
        <v>27207103121</v>
      </c>
      <c r="C292" s="79" t="s">
        <v>426</v>
      </c>
      <c r="D292" s="79" t="s">
        <v>116</v>
      </c>
      <c r="E292" s="79" t="s">
        <v>20</v>
      </c>
      <c r="F292" s="79" t="s">
        <v>21</v>
      </c>
      <c r="G292" s="79" t="s">
        <v>27</v>
      </c>
      <c r="H292" s="79"/>
      <c r="I292" s="95"/>
      <c r="J292" s="90">
        <v>45993</v>
      </c>
      <c r="K292" s="95"/>
      <c r="L292" s="88" t="s">
        <v>426</v>
      </c>
      <c r="M292" s="79" t="s">
        <v>493</v>
      </c>
      <c r="N292" s="79" t="e">
        <f ca="1">VLOOKUP(B292,'đơn vị tt'!$C$1:$AG$555,25,0)</f>
        <v>#N/A</v>
      </c>
      <c r="O292" s="79" t="e">
        <f ca="1">VLOOKUP(B292,'đơn vị tt'!$C$1:$AG$555,26,0)</f>
        <v>#N/A</v>
      </c>
      <c r="P292" s="79" t="e">
        <f ca="1">VLOOKUP(B292,'đơn vị tt'!$C$1:$AG$555,23,0)</f>
        <v>#N/A</v>
      </c>
      <c r="Q292" s="79" t="str">
        <f>VLOOKUP(B292,'XÉT ĐIỀU KIỆN THAM DỰ THỰC TẬP'!$A$10:$AB$633,22,0)</f>
        <v>CHUYÊN ĐỀ</v>
      </c>
      <c r="R292" s="79" t="str">
        <f ca="1">VLOOKUP(B292,'chuyển KL-&gt;CĐ'!$C$2:$O$1000,2,0)</f>
        <v>Ngô Thị Ánh Quỳnh</v>
      </c>
      <c r="S292" s="79" t="str">
        <f ca="1">VLOOKUP(B292,'chuyển KL-&gt;CĐ'!$C$2:$O$1000,10,0)</f>
        <v>ĐÃ NỘP</v>
      </c>
    </row>
    <row r="293" spans="1:19" s="89" customFormat="1" ht="89.25" x14ac:dyDescent="0.2">
      <c r="A293" s="86">
        <v>45699.751854212962</v>
      </c>
      <c r="B293" s="79">
        <v>24207107649</v>
      </c>
      <c r="C293" s="79" t="s">
        <v>255</v>
      </c>
      <c r="D293" s="79" t="s">
        <v>427</v>
      </c>
      <c r="E293" s="79" t="s">
        <v>42</v>
      </c>
      <c r="F293" s="79" t="s">
        <v>43</v>
      </c>
      <c r="G293" s="79" t="s">
        <v>113</v>
      </c>
      <c r="H293" s="79" t="s">
        <v>30</v>
      </c>
      <c r="I293" s="95"/>
      <c r="J293" s="95"/>
      <c r="K293" s="79" t="s">
        <v>428</v>
      </c>
      <c r="L293" s="88" t="s">
        <v>255</v>
      </c>
      <c r="M293" s="79" t="s">
        <v>440</v>
      </c>
      <c r="N293" s="79" t="e">
        <f ca="1">VLOOKUP(B293,'đơn vị tt'!$C$1:$AG$555,25,0)</f>
        <v>#N/A</v>
      </c>
      <c r="O293" s="79" t="e">
        <f ca="1">VLOOKUP(B293,'đơn vị tt'!$C$1:$AG$555,26,0)</f>
        <v>#N/A</v>
      </c>
      <c r="P293" s="79" t="e">
        <f ca="1">VLOOKUP(B293,'đơn vị tt'!$C$1:$AG$555,23,0)</f>
        <v>#N/A</v>
      </c>
      <c r="Q293" s="79" t="e">
        <f>VLOOKUP(B293,'XÉT ĐIỀU KIỆN THAM DỰ THỰC TẬP'!$A$10:$AB$633,22,0)</f>
        <v>#N/A</v>
      </c>
      <c r="R293" s="79" t="e">
        <f ca="1">VLOOKUP(B293,'chuyển KL-&gt;CĐ'!$C$2:$O$1000,2,0)</f>
        <v>#N/A</v>
      </c>
      <c r="S293" s="79"/>
    </row>
    <row r="294" spans="1:19" s="89" customFormat="1" ht="25.5" x14ac:dyDescent="0.2">
      <c r="A294" s="86">
        <v>45699.759532268523</v>
      </c>
      <c r="B294" s="79">
        <v>27207131794</v>
      </c>
      <c r="C294" s="79" t="s">
        <v>429</v>
      </c>
      <c r="D294" s="79" t="s">
        <v>116</v>
      </c>
      <c r="E294" s="79" t="s">
        <v>20</v>
      </c>
      <c r="F294" s="79" t="s">
        <v>21</v>
      </c>
      <c r="G294" s="79" t="s">
        <v>27</v>
      </c>
      <c r="H294" s="79"/>
      <c r="I294" s="95"/>
      <c r="J294" s="90">
        <v>45993</v>
      </c>
      <c r="K294" s="95"/>
      <c r="L294" s="88" t="s">
        <v>429</v>
      </c>
      <c r="M294" s="79" t="s">
        <v>493</v>
      </c>
      <c r="N294" s="79" t="e">
        <f ca="1">VLOOKUP(B294,'đơn vị tt'!$C$1:$AG$555,25,0)</f>
        <v>#N/A</v>
      </c>
      <c r="O294" s="79" t="e">
        <f ca="1">VLOOKUP(B294,'đơn vị tt'!$C$1:$AG$555,26,0)</f>
        <v>#N/A</v>
      </c>
      <c r="P294" s="79" t="e">
        <f ca="1">VLOOKUP(B294,'đơn vị tt'!$C$1:$AG$555,23,0)</f>
        <v>#N/A</v>
      </c>
      <c r="Q294" s="79" t="str">
        <f>VLOOKUP(B294,'XÉT ĐIỀU KIỆN THAM DỰ THỰC TẬP'!$A$10:$AB$633,22,0)</f>
        <v>CHUYÊN ĐỀ</v>
      </c>
      <c r="R294" s="79" t="e">
        <f ca="1">VLOOKUP(B294,'chuyển KL-&gt;CĐ'!$C$2:$O$1000,2,0)</f>
        <v>#N/A</v>
      </c>
      <c r="S294" s="79"/>
    </row>
    <row r="295" spans="1:19" s="89" customFormat="1" ht="38.25" x14ac:dyDescent="0.2">
      <c r="A295" s="86">
        <v>45700.490729618061</v>
      </c>
      <c r="B295" s="79">
        <v>27217102336</v>
      </c>
      <c r="C295" s="79" t="s">
        <v>430</v>
      </c>
      <c r="D295" s="79" t="s">
        <v>48</v>
      </c>
      <c r="E295" s="79" t="s">
        <v>20</v>
      </c>
      <c r="F295" s="79" t="s">
        <v>21</v>
      </c>
      <c r="G295" s="79" t="s">
        <v>38</v>
      </c>
      <c r="H295" s="79"/>
      <c r="I295" s="95"/>
      <c r="J295" s="90">
        <v>45993</v>
      </c>
      <c r="K295" s="95"/>
      <c r="L295" s="88" t="s">
        <v>925</v>
      </c>
      <c r="M295" s="79" t="s">
        <v>493</v>
      </c>
      <c r="N295" s="79" t="str">
        <f ca="1">VLOOKUP(B295,'đơn vị tt'!$C$1:$AG$555,25,0)</f>
        <v>Renaissance Hoi An Resort &amp; Spa</v>
      </c>
      <c r="O295" s="79" t="str">
        <f ca="1">VLOOKUP(B295,'đơn vị tt'!$C$1:$AG$555,26,0)</f>
        <v>Buồng phòng</v>
      </c>
      <c r="P295" s="79" t="str">
        <f ca="1">VLOOKUP(B295,'đơn vị tt'!$C$1:$AG$555,23,0)</f>
        <v>DUYỆT</v>
      </c>
      <c r="Q295" s="79" t="str">
        <f>VLOOKUP(B295,'XÉT ĐIỀU KIỆN THAM DỰ THỰC TẬP'!$A$10:$AB$633,22,0)</f>
        <v>CHUYÊN ĐỀ</v>
      </c>
      <c r="R295" s="79" t="e">
        <f ca="1">VLOOKUP(B295,'chuyển KL-&gt;CĐ'!$C$2:$O$1000,2,0)</f>
        <v>#N/A</v>
      </c>
      <c r="S295" s="95"/>
    </row>
    <row r="296" spans="1:19" s="89" customFormat="1" ht="25.5" x14ac:dyDescent="0.2">
      <c r="A296" s="86">
        <v>45700.537096944448</v>
      </c>
      <c r="B296" s="79">
        <v>27202202820</v>
      </c>
      <c r="C296" s="79" t="s">
        <v>431</v>
      </c>
      <c r="D296" s="79" t="s">
        <v>116</v>
      </c>
      <c r="E296" s="79" t="s">
        <v>20</v>
      </c>
      <c r="F296" s="79" t="s">
        <v>21</v>
      </c>
      <c r="G296" s="79" t="s">
        <v>22</v>
      </c>
      <c r="H296" s="79"/>
      <c r="I296" s="95"/>
      <c r="J296" s="90">
        <v>45993</v>
      </c>
      <c r="K296" s="95"/>
      <c r="L296" s="88" t="s">
        <v>431</v>
      </c>
      <c r="M296" s="79" t="s">
        <v>493</v>
      </c>
      <c r="N296" s="79" t="e">
        <f ca="1">VLOOKUP(B296,'đơn vị tt'!$C$1:$AG$555,25,0)</f>
        <v>#N/A</v>
      </c>
      <c r="O296" s="79" t="e">
        <f ca="1">VLOOKUP(B296,'đơn vị tt'!$C$1:$AG$555,26,0)</f>
        <v>#N/A</v>
      </c>
      <c r="P296" s="79" t="e">
        <f ca="1">VLOOKUP(B296,'đơn vị tt'!$C$1:$AG$555,23,0)</f>
        <v>#N/A</v>
      </c>
      <c r="Q296" s="79" t="str">
        <f>VLOOKUP(B296,'XÉT ĐIỀU KIỆN THAM DỰ THỰC TẬP'!$A$10:$AB$633,22,0)</f>
        <v>CHUYÊN ĐỀ</v>
      </c>
      <c r="R296" s="79" t="e">
        <f ca="1">VLOOKUP(B296,'chuyển KL-&gt;CĐ'!$C$2:$O$1000,2,0)</f>
        <v>#N/A</v>
      </c>
      <c r="S296" s="95"/>
    </row>
    <row r="297" spans="1:19" ht="12.75" x14ac:dyDescent="0.2">
      <c r="A297" s="70"/>
      <c r="B297" s="71"/>
      <c r="C297" s="71"/>
      <c r="D297" s="71"/>
      <c r="E297" s="71"/>
      <c r="F297" s="71"/>
      <c r="G297" s="71"/>
      <c r="H297" s="71"/>
      <c r="I297" s="72"/>
      <c r="J297" s="72"/>
      <c r="K297" s="71"/>
      <c r="L297" s="71"/>
      <c r="M297" s="71"/>
      <c r="N297" s="71"/>
      <c r="O297" s="71"/>
      <c r="P297" s="71"/>
      <c r="Q297" s="71"/>
      <c r="R297" s="73"/>
      <c r="S297" s="74"/>
    </row>
    <row r="298" spans="1:19" ht="12.75" x14ac:dyDescent="0.2">
      <c r="I298" s="65"/>
      <c r="J298" s="65"/>
      <c r="R298" s="66"/>
      <c r="S298" s="66"/>
    </row>
    <row r="299" spans="1:19" ht="12.75" x14ac:dyDescent="0.2">
      <c r="I299" s="65"/>
      <c r="J299" s="65"/>
      <c r="R299" s="66"/>
      <c r="S299" s="66"/>
    </row>
    <row r="300" spans="1:19" ht="12.75" x14ac:dyDescent="0.2">
      <c r="I300" s="65"/>
      <c r="J300" s="65"/>
      <c r="R300" s="66"/>
      <c r="S300" s="66"/>
    </row>
    <row r="301" spans="1:19" ht="12.75" x14ac:dyDescent="0.2">
      <c r="I301" s="65"/>
      <c r="J301" s="65"/>
      <c r="R301" s="66"/>
      <c r="S301" s="66"/>
    </row>
    <row r="302" spans="1:19" ht="12.75" x14ac:dyDescent="0.2">
      <c r="I302" s="65"/>
      <c r="J302" s="65"/>
      <c r="R302" s="66"/>
      <c r="S302" s="66"/>
    </row>
    <row r="303" spans="1:19" ht="12.75" x14ac:dyDescent="0.2">
      <c r="I303" s="65"/>
      <c r="J303" s="65"/>
      <c r="R303" s="66"/>
      <c r="S303" s="66"/>
    </row>
    <row r="304" spans="1:19" ht="12.75" x14ac:dyDescent="0.2">
      <c r="I304" s="65"/>
      <c r="J304" s="65"/>
      <c r="R304" s="66"/>
      <c r="S304" s="66"/>
    </row>
    <row r="305" spans="9:19" ht="12.75" x14ac:dyDescent="0.2">
      <c r="I305" s="65"/>
      <c r="J305" s="65"/>
      <c r="R305" s="66"/>
      <c r="S305" s="66"/>
    </row>
    <row r="306" spans="9:19" ht="12.75" x14ac:dyDescent="0.2">
      <c r="I306" s="65"/>
      <c r="J306" s="65"/>
      <c r="R306" s="66"/>
      <c r="S306" s="66"/>
    </row>
    <row r="307" spans="9:19" ht="12.75" x14ac:dyDescent="0.2">
      <c r="I307" s="65"/>
      <c r="J307" s="65"/>
      <c r="R307" s="66"/>
      <c r="S307" s="66"/>
    </row>
    <row r="308" spans="9:19" ht="12.75" x14ac:dyDescent="0.2">
      <c r="I308" s="65"/>
      <c r="J308" s="65"/>
      <c r="R308" s="66"/>
      <c r="S308" s="66"/>
    </row>
    <row r="309" spans="9:19" ht="12.75" x14ac:dyDescent="0.2">
      <c r="I309" s="65"/>
      <c r="J309" s="65"/>
      <c r="R309" s="66"/>
      <c r="S309" s="66"/>
    </row>
    <row r="310" spans="9:19" ht="12.75" x14ac:dyDescent="0.2">
      <c r="I310" s="65"/>
      <c r="J310" s="65"/>
      <c r="R310" s="66"/>
      <c r="S310" s="66"/>
    </row>
    <row r="311" spans="9:19" ht="12.75" x14ac:dyDescent="0.2">
      <c r="I311" s="65"/>
      <c r="J311" s="65"/>
      <c r="R311" s="66"/>
      <c r="S311" s="66"/>
    </row>
    <row r="312" spans="9:19" ht="12.75" x14ac:dyDescent="0.2">
      <c r="I312" s="65"/>
      <c r="J312" s="65"/>
      <c r="R312" s="66"/>
      <c r="S312" s="66"/>
    </row>
    <row r="313" spans="9:19" ht="12.75" x14ac:dyDescent="0.2">
      <c r="I313" s="65"/>
      <c r="J313" s="65"/>
      <c r="R313" s="66"/>
      <c r="S313" s="66"/>
    </row>
    <row r="314" spans="9:19" ht="12.75" x14ac:dyDescent="0.2">
      <c r="I314" s="65"/>
      <c r="J314" s="65"/>
      <c r="R314" s="66"/>
      <c r="S314" s="66"/>
    </row>
    <row r="315" spans="9:19" ht="12.75" x14ac:dyDescent="0.2">
      <c r="I315" s="65"/>
      <c r="J315" s="65"/>
      <c r="R315" s="66"/>
      <c r="S315" s="66"/>
    </row>
    <row r="316" spans="9:19" ht="12.75" x14ac:dyDescent="0.2">
      <c r="I316" s="65"/>
      <c r="J316" s="65"/>
      <c r="R316" s="66"/>
      <c r="S316" s="66"/>
    </row>
    <row r="317" spans="9:19" ht="12.75" x14ac:dyDescent="0.2">
      <c r="I317" s="65"/>
      <c r="J317" s="65"/>
      <c r="R317" s="66"/>
      <c r="S317" s="66"/>
    </row>
    <row r="318" spans="9:19" ht="12.75" x14ac:dyDescent="0.2">
      <c r="I318" s="65"/>
      <c r="J318" s="65"/>
      <c r="R318" s="66"/>
      <c r="S318" s="66"/>
    </row>
    <row r="319" spans="9:19" ht="12.75" x14ac:dyDescent="0.2">
      <c r="I319" s="65"/>
      <c r="J319" s="65"/>
      <c r="R319" s="66"/>
      <c r="S319" s="66"/>
    </row>
    <row r="320" spans="9:19" ht="12.75" x14ac:dyDescent="0.2">
      <c r="I320" s="65"/>
      <c r="J320" s="65"/>
      <c r="R320" s="66"/>
      <c r="S320" s="66"/>
    </row>
    <row r="321" spans="9:19" ht="12.75" x14ac:dyDescent="0.2">
      <c r="I321" s="65"/>
      <c r="J321" s="65"/>
      <c r="R321" s="66"/>
      <c r="S321" s="66"/>
    </row>
    <row r="322" spans="9:19" ht="12.75" x14ac:dyDescent="0.2">
      <c r="I322" s="65"/>
      <c r="J322" s="65"/>
      <c r="R322" s="66"/>
      <c r="S322" s="66"/>
    </row>
    <row r="323" spans="9:19" ht="12.75" x14ac:dyDescent="0.2">
      <c r="I323" s="65"/>
      <c r="J323" s="65"/>
      <c r="R323" s="66"/>
      <c r="S323" s="66"/>
    </row>
    <row r="324" spans="9:19" ht="12.75" x14ac:dyDescent="0.2">
      <c r="I324" s="65"/>
      <c r="J324" s="65"/>
      <c r="R324" s="66"/>
      <c r="S324" s="66"/>
    </row>
    <row r="325" spans="9:19" ht="12.75" x14ac:dyDescent="0.2">
      <c r="I325" s="65"/>
      <c r="J325" s="65"/>
      <c r="R325" s="66"/>
      <c r="S325" s="66"/>
    </row>
    <row r="326" spans="9:19" ht="12.75" x14ac:dyDescent="0.2">
      <c r="I326" s="65"/>
      <c r="J326" s="65"/>
      <c r="R326" s="66"/>
      <c r="S326" s="66"/>
    </row>
    <row r="327" spans="9:19" ht="12.75" x14ac:dyDescent="0.2">
      <c r="I327" s="65"/>
      <c r="J327" s="65"/>
      <c r="R327" s="66"/>
      <c r="S327" s="66"/>
    </row>
    <row r="328" spans="9:19" ht="12.75" x14ac:dyDescent="0.2">
      <c r="I328" s="65"/>
      <c r="J328" s="65"/>
      <c r="R328" s="66"/>
      <c r="S328" s="66"/>
    </row>
    <row r="329" spans="9:19" ht="12.75" x14ac:dyDescent="0.2">
      <c r="I329" s="65"/>
      <c r="J329" s="65"/>
      <c r="R329" s="66"/>
      <c r="S329" s="66"/>
    </row>
    <row r="330" spans="9:19" ht="12.75" x14ac:dyDescent="0.2">
      <c r="I330" s="65"/>
      <c r="J330" s="65"/>
      <c r="R330" s="66"/>
      <c r="S330" s="66"/>
    </row>
    <row r="331" spans="9:19" ht="12.75" x14ac:dyDescent="0.2">
      <c r="I331" s="65"/>
      <c r="J331" s="65"/>
      <c r="R331" s="66"/>
      <c r="S331" s="66"/>
    </row>
    <row r="332" spans="9:19" ht="12.75" x14ac:dyDescent="0.2">
      <c r="I332" s="65"/>
      <c r="J332" s="65"/>
      <c r="R332" s="66"/>
      <c r="S332" s="66"/>
    </row>
    <row r="333" spans="9:19" ht="12.75" x14ac:dyDescent="0.2">
      <c r="I333" s="65"/>
      <c r="J333" s="65"/>
      <c r="R333" s="66"/>
      <c r="S333" s="66"/>
    </row>
    <row r="334" spans="9:19" ht="12.75" x14ac:dyDescent="0.2">
      <c r="I334" s="65"/>
      <c r="J334" s="65"/>
      <c r="R334" s="66"/>
      <c r="S334" s="66"/>
    </row>
    <row r="335" spans="9:19" ht="12.75" x14ac:dyDescent="0.2">
      <c r="I335" s="65"/>
      <c r="J335" s="65"/>
      <c r="R335" s="66"/>
      <c r="S335" s="66"/>
    </row>
    <row r="336" spans="9:19" ht="12.75" x14ac:dyDescent="0.2">
      <c r="I336" s="65"/>
      <c r="J336" s="65"/>
      <c r="R336" s="66"/>
      <c r="S336" s="66"/>
    </row>
    <row r="337" spans="9:19" ht="12.75" x14ac:dyDescent="0.2">
      <c r="I337" s="65"/>
      <c r="J337" s="65"/>
      <c r="R337" s="66"/>
      <c r="S337" s="66"/>
    </row>
    <row r="338" spans="9:19" ht="12.75" x14ac:dyDescent="0.2">
      <c r="I338" s="65"/>
      <c r="J338" s="65"/>
      <c r="R338" s="66"/>
      <c r="S338" s="66"/>
    </row>
    <row r="339" spans="9:19" ht="12.75" x14ac:dyDescent="0.2">
      <c r="I339" s="65"/>
      <c r="J339" s="65"/>
      <c r="R339" s="66"/>
      <c r="S339" s="66"/>
    </row>
    <row r="340" spans="9:19" ht="12.75" x14ac:dyDescent="0.2">
      <c r="I340" s="65"/>
      <c r="J340" s="65"/>
      <c r="R340" s="66"/>
      <c r="S340" s="66"/>
    </row>
    <row r="341" spans="9:19" ht="12.75" x14ac:dyDescent="0.2">
      <c r="I341" s="65"/>
      <c r="J341" s="65"/>
      <c r="R341" s="66"/>
      <c r="S341" s="66"/>
    </row>
    <row r="342" spans="9:19" ht="12.75" x14ac:dyDescent="0.2">
      <c r="I342" s="65"/>
      <c r="J342" s="65"/>
      <c r="R342" s="66"/>
      <c r="S342" s="66"/>
    </row>
    <row r="343" spans="9:19" ht="12.75" x14ac:dyDescent="0.2">
      <c r="I343" s="65"/>
      <c r="J343" s="65"/>
      <c r="R343" s="66"/>
      <c r="S343" s="66"/>
    </row>
    <row r="344" spans="9:19" ht="12.75" x14ac:dyDescent="0.2">
      <c r="I344" s="65"/>
      <c r="J344" s="65"/>
      <c r="R344" s="66"/>
      <c r="S344" s="66"/>
    </row>
    <row r="345" spans="9:19" ht="12.75" x14ac:dyDescent="0.2">
      <c r="I345" s="65"/>
      <c r="J345" s="65"/>
      <c r="R345" s="66"/>
      <c r="S345" s="66"/>
    </row>
    <row r="346" spans="9:19" ht="12.75" x14ac:dyDescent="0.2">
      <c r="I346" s="65"/>
      <c r="J346" s="65"/>
      <c r="R346" s="66"/>
      <c r="S346" s="66"/>
    </row>
    <row r="347" spans="9:19" ht="12.75" x14ac:dyDescent="0.2">
      <c r="I347" s="65"/>
      <c r="J347" s="65"/>
      <c r="R347" s="66"/>
      <c r="S347" s="66"/>
    </row>
    <row r="348" spans="9:19" ht="12.75" x14ac:dyDescent="0.2">
      <c r="I348" s="65"/>
      <c r="J348" s="65"/>
      <c r="R348" s="66"/>
      <c r="S348" s="66"/>
    </row>
    <row r="349" spans="9:19" ht="12.75" x14ac:dyDescent="0.2">
      <c r="I349" s="65"/>
      <c r="J349" s="65"/>
      <c r="R349" s="66"/>
      <c r="S349" s="66"/>
    </row>
    <row r="350" spans="9:19" ht="12.75" x14ac:dyDescent="0.2">
      <c r="I350" s="65"/>
      <c r="J350" s="65"/>
      <c r="R350" s="66"/>
      <c r="S350" s="66"/>
    </row>
    <row r="351" spans="9:19" ht="12.75" x14ac:dyDescent="0.2">
      <c r="I351" s="65"/>
      <c r="J351" s="65"/>
      <c r="R351" s="66"/>
      <c r="S351" s="66"/>
    </row>
    <row r="352" spans="9:19" ht="12.75" x14ac:dyDescent="0.2">
      <c r="I352" s="65"/>
      <c r="J352" s="65"/>
      <c r="R352" s="66"/>
      <c r="S352" s="66"/>
    </row>
    <row r="353" spans="9:19" ht="12.75" x14ac:dyDescent="0.2">
      <c r="I353" s="65"/>
      <c r="J353" s="65"/>
      <c r="R353" s="66"/>
      <c r="S353" s="66"/>
    </row>
    <row r="354" spans="9:19" ht="12.75" x14ac:dyDescent="0.2">
      <c r="I354" s="65"/>
      <c r="J354" s="65"/>
      <c r="R354" s="66"/>
      <c r="S354" s="66"/>
    </row>
    <row r="355" spans="9:19" ht="12.75" x14ac:dyDescent="0.2">
      <c r="I355" s="65"/>
      <c r="J355" s="65"/>
      <c r="R355" s="66"/>
      <c r="S355" s="66"/>
    </row>
    <row r="356" spans="9:19" ht="12.75" x14ac:dyDescent="0.2">
      <c r="I356" s="65"/>
      <c r="J356" s="65"/>
      <c r="R356" s="66"/>
      <c r="S356" s="66"/>
    </row>
    <row r="357" spans="9:19" ht="12.75" x14ac:dyDescent="0.2">
      <c r="I357" s="65"/>
      <c r="J357" s="65"/>
      <c r="R357" s="66"/>
      <c r="S357" s="66"/>
    </row>
    <row r="358" spans="9:19" ht="12.75" x14ac:dyDescent="0.2">
      <c r="I358" s="65"/>
      <c r="J358" s="65"/>
      <c r="R358" s="66"/>
      <c r="S358" s="66"/>
    </row>
    <row r="359" spans="9:19" ht="12.75" x14ac:dyDescent="0.2">
      <c r="I359" s="65"/>
      <c r="J359" s="65"/>
      <c r="R359" s="66"/>
      <c r="S359" s="66"/>
    </row>
    <row r="360" spans="9:19" ht="12.75" x14ac:dyDescent="0.2">
      <c r="I360" s="65"/>
      <c r="J360" s="65"/>
      <c r="R360" s="66"/>
      <c r="S360" s="66"/>
    </row>
    <row r="361" spans="9:19" ht="12.75" x14ac:dyDescent="0.2">
      <c r="I361" s="65"/>
      <c r="J361" s="65"/>
      <c r="R361" s="66"/>
      <c r="S361" s="66"/>
    </row>
    <row r="362" spans="9:19" ht="12.75" x14ac:dyDescent="0.2">
      <c r="I362" s="65"/>
      <c r="J362" s="65"/>
      <c r="R362" s="66"/>
      <c r="S362" s="66"/>
    </row>
    <row r="363" spans="9:19" ht="12.75" x14ac:dyDescent="0.2">
      <c r="I363" s="65"/>
      <c r="J363" s="65"/>
      <c r="R363" s="66"/>
      <c r="S363" s="66"/>
    </row>
    <row r="364" spans="9:19" ht="12.75" x14ac:dyDescent="0.2">
      <c r="I364" s="65"/>
      <c r="J364" s="65"/>
      <c r="R364" s="66"/>
      <c r="S364" s="66"/>
    </row>
    <row r="365" spans="9:19" ht="12.75" x14ac:dyDescent="0.2">
      <c r="I365" s="65"/>
      <c r="J365" s="65"/>
      <c r="R365" s="66"/>
      <c r="S365" s="66"/>
    </row>
    <row r="366" spans="9:19" ht="12.75" x14ac:dyDescent="0.2">
      <c r="I366" s="65"/>
      <c r="J366" s="65"/>
      <c r="R366" s="66"/>
      <c r="S366" s="66"/>
    </row>
    <row r="367" spans="9:19" ht="12.75" x14ac:dyDescent="0.2">
      <c r="I367" s="65"/>
      <c r="J367" s="65"/>
      <c r="R367" s="66"/>
      <c r="S367" s="66"/>
    </row>
    <row r="368" spans="9:19" ht="12.75" x14ac:dyDescent="0.2">
      <c r="I368" s="65"/>
      <c r="J368" s="65"/>
      <c r="R368" s="66"/>
      <c r="S368" s="66"/>
    </row>
    <row r="369" spans="9:19" ht="12.75" x14ac:dyDescent="0.2">
      <c r="I369" s="65"/>
      <c r="J369" s="65"/>
      <c r="R369" s="66"/>
      <c r="S369" s="66"/>
    </row>
    <row r="370" spans="9:19" ht="12.75" x14ac:dyDescent="0.2">
      <c r="I370" s="65"/>
      <c r="J370" s="65"/>
      <c r="R370" s="66"/>
      <c r="S370" s="66"/>
    </row>
    <row r="371" spans="9:19" ht="12.75" x14ac:dyDescent="0.2">
      <c r="I371" s="65"/>
      <c r="J371" s="65"/>
      <c r="R371" s="66"/>
      <c r="S371" s="66"/>
    </row>
    <row r="372" spans="9:19" ht="12.75" x14ac:dyDescent="0.2">
      <c r="I372" s="65"/>
      <c r="J372" s="65"/>
      <c r="R372" s="66"/>
      <c r="S372" s="66"/>
    </row>
    <row r="373" spans="9:19" ht="12.75" x14ac:dyDescent="0.2">
      <c r="I373" s="65"/>
      <c r="J373" s="65"/>
      <c r="R373" s="66"/>
      <c r="S373" s="66"/>
    </row>
    <row r="374" spans="9:19" ht="12.75" x14ac:dyDescent="0.2">
      <c r="I374" s="65"/>
      <c r="J374" s="65"/>
      <c r="R374" s="66"/>
      <c r="S374" s="66"/>
    </row>
    <row r="375" spans="9:19" ht="12.75" x14ac:dyDescent="0.2">
      <c r="I375" s="65"/>
      <c r="J375" s="65"/>
      <c r="R375" s="66"/>
      <c r="S375" s="66"/>
    </row>
    <row r="376" spans="9:19" ht="12.75" x14ac:dyDescent="0.2">
      <c r="I376" s="65"/>
      <c r="J376" s="65"/>
      <c r="R376" s="66"/>
      <c r="S376" s="66"/>
    </row>
    <row r="377" spans="9:19" ht="12.75" x14ac:dyDescent="0.2">
      <c r="I377" s="65"/>
      <c r="J377" s="65"/>
      <c r="R377" s="66"/>
      <c r="S377" s="66"/>
    </row>
    <row r="378" spans="9:19" ht="12.75" x14ac:dyDescent="0.2">
      <c r="I378" s="65"/>
      <c r="J378" s="65"/>
      <c r="R378" s="66"/>
      <c r="S378" s="66"/>
    </row>
    <row r="379" spans="9:19" ht="12.75" x14ac:dyDescent="0.2">
      <c r="I379" s="65"/>
      <c r="J379" s="65"/>
      <c r="R379" s="66"/>
      <c r="S379" s="66"/>
    </row>
    <row r="380" spans="9:19" ht="12.75" x14ac:dyDescent="0.2">
      <c r="I380" s="65"/>
      <c r="J380" s="65"/>
      <c r="R380" s="66"/>
      <c r="S380" s="66"/>
    </row>
    <row r="381" spans="9:19" ht="12.75" x14ac:dyDescent="0.2">
      <c r="I381" s="65"/>
      <c r="J381" s="65"/>
      <c r="R381" s="66"/>
      <c r="S381" s="66"/>
    </row>
    <row r="382" spans="9:19" ht="12.75" x14ac:dyDescent="0.2">
      <c r="I382" s="65"/>
      <c r="J382" s="65"/>
      <c r="R382" s="66"/>
      <c r="S382" s="66"/>
    </row>
    <row r="383" spans="9:19" ht="12.75" x14ac:dyDescent="0.2">
      <c r="I383" s="65"/>
      <c r="J383" s="65"/>
      <c r="R383" s="66"/>
      <c r="S383" s="66"/>
    </row>
    <row r="384" spans="9:19" ht="12.75" x14ac:dyDescent="0.2">
      <c r="I384" s="65"/>
      <c r="J384" s="65"/>
      <c r="R384" s="66"/>
      <c r="S384" s="66"/>
    </row>
    <row r="385" spans="9:19" ht="12.75" x14ac:dyDescent="0.2">
      <c r="I385" s="65"/>
      <c r="J385" s="65"/>
      <c r="R385" s="66"/>
      <c r="S385" s="66"/>
    </row>
    <row r="386" spans="9:19" ht="12.75" x14ac:dyDescent="0.2">
      <c r="I386" s="65"/>
      <c r="J386" s="65"/>
      <c r="R386" s="66"/>
      <c r="S386" s="66"/>
    </row>
    <row r="387" spans="9:19" ht="12.75" x14ac:dyDescent="0.2">
      <c r="I387" s="65"/>
      <c r="J387" s="65"/>
      <c r="R387" s="66"/>
      <c r="S387" s="66"/>
    </row>
    <row r="388" spans="9:19" ht="12.75" x14ac:dyDescent="0.2">
      <c r="I388" s="65"/>
      <c r="J388" s="65"/>
      <c r="R388" s="66"/>
      <c r="S388" s="66"/>
    </row>
    <row r="389" spans="9:19" ht="12.75" x14ac:dyDescent="0.2">
      <c r="I389" s="65"/>
      <c r="J389" s="65"/>
      <c r="R389" s="66"/>
      <c r="S389" s="66"/>
    </row>
    <row r="390" spans="9:19" ht="12.75" x14ac:dyDescent="0.2">
      <c r="I390" s="65"/>
      <c r="J390" s="65"/>
      <c r="R390" s="66"/>
      <c r="S390" s="66"/>
    </row>
    <row r="391" spans="9:19" ht="12.75" x14ac:dyDescent="0.2">
      <c r="I391" s="65"/>
      <c r="J391" s="65"/>
      <c r="R391" s="66"/>
      <c r="S391" s="66"/>
    </row>
    <row r="392" spans="9:19" ht="12.75" x14ac:dyDescent="0.2">
      <c r="I392" s="65"/>
      <c r="J392" s="65"/>
      <c r="R392" s="66"/>
      <c r="S392" s="66"/>
    </row>
    <row r="393" spans="9:19" ht="12.75" x14ac:dyDescent="0.2">
      <c r="I393" s="65"/>
      <c r="J393" s="65"/>
      <c r="R393" s="66"/>
      <c r="S393" s="66"/>
    </row>
    <row r="394" spans="9:19" ht="12.75" x14ac:dyDescent="0.2">
      <c r="I394" s="65"/>
      <c r="J394" s="65"/>
      <c r="R394" s="66"/>
      <c r="S394" s="66"/>
    </row>
    <row r="395" spans="9:19" ht="12.75" x14ac:dyDescent="0.2">
      <c r="I395" s="65"/>
      <c r="J395" s="65"/>
      <c r="R395" s="66"/>
      <c r="S395" s="66"/>
    </row>
    <row r="396" spans="9:19" ht="12.75" x14ac:dyDescent="0.2">
      <c r="I396" s="65"/>
      <c r="J396" s="65"/>
      <c r="R396" s="66"/>
      <c r="S396" s="66"/>
    </row>
    <row r="397" spans="9:19" ht="12.75" x14ac:dyDescent="0.2">
      <c r="I397" s="65"/>
      <c r="J397" s="65"/>
      <c r="R397" s="66"/>
      <c r="S397" s="66"/>
    </row>
  </sheetData>
  <mergeCells count="1">
    <mergeCell ref="A5:G5"/>
  </mergeCells>
  <conditionalFormatting sqref="B7:B297">
    <cfRule type="expression" dxfId="2" priority="1">
      <formula>COUNTIF(B:B,B6)&gt;1</formula>
    </cfRule>
  </conditionalFormatting>
  <dataValidations count="1">
    <dataValidation type="list" allowBlank="1" sqref="H7:H297" xr:uid="{00000000-0002-0000-0000-000001000000}">
      <formula1>"ĐÃ NỘP,CHƯA NỘP"</formula1>
    </dataValidation>
  </dataValidations>
  <pageMargins left="0.7" right="0.7" top="0.75" bottom="0.75" header="0.3" footer="0.3"/>
  <pageSetup paperSize="9" orientation="portrait" verticalDpi="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E343"/>
  <sheetViews>
    <sheetView workbookViewId="0">
      <selection activeCell="K20" sqref="K20"/>
    </sheetView>
  </sheetViews>
  <sheetFormatPr defaultColWidth="12.5703125" defaultRowHeight="15.75" customHeight="1" x14ac:dyDescent="0.2"/>
  <cols>
    <col min="1" max="1" width="20" customWidth="1"/>
  </cols>
  <sheetData>
    <row r="1" spans="1:31" x14ac:dyDescent="0.2">
      <c r="A1" s="1" t="str">
        <f ca="1">IFERROR(__xludf.DUMMYFUNCTION("IMPORTRANGE(""https://docs.google.com/spreadsheets/d/1gy0OtAbsLVxVPj4cbXECZGwjdFVUDNAQ3Tej8bA6hhs/edit?gid=1891726666#gid=189172666"",""danh sách đăng ký!A:AE"")"),"Timestamp")</f>
        <v>Timestamp</v>
      </c>
      <c r="B1" s="1"/>
      <c r="C1" s="1" t="str">
        <f ca="1">IFERROR(__xludf.DUMMYFUNCTION("""COMPUTED_VALUE"""),"Mã số sinh viên (đầy đủ)")</f>
        <v>Mã số sinh viên (đầy đủ)</v>
      </c>
      <c r="D1" s="1" t="str">
        <f ca="1">IFERROR(__xludf.DUMMYFUNCTION("""COMPUTED_VALUE"""),"Họ và tên")</f>
        <v>Họ và tên</v>
      </c>
      <c r="E1" s="1"/>
      <c r="F1" s="1" t="str">
        <f ca="1">IFERROR(__xludf.DUMMYFUNCTION("""COMPUTED_VALUE"""),"Lớp (ví dụ: K23DLK 1)")</f>
        <v>Lớp (ví dụ: K23DLK 1)</v>
      </c>
      <c r="G1" s="1" t="str">
        <f ca="1">IFERROR(__xludf.DUMMYFUNCTION("""COMPUTED_VALUE"""),"Chuyên ngành")</f>
        <v>Chuyên ngành</v>
      </c>
      <c r="H1" s="1" t="str">
        <f ca="1">IFERROR(__xludf.DUMMYFUNCTION("""COMPUTED_VALUE"""),"Khóa (ví dụ: K23)")</f>
        <v>Khóa (ví dụ: K23)</v>
      </c>
      <c r="I1" s="1"/>
      <c r="J1" s="1" t="str">
        <f ca="1">IFERROR(__xludf.DUMMYFUNCTION("""COMPUTED_VALUE"""),"Tham gia làm bài tốt nghiệp")</f>
        <v>Tham gia làm bài tốt nghiệp</v>
      </c>
      <c r="K1" s="1" t="str">
        <f ca="1">IFERROR(__xludf.DUMMYFUNCTION("""COMPUTED_VALUE"""),"Tên đơn vị thực tập (sinh viên đã được doanh nghiệp xác nhận nhận vào thực tập)")</f>
        <v>Tên đơn vị thực tập (sinh viên đã được doanh nghiệp xác nhận nhận vào thực tập)</v>
      </c>
      <c r="L1" s="1" t="str">
        <f ca="1">IFERROR(__xludf.DUMMYFUNCTION("""COMPUTED_VALUE"""),"Nếu sinh viên thực tập tại đơn vị khác, không có ở danh mục trên, nhập chính xác tên khách sạn tại đây")</f>
        <v>Nếu sinh viên thực tập tại đơn vị khác, không có ở danh mục trên, nhập chính xác tên khách sạn tại đây</v>
      </c>
      <c r="M1" s="1" t="str">
        <f ca="1">IFERROR(__xludf.DUMMYFUNCTION("""COMPUTED_VALUE"""),"Địa chỉ đơn vị thực tập")</f>
        <v>Địa chỉ đơn vị thực tập</v>
      </c>
      <c r="N1" s="1" t="str">
        <f ca="1">IFERROR(__xludf.DUMMYFUNCTION("""COMPUTED_VALUE"""),"Thành phố nơi thực tập")</f>
        <v>Thành phố nơi thực tập</v>
      </c>
      <c r="O1" s="1" t="str">
        <f ca="1">IFERROR(__xludf.DUMMYFUNCTION("""COMPUTED_VALUE"""),"Bộ phận thực tập")</f>
        <v>Bộ phận thực tập</v>
      </c>
      <c r="P1" s="1" t="str">
        <f ca="1">IFERROR(__xludf.DUMMYFUNCTION("""COMPUTED_VALUE"""),"Nếu sinh viên thực tập tại bộ phận khác, không có tại danh mục trên, nhập tên bộ phận thực tập tại đây")</f>
        <v>Nếu sinh viên thực tập tại bộ phận khác, không có tại danh mục trên, nhập tên bộ phận thực tập tại đây</v>
      </c>
      <c r="Q1" s="1" t="str">
        <f ca="1">IFERROR(__xludf.DUMMYFUNCTION("""COMPUTED_VALUE"""),"Ngày sinh viên nộp phiếu tiếp nhận sinh viên thực tập về Khoa")</f>
        <v>Ngày sinh viên nộp phiếu tiếp nhận sinh viên thực tập về Khoa</v>
      </c>
      <c r="R1" s="1" t="str">
        <f ca="1">IFERROR(__xludf.DUMMYFUNCTION("""COMPUTED_VALUE"""),"Em cam kết thông tin đã kê khai là hoàn toàn chính xác")</f>
        <v>Em cam kết thông tin đã kê khai là hoàn toàn chính xác</v>
      </c>
      <c r="S1" s="1" t="str">
        <f ca="1">IFERROR(__xludf.DUMMYFUNCTION("""COMPUTED_VALUE"""),"Tham gia làm bài tốt nghiệp")</f>
        <v>Tham gia làm bài tốt nghiệp</v>
      </c>
      <c r="T1" s="1" t="str">
        <f ca="1">IFERROR(__xludf.DUMMYFUNCTION("""COMPUTED_VALUE"""),"Nếu sinh viên làm Khóa luận TN, SV mong muốn được giảng viên nào hướng dẫn (SV nên liên lạc GV trước khi đăng ký)")</f>
        <v>Nếu sinh viên làm Khóa luận TN, SV mong muốn được giảng viên nào hướng dẫn (SV nên liên lạc GV trước khi đăng ký)</v>
      </c>
      <c r="U1" s="1" t="str">
        <f ca="1">IFERROR(__xludf.DUMMYFUNCTION("""COMPUTED_VALUE"""),"Ngày bắt đầu thực tập")</f>
        <v>Ngày bắt đầu thực tập</v>
      </c>
      <c r="V1" s="1" t="str">
        <f ca="1">IFERROR(__xludf.DUMMYFUNCTION("""COMPUTED_VALUE"""),"Ngày kết thúc thực tập")</f>
        <v>Ngày kết thúc thực tập</v>
      </c>
      <c r="W1" s="1" t="str">
        <f ca="1">IFERROR(__xludf.DUMMYFUNCTION("""COMPUTED_VALUE"""),"Mã phiếu tiếp nhận sv thực tập")</f>
        <v>Mã phiếu tiếp nhận sv thực tập</v>
      </c>
      <c r="X1" s="1" t="str">
        <f ca="1">IFERROR(__xludf.DUMMYFUNCTION("""COMPUTED_VALUE"""),"Ngày Khoa nhận phiếu tiếp nhận sinh viên thực tập")</f>
        <v>Ngày Khoa nhận phiếu tiếp nhận sinh viên thực tập</v>
      </c>
      <c r="Y1" s="1" t="str">
        <f ca="1">IFERROR(__xludf.DUMMYFUNCTION("""COMPUTED_VALUE"""),"Kết quả xét duyệt đơn vị thực tập")</f>
        <v>Kết quả xét duyệt đơn vị thực tập</v>
      </c>
      <c r="Z1" s="5" t="str">
        <f ca="1">IFERROR(__xludf.DUMMYFUNCTION("""COMPUTED_VALUE"""),"Ngày duyệt đơn vị thực tập")</f>
        <v>Ngày duyệt đơn vị thực tập</v>
      </c>
      <c r="AA1" s="5" t="str">
        <f ca="1">IFERROR(__xludf.DUMMYFUNCTION("""COMPUTED_VALUE"""),"DN khoa đã duyệt")</f>
        <v>DN khoa đã duyệt</v>
      </c>
      <c r="AB1" s="5" t="str">
        <f ca="1">IFERROR(__xludf.DUMMYFUNCTION("""COMPUTED_VALUE"""),"Bộ phận TT khoa đã duyệt")</f>
        <v>Bộ phận TT khoa đã duyệt</v>
      </c>
      <c r="AC1" s="1" t="str">
        <f ca="1">IFERROR(__xludf.DUMMYFUNCTION("""COMPUTED_VALUE"""),"Đơn xin tham dự tốt nghiệp")</f>
        <v>Đơn xin tham dự tốt nghiệp</v>
      </c>
      <c r="AD1" s="1" t="str">
        <f ca="1">IFERROR(__xludf.DUMMYFUNCTION("""COMPUTED_VALUE"""),"Ghi chú")</f>
        <v>Ghi chú</v>
      </c>
      <c r="AE1" s="1" t="str">
        <f ca="1">IFERROR(__xludf.DUMMYFUNCTION("""COMPUTED_VALUE"""),"Column 1")</f>
        <v>Column 1</v>
      </c>
    </row>
    <row r="2" spans="1:31" x14ac:dyDescent="0.2">
      <c r="A2" s="6">
        <f ca="1">IFERROR(__xludf.DUMMYFUNCTION("""COMPUTED_VALUE"""),45664.6439478935)</f>
        <v>45664.643947893499</v>
      </c>
      <c r="B2" s="1"/>
      <c r="C2" s="1">
        <f ca="1">IFERROR(__xludf.DUMMYFUNCTION("""COMPUTED_VALUE"""),25207203811)</f>
        <v>25207203811</v>
      </c>
      <c r="D2" s="1" t="str">
        <f ca="1">IFERROR(__xludf.DUMMYFUNCTION("""COMPUTED_VALUE"""),"NGUYỄN THỊ KIỀU TRINH")</f>
        <v>NGUYỄN THỊ KIỀU TRINH</v>
      </c>
      <c r="E2" s="4"/>
      <c r="F2" s="1" t="str">
        <f ca="1">IFERROR(__xludf.DUMMYFUNCTION("""COMPUTED_VALUE"""),"K26PSUDLK3")</f>
        <v>K26PSUDLK3</v>
      </c>
      <c r="G2" s="1" t="str">
        <f ca="1">IFERROR(__xludf.DUMMYFUNCTION("""COMPUTED_VALUE"""),"Quản trị Du lịch &amp; Khách sạn chuẩn PSU")</f>
        <v>Quản trị Du lịch &amp; Khách sạn chuẩn PSU</v>
      </c>
      <c r="H2" s="1">
        <f ca="1">IFERROR(__xludf.DUMMYFUNCTION("""COMPUTED_VALUE"""),26)</f>
        <v>26</v>
      </c>
      <c r="I2" s="1"/>
      <c r="J2" s="1" t="str">
        <f ca="1">IFERROR(__xludf.DUMMYFUNCTION("""COMPUTED_VALUE"""),"Chuyên đề")</f>
        <v>Chuyên đề</v>
      </c>
      <c r="K2" s="1" t="str">
        <f ca="1">IFERROR(__xludf.DUMMYFUNCTION("""COMPUTED_VALUE"""),"Melia ChiangMai ThaiLand")</f>
        <v>Melia ChiangMai ThaiLand</v>
      </c>
      <c r="L2" s="1" t="str">
        <f ca="1">IFERROR(__xludf.DUMMYFUNCTION("""COMPUTED_VALUE"""),"Melia ChiangMai ThaiLand")</f>
        <v>Melia ChiangMai ThaiLand</v>
      </c>
      <c r="M2" s="1" t="str">
        <f ca="1">IFERROR(__xludf.DUMMYFUNCTION("""COMPUTED_VALUE"""),"46, 48 Charoenprathet Road Chang Khlan, Thailand")</f>
        <v>46, 48 Charoenprathet Road Chang Khlan, Thailand</v>
      </c>
      <c r="N2" s="1" t="str">
        <f ca="1">IFERROR(__xludf.DUMMYFUNCTION("""COMPUTED_VALUE"""),"ChiangMai")</f>
        <v>ChiangMai</v>
      </c>
      <c r="O2" s="1" t="str">
        <f ca="1">IFERROR(__xludf.DUMMYFUNCTION("""COMPUTED_VALUE"""),"F&amp;B coordinator")</f>
        <v>F&amp;B coordinator</v>
      </c>
      <c r="P2" s="1" t="str">
        <f ca="1">IFERROR(__xludf.DUMMYFUNCTION("""COMPUTED_VALUE"""),"F&amp;B coordinator")</f>
        <v>F&amp;B coordinator</v>
      </c>
      <c r="Q2" s="1" t="str">
        <f ca="1">IFERROR(__xludf.DUMMYFUNCTION("""COMPUTED_VALUE"""),"06/01/2025")</f>
        <v>06/01/2025</v>
      </c>
      <c r="R2" s="1" t="str">
        <f ca="1">IFERROR(__xludf.DUMMYFUNCTION("""COMPUTED_VALUE"""),"cam kết")</f>
        <v>cam kết</v>
      </c>
      <c r="S2" s="1" t="str">
        <f ca="1">IFERROR(__xludf.DUMMYFUNCTION("""COMPUTED_VALUE"""),"Chuyên đề")</f>
        <v>Chuyên đề</v>
      </c>
      <c r="T2" s="1"/>
      <c r="U2" s="1"/>
      <c r="V2" s="1"/>
      <c r="W2" s="1">
        <f ca="1">IFERROR(__xludf.DUMMYFUNCTION("""COMPUTED_VALUE"""),1)</f>
        <v>1</v>
      </c>
      <c r="X2" s="3">
        <f ca="1">IFERROR(__xludf.DUMMYFUNCTION("""COMPUTED_VALUE"""),45870)</f>
        <v>45870</v>
      </c>
      <c r="Y2" s="1" t="str">
        <f ca="1">IFERROR(__xludf.DUMMYFUNCTION("""COMPUTED_VALUE"""),"DUYỆT")</f>
        <v>DUYỆT</v>
      </c>
      <c r="Z2" s="3">
        <f ca="1">IFERROR(__xludf.DUMMYFUNCTION("""COMPUTED_VALUE"""),45870)</f>
        <v>45870</v>
      </c>
      <c r="AA2" s="1" t="str">
        <f ca="1">IFERROR(__xludf.DUMMYFUNCTION("""COMPUTED_VALUE"""),"Melia ChiangMai ThaiLand")</f>
        <v>Melia ChiangMai ThaiLand</v>
      </c>
      <c r="AB2" s="1" t="str">
        <f ca="1">IFERROR(__xludf.DUMMYFUNCTION("""COMPUTED_VALUE"""),"F&amp;B coordinator")</f>
        <v>F&amp;B coordinator</v>
      </c>
      <c r="AC2" s="1" t="str">
        <f ca="1">IFERROR(__xludf.DUMMYFUNCTION("""COMPUTED_VALUE"""),"ĐÃ NỘP")</f>
        <v>ĐÃ NỘP</v>
      </c>
      <c r="AD2" s="1" t="str">
        <f ca="1">IFERROR(__xludf.DUMMYFUNCTION("""COMPUTED_VALUE"""),"Trưởng khoa đã duyệt đơn")</f>
        <v>Trưởng khoa đã duyệt đơn</v>
      </c>
      <c r="AE2" s="1" t="str">
        <f ca="1">IFERROR(__xludf.DUMMYFUNCTION("""COMPUTED_VALUE"""),"")</f>
        <v/>
      </c>
    </row>
    <row r="3" spans="1:31" x14ac:dyDescent="0.2">
      <c r="A3" s="6">
        <f ca="1">IFERROR(__xludf.DUMMYFUNCTION("""COMPUTED_VALUE"""),45665.3993351504)</f>
        <v>45665.399335150403</v>
      </c>
      <c r="B3" s="1"/>
      <c r="C3" s="1">
        <f ca="1">IFERROR(__xludf.DUMMYFUNCTION("""COMPUTED_VALUE"""),25217103085)</f>
        <v>25217103085</v>
      </c>
      <c r="D3" s="1" t="str">
        <f ca="1">IFERROR(__xludf.DUMMYFUNCTION("""COMPUTED_VALUE"""),"Nguyễn Võ Văn Tâm")</f>
        <v>Nguyễn Võ Văn Tâm</v>
      </c>
      <c r="E3" s="4"/>
      <c r="F3" s="1" t="str">
        <f ca="1">IFERROR(__xludf.DUMMYFUNCTION("""COMPUTED_VALUE"""),"K25PSUDLK1")</f>
        <v>K25PSUDLK1</v>
      </c>
      <c r="G3" s="1" t="str">
        <f ca="1">IFERROR(__xludf.DUMMYFUNCTION("""COMPUTED_VALUE"""),"Quản trị Du lịch &amp; Khách sạn chuẩn PSU")</f>
        <v>Quản trị Du lịch &amp; Khách sạn chuẩn PSU</v>
      </c>
      <c r="H3" s="1">
        <f ca="1">IFERROR(__xludf.DUMMYFUNCTION("""COMPUTED_VALUE"""),25)</f>
        <v>25</v>
      </c>
      <c r="I3" s="1"/>
      <c r="J3" s="1" t="str">
        <f ca="1">IFERROR(__xludf.DUMMYFUNCTION("""COMPUTED_VALUE"""),"Chuyên đề")</f>
        <v>Chuyên đề</v>
      </c>
      <c r="K3" s="1" t="str">
        <f ca="1">IFERROR(__xludf.DUMMYFUNCTION("""COMPUTED_VALUE"""),"Da Nang Mikazuki Japanese Resorts &amp; Spa")</f>
        <v>Da Nang Mikazuki Japanese Resorts &amp; Spa</v>
      </c>
      <c r="L3" s="1"/>
      <c r="M3" s="1" t="str">
        <f ca="1">IFERROR(__xludf.DUMMYFUNCTION("""COMPUTED_VALUE"""),"Khu du lịch Xuân Thiều, Đ. Nguyễn Tất Thành, P. Hòa Hiệp Nam, Q. Liên Chiểu, TP Đà Nẵng")</f>
        <v>Khu du lịch Xuân Thiều, Đ. Nguyễn Tất Thành, P. Hòa Hiệp Nam, Q. Liên Chiểu, TP Đà Nẵng</v>
      </c>
      <c r="N3" s="1" t="str">
        <f ca="1">IFERROR(__xludf.DUMMYFUNCTION("""COMPUTED_VALUE"""),"Tp. Đà Nẵng")</f>
        <v>Tp. Đà Nẵng</v>
      </c>
      <c r="O3" s="1" t="str">
        <f ca="1">IFERROR(__xludf.DUMMYFUNCTION("""COMPUTED_VALUE"""),"Nhà hàng")</f>
        <v>Nhà hàng</v>
      </c>
      <c r="P3" s="1"/>
      <c r="Q3" s="1" t="str">
        <f ca="1">IFERROR(__xludf.DUMMYFUNCTION("""COMPUTED_VALUE"""),"03/01/2025")</f>
        <v>03/01/2025</v>
      </c>
      <c r="R3" s="1" t="str">
        <f ca="1">IFERROR(__xludf.DUMMYFUNCTION("""COMPUTED_VALUE"""),"cam kết")</f>
        <v>cam kết</v>
      </c>
      <c r="S3" s="1" t="str">
        <f ca="1">IFERROR(__xludf.DUMMYFUNCTION("""COMPUTED_VALUE"""),"Chuyên đề")</f>
        <v>Chuyên đề</v>
      </c>
      <c r="T3" s="1" t="str">
        <f ca="1">IFERROR(__xludf.DUMMYFUNCTION("""COMPUTED_VALUE"""),"Hồ Sử Minh Tài")</f>
        <v>Hồ Sử Minh Tài</v>
      </c>
      <c r="U3" s="1"/>
      <c r="V3" s="1"/>
      <c r="W3" s="1">
        <f ca="1">IFERROR(__xludf.DUMMYFUNCTION("""COMPUTED_VALUE"""),2)</f>
        <v>2</v>
      </c>
      <c r="X3" s="3">
        <f ca="1">IFERROR(__xludf.DUMMYFUNCTION("""COMPUTED_VALUE"""),45870)</f>
        <v>45870</v>
      </c>
      <c r="Y3" s="1" t="str">
        <f ca="1">IFERROR(__xludf.DUMMYFUNCTION("""COMPUTED_VALUE"""),"DUYỆT")</f>
        <v>DUYỆT</v>
      </c>
      <c r="Z3" s="3">
        <f ca="1">IFERROR(__xludf.DUMMYFUNCTION("""COMPUTED_VALUE"""),45870)</f>
        <v>45870</v>
      </c>
      <c r="AA3" s="1" t="str">
        <f ca="1">IFERROR(__xludf.DUMMYFUNCTION("""COMPUTED_VALUE"""),"Da Nang Mikazuki Japanese Resorts &amp; Spa")</f>
        <v>Da Nang Mikazuki Japanese Resorts &amp; Spa</v>
      </c>
      <c r="AB3" s="1" t="str">
        <f ca="1">IFERROR(__xludf.DUMMYFUNCTION("""COMPUTED_VALUE"""),"Nhà hàng")</f>
        <v>Nhà hàng</v>
      </c>
      <c r="AC3" s="1" t="str">
        <f ca="1">IFERROR(__xludf.DUMMYFUNCTION("""COMPUTED_VALUE"""),"ĐÃ NỘP")</f>
        <v>ĐÃ NỘP</v>
      </c>
      <c r="AD3" s="1" t="str">
        <f ca="1">IFERROR(__xludf.DUMMYFUNCTION("""COMPUTED_VALUE"""),"Trưởng khoa đã duyệt đơn")</f>
        <v>Trưởng khoa đã duyệt đơn</v>
      </c>
      <c r="AE3" s="1" t="str">
        <f ca="1">IFERROR(__xludf.DUMMYFUNCTION("""COMPUTED_VALUE"""),"")</f>
        <v/>
      </c>
    </row>
    <row r="4" spans="1:31" x14ac:dyDescent="0.2">
      <c r="A4" s="6">
        <f ca="1">IFERROR(__xludf.DUMMYFUNCTION("""COMPUTED_VALUE"""),45665.4038129282)</f>
        <v>45665.403812928198</v>
      </c>
      <c r="B4" s="1"/>
      <c r="C4" s="1">
        <f ca="1">IFERROR(__xludf.DUMMYFUNCTION("""COMPUTED_VALUE"""),26217135177)</f>
        <v>26217135177</v>
      </c>
      <c r="D4" s="1" t="str">
        <f ca="1">IFERROR(__xludf.DUMMYFUNCTION("""COMPUTED_VALUE"""),"Nguyễn Ngọc Nhân")</f>
        <v>Nguyễn Ngọc Nhân</v>
      </c>
      <c r="E4" s="4"/>
      <c r="F4" s="1" t="str">
        <f ca="1">IFERROR(__xludf.DUMMYFUNCTION("""COMPUTED_VALUE"""),"K26DLK16")</f>
        <v>K26DLK16</v>
      </c>
      <c r="G4" s="1" t="str">
        <f ca="1">IFERROR(__xludf.DUMMYFUNCTION("""COMPUTED_VALUE"""),"Quản trị Du lịch &amp; Khách sạn")</f>
        <v>Quản trị Du lịch &amp; Khách sạn</v>
      </c>
      <c r="H4" s="1">
        <f ca="1">IFERROR(__xludf.DUMMYFUNCTION("""COMPUTED_VALUE"""),26)</f>
        <v>26</v>
      </c>
      <c r="I4" s="1"/>
      <c r="J4" s="1" t="str">
        <f ca="1">IFERROR(__xludf.DUMMYFUNCTION("""COMPUTED_VALUE"""),"Chuyên đề")</f>
        <v>Chuyên đề</v>
      </c>
      <c r="K4" s="1" t="str">
        <f ca="1">IFERROR(__xludf.DUMMYFUNCTION("""COMPUTED_VALUE"""),"Le Sands Oceanfront Da Nang Hotel")</f>
        <v>Le Sands Oceanfront Da Nang Hotel</v>
      </c>
      <c r="L4" s="1" t="str">
        <f ca="1">IFERROR(__xludf.DUMMYFUNCTION("""COMPUTED_VALUE"""),"Không có")</f>
        <v>Không có</v>
      </c>
      <c r="M4" s="1" t="str">
        <f ca="1">IFERROR(__xludf.DUMMYFUNCTION("""COMPUTED_VALUE"""),"28 Võ Nguyên Giáp, Mân Thái, Sơn Trà, Đà Nẵng")</f>
        <v>28 Võ Nguyên Giáp, Mân Thái, Sơn Trà, Đà Nẵng</v>
      </c>
      <c r="N4" s="1" t="str">
        <f ca="1">IFERROR(__xludf.DUMMYFUNCTION("""COMPUTED_VALUE"""),"Đà Nẵng")</f>
        <v>Đà Nẵng</v>
      </c>
      <c r="O4" s="1" t="str">
        <f ca="1">IFERROR(__xludf.DUMMYFUNCTION("""COMPUTED_VALUE"""),"Nhà hàng")</f>
        <v>Nhà hàng</v>
      </c>
      <c r="P4" s="1" t="str">
        <f ca="1">IFERROR(__xludf.DUMMYFUNCTION("""COMPUTED_VALUE"""),"Không có")</f>
        <v>Không có</v>
      </c>
      <c r="Q4" s="1" t="str">
        <f ca="1">IFERROR(__xludf.DUMMYFUNCTION("""COMPUTED_VALUE"""),"8/1/2025")</f>
        <v>8/1/2025</v>
      </c>
      <c r="R4" s="1" t="str">
        <f ca="1">IFERROR(__xludf.DUMMYFUNCTION("""COMPUTED_VALUE"""),"cam kết")</f>
        <v>cam kết</v>
      </c>
      <c r="S4" s="1" t="str">
        <f ca="1">IFERROR(__xludf.DUMMYFUNCTION("""COMPUTED_VALUE"""),"Chuyên đề")</f>
        <v>Chuyên đề</v>
      </c>
      <c r="T4" s="1" t="str">
        <f ca="1">IFERROR(__xludf.DUMMYFUNCTION("""COMPUTED_VALUE"""),"Phạm Thị Thu Thủy")</f>
        <v>Phạm Thị Thu Thủy</v>
      </c>
      <c r="U4" s="1"/>
      <c r="V4" s="1"/>
      <c r="W4" s="1">
        <f ca="1">IFERROR(__xludf.DUMMYFUNCTION("""COMPUTED_VALUE"""),3)</f>
        <v>3</v>
      </c>
      <c r="X4" s="3">
        <f ca="1">IFERROR(__xludf.DUMMYFUNCTION("""COMPUTED_VALUE"""),45870)</f>
        <v>45870</v>
      </c>
      <c r="Y4" s="1" t="str">
        <f ca="1">IFERROR(__xludf.DUMMYFUNCTION("""COMPUTED_VALUE"""),"DUYỆT")</f>
        <v>DUYỆT</v>
      </c>
      <c r="Z4" s="3">
        <f ca="1">IFERROR(__xludf.DUMMYFUNCTION("""COMPUTED_VALUE"""),45870)</f>
        <v>45870</v>
      </c>
      <c r="AA4" s="1" t="str">
        <f ca="1">IFERROR(__xludf.DUMMYFUNCTION("""COMPUTED_VALUE"""),"Le Sands Oceanfront Da Nang Hotel")</f>
        <v>Le Sands Oceanfront Da Nang Hotel</v>
      </c>
      <c r="AB4" s="1" t="str">
        <f ca="1">IFERROR(__xludf.DUMMYFUNCTION("""COMPUTED_VALUE"""),"Nhà hàng")</f>
        <v>Nhà hàng</v>
      </c>
      <c r="AC4" s="1" t="str">
        <f ca="1">IFERROR(__xludf.DUMMYFUNCTION("""COMPUTED_VALUE"""),"ĐÃ NỘP")</f>
        <v>ĐÃ NỘP</v>
      </c>
      <c r="AD4" s="1" t="str">
        <f ca="1">IFERROR(__xludf.DUMMYFUNCTION("""COMPUTED_VALUE"""),"Trưởng khoa đã duyệt đơn")</f>
        <v>Trưởng khoa đã duyệt đơn</v>
      </c>
      <c r="AE4" s="1" t="str">
        <f ca="1">IFERROR(__xludf.DUMMYFUNCTION("""COMPUTED_VALUE"""),"")</f>
        <v/>
      </c>
    </row>
    <row r="5" spans="1:31" x14ac:dyDescent="0.2">
      <c r="A5" s="6">
        <f ca="1">IFERROR(__xludf.DUMMYFUNCTION("""COMPUTED_VALUE"""),45665.4042152893)</f>
        <v>45665.404215289302</v>
      </c>
      <c r="B5" s="1"/>
      <c r="C5" s="1">
        <f ca="1">IFERROR(__xludf.DUMMYFUNCTION("""COMPUTED_VALUE"""),26217236080)</f>
        <v>26217236080</v>
      </c>
      <c r="D5" s="1" t="str">
        <f ca="1">IFERROR(__xludf.DUMMYFUNCTION("""COMPUTED_VALUE"""),"Nguyễn Trương Minh Trí")</f>
        <v>Nguyễn Trương Minh Trí</v>
      </c>
      <c r="E5" s="4"/>
      <c r="F5" s="1" t="str">
        <f ca="1">IFERROR(__xludf.DUMMYFUNCTION("""COMPUTED_VALUE"""),"K26DLK16")</f>
        <v>K26DLK16</v>
      </c>
      <c r="G5" s="1" t="str">
        <f ca="1">IFERROR(__xludf.DUMMYFUNCTION("""COMPUTED_VALUE"""),"Quản trị Du lịch &amp; Khách sạn")</f>
        <v>Quản trị Du lịch &amp; Khách sạn</v>
      </c>
      <c r="H5" s="1">
        <f ca="1">IFERROR(__xludf.DUMMYFUNCTION("""COMPUTED_VALUE"""),26)</f>
        <v>26</v>
      </c>
      <c r="I5" s="1"/>
      <c r="J5" s="1" t="str">
        <f ca="1">IFERROR(__xludf.DUMMYFUNCTION("""COMPUTED_VALUE"""),"Chuyên đề")</f>
        <v>Chuyên đề</v>
      </c>
      <c r="K5" s="1" t="str">
        <f ca="1">IFERROR(__xludf.DUMMYFUNCTION("""COMPUTED_VALUE"""),"Le Sands Oceanfront Da Nang Hotel")</f>
        <v>Le Sands Oceanfront Da Nang Hotel</v>
      </c>
      <c r="L5" s="1" t="str">
        <f ca="1">IFERROR(__xludf.DUMMYFUNCTION("""COMPUTED_VALUE"""),"Không có ")</f>
        <v xml:space="preserve">Không có </v>
      </c>
      <c r="M5" s="1" t="str">
        <f ca="1">IFERROR(__xludf.DUMMYFUNCTION("""COMPUTED_VALUE"""),"28 Võ Nguyên Giáp, Mân Thái, Sơn Trà, Đà Nẵng")</f>
        <v>28 Võ Nguyên Giáp, Mân Thái, Sơn Trà, Đà Nẵng</v>
      </c>
      <c r="N5" s="1" t="str">
        <f ca="1">IFERROR(__xludf.DUMMYFUNCTION("""COMPUTED_VALUE"""),"Đà Nẵng")</f>
        <v>Đà Nẵng</v>
      </c>
      <c r="O5" s="1" t="str">
        <f ca="1">IFERROR(__xludf.DUMMYFUNCTION("""COMPUTED_VALUE"""),"Nhà hàng")</f>
        <v>Nhà hàng</v>
      </c>
      <c r="P5" s="1" t="str">
        <f ca="1">IFERROR(__xludf.DUMMYFUNCTION("""COMPUTED_VALUE"""),"Không có ")</f>
        <v xml:space="preserve">Không có </v>
      </c>
      <c r="Q5" s="1" t="str">
        <f ca="1">IFERROR(__xludf.DUMMYFUNCTION("""COMPUTED_VALUE"""),"08/01/2025")</f>
        <v>08/01/2025</v>
      </c>
      <c r="R5" s="1" t="str">
        <f ca="1">IFERROR(__xludf.DUMMYFUNCTION("""COMPUTED_VALUE"""),"cam kết")</f>
        <v>cam kết</v>
      </c>
      <c r="S5" s="1" t="str">
        <f ca="1">IFERROR(__xludf.DUMMYFUNCTION("""COMPUTED_VALUE"""),"Chuyên đề")</f>
        <v>Chuyên đề</v>
      </c>
      <c r="T5" s="1" t="str">
        <f ca="1">IFERROR(__xludf.DUMMYFUNCTION("""COMPUTED_VALUE"""),"Trần Hoàng Anh")</f>
        <v>Trần Hoàng Anh</v>
      </c>
      <c r="U5" s="1"/>
      <c r="V5" s="1"/>
      <c r="W5" s="1">
        <f ca="1">IFERROR(__xludf.DUMMYFUNCTION("""COMPUTED_VALUE"""),4)</f>
        <v>4</v>
      </c>
      <c r="X5" s="3">
        <f ca="1">IFERROR(__xludf.DUMMYFUNCTION("""COMPUTED_VALUE"""),45870)</f>
        <v>45870</v>
      </c>
      <c r="Y5" s="1" t="str">
        <f ca="1">IFERROR(__xludf.DUMMYFUNCTION("""COMPUTED_VALUE"""),"DUYỆT")</f>
        <v>DUYỆT</v>
      </c>
      <c r="Z5" s="3">
        <f ca="1">IFERROR(__xludf.DUMMYFUNCTION("""COMPUTED_VALUE"""),45870)</f>
        <v>45870</v>
      </c>
      <c r="AA5" s="1" t="str">
        <f ca="1">IFERROR(__xludf.DUMMYFUNCTION("""COMPUTED_VALUE"""),"Le Sands Oceanfront Da Nang Hotel")</f>
        <v>Le Sands Oceanfront Da Nang Hotel</v>
      </c>
      <c r="AB5" s="1" t="str">
        <f ca="1">IFERROR(__xludf.DUMMYFUNCTION("""COMPUTED_VALUE"""),"Nhà hàng")</f>
        <v>Nhà hàng</v>
      </c>
      <c r="AC5" s="1" t="str">
        <f ca="1">IFERROR(__xludf.DUMMYFUNCTION("""COMPUTED_VALUE"""),"ĐÃ NỘP")</f>
        <v>ĐÃ NỘP</v>
      </c>
      <c r="AD5" s="1" t="str">
        <f ca="1">IFERROR(__xludf.DUMMYFUNCTION("""COMPUTED_VALUE"""),"Trưởng khoa đã duyệt đơn")</f>
        <v>Trưởng khoa đã duyệt đơn</v>
      </c>
      <c r="AE5" s="1" t="str">
        <f ca="1">IFERROR(__xludf.DUMMYFUNCTION("""COMPUTED_VALUE"""),"")</f>
        <v/>
      </c>
    </row>
    <row r="6" spans="1:31" x14ac:dyDescent="0.2">
      <c r="A6" s="6">
        <f ca="1">IFERROR(__xludf.DUMMYFUNCTION("""COMPUTED_VALUE"""),45665.6123378935)</f>
        <v>45665.612337893501</v>
      </c>
      <c r="B6" s="1"/>
      <c r="C6" s="1">
        <f ca="1">IFERROR(__xludf.DUMMYFUNCTION("""COMPUTED_VALUE"""),27207133206)</f>
        <v>27207133206</v>
      </c>
      <c r="D6" s="1" t="str">
        <f ca="1">IFERROR(__xludf.DUMMYFUNCTION("""COMPUTED_VALUE"""),"Nguyễn Thị Thanh Nhung ")</f>
        <v xml:space="preserve">Nguyễn Thị Thanh Nhung </v>
      </c>
      <c r="E6" s="4"/>
      <c r="F6" s="1" t="str">
        <f ca="1">IFERROR(__xludf.DUMMYFUNCTION("""COMPUTED_VALUE"""),"K27DLK 2")</f>
        <v>K27DLK 2</v>
      </c>
      <c r="G6" s="1" t="str">
        <f ca="1">IFERROR(__xludf.DUMMYFUNCTION("""COMPUTED_VALUE"""),"Quản trị Du lịch &amp; Khách sạn")</f>
        <v>Quản trị Du lịch &amp; Khách sạn</v>
      </c>
      <c r="H6" s="1">
        <f ca="1">IFERROR(__xludf.DUMMYFUNCTION("""COMPUTED_VALUE"""),27)</f>
        <v>27</v>
      </c>
      <c r="I6" s="1"/>
      <c r="J6" s="1" t="str">
        <f ca="1">IFERROR(__xludf.DUMMYFUNCTION("""COMPUTED_VALUE"""),"Chuyên đề")</f>
        <v>Chuyên đề</v>
      </c>
      <c r="K6" s="1" t="str">
        <f ca="1">IFERROR(__xludf.DUMMYFUNCTION("""COMPUTED_VALUE"""),"Novotel DaNang Premier Han River")</f>
        <v>Novotel DaNang Premier Han River</v>
      </c>
      <c r="L6" s="1"/>
      <c r="M6" s="1" t="str">
        <f ca="1">IFERROR(__xludf.DUMMYFUNCTION("""COMPUTED_VALUE"""),"36 Bạch Đằng, Thạch Thang, Hải Châu, Đà Năng")</f>
        <v>36 Bạch Đằng, Thạch Thang, Hải Châu, Đà Năng</v>
      </c>
      <c r="N6" s="1" t="str">
        <f ca="1">IFERROR(__xludf.DUMMYFUNCTION("""COMPUTED_VALUE"""),"Đà Nẵng")</f>
        <v>Đà Nẵng</v>
      </c>
      <c r="O6" s="1" t="str">
        <f ca="1">IFERROR(__xludf.DUMMYFUNCTION("""COMPUTED_VALUE"""),"Nhà hàng")</f>
        <v>Nhà hàng</v>
      </c>
      <c r="P6" s="1"/>
      <c r="Q6" s="1" t="str">
        <f ca="1">IFERROR(__xludf.DUMMYFUNCTION("""COMPUTED_VALUE"""),"7/1/2025")</f>
        <v>7/1/2025</v>
      </c>
      <c r="R6" s="1" t="str">
        <f ca="1">IFERROR(__xludf.DUMMYFUNCTION("""COMPUTED_VALUE"""),"cam kết")</f>
        <v>cam kết</v>
      </c>
      <c r="S6" s="1" t="str">
        <f ca="1">IFERROR(__xludf.DUMMYFUNCTION("""COMPUTED_VALUE"""),"Chuyên đề")</f>
        <v>Chuyên đề</v>
      </c>
      <c r="T6" s="1"/>
      <c r="U6" s="1"/>
      <c r="V6" s="1"/>
      <c r="W6" s="1">
        <f ca="1">IFERROR(__xludf.DUMMYFUNCTION("""COMPUTED_VALUE"""),5)</f>
        <v>5</v>
      </c>
      <c r="X6" s="3">
        <f ca="1">IFERROR(__xludf.DUMMYFUNCTION("""COMPUTED_VALUE"""),45870)</f>
        <v>45870</v>
      </c>
      <c r="Y6" s="1" t="str">
        <f ca="1">IFERROR(__xludf.DUMMYFUNCTION("""COMPUTED_VALUE"""),"DUYỆT")</f>
        <v>DUYỆT</v>
      </c>
      <c r="Z6" s="3">
        <f ca="1">IFERROR(__xludf.DUMMYFUNCTION("""COMPUTED_VALUE"""),45870)</f>
        <v>45870</v>
      </c>
      <c r="AA6" s="1" t="str">
        <f ca="1">IFERROR(__xludf.DUMMYFUNCTION("""COMPUTED_VALUE"""),"Novotel DaNang Premier Han River")</f>
        <v>Novotel DaNang Premier Han River</v>
      </c>
      <c r="AB6" s="1" t="str">
        <f ca="1">IFERROR(__xludf.DUMMYFUNCTION("""COMPUTED_VALUE"""),"Nhà hàng")</f>
        <v>Nhà hàng</v>
      </c>
      <c r="AC6" s="1"/>
      <c r="AD6" s="1"/>
      <c r="AE6" s="1" t="str">
        <f ca="1">IFERROR(__xludf.DUMMYFUNCTION("""COMPUTED_VALUE"""),"")</f>
        <v/>
      </c>
    </row>
    <row r="7" spans="1:31" x14ac:dyDescent="0.2">
      <c r="A7" s="6">
        <f ca="1">IFERROR(__xludf.DUMMYFUNCTION("""COMPUTED_VALUE"""),45665.6140569097)</f>
        <v>45665.614056909697</v>
      </c>
      <c r="B7" s="1"/>
      <c r="C7" s="1">
        <f ca="1">IFERROR(__xludf.DUMMYFUNCTION("""COMPUTED_VALUE"""),27217133907)</f>
        <v>27217133907</v>
      </c>
      <c r="D7" s="1" t="str">
        <f ca="1">IFERROR(__xludf.DUMMYFUNCTION("""COMPUTED_VALUE"""),"Trần Phương Diễm")</f>
        <v>Trần Phương Diễm</v>
      </c>
      <c r="E7" s="4"/>
      <c r="F7" s="1" t="str">
        <f ca="1">IFERROR(__xludf.DUMMYFUNCTION("""COMPUTED_VALUE"""),"K27DLK6")</f>
        <v>K27DLK6</v>
      </c>
      <c r="G7" s="1" t="str">
        <f ca="1">IFERROR(__xludf.DUMMYFUNCTION("""COMPUTED_VALUE"""),"Quản trị Du lịch &amp; Khách sạn")</f>
        <v>Quản trị Du lịch &amp; Khách sạn</v>
      </c>
      <c r="H7" s="1">
        <f ca="1">IFERROR(__xludf.DUMMYFUNCTION("""COMPUTED_VALUE"""),27)</f>
        <v>27</v>
      </c>
      <c r="I7" s="1"/>
      <c r="J7" s="1" t="str">
        <f ca="1">IFERROR(__xludf.DUMMYFUNCTION("""COMPUTED_VALUE"""),"Chuyên đề")</f>
        <v>Chuyên đề</v>
      </c>
      <c r="K7" s="1" t="str">
        <f ca="1">IFERROR(__xludf.DUMMYFUNCTION("""COMPUTED_VALUE"""),"Khách sạn Như Minh Plaza")</f>
        <v>Khách sạn Như Minh Plaza</v>
      </c>
      <c r="L7" s="1"/>
      <c r="M7" s="1" t="str">
        <f ca="1">IFERROR(__xludf.DUMMYFUNCTION("""COMPUTED_VALUE"""),"41 Phạm Văn Đồng, An Hải Bắc, Sơn Trà, Đà Nẵng")</f>
        <v>41 Phạm Văn Đồng, An Hải Bắc, Sơn Trà, Đà Nẵng</v>
      </c>
      <c r="N7" s="1" t="str">
        <f ca="1">IFERROR(__xludf.DUMMYFUNCTION("""COMPUTED_VALUE"""),"Đà Nẵng")</f>
        <v>Đà Nẵng</v>
      </c>
      <c r="O7" s="1" t="str">
        <f ca="1">IFERROR(__xludf.DUMMYFUNCTION("""COMPUTED_VALUE"""),"Tiền sảnh")</f>
        <v>Tiền sảnh</v>
      </c>
      <c r="P7" s="1"/>
      <c r="Q7" s="1" t="str">
        <f ca="1">IFERROR(__xludf.DUMMYFUNCTION("""COMPUTED_VALUE"""),"8/1/2025")</f>
        <v>8/1/2025</v>
      </c>
      <c r="R7" s="1" t="str">
        <f ca="1">IFERROR(__xludf.DUMMYFUNCTION("""COMPUTED_VALUE"""),"cam kết")</f>
        <v>cam kết</v>
      </c>
      <c r="S7" s="1" t="str">
        <f ca="1">IFERROR(__xludf.DUMMYFUNCTION("""COMPUTED_VALUE"""),"Chuyên đề")</f>
        <v>Chuyên đề</v>
      </c>
      <c r="T7" s="1"/>
      <c r="U7" s="1"/>
      <c r="V7" s="1"/>
      <c r="W7" s="1">
        <f ca="1">IFERROR(__xludf.DUMMYFUNCTION("""COMPUTED_VALUE"""),6)</f>
        <v>6</v>
      </c>
      <c r="X7" s="3">
        <f ca="1">IFERROR(__xludf.DUMMYFUNCTION("""COMPUTED_VALUE"""),45901)</f>
        <v>45901</v>
      </c>
      <c r="Y7" s="1" t="str">
        <f ca="1">IFERROR(__xludf.DUMMYFUNCTION("""COMPUTED_VALUE"""),"DUYỆT")</f>
        <v>DUYỆT</v>
      </c>
      <c r="Z7" s="3">
        <f ca="1">IFERROR(__xludf.DUMMYFUNCTION("""COMPUTED_VALUE"""),45870)</f>
        <v>45870</v>
      </c>
      <c r="AA7" s="1" t="str">
        <f ca="1">IFERROR(__xludf.DUMMYFUNCTION("""COMPUTED_VALUE"""),"Khách sạn Như Minh Plaza")</f>
        <v>Khách sạn Như Minh Plaza</v>
      </c>
      <c r="AB7" s="1" t="str">
        <f ca="1">IFERROR(__xludf.DUMMYFUNCTION("""COMPUTED_VALUE"""),"Tiền sảnh")</f>
        <v>Tiền sảnh</v>
      </c>
      <c r="AC7" s="1"/>
      <c r="AD7" s="1"/>
      <c r="AE7" s="1" t="str">
        <f ca="1">IFERROR(__xludf.DUMMYFUNCTION("""COMPUTED_VALUE"""),"")</f>
        <v/>
      </c>
    </row>
    <row r="8" spans="1:31" x14ac:dyDescent="0.2">
      <c r="A8" s="6">
        <f ca="1">IFERROR(__xludf.DUMMYFUNCTION("""COMPUTED_VALUE"""),45665.6144489814)</f>
        <v>45665.614448981403</v>
      </c>
      <c r="B8" s="1"/>
      <c r="C8" s="1">
        <f ca="1">IFERROR(__xludf.DUMMYFUNCTION("""COMPUTED_VALUE"""),27207129095)</f>
        <v>27207129095</v>
      </c>
      <c r="D8" s="1" t="str">
        <f ca="1">IFERROR(__xludf.DUMMYFUNCTION("""COMPUTED_VALUE"""),"Lê Thị Như Thiện")</f>
        <v>Lê Thị Như Thiện</v>
      </c>
      <c r="E8" s="4"/>
      <c r="F8" s="1" t="str">
        <f ca="1">IFERROR(__xludf.DUMMYFUNCTION("""COMPUTED_VALUE"""),"K27DLK2")</f>
        <v>K27DLK2</v>
      </c>
      <c r="G8" s="1" t="str">
        <f ca="1">IFERROR(__xludf.DUMMYFUNCTION("""COMPUTED_VALUE"""),"Quản trị Du lịch &amp; Khách sạn")</f>
        <v>Quản trị Du lịch &amp; Khách sạn</v>
      </c>
      <c r="H8" s="1">
        <f ca="1">IFERROR(__xludf.DUMMYFUNCTION("""COMPUTED_VALUE"""),27)</f>
        <v>27</v>
      </c>
      <c r="I8" s="1"/>
      <c r="J8" s="1" t="str">
        <f ca="1">IFERROR(__xludf.DUMMYFUNCTION("""COMPUTED_VALUE"""),"Chuyên đề")</f>
        <v>Chuyên đề</v>
      </c>
      <c r="K8" s="1" t="str">
        <f ca="1">IFERROR(__xludf.DUMMYFUNCTION("""COMPUTED_VALUE"""),"Maximilan Danang Beach Hotel")</f>
        <v>Maximilan Danang Beach Hotel</v>
      </c>
      <c r="L8" s="1"/>
      <c r="M8" s="1" t="str">
        <f ca="1">IFERROR(__xludf.DUMMYFUNCTION("""COMPUTED_VALUE"""),"222 Võ Nguyên Giáp, Sơn Trà, Đà Nẵng")</f>
        <v>222 Võ Nguyên Giáp, Sơn Trà, Đà Nẵng</v>
      </c>
      <c r="N8" s="1" t="str">
        <f ca="1">IFERROR(__xludf.DUMMYFUNCTION("""COMPUTED_VALUE"""),"Đà Nẵng")</f>
        <v>Đà Nẵng</v>
      </c>
      <c r="O8" s="1" t="str">
        <f ca="1">IFERROR(__xludf.DUMMYFUNCTION("""COMPUTED_VALUE"""),"Tiền sảnh")</f>
        <v>Tiền sảnh</v>
      </c>
      <c r="P8" s="1"/>
      <c r="Q8" s="1" t="str">
        <f ca="1">IFERROR(__xludf.DUMMYFUNCTION("""COMPUTED_VALUE"""),"23/12/2024")</f>
        <v>23/12/2024</v>
      </c>
      <c r="R8" s="1" t="str">
        <f ca="1">IFERROR(__xludf.DUMMYFUNCTION("""COMPUTED_VALUE"""),"cam kết")</f>
        <v>cam kết</v>
      </c>
      <c r="S8" s="1" t="str">
        <f ca="1">IFERROR(__xludf.DUMMYFUNCTION("""COMPUTED_VALUE"""),"Chuyên đề")</f>
        <v>Chuyên đề</v>
      </c>
      <c r="T8" s="1"/>
      <c r="U8" s="4">
        <f ca="1">IFERROR(__xludf.DUMMYFUNCTION("""COMPUTED_VALUE"""),45649)</f>
        <v>45649</v>
      </c>
      <c r="V8" s="4">
        <f ca="1">IFERROR(__xludf.DUMMYFUNCTION("""COMPUTED_VALUE"""),45732)</f>
        <v>45732</v>
      </c>
      <c r="W8" s="1">
        <f ca="1">IFERROR(__xludf.DUMMYFUNCTION("""COMPUTED_VALUE"""),7)</f>
        <v>7</v>
      </c>
      <c r="X8" s="3">
        <f ca="1">IFERROR(__xludf.DUMMYFUNCTION("""COMPUTED_VALUE"""),45870)</f>
        <v>45870</v>
      </c>
      <c r="Y8" s="1" t="str">
        <f ca="1">IFERROR(__xludf.DUMMYFUNCTION("""COMPUTED_VALUE"""),"DUYỆT")</f>
        <v>DUYỆT</v>
      </c>
      <c r="Z8" s="3">
        <f ca="1">IFERROR(__xludf.DUMMYFUNCTION("""COMPUTED_VALUE"""),45870)</f>
        <v>45870</v>
      </c>
      <c r="AA8" s="1" t="str">
        <f ca="1">IFERROR(__xludf.DUMMYFUNCTION("""COMPUTED_VALUE"""),"Maximilan Danang Beach Hotel")</f>
        <v>Maximilan Danang Beach Hotel</v>
      </c>
      <c r="AB8" s="1" t="str">
        <f ca="1">IFERROR(__xludf.DUMMYFUNCTION("""COMPUTED_VALUE"""),"Tiền sảnh")</f>
        <v>Tiền sảnh</v>
      </c>
      <c r="AC8" s="1"/>
      <c r="AD8" s="1"/>
      <c r="AE8" s="1" t="str">
        <f ca="1">IFERROR(__xludf.DUMMYFUNCTION("""COMPUTED_VALUE"""),"")</f>
        <v/>
      </c>
    </row>
    <row r="9" spans="1:31" x14ac:dyDescent="0.2">
      <c r="A9" s="6">
        <f ca="1">IFERROR(__xludf.DUMMYFUNCTION("""COMPUTED_VALUE"""),45665.6164598379)</f>
        <v>45665.616459837896</v>
      </c>
      <c r="B9" s="1"/>
      <c r="C9" s="1">
        <f ca="1">IFERROR(__xludf.DUMMYFUNCTION("""COMPUTED_VALUE"""),27207124538)</f>
        <v>27207124538</v>
      </c>
      <c r="D9" s="1" t="str">
        <f ca="1">IFERROR(__xludf.DUMMYFUNCTION("""COMPUTED_VALUE"""),"Nguyễn Việt Hà")</f>
        <v>Nguyễn Việt Hà</v>
      </c>
      <c r="E9" s="4"/>
      <c r="F9" s="1" t="str">
        <f ca="1">IFERROR(__xludf.DUMMYFUNCTION("""COMPUTED_VALUE"""),"K27DLK 6")</f>
        <v>K27DLK 6</v>
      </c>
      <c r="G9" s="1" t="str">
        <f ca="1">IFERROR(__xludf.DUMMYFUNCTION("""COMPUTED_VALUE"""),"Quản trị Du lịch &amp; Khách sạn")</f>
        <v>Quản trị Du lịch &amp; Khách sạn</v>
      </c>
      <c r="H9" s="1">
        <f ca="1">IFERROR(__xludf.DUMMYFUNCTION("""COMPUTED_VALUE"""),27)</f>
        <v>27</v>
      </c>
      <c r="I9" s="1"/>
      <c r="J9" s="1" t="str">
        <f ca="1">IFERROR(__xludf.DUMMYFUNCTION("""COMPUTED_VALUE"""),"Chuyên đề")</f>
        <v>Chuyên đề</v>
      </c>
      <c r="K9" s="1" t="str">
        <f ca="1">IFERROR(__xludf.DUMMYFUNCTION("""COMPUTED_VALUE"""),"Khách sạn Như Minh Plaza")</f>
        <v>Khách sạn Như Minh Plaza</v>
      </c>
      <c r="L9" s="1"/>
      <c r="M9" s="1" t="str">
        <f ca="1">IFERROR(__xludf.DUMMYFUNCTION("""COMPUTED_VALUE"""),"41 Phạm Văn Đồng, An Hải Bắc, Sơn Trà, Đà Nẵng")</f>
        <v>41 Phạm Văn Đồng, An Hải Bắc, Sơn Trà, Đà Nẵng</v>
      </c>
      <c r="N9" s="1" t="str">
        <f ca="1">IFERROR(__xludf.DUMMYFUNCTION("""COMPUTED_VALUE"""),"Đà Nẵng")</f>
        <v>Đà Nẵng</v>
      </c>
      <c r="O9" s="1" t="str">
        <f ca="1">IFERROR(__xludf.DUMMYFUNCTION("""COMPUTED_VALUE"""),"Tiền sảnh")</f>
        <v>Tiền sảnh</v>
      </c>
      <c r="P9" s="1"/>
      <c r="Q9" s="1" t="str">
        <f ca="1">IFERROR(__xludf.DUMMYFUNCTION("""COMPUTED_VALUE"""),"8/1/2025")</f>
        <v>8/1/2025</v>
      </c>
      <c r="R9" s="1" t="str">
        <f ca="1">IFERROR(__xludf.DUMMYFUNCTION("""COMPUTED_VALUE"""),"cam kết")</f>
        <v>cam kết</v>
      </c>
      <c r="S9" s="1" t="str">
        <f ca="1">IFERROR(__xludf.DUMMYFUNCTION("""COMPUTED_VALUE"""),"Chuyên đề")</f>
        <v>Chuyên đề</v>
      </c>
      <c r="T9" s="1"/>
      <c r="U9" s="1"/>
      <c r="V9" s="1"/>
      <c r="W9" s="1">
        <f ca="1">IFERROR(__xludf.DUMMYFUNCTION("""COMPUTED_VALUE"""),8)</f>
        <v>8</v>
      </c>
      <c r="X9" s="3">
        <f ca="1">IFERROR(__xludf.DUMMYFUNCTION("""COMPUTED_VALUE"""),45901)</f>
        <v>45901</v>
      </c>
      <c r="Y9" s="1" t="str">
        <f ca="1">IFERROR(__xludf.DUMMYFUNCTION("""COMPUTED_VALUE"""),"DUYỆT")</f>
        <v>DUYỆT</v>
      </c>
      <c r="Z9" s="3">
        <f ca="1">IFERROR(__xludf.DUMMYFUNCTION("""COMPUTED_VALUE"""),45870)</f>
        <v>45870</v>
      </c>
      <c r="AA9" s="1" t="str">
        <f ca="1">IFERROR(__xludf.DUMMYFUNCTION("""COMPUTED_VALUE"""),"Khách sạn Như Minh Plaza")</f>
        <v>Khách sạn Như Minh Plaza</v>
      </c>
      <c r="AB9" s="1" t="str">
        <f ca="1">IFERROR(__xludf.DUMMYFUNCTION("""COMPUTED_VALUE"""),"Tiền sảnh")</f>
        <v>Tiền sảnh</v>
      </c>
      <c r="AC9" s="1"/>
      <c r="AD9" s="1"/>
      <c r="AE9" s="1" t="str">
        <f ca="1">IFERROR(__xludf.DUMMYFUNCTION("""COMPUTED_VALUE"""),"")</f>
        <v/>
      </c>
    </row>
    <row r="10" spans="1:31" x14ac:dyDescent="0.2">
      <c r="A10" s="6">
        <f ca="1">IFERROR(__xludf.DUMMYFUNCTION("""COMPUTED_VALUE"""),45665.6231084375)</f>
        <v>45665.623108437503</v>
      </c>
      <c r="B10" s="1"/>
      <c r="C10" s="1">
        <f ca="1">IFERROR(__xludf.DUMMYFUNCTION("""COMPUTED_VALUE"""),27207132468)</f>
        <v>27207132468</v>
      </c>
      <c r="D10" s="1" t="str">
        <f ca="1">IFERROR(__xludf.DUMMYFUNCTION("""COMPUTED_VALUE"""),"Lê Thị Khánh Thư")</f>
        <v>Lê Thị Khánh Thư</v>
      </c>
      <c r="E10" s="4"/>
      <c r="F10" s="1" t="str">
        <f ca="1">IFERROR(__xludf.DUMMYFUNCTION("""COMPUTED_VALUE"""),"K27DLK3")</f>
        <v>K27DLK3</v>
      </c>
      <c r="G10" s="1" t="str">
        <f ca="1">IFERROR(__xludf.DUMMYFUNCTION("""COMPUTED_VALUE"""),"Quản trị Du lịch &amp; Khách sạn")</f>
        <v>Quản trị Du lịch &amp; Khách sạn</v>
      </c>
      <c r="H10" s="1">
        <f ca="1">IFERROR(__xludf.DUMMYFUNCTION("""COMPUTED_VALUE"""),27)</f>
        <v>27</v>
      </c>
      <c r="I10" s="1"/>
      <c r="J10" s="1" t="str">
        <f ca="1">IFERROR(__xludf.DUMMYFUNCTION("""COMPUTED_VALUE"""),"Chuyên đề")</f>
        <v>Chuyên đề</v>
      </c>
      <c r="K10" s="1" t="str">
        <f ca="1">IFERROR(__xludf.DUMMYFUNCTION("""COMPUTED_VALUE"""),"Maximilan Danang Beach Hotel")</f>
        <v>Maximilan Danang Beach Hotel</v>
      </c>
      <c r="L10" s="1"/>
      <c r="M10" s="1" t="str">
        <f ca="1">IFERROR(__xludf.DUMMYFUNCTION("""COMPUTED_VALUE"""),"222 Võ Nguyên Giáp")</f>
        <v>222 Võ Nguyên Giáp</v>
      </c>
      <c r="N10" s="1" t="str">
        <f ca="1">IFERROR(__xludf.DUMMYFUNCTION("""COMPUTED_VALUE"""),"Đà Nẵng")</f>
        <v>Đà Nẵng</v>
      </c>
      <c r="O10" s="1" t="str">
        <f ca="1">IFERROR(__xludf.DUMMYFUNCTION("""COMPUTED_VALUE"""),"Nhà hàng")</f>
        <v>Nhà hàng</v>
      </c>
      <c r="P10" s="1"/>
      <c r="Q10" s="1" t="str">
        <f ca="1">IFERROR(__xludf.DUMMYFUNCTION("""COMPUTED_VALUE"""),"23/12/2024")</f>
        <v>23/12/2024</v>
      </c>
      <c r="R10" s="1" t="str">
        <f ca="1">IFERROR(__xludf.DUMMYFUNCTION("""COMPUTED_VALUE"""),"cam kết")</f>
        <v>cam kết</v>
      </c>
      <c r="S10" s="1" t="str">
        <f ca="1">IFERROR(__xludf.DUMMYFUNCTION("""COMPUTED_VALUE"""),"Chuyên đề")</f>
        <v>Chuyên đề</v>
      </c>
      <c r="T10" s="1"/>
      <c r="U10" s="1"/>
      <c r="V10" s="1"/>
      <c r="W10" s="1">
        <f ca="1">IFERROR(__xludf.DUMMYFUNCTION("""COMPUTED_VALUE"""),9)</f>
        <v>9</v>
      </c>
      <c r="X10" s="3">
        <f ca="1">IFERROR(__xludf.DUMMYFUNCTION("""COMPUTED_VALUE"""),45962)</f>
        <v>45962</v>
      </c>
      <c r="Y10" s="1" t="str">
        <f ca="1">IFERROR(__xludf.DUMMYFUNCTION("""COMPUTED_VALUE"""),"DUYỆT")</f>
        <v>DUYỆT</v>
      </c>
      <c r="Z10" s="3">
        <f ca="1">IFERROR(__xludf.DUMMYFUNCTION("""COMPUTED_VALUE"""),45870)</f>
        <v>45870</v>
      </c>
      <c r="AA10" s="1" t="str">
        <f ca="1">IFERROR(__xludf.DUMMYFUNCTION("""COMPUTED_VALUE"""),"Maximilan Danang Beach Hotel")</f>
        <v>Maximilan Danang Beach Hotel</v>
      </c>
      <c r="AB10" s="1" t="str">
        <f ca="1">IFERROR(__xludf.DUMMYFUNCTION("""COMPUTED_VALUE"""),"Nhà hàng")</f>
        <v>Nhà hàng</v>
      </c>
      <c r="AC10" s="1"/>
      <c r="AD10" s="1"/>
      <c r="AE10" s="1" t="str">
        <f ca="1">IFERROR(__xludf.DUMMYFUNCTION("""COMPUTED_VALUE"""),"")</f>
        <v/>
      </c>
    </row>
    <row r="11" spans="1:31" x14ac:dyDescent="0.2">
      <c r="A11" s="6">
        <f ca="1">IFERROR(__xludf.DUMMYFUNCTION("""COMPUTED_VALUE"""),45665.6378084375)</f>
        <v>45665.637808437503</v>
      </c>
      <c r="B11" s="1"/>
      <c r="C11" s="1">
        <f ca="1">IFERROR(__xludf.DUMMYFUNCTION("""COMPUTED_VALUE"""),27207120147)</f>
        <v>27207120147</v>
      </c>
      <c r="D11" s="1" t="str">
        <f ca="1">IFERROR(__xludf.DUMMYFUNCTION("""COMPUTED_VALUE"""),"Đặng Thị Thu Hoài")</f>
        <v>Đặng Thị Thu Hoài</v>
      </c>
      <c r="E11" s="4"/>
      <c r="F11" s="1" t="str">
        <f ca="1">IFERROR(__xludf.DUMMYFUNCTION("""COMPUTED_VALUE"""),"K27DLK2")</f>
        <v>K27DLK2</v>
      </c>
      <c r="G11" s="1" t="str">
        <f ca="1">IFERROR(__xludf.DUMMYFUNCTION("""COMPUTED_VALUE"""),"Quản trị Du lịch &amp; Khách sạn")</f>
        <v>Quản trị Du lịch &amp; Khách sạn</v>
      </c>
      <c r="H11" s="1">
        <f ca="1">IFERROR(__xludf.DUMMYFUNCTION("""COMPUTED_VALUE"""),27)</f>
        <v>27</v>
      </c>
      <c r="I11" s="1"/>
      <c r="J11" s="1" t="str">
        <f ca="1">IFERROR(__xludf.DUMMYFUNCTION("""COMPUTED_VALUE"""),"Chuyên đề")</f>
        <v>Chuyên đề</v>
      </c>
      <c r="K11" s="1" t="str">
        <f ca="1">IFERROR(__xludf.DUMMYFUNCTION("""COMPUTED_VALUE"""),"Wyndham DaNang Golden Bay")</f>
        <v>Wyndham DaNang Golden Bay</v>
      </c>
      <c r="L11" s="1"/>
      <c r="M11" s="1" t="str">
        <f ca="1">IFERROR(__xludf.DUMMYFUNCTION("""COMPUTED_VALUE"""),"01 Lê Văn Duyệt, Sơn Trà, Đà Nẵng")</f>
        <v>01 Lê Văn Duyệt, Sơn Trà, Đà Nẵng</v>
      </c>
      <c r="N11" s="1" t="str">
        <f ca="1">IFERROR(__xludf.DUMMYFUNCTION("""COMPUTED_VALUE"""),"Thành phố Đà Nẵng")</f>
        <v>Thành phố Đà Nẵng</v>
      </c>
      <c r="O11" s="1" t="str">
        <f ca="1">IFERROR(__xludf.DUMMYFUNCTION("""COMPUTED_VALUE"""),"Buồng phòng")</f>
        <v>Buồng phòng</v>
      </c>
      <c r="P11" s="1"/>
      <c r="Q11" s="1" t="str">
        <f ca="1">IFERROR(__xludf.DUMMYFUNCTION("""COMPUTED_VALUE"""),"13/1")</f>
        <v>13/1</v>
      </c>
      <c r="R11" s="1" t="str">
        <f ca="1">IFERROR(__xludf.DUMMYFUNCTION("""COMPUTED_VALUE"""),"cam kết")</f>
        <v>cam kết</v>
      </c>
      <c r="S11" s="1" t="str">
        <f ca="1">IFERROR(__xludf.DUMMYFUNCTION("""COMPUTED_VALUE"""),"Chuyên đề")</f>
        <v>Chuyên đề</v>
      </c>
      <c r="T11" s="1"/>
      <c r="U11" s="1"/>
      <c r="V11" s="1"/>
      <c r="W11" s="1">
        <f ca="1">IFERROR(__xludf.DUMMYFUNCTION("""COMPUTED_VALUE"""),10)</f>
        <v>10</v>
      </c>
      <c r="X11" s="1" t="str">
        <f ca="1">IFERROR(__xludf.DUMMYFUNCTION("""COMPUTED_VALUE"""),"14/01/2025")</f>
        <v>14/01/2025</v>
      </c>
      <c r="Y11" s="1" t="str">
        <f ca="1">IFERROR(__xludf.DUMMYFUNCTION("""COMPUTED_VALUE"""),"DUYỆT")</f>
        <v>DUYỆT</v>
      </c>
      <c r="Z11" s="3">
        <f ca="1">IFERROR(__xludf.DUMMYFUNCTION("""COMPUTED_VALUE"""),45870)</f>
        <v>45870</v>
      </c>
      <c r="AA11" s="1" t="str">
        <f ca="1">IFERROR(__xludf.DUMMYFUNCTION("""COMPUTED_VALUE"""),"Wyndham DaNang Golden Bay")</f>
        <v>Wyndham DaNang Golden Bay</v>
      </c>
      <c r="AB11" s="1" t="str">
        <f ca="1">IFERROR(__xludf.DUMMYFUNCTION("""COMPUTED_VALUE"""),"Buồng phòng")</f>
        <v>Buồng phòng</v>
      </c>
      <c r="AC11" s="1"/>
      <c r="AD11" s="1"/>
      <c r="AE11" s="1" t="str">
        <f ca="1">IFERROR(__xludf.DUMMYFUNCTION("""COMPUTED_VALUE"""),"")</f>
        <v/>
      </c>
    </row>
    <row r="12" spans="1:31" x14ac:dyDescent="0.2">
      <c r="A12" s="6">
        <f ca="1">IFERROR(__xludf.DUMMYFUNCTION("""COMPUTED_VALUE"""),45665.7263746643)</f>
        <v>45665.7263746643</v>
      </c>
      <c r="B12" s="1"/>
      <c r="C12" s="1">
        <f ca="1">IFERROR(__xludf.DUMMYFUNCTION("""COMPUTED_VALUE"""),27217123844)</f>
        <v>27217123844</v>
      </c>
      <c r="D12" s="1" t="str">
        <f ca="1">IFERROR(__xludf.DUMMYFUNCTION("""COMPUTED_VALUE"""),"Nguyễn Trương Hải Hà")</f>
        <v>Nguyễn Trương Hải Hà</v>
      </c>
      <c r="E12" s="4"/>
      <c r="F12" s="1" t="str">
        <f ca="1">IFERROR(__xludf.DUMMYFUNCTION("""COMPUTED_VALUE"""),"K27DLK2")</f>
        <v>K27DLK2</v>
      </c>
      <c r="G12" s="1" t="str">
        <f ca="1">IFERROR(__xludf.DUMMYFUNCTION("""COMPUTED_VALUE"""),"Quản trị Du lịch &amp; Khách sạn")</f>
        <v>Quản trị Du lịch &amp; Khách sạn</v>
      </c>
      <c r="H12" s="1">
        <f ca="1">IFERROR(__xludf.DUMMYFUNCTION("""COMPUTED_VALUE"""),27)</f>
        <v>27</v>
      </c>
      <c r="I12" s="1"/>
      <c r="J12" s="1" t="str">
        <f ca="1">IFERROR(__xludf.DUMMYFUNCTION("""COMPUTED_VALUE"""),"Chuyên đề")</f>
        <v>Chuyên đề</v>
      </c>
      <c r="K12" s="1" t="str">
        <f ca="1">IFERROR(__xludf.DUMMYFUNCTION("""COMPUTED_VALUE"""),"Paracel Danang Hotel")</f>
        <v>Paracel Danang Hotel</v>
      </c>
      <c r="L12" s="1"/>
      <c r="M12" s="1" t="str">
        <f ca="1">IFERROR(__xludf.DUMMYFUNCTION("""COMPUTED_VALUE"""),"204 Võ Nguyên Giáp")</f>
        <v>204 Võ Nguyên Giáp</v>
      </c>
      <c r="N12" s="1" t="str">
        <f ca="1">IFERROR(__xludf.DUMMYFUNCTION("""COMPUTED_VALUE"""),"Đà Nẵng")</f>
        <v>Đà Nẵng</v>
      </c>
      <c r="O12" s="1" t="str">
        <f ca="1">IFERROR(__xludf.DUMMYFUNCTION("""COMPUTED_VALUE"""),"Nhà hàng")</f>
        <v>Nhà hàng</v>
      </c>
      <c r="P12" s="1"/>
      <c r="Q12" s="1" t="str">
        <f ca="1">IFERROR(__xludf.DUMMYFUNCTION("""COMPUTED_VALUE"""),"2/1/2025")</f>
        <v>2/1/2025</v>
      </c>
      <c r="R12" s="1" t="str">
        <f ca="1">IFERROR(__xludf.DUMMYFUNCTION("""COMPUTED_VALUE"""),"cam kết")</f>
        <v>cam kết</v>
      </c>
      <c r="S12" s="1" t="str">
        <f ca="1">IFERROR(__xludf.DUMMYFUNCTION("""COMPUTED_VALUE"""),"Chuyên đề")</f>
        <v>Chuyên đề</v>
      </c>
      <c r="T12" s="1"/>
      <c r="U12" s="4">
        <f ca="1">IFERROR(__xludf.DUMMYFUNCTION("""COMPUTED_VALUE"""),45698)</f>
        <v>45698</v>
      </c>
      <c r="V12" s="4">
        <f ca="1">IFERROR(__xludf.DUMMYFUNCTION("""COMPUTED_VALUE"""),45787)</f>
        <v>45787</v>
      </c>
      <c r="W12" s="1">
        <f ca="1">IFERROR(__xludf.DUMMYFUNCTION("""COMPUTED_VALUE"""),11)</f>
        <v>11</v>
      </c>
      <c r="X12" s="3">
        <f ca="1">IFERROR(__xludf.DUMMYFUNCTION("""COMPUTED_VALUE"""),45962)</f>
        <v>45962</v>
      </c>
      <c r="Y12" s="1" t="str">
        <f ca="1">IFERROR(__xludf.DUMMYFUNCTION("""COMPUTED_VALUE"""),"DUYỆT")</f>
        <v>DUYỆT</v>
      </c>
      <c r="Z12" s="3">
        <f ca="1">IFERROR(__xludf.DUMMYFUNCTION("""COMPUTED_VALUE"""),45870)</f>
        <v>45870</v>
      </c>
      <c r="AA12" s="1" t="str">
        <f ca="1">IFERROR(__xludf.DUMMYFUNCTION("""COMPUTED_VALUE"""),"Paracel Danang Hotel")</f>
        <v>Paracel Danang Hotel</v>
      </c>
      <c r="AB12" s="1" t="str">
        <f ca="1">IFERROR(__xludf.DUMMYFUNCTION("""COMPUTED_VALUE"""),"Nhà hàng")</f>
        <v>Nhà hàng</v>
      </c>
      <c r="AC12" s="1"/>
      <c r="AD12" s="1"/>
      <c r="AE12" s="1" t="str">
        <f ca="1">IFERROR(__xludf.DUMMYFUNCTION("""COMPUTED_VALUE"""),"")</f>
        <v/>
      </c>
    </row>
    <row r="13" spans="1:31" x14ac:dyDescent="0.2">
      <c r="A13" s="6">
        <f ca="1">IFERROR(__xludf.DUMMYFUNCTION("""COMPUTED_VALUE"""),45665.7600358333)</f>
        <v>45665.7600358333</v>
      </c>
      <c r="B13" s="1"/>
      <c r="C13" s="1">
        <f ca="1">IFERROR(__xludf.DUMMYFUNCTION("""COMPUTED_VALUE"""),27207141051)</f>
        <v>27207141051</v>
      </c>
      <c r="D13" s="1" t="str">
        <f ca="1">IFERROR(__xludf.DUMMYFUNCTION("""COMPUTED_VALUE"""),"Nguyễn Vi Tường")</f>
        <v>Nguyễn Vi Tường</v>
      </c>
      <c r="E13" s="4"/>
      <c r="F13" s="1" t="str">
        <f ca="1">IFERROR(__xludf.DUMMYFUNCTION("""COMPUTED_VALUE"""),"K27DLK4")</f>
        <v>K27DLK4</v>
      </c>
      <c r="G13" s="1" t="str">
        <f ca="1">IFERROR(__xludf.DUMMYFUNCTION("""COMPUTED_VALUE"""),"Quản trị Du lịch &amp; Khách sạn")</f>
        <v>Quản trị Du lịch &amp; Khách sạn</v>
      </c>
      <c r="H13" s="1">
        <f ca="1">IFERROR(__xludf.DUMMYFUNCTION("""COMPUTED_VALUE"""),27)</f>
        <v>27</v>
      </c>
      <c r="I13" s="1"/>
      <c r="J13" s="1" t="str">
        <f ca="1">IFERROR(__xludf.DUMMYFUNCTION("""COMPUTED_VALUE"""),"Chuyên đề")</f>
        <v>Chuyên đề</v>
      </c>
      <c r="K13" s="1" t="str">
        <f ca="1">IFERROR(__xludf.DUMMYFUNCTION("""COMPUTED_VALUE"""),"Novotel DaNang Premier Han River")</f>
        <v>Novotel DaNang Premier Han River</v>
      </c>
      <c r="L13" s="1"/>
      <c r="M13" s="1" t="str">
        <f ca="1">IFERROR(__xludf.DUMMYFUNCTION("""COMPUTED_VALUE"""),"36 Bạch Đằng, Thạch Thang, Hải Châu")</f>
        <v>36 Bạch Đằng, Thạch Thang, Hải Châu</v>
      </c>
      <c r="N13" s="1" t="str">
        <f ca="1">IFERROR(__xludf.DUMMYFUNCTION("""COMPUTED_VALUE"""),"Đà Nẵng")</f>
        <v>Đà Nẵng</v>
      </c>
      <c r="O13" s="1" t="str">
        <f ca="1">IFERROR(__xludf.DUMMYFUNCTION("""COMPUTED_VALUE"""),"Nhà hàng")</f>
        <v>Nhà hàng</v>
      </c>
      <c r="P13" s="1"/>
      <c r="Q13" s="1" t="str">
        <f ca="1">IFERROR(__xludf.DUMMYFUNCTION("""COMPUTED_VALUE"""),"07/01/2025")</f>
        <v>07/01/2025</v>
      </c>
      <c r="R13" s="1" t="str">
        <f ca="1">IFERROR(__xludf.DUMMYFUNCTION("""COMPUTED_VALUE"""),"cam kết")</f>
        <v>cam kết</v>
      </c>
      <c r="S13" s="1" t="str">
        <f ca="1">IFERROR(__xludf.DUMMYFUNCTION("""COMPUTED_VALUE"""),"Chuyên đề")</f>
        <v>Chuyên đề</v>
      </c>
      <c r="T13" s="1"/>
      <c r="U13" s="4">
        <f ca="1">IFERROR(__xludf.DUMMYFUNCTION("""COMPUTED_VALUE"""),45698)</f>
        <v>45698</v>
      </c>
      <c r="V13" s="4">
        <f ca="1">IFERROR(__xludf.DUMMYFUNCTION("""COMPUTED_VALUE"""),45787)</f>
        <v>45787</v>
      </c>
      <c r="W13" s="1">
        <f ca="1">IFERROR(__xludf.DUMMYFUNCTION("""COMPUTED_VALUE"""),12)</f>
        <v>12</v>
      </c>
      <c r="X13" s="3">
        <f ca="1">IFERROR(__xludf.DUMMYFUNCTION("""COMPUTED_VALUE"""),45962)</f>
        <v>45962</v>
      </c>
      <c r="Y13" s="1" t="str">
        <f ca="1">IFERROR(__xludf.DUMMYFUNCTION("""COMPUTED_VALUE"""),"DUYỆT")</f>
        <v>DUYỆT</v>
      </c>
      <c r="Z13" s="3">
        <f ca="1">IFERROR(__xludf.DUMMYFUNCTION("""COMPUTED_VALUE"""),45870)</f>
        <v>45870</v>
      </c>
      <c r="AA13" s="1" t="str">
        <f ca="1">IFERROR(__xludf.DUMMYFUNCTION("""COMPUTED_VALUE"""),"Novotel DaNang Premier Han River")</f>
        <v>Novotel DaNang Premier Han River</v>
      </c>
      <c r="AB13" s="1" t="str">
        <f ca="1">IFERROR(__xludf.DUMMYFUNCTION("""COMPUTED_VALUE"""),"Nhà hàng")</f>
        <v>Nhà hàng</v>
      </c>
      <c r="AC13" s="1"/>
      <c r="AD13" s="1"/>
      <c r="AE13" s="1" t="str">
        <f ca="1">IFERROR(__xludf.DUMMYFUNCTION("""COMPUTED_VALUE"""),"")</f>
        <v/>
      </c>
    </row>
    <row r="14" spans="1:31" x14ac:dyDescent="0.2">
      <c r="A14" s="6">
        <f ca="1">IFERROR(__xludf.DUMMYFUNCTION("""COMPUTED_VALUE"""),45665.7657079629)</f>
        <v>45665.765707962899</v>
      </c>
      <c r="B14" s="1"/>
      <c r="C14" s="1">
        <f ca="1">IFERROR(__xludf.DUMMYFUNCTION("""COMPUTED_VALUE"""),27207124833)</f>
        <v>27207124833</v>
      </c>
      <c r="D14" s="1" t="str">
        <f ca="1">IFERROR(__xludf.DUMMYFUNCTION("""COMPUTED_VALUE"""),"Nguyễn Lê Tường Vy ")</f>
        <v xml:space="preserve">Nguyễn Lê Tường Vy </v>
      </c>
      <c r="E14" s="4"/>
      <c r="F14" s="1" t="str">
        <f ca="1">IFERROR(__xludf.DUMMYFUNCTION("""COMPUTED_VALUE"""),"K27DLK3")</f>
        <v>K27DLK3</v>
      </c>
      <c r="G14" s="1" t="str">
        <f ca="1">IFERROR(__xludf.DUMMYFUNCTION("""COMPUTED_VALUE"""),"Quản trị Du lịch &amp; Khách sạn")</f>
        <v>Quản trị Du lịch &amp; Khách sạn</v>
      </c>
      <c r="H14" s="1">
        <f ca="1">IFERROR(__xludf.DUMMYFUNCTION("""COMPUTED_VALUE"""),27)</f>
        <v>27</v>
      </c>
      <c r="I14" s="1"/>
      <c r="J14" s="1" t="str">
        <f ca="1">IFERROR(__xludf.DUMMYFUNCTION("""COMPUTED_VALUE"""),"Chuyên đề")</f>
        <v>Chuyên đề</v>
      </c>
      <c r="K14" s="1" t="str">
        <f ca="1">IFERROR(__xludf.DUMMYFUNCTION("""COMPUTED_VALUE"""),"Wyndham DaNang Golden Bay")</f>
        <v>Wyndham DaNang Golden Bay</v>
      </c>
      <c r="L14" s="1"/>
      <c r="M14" s="1" t="str">
        <f ca="1">IFERROR(__xludf.DUMMYFUNCTION("""COMPUTED_VALUE"""),"01 Lê Văn Duyệt, Nại Hiên Đông, Sơn Trà, Đà Nẵng")</f>
        <v>01 Lê Văn Duyệt, Nại Hiên Đông, Sơn Trà, Đà Nẵng</v>
      </c>
      <c r="N14" s="1" t="str">
        <f ca="1">IFERROR(__xludf.DUMMYFUNCTION("""COMPUTED_VALUE"""),"Đà Nẵng")</f>
        <v>Đà Nẵng</v>
      </c>
      <c r="O14" s="1" t="str">
        <f ca="1">IFERROR(__xludf.DUMMYFUNCTION("""COMPUTED_VALUE"""),"Nhà hàng")</f>
        <v>Nhà hàng</v>
      </c>
      <c r="P14" s="1"/>
      <c r="Q14" s="1" t="str">
        <f ca="1">IFERROR(__xludf.DUMMYFUNCTION("""COMPUTED_VALUE"""),"7/1/2025")</f>
        <v>7/1/2025</v>
      </c>
      <c r="R14" s="1" t="str">
        <f ca="1">IFERROR(__xludf.DUMMYFUNCTION("""COMPUTED_VALUE"""),"cam kết")</f>
        <v>cam kết</v>
      </c>
      <c r="S14" s="1" t="str">
        <f ca="1">IFERROR(__xludf.DUMMYFUNCTION("""COMPUTED_VALUE"""),"Chuyên đề")</f>
        <v>Chuyên đề</v>
      </c>
      <c r="T14" s="1" t="str">
        <f ca="1">IFERROR(__xludf.DUMMYFUNCTION("""COMPUTED_VALUE"""),"Mai Thị Thương")</f>
        <v>Mai Thị Thương</v>
      </c>
      <c r="U14" s="4">
        <f ca="1">IFERROR(__xludf.DUMMYFUNCTION("""COMPUTED_VALUE"""),45698)</f>
        <v>45698</v>
      </c>
      <c r="V14" s="4">
        <f ca="1">IFERROR(__xludf.DUMMYFUNCTION("""COMPUTED_VALUE"""),45787)</f>
        <v>45787</v>
      </c>
      <c r="W14" s="1">
        <f ca="1">IFERROR(__xludf.DUMMYFUNCTION("""COMPUTED_VALUE"""),13)</f>
        <v>13</v>
      </c>
      <c r="X14" s="3">
        <f ca="1">IFERROR(__xludf.DUMMYFUNCTION("""COMPUTED_VALUE"""),45962)</f>
        <v>45962</v>
      </c>
      <c r="Y14" s="1" t="str">
        <f ca="1">IFERROR(__xludf.DUMMYFUNCTION("""COMPUTED_VALUE"""),"DUYỆT")</f>
        <v>DUYỆT</v>
      </c>
      <c r="Z14" s="3">
        <f ca="1">IFERROR(__xludf.DUMMYFUNCTION("""COMPUTED_VALUE"""),45870)</f>
        <v>45870</v>
      </c>
      <c r="AA14" s="1" t="str">
        <f ca="1">IFERROR(__xludf.DUMMYFUNCTION("""COMPUTED_VALUE"""),"Wyndham DaNang Golden Bay")</f>
        <v>Wyndham DaNang Golden Bay</v>
      </c>
      <c r="AB14" s="1" t="str">
        <f ca="1">IFERROR(__xludf.DUMMYFUNCTION("""COMPUTED_VALUE"""),"Nhà hàng")</f>
        <v>Nhà hàng</v>
      </c>
      <c r="AC14" s="1"/>
      <c r="AD14" s="1" t="str">
        <f ca="1">IFERROR(__xludf.DUMMYFUNCTION("""COMPUTED_VALUE"""),"sv phải đám bảo ko quá 5sv/nhà hàng")</f>
        <v>sv phải đám bảo ko quá 5sv/nhà hàng</v>
      </c>
      <c r="AE14" s="1" t="str">
        <f ca="1">IFERROR(__xludf.DUMMYFUNCTION("""COMPUTED_VALUE"""),"")</f>
        <v/>
      </c>
    </row>
    <row r="15" spans="1:31" x14ac:dyDescent="0.2">
      <c r="A15" s="6">
        <f ca="1">IFERROR(__xludf.DUMMYFUNCTION("""COMPUTED_VALUE"""),45665.9256509953)</f>
        <v>45665.925650995297</v>
      </c>
      <c r="B15" s="1"/>
      <c r="C15" s="1">
        <f ca="1">IFERROR(__xludf.DUMMYFUNCTION("""COMPUTED_VALUE"""),27207121269)</f>
        <v>27207121269</v>
      </c>
      <c r="D15" s="1" t="str">
        <f ca="1">IFERROR(__xludf.DUMMYFUNCTION("""COMPUTED_VALUE"""),"Nguyễn Thị Thu Thương")</f>
        <v>Nguyễn Thị Thu Thương</v>
      </c>
      <c r="E15" s="4"/>
      <c r="F15" s="1" t="str">
        <f ca="1">IFERROR(__xludf.DUMMYFUNCTION("""COMPUTED_VALUE"""),"K27DLK3")</f>
        <v>K27DLK3</v>
      </c>
      <c r="G15" s="1" t="str">
        <f ca="1">IFERROR(__xludf.DUMMYFUNCTION("""COMPUTED_VALUE"""),"Quản trị Du lịch &amp; Khách sạn")</f>
        <v>Quản trị Du lịch &amp; Khách sạn</v>
      </c>
      <c r="H15" s="1">
        <f ca="1">IFERROR(__xludf.DUMMYFUNCTION("""COMPUTED_VALUE"""),27)</f>
        <v>27</v>
      </c>
      <c r="I15" s="1"/>
      <c r="J15" s="1" t="str">
        <f ca="1">IFERROR(__xludf.DUMMYFUNCTION("""COMPUTED_VALUE"""),"Chuyên đề")</f>
        <v>Chuyên đề</v>
      </c>
      <c r="K15" s="1" t="str">
        <f ca="1">IFERROR(__xludf.DUMMYFUNCTION("""COMPUTED_VALUE"""),"Maximilan Danang Beach Hotel")</f>
        <v>Maximilan Danang Beach Hotel</v>
      </c>
      <c r="L15" s="1"/>
      <c r="M15" s="1" t="str">
        <f ca="1">IFERROR(__xludf.DUMMYFUNCTION("""COMPUTED_VALUE"""),"222 Võ Nguyên Giáp")</f>
        <v>222 Võ Nguyên Giáp</v>
      </c>
      <c r="N15" s="1" t="str">
        <f ca="1">IFERROR(__xludf.DUMMYFUNCTION("""COMPUTED_VALUE"""),"Đà Nẵng")</f>
        <v>Đà Nẵng</v>
      </c>
      <c r="O15" s="1" t="str">
        <f ca="1">IFERROR(__xludf.DUMMYFUNCTION("""COMPUTED_VALUE"""),"Nhà hàng")</f>
        <v>Nhà hàng</v>
      </c>
      <c r="P15" s="1"/>
      <c r="Q15" s="1" t="str">
        <f ca="1">IFERROR(__xludf.DUMMYFUNCTION("""COMPUTED_VALUE"""),"23/12/2024")</f>
        <v>23/12/2024</v>
      </c>
      <c r="R15" s="1" t="str">
        <f ca="1">IFERROR(__xludf.DUMMYFUNCTION("""COMPUTED_VALUE"""),"cam kết")</f>
        <v>cam kết</v>
      </c>
      <c r="S15" s="1" t="str">
        <f ca="1">IFERROR(__xludf.DUMMYFUNCTION("""COMPUTED_VALUE"""),"Chuyên đề")</f>
        <v>Chuyên đề</v>
      </c>
      <c r="T15" s="1"/>
      <c r="U15" s="4">
        <f ca="1">IFERROR(__xludf.DUMMYFUNCTION("""COMPUTED_VALUE"""),45649)</f>
        <v>45649</v>
      </c>
      <c r="V15" s="4">
        <f ca="1">IFERROR(__xludf.DUMMYFUNCTION("""COMPUTED_VALUE"""),45732)</f>
        <v>45732</v>
      </c>
      <c r="W15" s="1">
        <f ca="1">IFERROR(__xludf.DUMMYFUNCTION("""COMPUTED_VALUE"""),14)</f>
        <v>14</v>
      </c>
      <c r="X15" s="3">
        <f ca="1">IFERROR(__xludf.DUMMYFUNCTION("""COMPUTED_VALUE"""),45962)</f>
        <v>45962</v>
      </c>
      <c r="Y15" s="1" t="str">
        <f ca="1">IFERROR(__xludf.DUMMYFUNCTION("""COMPUTED_VALUE"""),"DUYỆT")</f>
        <v>DUYỆT</v>
      </c>
      <c r="Z15" s="3">
        <f ca="1">IFERROR(__xludf.DUMMYFUNCTION("""COMPUTED_VALUE"""),45870)</f>
        <v>45870</v>
      </c>
      <c r="AA15" s="1" t="str">
        <f ca="1">IFERROR(__xludf.DUMMYFUNCTION("""COMPUTED_VALUE"""),"Maximilan Danang Beach Hotel")</f>
        <v>Maximilan Danang Beach Hotel</v>
      </c>
      <c r="AB15" s="1" t="str">
        <f ca="1">IFERROR(__xludf.DUMMYFUNCTION("""COMPUTED_VALUE"""),"Nhà hàng")</f>
        <v>Nhà hàng</v>
      </c>
      <c r="AC15" s="1"/>
      <c r="AD15" s="1"/>
      <c r="AE15" s="1" t="str">
        <f ca="1">IFERROR(__xludf.DUMMYFUNCTION("""COMPUTED_VALUE"""),"")</f>
        <v/>
      </c>
    </row>
    <row r="16" spans="1:31" x14ac:dyDescent="0.2">
      <c r="A16" s="6">
        <f ca="1">IFERROR(__xludf.DUMMYFUNCTION("""COMPUTED_VALUE"""),45666.3733663078)</f>
        <v>45666.373366307802</v>
      </c>
      <c r="B16" s="1"/>
      <c r="C16" s="1">
        <f ca="1">IFERROR(__xludf.DUMMYFUNCTION("""COMPUTED_VALUE"""),27207146805)</f>
        <v>27207146805</v>
      </c>
      <c r="D16" s="1" t="str">
        <f ca="1">IFERROR(__xludf.DUMMYFUNCTION("""COMPUTED_VALUE"""),"Nguyễn Thị Như Ý")</f>
        <v>Nguyễn Thị Như Ý</v>
      </c>
      <c r="E16" s="4"/>
      <c r="F16" s="1" t="str">
        <f ca="1">IFERROR(__xludf.DUMMYFUNCTION("""COMPUTED_VALUE"""),"K27DLK7")</f>
        <v>K27DLK7</v>
      </c>
      <c r="G16" s="1" t="str">
        <f ca="1">IFERROR(__xludf.DUMMYFUNCTION("""COMPUTED_VALUE"""),"Quản trị Du lịch &amp; Khách sạn")</f>
        <v>Quản trị Du lịch &amp; Khách sạn</v>
      </c>
      <c r="H16" s="1">
        <f ca="1">IFERROR(__xludf.DUMMYFUNCTION("""COMPUTED_VALUE"""),27)</f>
        <v>27</v>
      </c>
      <c r="I16" s="1"/>
      <c r="J16" s="1" t="str">
        <f ca="1">IFERROR(__xludf.DUMMYFUNCTION("""COMPUTED_VALUE"""),"Chuyên đề")</f>
        <v>Chuyên đề</v>
      </c>
      <c r="K16" s="1" t="str">
        <f ca="1">IFERROR(__xludf.DUMMYFUNCTION("""COMPUTED_VALUE"""),"Wyndham DaNang Golden Bay")</f>
        <v>Wyndham DaNang Golden Bay</v>
      </c>
      <c r="L16" s="1"/>
      <c r="M16" s="1" t="str">
        <f ca="1">IFERROR(__xludf.DUMMYFUNCTION("""COMPUTED_VALUE"""),"01 Lê Văn Duyệt, Nại Hiên Đông,Sơn Trà")</f>
        <v>01 Lê Văn Duyệt, Nại Hiên Đông,Sơn Trà</v>
      </c>
      <c r="N16" s="1" t="str">
        <f ca="1">IFERROR(__xludf.DUMMYFUNCTION("""COMPUTED_VALUE"""),"Thành phố Đà Nẵng ")</f>
        <v xml:space="preserve">Thành phố Đà Nẵng </v>
      </c>
      <c r="O16" s="1" t="str">
        <f ca="1">IFERROR(__xludf.DUMMYFUNCTION("""COMPUTED_VALUE"""),"Nhà hàng")</f>
        <v>Nhà hàng</v>
      </c>
      <c r="P16" s="1"/>
      <c r="Q16" s="1" t="str">
        <f ca="1">IFERROR(__xludf.DUMMYFUNCTION("""COMPUTED_VALUE"""),"9/1/2025")</f>
        <v>9/1/2025</v>
      </c>
      <c r="R16" s="1" t="str">
        <f ca="1">IFERROR(__xludf.DUMMYFUNCTION("""COMPUTED_VALUE"""),"cam kết")</f>
        <v>cam kết</v>
      </c>
      <c r="S16" s="1" t="str">
        <f ca="1">IFERROR(__xludf.DUMMYFUNCTION("""COMPUTED_VALUE"""),"Chuyên đề")</f>
        <v>Chuyên đề</v>
      </c>
      <c r="T16" s="1" t="str">
        <f ca="1">IFERROR(__xludf.DUMMYFUNCTION("""COMPUTED_VALUE"""),"Mai Thị Thương")</f>
        <v>Mai Thị Thương</v>
      </c>
      <c r="U16" s="4">
        <f ca="1">IFERROR(__xludf.DUMMYFUNCTION("""COMPUTED_VALUE"""),45698)</f>
        <v>45698</v>
      </c>
      <c r="V16" s="4">
        <f ca="1">IFERROR(__xludf.DUMMYFUNCTION("""COMPUTED_VALUE"""),45787)</f>
        <v>45787</v>
      </c>
      <c r="W16" s="1">
        <f ca="1">IFERROR(__xludf.DUMMYFUNCTION("""COMPUTED_VALUE"""),15)</f>
        <v>15</v>
      </c>
      <c r="X16" s="3">
        <f ca="1">IFERROR(__xludf.DUMMYFUNCTION("""COMPUTED_VALUE"""),45962)</f>
        <v>45962</v>
      </c>
      <c r="Y16" s="1" t="str">
        <f ca="1">IFERROR(__xludf.DUMMYFUNCTION("""COMPUTED_VALUE"""),"DUYỆT")</f>
        <v>DUYỆT</v>
      </c>
      <c r="Z16" s="3">
        <f ca="1">IFERROR(__xludf.DUMMYFUNCTION("""COMPUTED_VALUE"""),45870)</f>
        <v>45870</v>
      </c>
      <c r="AA16" s="1" t="str">
        <f ca="1">IFERROR(__xludf.DUMMYFUNCTION("""COMPUTED_VALUE"""),"Wyndham DaNang Golden Bay")</f>
        <v>Wyndham DaNang Golden Bay</v>
      </c>
      <c r="AB16" s="1" t="str">
        <f ca="1">IFERROR(__xludf.DUMMYFUNCTION("""COMPUTED_VALUE"""),"Nhà hàng")</f>
        <v>Nhà hàng</v>
      </c>
      <c r="AC16" s="1"/>
      <c r="AD16" s="1" t="str">
        <f ca="1">IFERROR(__xludf.DUMMYFUNCTION("""COMPUTED_VALUE"""),"sv phải đám bảo ko quá 5sv/nhà hàng")</f>
        <v>sv phải đám bảo ko quá 5sv/nhà hàng</v>
      </c>
      <c r="AE16" s="1" t="str">
        <f ca="1">IFERROR(__xludf.DUMMYFUNCTION("""COMPUTED_VALUE"""),"")</f>
        <v/>
      </c>
    </row>
    <row r="17" spans="1:31" x14ac:dyDescent="0.2">
      <c r="A17" s="6">
        <f ca="1">IFERROR(__xludf.DUMMYFUNCTION("""COMPUTED_VALUE"""),45666.4734239351)</f>
        <v>45666.473423935102</v>
      </c>
      <c r="B17" s="1"/>
      <c r="C17" s="1">
        <f ca="1">IFERROR(__xludf.DUMMYFUNCTION("""COMPUTED_VALUE"""),27215131988)</f>
        <v>27215131988</v>
      </c>
      <c r="D17" s="1" t="str">
        <f ca="1">IFERROR(__xludf.DUMMYFUNCTION("""COMPUTED_VALUE"""),"Nguyễn Lê Kiều Trinh")</f>
        <v>Nguyễn Lê Kiều Trinh</v>
      </c>
      <c r="E17" s="4"/>
      <c r="F17" s="1" t="str">
        <f ca="1">IFERROR(__xludf.DUMMYFUNCTION("""COMPUTED_VALUE"""),"K27DLK 7")</f>
        <v>K27DLK 7</v>
      </c>
      <c r="G17" s="1" t="str">
        <f ca="1">IFERROR(__xludf.DUMMYFUNCTION("""COMPUTED_VALUE"""),"Quản trị Du lịch &amp; Khách sạn")</f>
        <v>Quản trị Du lịch &amp; Khách sạn</v>
      </c>
      <c r="H17" s="1">
        <f ca="1">IFERROR(__xludf.DUMMYFUNCTION("""COMPUTED_VALUE"""),27)</f>
        <v>27</v>
      </c>
      <c r="I17" s="1"/>
      <c r="J17" s="1" t="str">
        <f ca="1">IFERROR(__xludf.DUMMYFUNCTION("""COMPUTED_VALUE"""),"Chuyên đề")</f>
        <v>Chuyên đề</v>
      </c>
      <c r="K17" s="1" t="str">
        <f ca="1">IFERROR(__xludf.DUMMYFUNCTION("""COMPUTED_VALUE"""),"Diamond Sea Hotel")</f>
        <v>Diamond Sea Hotel</v>
      </c>
      <c r="L17" s="1"/>
      <c r="M17" s="1" t="str">
        <f ca="1">IFERROR(__xludf.DUMMYFUNCTION("""COMPUTED_VALUE"""),"232 Võ Nguyên Giáp, Phước Mỹ, Sơn Trà, Đà Nẵng")</f>
        <v>232 Võ Nguyên Giáp, Phước Mỹ, Sơn Trà, Đà Nẵng</v>
      </c>
      <c r="N17" s="1" t="str">
        <f ca="1">IFERROR(__xludf.DUMMYFUNCTION("""COMPUTED_VALUE"""),"Thành phố Đà Nẵng ")</f>
        <v xml:space="preserve">Thành phố Đà Nẵng </v>
      </c>
      <c r="O17" s="1" t="str">
        <f ca="1">IFERROR(__xludf.DUMMYFUNCTION("""COMPUTED_VALUE"""),"Nhà hàng")</f>
        <v>Nhà hàng</v>
      </c>
      <c r="P17" s="1"/>
      <c r="Q17" s="1" t="str">
        <f ca="1">IFERROR(__xludf.DUMMYFUNCTION("""COMPUTED_VALUE"""),"10/02/2025")</f>
        <v>10/02/2025</v>
      </c>
      <c r="R17" s="1" t="str">
        <f ca="1">IFERROR(__xludf.DUMMYFUNCTION("""COMPUTED_VALUE"""),"cam kết")</f>
        <v>cam kết</v>
      </c>
      <c r="S17" s="1" t="str">
        <f ca="1">IFERROR(__xludf.DUMMYFUNCTION("""COMPUTED_VALUE"""),"Chuyên đề")</f>
        <v>Chuyên đề</v>
      </c>
      <c r="T17" s="1"/>
      <c r="U17" s="4">
        <f ca="1">IFERROR(__xludf.DUMMYFUNCTION("""COMPUTED_VALUE"""),45693)</f>
        <v>45693</v>
      </c>
      <c r="V17" s="4">
        <f ca="1">IFERROR(__xludf.DUMMYFUNCTION("""COMPUTED_VALUE"""),45787)</f>
        <v>45787</v>
      </c>
      <c r="W17" s="1">
        <f ca="1">IFERROR(__xludf.DUMMYFUNCTION("""COMPUTED_VALUE"""),16)</f>
        <v>16</v>
      </c>
      <c r="X17" s="3">
        <f ca="1">IFERROR(__xludf.DUMMYFUNCTION("""COMPUTED_VALUE"""),45871)</f>
        <v>45871</v>
      </c>
      <c r="Y17" s="1" t="str">
        <f ca="1">IFERROR(__xludf.DUMMYFUNCTION("""COMPUTED_VALUE"""),"DUYỆT")</f>
        <v>DUYỆT</v>
      </c>
      <c r="Z17" s="3">
        <f ca="1">IFERROR(__xludf.DUMMYFUNCTION("""COMPUTED_VALUE"""),45962)</f>
        <v>45962</v>
      </c>
      <c r="AA17" s="1" t="str">
        <f ca="1">IFERROR(__xludf.DUMMYFUNCTION("""COMPUTED_VALUE"""),"Diamond Sea Hotel")</f>
        <v>Diamond Sea Hotel</v>
      </c>
      <c r="AB17" s="1" t="str">
        <f ca="1">IFERROR(__xludf.DUMMYFUNCTION("""COMPUTED_VALUE"""),"Nhà hàng")</f>
        <v>Nhà hàng</v>
      </c>
      <c r="AC17" s="1"/>
      <c r="AD17" s="1"/>
      <c r="AE17" s="1" t="str">
        <f ca="1">IFERROR(__xludf.DUMMYFUNCTION("""COMPUTED_VALUE"""),"")</f>
        <v/>
      </c>
    </row>
    <row r="18" spans="1:31" x14ac:dyDescent="0.2">
      <c r="A18" s="6">
        <f ca="1">IFERROR(__xludf.DUMMYFUNCTION("""COMPUTED_VALUE"""),45666.4987955092)</f>
        <v>45666.4987955092</v>
      </c>
      <c r="B18" s="1"/>
      <c r="C18" s="1">
        <f ca="1">IFERROR(__xludf.DUMMYFUNCTION("""COMPUTED_VALUE"""),27217145582)</f>
        <v>27217145582</v>
      </c>
      <c r="D18" s="1" t="str">
        <f ca="1">IFERROR(__xludf.DUMMYFUNCTION("""COMPUTED_VALUE"""),"Nguyễn Thị Mỹ Duyên")</f>
        <v>Nguyễn Thị Mỹ Duyên</v>
      </c>
      <c r="E18" s="4"/>
      <c r="F18" s="1" t="str">
        <f ca="1">IFERROR(__xludf.DUMMYFUNCTION("""COMPUTED_VALUE"""),"K27DLK7")</f>
        <v>K27DLK7</v>
      </c>
      <c r="G18" s="1" t="str">
        <f ca="1">IFERROR(__xludf.DUMMYFUNCTION("""COMPUTED_VALUE"""),"Quản trị Du lịch &amp; Khách sạn")</f>
        <v>Quản trị Du lịch &amp; Khách sạn</v>
      </c>
      <c r="H18" s="1">
        <f ca="1">IFERROR(__xludf.DUMMYFUNCTION("""COMPUTED_VALUE"""),27)</f>
        <v>27</v>
      </c>
      <c r="I18" s="1"/>
      <c r="J18" s="1" t="str">
        <f ca="1">IFERROR(__xludf.DUMMYFUNCTION("""COMPUTED_VALUE"""),"Chuyên đề")</f>
        <v>Chuyên đề</v>
      </c>
      <c r="K18" s="1" t="str">
        <f ca="1">IFERROR(__xludf.DUMMYFUNCTION("""COMPUTED_VALUE"""),"Hyatt regency DaNang Resort")</f>
        <v>Hyatt regency DaNang Resort</v>
      </c>
      <c r="L18" s="1"/>
      <c r="M18" s="1" t="str">
        <f ca="1">IFERROR(__xludf.DUMMYFUNCTION("""COMPUTED_VALUE"""),"05 Trường Sa")</f>
        <v>05 Trường Sa</v>
      </c>
      <c r="N18" s="1" t="str">
        <f ca="1">IFERROR(__xludf.DUMMYFUNCTION("""COMPUTED_VALUE"""),"Đà Nẵng")</f>
        <v>Đà Nẵng</v>
      </c>
      <c r="O18" s="1" t="str">
        <f ca="1">IFERROR(__xludf.DUMMYFUNCTION("""COMPUTED_VALUE"""),"Buồng phòng")</f>
        <v>Buồng phòng</v>
      </c>
      <c r="P18" s="1"/>
      <c r="Q18" s="1" t="str">
        <f ca="1">IFERROR(__xludf.DUMMYFUNCTION("""COMPUTED_VALUE"""),"04/02/2024")</f>
        <v>04/02/2024</v>
      </c>
      <c r="R18" s="1" t="str">
        <f ca="1">IFERROR(__xludf.DUMMYFUNCTION("""COMPUTED_VALUE"""),"cam kết")</f>
        <v>cam kết</v>
      </c>
      <c r="S18" s="1" t="str">
        <f ca="1">IFERROR(__xludf.DUMMYFUNCTION("""COMPUTED_VALUE"""),"Chuyên đề")</f>
        <v>Chuyên đề</v>
      </c>
      <c r="T18" s="1"/>
      <c r="U18" s="4">
        <f ca="1">IFERROR(__xludf.DUMMYFUNCTION("""COMPUTED_VALUE"""),45691)</f>
        <v>45691</v>
      </c>
      <c r="V18" s="4">
        <f ca="1">IFERROR(__xludf.DUMMYFUNCTION("""COMPUTED_VALUE"""),45780)</f>
        <v>45780</v>
      </c>
      <c r="W18" s="1">
        <f ca="1">IFERROR(__xludf.DUMMYFUNCTION("""COMPUTED_VALUE"""),17)</f>
        <v>17</v>
      </c>
      <c r="X18" s="3">
        <f ca="1">IFERROR(__xludf.DUMMYFUNCTION("""COMPUTED_VALUE"""),45962)</f>
        <v>45962</v>
      </c>
      <c r="Y18" s="1" t="str">
        <f ca="1">IFERROR(__xludf.DUMMYFUNCTION("""COMPUTED_VALUE"""),"DUYỆT")</f>
        <v>DUYỆT</v>
      </c>
      <c r="Z18" s="3">
        <f ca="1">IFERROR(__xludf.DUMMYFUNCTION("""COMPUTED_VALUE"""),45962)</f>
        <v>45962</v>
      </c>
      <c r="AA18" s="1" t="str">
        <f ca="1">IFERROR(__xludf.DUMMYFUNCTION("""COMPUTED_VALUE"""),"Hyatt regency DaNang Resort")</f>
        <v>Hyatt regency DaNang Resort</v>
      </c>
      <c r="AB18" s="1" t="str">
        <f ca="1">IFERROR(__xludf.DUMMYFUNCTION("""COMPUTED_VALUE"""),"Buồng phòng")</f>
        <v>Buồng phòng</v>
      </c>
      <c r="AC18" s="1"/>
      <c r="AD18" s="1" t="str">
        <f ca="1">IFERROR(__xludf.DUMMYFUNCTION("""COMPUTED_VALUE"""),"chưa có thông tin người hướng dẫn tại ks")</f>
        <v>chưa có thông tin người hướng dẫn tại ks</v>
      </c>
      <c r="AE18" s="1" t="str">
        <f ca="1">IFERROR(__xludf.DUMMYFUNCTION("""COMPUTED_VALUE"""),"")</f>
        <v/>
      </c>
    </row>
    <row r="19" spans="1:31" x14ac:dyDescent="0.2">
      <c r="A19" s="6">
        <f ca="1">IFERROR(__xludf.DUMMYFUNCTION("""COMPUTED_VALUE"""),45666.5070651388)</f>
        <v>45666.507065138801</v>
      </c>
      <c r="B19" s="1"/>
      <c r="C19" s="1">
        <f ca="1">IFERROR(__xludf.DUMMYFUNCTION("""COMPUTED_VALUE"""),27207101459)</f>
        <v>27207101459</v>
      </c>
      <c r="D19" s="1" t="str">
        <f ca="1">IFERROR(__xludf.DUMMYFUNCTION("""COMPUTED_VALUE"""),"Phạm Thị Ánh Tuyết ")</f>
        <v xml:space="preserve">Phạm Thị Ánh Tuyết </v>
      </c>
      <c r="E19" s="4"/>
      <c r="F19" s="1" t="str">
        <f ca="1">IFERROR(__xludf.DUMMYFUNCTION("""COMPUTED_VALUE"""),"K27DLK3 ")</f>
        <v xml:space="preserve">K27DLK3 </v>
      </c>
      <c r="G19" s="1" t="str">
        <f ca="1">IFERROR(__xludf.DUMMYFUNCTION("""COMPUTED_VALUE"""),"Quản trị Du lịch &amp; Khách sạn")</f>
        <v>Quản trị Du lịch &amp; Khách sạn</v>
      </c>
      <c r="H19" s="1">
        <f ca="1">IFERROR(__xludf.DUMMYFUNCTION("""COMPUTED_VALUE"""),27)</f>
        <v>27</v>
      </c>
      <c r="I19" s="1"/>
      <c r="J19" s="1" t="str">
        <f ca="1">IFERROR(__xludf.DUMMYFUNCTION("""COMPUTED_VALUE"""),"Chuyên đề")</f>
        <v>Chuyên đề</v>
      </c>
      <c r="K19" s="1" t="str">
        <f ca="1">IFERROR(__xludf.DUMMYFUNCTION("""COMPUTED_VALUE"""),"Meliá Vinpearl Danang Riverfront")</f>
        <v>Meliá Vinpearl Danang Riverfront</v>
      </c>
      <c r="L19" s="1"/>
      <c r="M19" s="1" t="str">
        <f ca="1">IFERROR(__xludf.DUMMYFUNCTION("""COMPUTED_VALUE"""),"341 Trần Hưng Đạo")</f>
        <v>341 Trần Hưng Đạo</v>
      </c>
      <c r="N19" s="1" t="str">
        <f ca="1">IFERROR(__xludf.DUMMYFUNCTION("""COMPUTED_VALUE"""),"Đà Nẵng ")</f>
        <v xml:space="preserve">Đà Nẵng </v>
      </c>
      <c r="O19" s="1" t="str">
        <f ca="1">IFERROR(__xludf.DUMMYFUNCTION("""COMPUTED_VALUE"""),"Buồng phòng")</f>
        <v>Buồng phòng</v>
      </c>
      <c r="P19" s="1"/>
      <c r="Q19" s="1" t="str">
        <f ca="1">IFERROR(__xludf.DUMMYFUNCTION("""COMPUTED_VALUE"""),"10/02/2025")</f>
        <v>10/02/2025</v>
      </c>
      <c r="R19" s="1" t="str">
        <f ca="1">IFERROR(__xludf.DUMMYFUNCTION("""COMPUTED_VALUE"""),"cam kết")</f>
        <v>cam kết</v>
      </c>
      <c r="S19" s="1" t="str">
        <f ca="1">IFERROR(__xludf.DUMMYFUNCTION("""COMPUTED_VALUE"""),"Chuyên đề")</f>
        <v>Chuyên đề</v>
      </c>
      <c r="T19" s="1"/>
      <c r="U19" s="4">
        <f ca="1">IFERROR(__xludf.DUMMYFUNCTION("""COMPUTED_VALUE"""),45698)</f>
        <v>45698</v>
      </c>
      <c r="V19" s="4">
        <f ca="1">IFERROR(__xludf.DUMMYFUNCTION("""COMPUTED_VALUE"""),45787)</f>
        <v>45787</v>
      </c>
      <c r="W19" s="1">
        <f ca="1">IFERROR(__xludf.DUMMYFUNCTION("""COMPUTED_VALUE"""),18)</f>
        <v>18</v>
      </c>
      <c r="X19" s="3">
        <f ca="1">IFERROR(__xludf.DUMMYFUNCTION("""COMPUTED_VALUE"""),45871)</f>
        <v>45871</v>
      </c>
      <c r="Y19" s="1" t="str">
        <f ca="1">IFERROR(__xludf.DUMMYFUNCTION("""COMPUTED_VALUE"""),"DUYỆT")</f>
        <v>DUYỆT</v>
      </c>
      <c r="Z19" s="3">
        <f ca="1">IFERROR(__xludf.DUMMYFUNCTION("""COMPUTED_VALUE"""),45962)</f>
        <v>45962</v>
      </c>
      <c r="AA19" s="1" t="str">
        <f ca="1">IFERROR(__xludf.DUMMYFUNCTION("""COMPUTED_VALUE"""),"Meliá Vinpearl Danang Riverfront")</f>
        <v>Meliá Vinpearl Danang Riverfront</v>
      </c>
      <c r="AB19" s="1" t="str">
        <f ca="1">IFERROR(__xludf.DUMMYFUNCTION("""COMPUTED_VALUE"""),"Buồng phòng")</f>
        <v>Buồng phòng</v>
      </c>
      <c r="AC19" s="1"/>
      <c r="AD19" s="1" t="str">
        <f ca="1">IFERROR(__xludf.DUMMYFUNCTION("""COMPUTED_VALUE"""),"chưa có thông tin người hướng dẫn tại ks")</f>
        <v>chưa có thông tin người hướng dẫn tại ks</v>
      </c>
      <c r="AE19" s="1" t="str">
        <f ca="1">IFERROR(__xludf.DUMMYFUNCTION("""COMPUTED_VALUE"""),"")</f>
        <v/>
      </c>
    </row>
    <row r="20" spans="1:31" x14ac:dyDescent="0.2">
      <c r="A20" s="6">
        <f ca="1">IFERROR(__xludf.DUMMYFUNCTION("""COMPUTED_VALUE"""),45666.648275868)</f>
        <v>45666.648275867999</v>
      </c>
      <c r="B20" s="1"/>
      <c r="C20" s="1">
        <f ca="1">IFERROR(__xludf.DUMMYFUNCTION("""COMPUTED_VALUE"""),27203801181)</f>
        <v>27203801181</v>
      </c>
      <c r="D20" s="1" t="str">
        <f ca="1">IFERROR(__xludf.DUMMYFUNCTION("""COMPUTED_VALUE"""),"Nguyễn Phùng Linh Chi")</f>
        <v>Nguyễn Phùng Linh Chi</v>
      </c>
      <c r="E20" s="4"/>
      <c r="F20" s="1" t="str">
        <f ca="1">IFERROR(__xludf.DUMMYFUNCTION("""COMPUTED_VALUE"""),"K27DLK7")</f>
        <v>K27DLK7</v>
      </c>
      <c r="G20" s="1" t="str">
        <f ca="1">IFERROR(__xludf.DUMMYFUNCTION("""COMPUTED_VALUE"""),"Quản trị Du lịch &amp; Khách sạn")</f>
        <v>Quản trị Du lịch &amp; Khách sạn</v>
      </c>
      <c r="H20" s="1">
        <f ca="1">IFERROR(__xludf.DUMMYFUNCTION("""COMPUTED_VALUE"""),27)</f>
        <v>27</v>
      </c>
      <c r="I20" s="1"/>
      <c r="J20" s="1" t="str">
        <f ca="1">IFERROR(__xludf.DUMMYFUNCTION("""COMPUTED_VALUE"""),"Chuyên đề")</f>
        <v>Chuyên đề</v>
      </c>
      <c r="K20" s="1" t="str">
        <f ca="1">IFERROR(__xludf.DUMMYFUNCTION("""COMPUTED_VALUE"""),"Hyatt regency DaNang Resort")</f>
        <v>Hyatt regency DaNang Resort</v>
      </c>
      <c r="L20" s="1"/>
      <c r="M20" s="1" t="str">
        <f ca="1">IFERROR(__xludf.DUMMYFUNCTION("""COMPUTED_VALUE"""),"05 Trường Sa, Hoà Hải, Ngũ Hành Sơn")</f>
        <v>05 Trường Sa, Hoà Hải, Ngũ Hành Sơn</v>
      </c>
      <c r="N20" s="1" t="str">
        <f ca="1">IFERROR(__xludf.DUMMYFUNCTION("""COMPUTED_VALUE"""),"Đà Nẵng")</f>
        <v>Đà Nẵng</v>
      </c>
      <c r="O20" s="1" t="str">
        <f ca="1">IFERROR(__xludf.DUMMYFUNCTION("""COMPUTED_VALUE"""),"Buồng phòng")</f>
        <v>Buồng phòng</v>
      </c>
      <c r="P20" s="1"/>
      <c r="Q20" s="1" t="str">
        <f ca="1">IFERROR(__xludf.DUMMYFUNCTION("""COMPUTED_VALUE"""),"09/01/2025")</f>
        <v>09/01/2025</v>
      </c>
      <c r="R20" s="1" t="str">
        <f ca="1">IFERROR(__xludf.DUMMYFUNCTION("""COMPUTED_VALUE"""),"cam kết")</f>
        <v>cam kết</v>
      </c>
      <c r="S20" s="1" t="str">
        <f ca="1">IFERROR(__xludf.DUMMYFUNCTION("""COMPUTED_VALUE"""),"Chuyên đề")</f>
        <v>Chuyên đề</v>
      </c>
      <c r="T20" s="1"/>
      <c r="U20" s="4">
        <f ca="1">IFERROR(__xludf.DUMMYFUNCTION("""COMPUTED_VALUE"""),45691)</f>
        <v>45691</v>
      </c>
      <c r="V20" s="4">
        <f ca="1">IFERROR(__xludf.DUMMYFUNCTION("""COMPUTED_VALUE"""),45780)</f>
        <v>45780</v>
      </c>
      <c r="W20" s="1">
        <f ca="1">IFERROR(__xludf.DUMMYFUNCTION("""COMPUTED_VALUE"""),19)</f>
        <v>19</v>
      </c>
      <c r="X20" s="3">
        <f ca="1">IFERROR(__xludf.DUMMYFUNCTION("""COMPUTED_VALUE"""),45962)</f>
        <v>45962</v>
      </c>
      <c r="Y20" s="1" t="str">
        <f ca="1">IFERROR(__xludf.DUMMYFUNCTION("""COMPUTED_VALUE"""),"DUYỆT")</f>
        <v>DUYỆT</v>
      </c>
      <c r="Z20" s="3">
        <f ca="1">IFERROR(__xludf.DUMMYFUNCTION("""COMPUTED_VALUE"""),45962)</f>
        <v>45962</v>
      </c>
      <c r="AA20" s="1" t="str">
        <f ca="1">IFERROR(__xludf.DUMMYFUNCTION("""COMPUTED_VALUE"""),"Hyatt regency DaNang Resort")</f>
        <v>Hyatt regency DaNang Resort</v>
      </c>
      <c r="AB20" s="1" t="str">
        <f ca="1">IFERROR(__xludf.DUMMYFUNCTION("""COMPUTED_VALUE"""),"Buồng phòng")</f>
        <v>Buồng phòng</v>
      </c>
      <c r="AC20" s="1"/>
      <c r="AD20" s="1" t="str">
        <f ca="1">IFERROR(__xludf.DUMMYFUNCTION("""COMPUTED_VALUE"""),"chưa có thông tin người hướng dẫn tại ks")</f>
        <v>chưa có thông tin người hướng dẫn tại ks</v>
      </c>
      <c r="AE20" s="1" t="str">
        <f ca="1">IFERROR(__xludf.DUMMYFUNCTION("""COMPUTED_VALUE"""),"")</f>
        <v/>
      </c>
    </row>
    <row r="21" spans="1:31" x14ac:dyDescent="0.2">
      <c r="A21" s="6">
        <f ca="1">IFERROR(__xludf.DUMMYFUNCTION("""COMPUTED_VALUE"""),45666.6533926851)</f>
        <v>45666.653392685097</v>
      </c>
      <c r="B21" s="1"/>
      <c r="C21" s="1">
        <f ca="1">IFERROR(__xludf.DUMMYFUNCTION("""COMPUTED_VALUE"""),27207133735)</f>
        <v>27207133735</v>
      </c>
      <c r="D21" s="1" t="str">
        <f ca="1">IFERROR(__xludf.DUMMYFUNCTION("""COMPUTED_VALUE"""),"Nguyễn Thị Thuý Hiền ")</f>
        <v xml:space="preserve">Nguyễn Thị Thuý Hiền </v>
      </c>
      <c r="E21" s="4"/>
      <c r="F21" s="1" t="str">
        <f ca="1">IFERROR(__xludf.DUMMYFUNCTION("""COMPUTED_VALUE"""),"K27DLK1")</f>
        <v>K27DLK1</v>
      </c>
      <c r="G21" s="1" t="str">
        <f ca="1">IFERROR(__xludf.DUMMYFUNCTION("""COMPUTED_VALUE"""),"Quản trị Du lịch &amp; Khách sạn")</f>
        <v>Quản trị Du lịch &amp; Khách sạn</v>
      </c>
      <c r="H21" s="1">
        <f ca="1">IFERROR(__xludf.DUMMYFUNCTION("""COMPUTED_VALUE"""),27)</f>
        <v>27</v>
      </c>
      <c r="I21" s="1"/>
      <c r="J21" s="1" t="str">
        <f ca="1">IFERROR(__xludf.DUMMYFUNCTION("""COMPUTED_VALUE"""),"Chuyên đề")</f>
        <v>Chuyên đề</v>
      </c>
      <c r="K21" s="1" t="str">
        <f ca="1">IFERROR(__xludf.DUMMYFUNCTION("""COMPUTED_VALUE"""),"Wyndham DaNang Golden Bay")</f>
        <v>Wyndham DaNang Golden Bay</v>
      </c>
      <c r="L21" s="1"/>
      <c r="M21" s="1" t="str">
        <f ca="1">IFERROR(__xludf.DUMMYFUNCTION("""COMPUTED_VALUE"""),"01 Lê Văn Duyệt, Nại Hiên Đông, Sơn Trà, Đà Nẵng")</f>
        <v>01 Lê Văn Duyệt, Nại Hiên Đông, Sơn Trà, Đà Nẵng</v>
      </c>
      <c r="N21" s="1" t="str">
        <f ca="1">IFERROR(__xludf.DUMMYFUNCTION("""COMPUTED_VALUE"""),"TP.Đà Nẵng")</f>
        <v>TP.Đà Nẵng</v>
      </c>
      <c r="O21" s="1" t="str">
        <f ca="1">IFERROR(__xludf.DUMMYFUNCTION("""COMPUTED_VALUE"""),"Tiền sảnh")</f>
        <v>Tiền sảnh</v>
      </c>
      <c r="P21" s="1"/>
      <c r="Q21" s="1" t="str">
        <f ca="1">IFERROR(__xludf.DUMMYFUNCTION("""COMPUTED_VALUE"""),"03/01/2025")</f>
        <v>03/01/2025</v>
      </c>
      <c r="R21" s="1" t="str">
        <f ca="1">IFERROR(__xludf.DUMMYFUNCTION("""COMPUTED_VALUE"""),"cam kết")</f>
        <v>cam kết</v>
      </c>
      <c r="S21" s="1" t="str">
        <f ca="1">IFERROR(__xludf.DUMMYFUNCTION("""COMPUTED_VALUE"""),"Chuyên đề")</f>
        <v>Chuyên đề</v>
      </c>
      <c r="T21" s="1" t="str">
        <f ca="1">IFERROR(__xludf.DUMMYFUNCTION("""COMPUTED_VALUE"""),"Mai Thị Thương")</f>
        <v>Mai Thị Thương</v>
      </c>
      <c r="U21" s="4">
        <f ca="1">IFERROR(__xludf.DUMMYFUNCTION("""COMPUTED_VALUE"""),45660)</f>
        <v>45660</v>
      </c>
      <c r="V21" s="4">
        <f ca="1">IFERROR(__xludf.DUMMYFUNCTION("""COMPUTED_VALUE"""),45750)</f>
        <v>45750</v>
      </c>
      <c r="W21" s="1">
        <f ca="1">IFERROR(__xludf.DUMMYFUNCTION("""COMPUTED_VALUE"""),20)</f>
        <v>20</v>
      </c>
      <c r="X21" s="3">
        <f ca="1">IFERROR(__xludf.DUMMYFUNCTION("""COMPUTED_VALUE"""),45962)</f>
        <v>45962</v>
      </c>
      <c r="Y21" s="1" t="str">
        <f ca="1">IFERROR(__xludf.DUMMYFUNCTION("""COMPUTED_VALUE"""),"DUYỆT")</f>
        <v>DUYỆT</v>
      </c>
      <c r="Z21" s="3">
        <f ca="1">IFERROR(__xludf.DUMMYFUNCTION("""COMPUTED_VALUE"""),45962)</f>
        <v>45962</v>
      </c>
      <c r="AA21" s="1" t="str">
        <f ca="1">IFERROR(__xludf.DUMMYFUNCTION("""COMPUTED_VALUE"""),"Wyndham DaNang Golden Bay")</f>
        <v>Wyndham DaNang Golden Bay</v>
      </c>
      <c r="AB21" s="1" t="str">
        <f ca="1">IFERROR(__xludf.DUMMYFUNCTION("""COMPUTED_VALUE"""),"Tiền sảnh")</f>
        <v>Tiền sảnh</v>
      </c>
      <c r="AC21" s="1"/>
      <c r="AD21" s="1"/>
      <c r="AE21" s="1" t="str">
        <f ca="1">IFERROR(__xludf.DUMMYFUNCTION("""COMPUTED_VALUE"""),"")</f>
        <v/>
      </c>
    </row>
    <row r="22" spans="1:31" x14ac:dyDescent="0.2">
      <c r="A22" s="6">
        <f ca="1">IFERROR(__xludf.DUMMYFUNCTION("""COMPUTED_VALUE"""),45666.6744115972)</f>
        <v>45666.674411597203</v>
      </c>
      <c r="B22" s="1"/>
      <c r="C22" s="1">
        <f ca="1">IFERROR(__xludf.DUMMYFUNCTION("""COMPUTED_VALUE"""),27217126810)</f>
        <v>27217126810</v>
      </c>
      <c r="D22" s="1" t="str">
        <f ca="1">IFERROR(__xludf.DUMMYFUNCTION("""COMPUTED_VALUE"""),"Nguyễn Văn Hưng")</f>
        <v>Nguyễn Văn Hưng</v>
      </c>
      <c r="E22" s="4"/>
      <c r="F22" s="1" t="str">
        <f ca="1">IFERROR(__xludf.DUMMYFUNCTION("""COMPUTED_VALUE"""),"K27DLK 2")</f>
        <v>K27DLK 2</v>
      </c>
      <c r="G22" s="1" t="str">
        <f ca="1">IFERROR(__xludf.DUMMYFUNCTION("""COMPUTED_VALUE"""),"Quản trị Du lịch &amp; Khách sạn")</f>
        <v>Quản trị Du lịch &amp; Khách sạn</v>
      </c>
      <c r="H22" s="1">
        <f ca="1">IFERROR(__xludf.DUMMYFUNCTION("""COMPUTED_VALUE"""),27)</f>
        <v>27</v>
      </c>
      <c r="I22" s="1"/>
      <c r="J22" s="1" t="str">
        <f ca="1">IFERROR(__xludf.DUMMYFUNCTION("""COMPUTED_VALUE"""),"Chuyên đề")</f>
        <v>Chuyên đề</v>
      </c>
      <c r="K22" s="1" t="str">
        <f ca="1">IFERROR(__xludf.DUMMYFUNCTION("""COMPUTED_VALUE"""),"Wyndham DaNang Golden Bay")</f>
        <v>Wyndham DaNang Golden Bay</v>
      </c>
      <c r="L22" s="1"/>
      <c r="M22" s="1" t="str">
        <f ca="1">IFERROR(__xludf.DUMMYFUNCTION("""COMPUTED_VALUE"""),"01 Lê Văn Duyệt, Nại Hiên Đông, Sơn Trà, Đà Nẵng")</f>
        <v>01 Lê Văn Duyệt, Nại Hiên Đông, Sơn Trà, Đà Nẵng</v>
      </c>
      <c r="N22" s="1" t="str">
        <f ca="1">IFERROR(__xludf.DUMMYFUNCTION("""COMPUTED_VALUE"""),"Đà Nẵng")</f>
        <v>Đà Nẵng</v>
      </c>
      <c r="O22" s="1" t="str">
        <f ca="1">IFERROR(__xludf.DUMMYFUNCTION("""COMPUTED_VALUE"""),"Tiền sảnh")</f>
        <v>Tiền sảnh</v>
      </c>
      <c r="P22" s="1"/>
      <c r="Q22" s="1" t="str">
        <f ca="1">IFERROR(__xludf.DUMMYFUNCTION("""COMPUTED_VALUE"""),"Ngày 07/01/2025")</f>
        <v>Ngày 07/01/2025</v>
      </c>
      <c r="R22" s="1" t="str">
        <f ca="1">IFERROR(__xludf.DUMMYFUNCTION("""COMPUTED_VALUE"""),"cam kết")</f>
        <v>cam kết</v>
      </c>
      <c r="S22" s="1" t="str">
        <f ca="1">IFERROR(__xludf.DUMMYFUNCTION("""COMPUTED_VALUE"""),"Chuyên đề")</f>
        <v>Chuyên đề</v>
      </c>
      <c r="T22" s="1" t="str">
        <f ca="1">IFERROR(__xludf.DUMMYFUNCTION("""COMPUTED_VALUE"""),"Mai Thị Thương")</f>
        <v>Mai Thị Thương</v>
      </c>
      <c r="U22" s="4">
        <f ca="1">IFERROR(__xludf.DUMMYFUNCTION("""COMPUTED_VALUE"""),45698)</f>
        <v>45698</v>
      </c>
      <c r="V22" s="4">
        <f ca="1">IFERROR(__xludf.DUMMYFUNCTION("""COMPUTED_VALUE"""),45787)</f>
        <v>45787</v>
      </c>
      <c r="W22" s="1">
        <f ca="1">IFERROR(__xludf.DUMMYFUNCTION("""COMPUTED_VALUE"""),21)</f>
        <v>21</v>
      </c>
      <c r="X22" s="3">
        <f ca="1">IFERROR(__xludf.DUMMYFUNCTION("""COMPUTED_VALUE"""),45962)</f>
        <v>45962</v>
      </c>
      <c r="Y22" s="1" t="str">
        <f ca="1">IFERROR(__xludf.DUMMYFUNCTION("""COMPUTED_VALUE"""),"DUYỆT")</f>
        <v>DUYỆT</v>
      </c>
      <c r="Z22" s="3">
        <f ca="1">IFERROR(__xludf.DUMMYFUNCTION("""COMPUTED_VALUE"""),45962)</f>
        <v>45962</v>
      </c>
      <c r="AA22" s="1" t="str">
        <f ca="1">IFERROR(__xludf.DUMMYFUNCTION("""COMPUTED_VALUE"""),"Wyndham DaNang Golden Bay")</f>
        <v>Wyndham DaNang Golden Bay</v>
      </c>
      <c r="AB22" s="1" t="str">
        <f ca="1">IFERROR(__xludf.DUMMYFUNCTION("""COMPUTED_VALUE"""),"Tiền sảnh")</f>
        <v>Tiền sảnh</v>
      </c>
      <c r="AC22" s="1"/>
      <c r="AD22" s="1"/>
      <c r="AE22" s="1" t="str">
        <f ca="1">IFERROR(__xludf.DUMMYFUNCTION("""COMPUTED_VALUE"""),"")</f>
        <v/>
      </c>
    </row>
    <row r="23" spans="1:31" x14ac:dyDescent="0.2">
      <c r="A23" s="6">
        <f ca="1">IFERROR(__xludf.DUMMYFUNCTION("""COMPUTED_VALUE"""),45666.7273917245)</f>
        <v>45666.727391724497</v>
      </c>
      <c r="B23" s="1"/>
      <c r="C23" s="1">
        <f ca="1">IFERROR(__xludf.DUMMYFUNCTION("""COMPUTED_VALUE"""),27207134467)</f>
        <v>27207134467</v>
      </c>
      <c r="D23" s="1" t="str">
        <f ca="1">IFERROR(__xludf.DUMMYFUNCTION("""COMPUTED_VALUE"""),"Nguyễn Thị Kim Lên")</f>
        <v>Nguyễn Thị Kim Lên</v>
      </c>
      <c r="E23" s="4"/>
      <c r="F23" s="1" t="str">
        <f ca="1">IFERROR(__xludf.DUMMYFUNCTION("""COMPUTED_VALUE"""),"K27DLK3")</f>
        <v>K27DLK3</v>
      </c>
      <c r="G23" s="1" t="str">
        <f ca="1">IFERROR(__xludf.DUMMYFUNCTION("""COMPUTED_VALUE"""),"Quản trị Du lịch &amp; Khách sạn")</f>
        <v>Quản trị Du lịch &amp; Khách sạn</v>
      </c>
      <c r="H23" s="1">
        <f ca="1">IFERROR(__xludf.DUMMYFUNCTION("""COMPUTED_VALUE"""),27)</f>
        <v>27</v>
      </c>
      <c r="I23" s="1"/>
      <c r="J23" s="1" t="str">
        <f ca="1">IFERROR(__xludf.DUMMYFUNCTION("""COMPUTED_VALUE"""),"Chuyên đề")</f>
        <v>Chuyên đề</v>
      </c>
      <c r="K23" s="1" t="str">
        <f ca="1">IFERROR(__xludf.DUMMYFUNCTION("""COMPUTED_VALUE"""),"Khách sạn Đức Long Gia Lai - Dung Quất")</f>
        <v>Khách sạn Đức Long Gia Lai - Dung Quất</v>
      </c>
      <c r="L23" s="1" t="str">
        <f ca="1">IFERROR(__xludf.DUMMYFUNCTION("""COMPUTED_VALUE"""),"Khách sạn Đức Long Gia Lai - Dung Quất")</f>
        <v>Khách sạn Đức Long Gia Lai - Dung Quất</v>
      </c>
      <c r="M23" s="1" t="str">
        <f ca="1">IFERROR(__xludf.DUMMYFUNCTION("""COMPUTED_VALUE"""),"Ngã ba Dốc Sỏi - khu kinh tế Dung Quất xã bình chánh huyện bình sơn tỉnh quảng ngãi")</f>
        <v>Ngã ba Dốc Sỏi - khu kinh tế Dung Quất xã bình chánh huyện bình sơn tỉnh quảng ngãi</v>
      </c>
      <c r="N23" s="1" t="str">
        <f ca="1">IFERROR(__xludf.DUMMYFUNCTION("""COMPUTED_VALUE"""),"Quảng ngãi")</f>
        <v>Quảng ngãi</v>
      </c>
      <c r="O23" s="1" t="str">
        <f ca="1">IFERROR(__xludf.DUMMYFUNCTION("""COMPUTED_VALUE"""),"Lễ tân")</f>
        <v>Lễ tân</v>
      </c>
      <c r="P23" s="1" t="str">
        <f ca="1">IFERROR(__xludf.DUMMYFUNCTION("""COMPUTED_VALUE"""),"Lễ tân")</f>
        <v>Lễ tân</v>
      </c>
      <c r="Q23" s="1" t="str">
        <f ca="1">IFERROR(__xludf.DUMMYFUNCTION("""COMPUTED_VALUE"""),"7/1/2025")</f>
        <v>7/1/2025</v>
      </c>
      <c r="R23" s="1" t="str">
        <f ca="1">IFERROR(__xludf.DUMMYFUNCTION("""COMPUTED_VALUE"""),"cam kết")</f>
        <v>cam kết</v>
      </c>
      <c r="S23" s="1" t="str">
        <f ca="1">IFERROR(__xludf.DUMMYFUNCTION("""COMPUTED_VALUE"""),"Chuyên đề")</f>
        <v>Chuyên đề</v>
      </c>
      <c r="T23" s="1"/>
      <c r="U23" s="4">
        <f ca="1">IFERROR(__xludf.DUMMYFUNCTION("""COMPUTED_VALUE"""),45698)</f>
        <v>45698</v>
      </c>
      <c r="V23" s="4">
        <f ca="1">IFERROR(__xludf.DUMMYFUNCTION("""COMPUTED_VALUE"""),45787)</f>
        <v>45787</v>
      </c>
      <c r="W23" s="1">
        <f ca="1">IFERROR(__xludf.DUMMYFUNCTION("""COMPUTED_VALUE"""),22)</f>
        <v>22</v>
      </c>
      <c r="X23" s="3">
        <f ca="1">IFERROR(__xludf.DUMMYFUNCTION("""COMPUTED_VALUE"""),45962)</f>
        <v>45962</v>
      </c>
      <c r="Y23" s="1" t="str">
        <f ca="1">IFERROR(__xludf.DUMMYFUNCTION("""COMPUTED_VALUE"""),"DUYỆT")</f>
        <v>DUYỆT</v>
      </c>
      <c r="Z23" s="3">
        <f ca="1">IFERROR(__xludf.DUMMYFUNCTION("""COMPUTED_VALUE"""),45962)</f>
        <v>45962</v>
      </c>
      <c r="AA23" s="1" t="str">
        <f ca="1">IFERROR(__xludf.DUMMYFUNCTION("""COMPUTED_VALUE"""),"Khách sạn Đức Long Gia Lai - Dung Quất")</f>
        <v>Khách sạn Đức Long Gia Lai - Dung Quất</v>
      </c>
      <c r="AB23" s="1" t="str">
        <f ca="1">IFERROR(__xludf.DUMMYFUNCTION("""COMPUTED_VALUE"""),"Lễ tân")</f>
        <v>Lễ tân</v>
      </c>
      <c r="AC23" s="1"/>
      <c r="AD23" s="1"/>
      <c r="AE23" s="1" t="str">
        <f ca="1">IFERROR(__xludf.DUMMYFUNCTION("""COMPUTED_VALUE"""),"")</f>
        <v/>
      </c>
    </row>
    <row r="24" spans="1:31" x14ac:dyDescent="0.2">
      <c r="A24" s="6">
        <f ca="1">IFERROR(__xludf.DUMMYFUNCTION("""COMPUTED_VALUE"""),45666.7308724652)</f>
        <v>45666.730872465203</v>
      </c>
      <c r="B24" s="1"/>
      <c r="C24" s="1">
        <f ca="1">IFERROR(__xludf.DUMMYFUNCTION("""COMPUTED_VALUE"""),27217144395)</f>
        <v>27217144395</v>
      </c>
      <c r="D24" s="1" t="str">
        <f ca="1">IFERROR(__xludf.DUMMYFUNCTION("""COMPUTED_VALUE"""),"Phan Ngọc Nguyên Anh")</f>
        <v>Phan Ngọc Nguyên Anh</v>
      </c>
      <c r="E24" s="4"/>
      <c r="F24" s="1" t="str">
        <f ca="1">IFERROR(__xludf.DUMMYFUNCTION("""COMPUTED_VALUE"""),"K27DLK6")</f>
        <v>K27DLK6</v>
      </c>
      <c r="G24" s="1" t="str">
        <f ca="1">IFERROR(__xludf.DUMMYFUNCTION("""COMPUTED_VALUE"""),"Quản trị Du lịch &amp; Khách sạn")</f>
        <v>Quản trị Du lịch &amp; Khách sạn</v>
      </c>
      <c r="H24" s="1">
        <f ca="1">IFERROR(__xludf.DUMMYFUNCTION("""COMPUTED_VALUE"""),27)</f>
        <v>27</v>
      </c>
      <c r="I24" s="1"/>
      <c r="J24" s="1" t="str">
        <f ca="1">IFERROR(__xludf.DUMMYFUNCTION("""COMPUTED_VALUE"""),"Chuyên đề")</f>
        <v>Chuyên đề</v>
      </c>
      <c r="K24" s="1" t="str">
        <f ca="1">IFERROR(__xludf.DUMMYFUNCTION("""COMPUTED_VALUE"""),"Wyndham DaNang Golden Bay")</f>
        <v>Wyndham DaNang Golden Bay</v>
      </c>
      <c r="L24" s="1"/>
      <c r="M24" s="1" t="str">
        <f ca="1">IFERROR(__xludf.DUMMYFUNCTION("""COMPUTED_VALUE"""),"01 Lê Văn Duyệt, Nại Hiên Đông, Sơn Trà, Đà Nẵng 550000")</f>
        <v>01 Lê Văn Duyệt, Nại Hiên Đông, Sơn Trà, Đà Nẵng 550000</v>
      </c>
      <c r="N24" s="1" t="str">
        <f ca="1">IFERROR(__xludf.DUMMYFUNCTION("""COMPUTED_VALUE"""),"Đà nẵng")</f>
        <v>Đà nẵng</v>
      </c>
      <c r="O24" s="1" t="str">
        <f ca="1">IFERROR(__xludf.DUMMYFUNCTION("""COMPUTED_VALUE"""),"Buồng phòng")</f>
        <v>Buồng phòng</v>
      </c>
      <c r="P24" s="1"/>
      <c r="Q24" s="1" t="str">
        <f ca="1">IFERROR(__xludf.DUMMYFUNCTION("""COMPUTED_VALUE"""),"7/1/2025")</f>
        <v>7/1/2025</v>
      </c>
      <c r="R24" s="1" t="str">
        <f ca="1">IFERROR(__xludf.DUMMYFUNCTION("""COMPUTED_VALUE"""),"cam kết")</f>
        <v>cam kết</v>
      </c>
      <c r="S24" s="1" t="str">
        <f ca="1">IFERROR(__xludf.DUMMYFUNCTION("""COMPUTED_VALUE"""),"Chuyên đề")</f>
        <v>Chuyên đề</v>
      </c>
      <c r="T24" s="1"/>
      <c r="U24" s="4">
        <f ca="1">IFERROR(__xludf.DUMMYFUNCTION("""COMPUTED_VALUE"""),45698)</f>
        <v>45698</v>
      </c>
      <c r="V24" s="4">
        <f ca="1">IFERROR(__xludf.DUMMYFUNCTION("""COMPUTED_VALUE"""),45787)</f>
        <v>45787</v>
      </c>
      <c r="W24" s="1">
        <f ca="1">IFERROR(__xludf.DUMMYFUNCTION("""COMPUTED_VALUE"""),23)</f>
        <v>23</v>
      </c>
      <c r="X24" s="3">
        <f ca="1">IFERROR(__xludf.DUMMYFUNCTION("""COMPUTED_VALUE"""),45962)</f>
        <v>45962</v>
      </c>
      <c r="Y24" s="1" t="str">
        <f ca="1">IFERROR(__xludf.DUMMYFUNCTION("""COMPUTED_VALUE"""),"DUYỆT")</f>
        <v>DUYỆT</v>
      </c>
      <c r="Z24" s="3">
        <f ca="1">IFERROR(__xludf.DUMMYFUNCTION("""COMPUTED_VALUE"""),45962)</f>
        <v>45962</v>
      </c>
      <c r="AA24" s="1" t="str">
        <f ca="1">IFERROR(__xludf.DUMMYFUNCTION("""COMPUTED_VALUE"""),"Wyndham DaNang Golden Bay")</f>
        <v>Wyndham DaNang Golden Bay</v>
      </c>
      <c r="AB24" s="1" t="str">
        <f ca="1">IFERROR(__xludf.DUMMYFUNCTION("""COMPUTED_VALUE"""),"Buồng phòng")</f>
        <v>Buồng phòng</v>
      </c>
      <c r="AC24" s="1"/>
      <c r="AD24" s="1"/>
      <c r="AE24" s="1" t="str">
        <f ca="1">IFERROR(__xludf.DUMMYFUNCTION("""COMPUTED_VALUE"""),"")</f>
        <v/>
      </c>
    </row>
    <row r="25" spans="1:31" x14ac:dyDescent="0.2">
      <c r="A25" s="6">
        <f ca="1">IFERROR(__xludf.DUMMYFUNCTION("""COMPUTED_VALUE"""),45666.8641379398)</f>
        <v>45666.864137939803</v>
      </c>
      <c r="B25" s="1"/>
      <c r="C25" s="1">
        <f ca="1">IFERROR(__xludf.DUMMYFUNCTION("""COMPUTED_VALUE"""),27217137887)</f>
        <v>27217137887</v>
      </c>
      <c r="D25" s="1" t="str">
        <f ca="1">IFERROR(__xludf.DUMMYFUNCTION("""COMPUTED_VALUE"""),"Lê Quang Sơn ")</f>
        <v xml:space="preserve">Lê Quang Sơn </v>
      </c>
      <c r="E25" s="4"/>
      <c r="F25" s="1" t="str">
        <f ca="1">IFERROR(__xludf.DUMMYFUNCTION("""COMPUTED_VALUE"""),"K27DLK3")</f>
        <v>K27DLK3</v>
      </c>
      <c r="G25" s="1" t="str">
        <f ca="1">IFERROR(__xludf.DUMMYFUNCTION("""COMPUTED_VALUE"""),"Quản trị Du lịch &amp; Khách sạn")</f>
        <v>Quản trị Du lịch &amp; Khách sạn</v>
      </c>
      <c r="H25" s="1">
        <f ca="1">IFERROR(__xludf.DUMMYFUNCTION("""COMPUTED_VALUE"""),27)</f>
        <v>27</v>
      </c>
      <c r="I25" s="1"/>
      <c r="J25" s="1" t="str">
        <f ca="1">IFERROR(__xludf.DUMMYFUNCTION("""COMPUTED_VALUE"""),"Chuyên đề")</f>
        <v>Chuyên đề</v>
      </c>
      <c r="K25" s="1" t="str">
        <f ca="1">IFERROR(__xludf.DUMMYFUNCTION("""COMPUTED_VALUE"""),"Khách sạn Avatar Đà Nẵng ")</f>
        <v xml:space="preserve">Khách sạn Avatar Đà Nẵng </v>
      </c>
      <c r="L25" s="1" t="str">
        <f ca="1">IFERROR(__xludf.DUMMYFUNCTION("""COMPUTED_VALUE"""),"Khách sạn Avatar Đà Nẵng ")</f>
        <v xml:space="preserve">Khách sạn Avatar Đà Nẵng </v>
      </c>
      <c r="M25" s="1" t="str">
        <f ca="1">IFERROR(__xludf.DUMMYFUNCTION("""COMPUTED_VALUE"""),"104 Hoàng Kế Viêm, phường Mỹ An,Quận Ngũ Hành Sơn, Thành phố Đà Nẵng")</f>
        <v>104 Hoàng Kế Viêm, phường Mỹ An,Quận Ngũ Hành Sơn, Thành phố Đà Nẵng</v>
      </c>
      <c r="N25" s="1" t="str">
        <f ca="1">IFERROR(__xludf.DUMMYFUNCTION("""COMPUTED_VALUE"""),"Thành phố Đà Nẵng")</f>
        <v>Thành phố Đà Nẵng</v>
      </c>
      <c r="O25" s="1" t="str">
        <f ca="1">IFERROR(__xludf.DUMMYFUNCTION("""COMPUTED_VALUE"""),"Nhà hàng")</f>
        <v>Nhà hàng</v>
      </c>
      <c r="P25" s="1"/>
      <c r="Q25" s="1" t="str">
        <f ca="1">IFERROR(__xludf.DUMMYFUNCTION("""COMPUTED_VALUE"""),"09/01/2025")</f>
        <v>09/01/2025</v>
      </c>
      <c r="R25" s="1" t="str">
        <f ca="1">IFERROR(__xludf.DUMMYFUNCTION("""COMPUTED_VALUE"""),"cam kết")</f>
        <v>cam kết</v>
      </c>
      <c r="S25" s="1" t="str">
        <f ca="1">IFERROR(__xludf.DUMMYFUNCTION("""COMPUTED_VALUE"""),"Chuyên đề")</f>
        <v>Chuyên đề</v>
      </c>
      <c r="T25" s="1"/>
      <c r="U25" s="4">
        <f ca="1">IFERROR(__xludf.DUMMYFUNCTION("""COMPUTED_VALUE"""),45663)</f>
        <v>45663</v>
      </c>
      <c r="V25" s="4">
        <f ca="1">IFERROR(__xludf.DUMMYFUNCTION("""COMPUTED_VALUE"""),45753)</f>
        <v>45753</v>
      </c>
      <c r="W25" s="1">
        <f ca="1">IFERROR(__xludf.DUMMYFUNCTION("""COMPUTED_VALUE"""),24)</f>
        <v>24</v>
      </c>
      <c r="X25" s="3">
        <f ca="1">IFERROR(__xludf.DUMMYFUNCTION("""COMPUTED_VALUE"""),45962)</f>
        <v>45962</v>
      </c>
      <c r="Y25" s="1" t="str">
        <f ca="1">IFERROR(__xludf.DUMMYFUNCTION("""COMPUTED_VALUE"""),"DUYỆT")</f>
        <v>DUYỆT</v>
      </c>
      <c r="Z25" s="3">
        <f ca="1">IFERROR(__xludf.DUMMYFUNCTION("""COMPUTED_VALUE"""),45962)</f>
        <v>45962</v>
      </c>
      <c r="AA25" s="1" t="str">
        <f ca="1">IFERROR(__xludf.DUMMYFUNCTION("""COMPUTED_VALUE"""),"Khách sạn Avatar Đà Nẵng ")</f>
        <v xml:space="preserve">Khách sạn Avatar Đà Nẵng </v>
      </c>
      <c r="AB25" s="1" t="str">
        <f ca="1">IFERROR(__xludf.DUMMYFUNCTION("""COMPUTED_VALUE"""),"Nhà hàng")</f>
        <v>Nhà hàng</v>
      </c>
      <c r="AC25" s="1"/>
      <c r="AD25" s="1"/>
      <c r="AE25" s="1" t="str">
        <f ca="1">IFERROR(__xludf.DUMMYFUNCTION("""COMPUTED_VALUE"""),"")</f>
        <v/>
      </c>
    </row>
    <row r="26" spans="1:31" x14ac:dyDescent="0.2">
      <c r="A26" s="6">
        <f ca="1">IFERROR(__xludf.DUMMYFUNCTION("""COMPUTED_VALUE"""),45667.6844830902)</f>
        <v>45667.684483090197</v>
      </c>
      <c r="B26" s="1"/>
      <c r="C26" s="1">
        <f ca="1">IFERROR(__xludf.DUMMYFUNCTION("""COMPUTED_VALUE"""),27207152184)</f>
        <v>27207152184</v>
      </c>
      <c r="D26" s="1" t="str">
        <f ca="1">IFERROR(__xludf.DUMMYFUNCTION("""COMPUTED_VALUE"""),"Hoàng Ngọc Bảo Trâm ")</f>
        <v xml:space="preserve">Hoàng Ngọc Bảo Trâm </v>
      </c>
      <c r="E26" s="4"/>
      <c r="F26" s="1" t="str">
        <f ca="1">IFERROR(__xludf.DUMMYFUNCTION("""COMPUTED_VALUE"""),"K27DLK7")</f>
        <v>K27DLK7</v>
      </c>
      <c r="G26" s="1" t="str">
        <f ca="1">IFERROR(__xludf.DUMMYFUNCTION("""COMPUTED_VALUE"""),"Quản trị Du lịch &amp; Khách sạn")</f>
        <v>Quản trị Du lịch &amp; Khách sạn</v>
      </c>
      <c r="H26" s="1">
        <f ca="1">IFERROR(__xludf.DUMMYFUNCTION("""COMPUTED_VALUE"""),27)</f>
        <v>27</v>
      </c>
      <c r="I26" s="1"/>
      <c r="J26" s="1" t="str">
        <f ca="1">IFERROR(__xludf.DUMMYFUNCTION("""COMPUTED_VALUE"""),"Chuyên đề")</f>
        <v>Chuyên đề</v>
      </c>
      <c r="K26" s="1" t="str">
        <f ca="1">IFERROR(__xludf.DUMMYFUNCTION("""COMPUTED_VALUE"""),"Hyatt regency DaNang Resort")</f>
        <v>Hyatt regency DaNang Resort</v>
      </c>
      <c r="L26" s="1"/>
      <c r="M26" s="1" t="str">
        <f ca="1">IFERROR(__xludf.DUMMYFUNCTION("""COMPUTED_VALUE"""),"05 Trường Sa, Hoà Hải, Ngũ Hành Sơn, Đà Nẵng")</f>
        <v>05 Trường Sa, Hoà Hải, Ngũ Hành Sơn, Đà Nẵng</v>
      </c>
      <c r="N26" s="1" t="str">
        <f ca="1">IFERROR(__xludf.DUMMYFUNCTION("""COMPUTED_VALUE"""),"Thành phố Đà Nẵng ")</f>
        <v xml:space="preserve">Thành phố Đà Nẵng </v>
      </c>
      <c r="O26" s="1" t="str">
        <f ca="1">IFERROR(__xludf.DUMMYFUNCTION("""COMPUTED_VALUE"""),"Nhà hàng")</f>
        <v>Nhà hàng</v>
      </c>
      <c r="P26" s="1"/>
      <c r="Q26" s="1" t="str">
        <f ca="1">IFERROR(__xludf.DUMMYFUNCTION("""COMPUTED_VALUE"""),"10/01/2025")</f>
        <v>10/01/2025</v>
      </c>
      <c r="R26" s="1" t="str">
        <f ca="1">IFERROR(__xludf.DUMMYFUNCTION("""COMPUTED_VALUE"""),"cam kết")</f>
        <v>cam kết</v>
      </c>
      <c r="S26" s="1" t="str">
        <f ca="1">IFERROR(__xludf.DUMMYFUNCTION("""COMPUTED_VALUE"""),"Chuyên đề")</f>
        <v>Chuyên đề</v>
      </c>
      <c r="T26" s="1"/>
      <c r="U26" s="4">
        <f ca="1">IFERROR(__xludf.DUMMYFUNCTION("""COMPUTED_VALUE"""),45691)</f>
        <v>45691</v>
      </c>
      <c r="V26" s="4">
        <f ca="1">IFERROR(__xludf.DUMMYFUNCTION("""COMPUTED_VALUE"""),45780)</f>
        <v>45780</v>
      </c>
      <c r="W26" s="1">
        <f ca="1">IFERROR(__xludf.DUMMYFUNCTION("""COMPUTED_VALUE"""),25)</f>
        <v>25</v>
      </c>
      <c r="X26" s="3">
        <f ca="1">IFERROR(__xludf.DUMMYFUNCTION("""COMPUTED_VALUE"""),45962)</f>
        <v>45962</v>
      </c>
      <c r="Y26" s="1" t="str">
        <f ca="1">IFERROR(__xludf.DUMMYFUNCTION("""COMPUTED_VALUE"""),"DUYỆT")</f>
        <v>DUYỆT</v>
      </c>
      <c r="Z26" s="3">
        <f ca="1">IFERROR(__xludf.DUMMYFUNCTION("""COMPUTED_VALUE"""),45962)</f>
        <v>45962</v>
      </c>
      <c r="AA26" s="1" t="str">
        <f ca="1">IFERROR(__xludf.DUMMYFUNCTION("""COMPUTED_VALUE"""),"Hyatt regency DaNang Resort")</f>
        <v>Hyatt regency DaNang Resort</v>
      </c>
      <c r="AB26" s="1" t="str">
        <f ca="1">IFERROR(__xludf.DUMMYFUNCTION("""COMPUTED_VALUE"""),"Nhà hàng")</f>
        <v>Nhà hàng</v>
      </c>
      <c r="AC26" s="1"/>
      <c r="AD26" s="1" t="str">
        <f ca="1">IFERROR(__xludf.DUMMYFUNCTION("""COMPUTED_VALUE"""),"SV phải đảm bảo không thực tập quá 5sv/nhà hàng
chưa có thông tin người hướng dẫn tại ks")</f>
        <v>SV phải đảm bảo không thực tập quá 5sv/nhà hàng
chưa có thông tin người hướng dẫn tại ks</v>
      </c>
      <c r="AE26" s="1" t="str">
        <f ca="1">IFERROR(__xludf.DUMMYFUNCTION("""COMPUTED_VALUE"""),"")</f>
        <v/>
      </c>
    </row>
    <row r="27" spans="1:31" x14ac:dyDescent="0.2">
      <c r="A27" s="6">
        <f ca="1">IFERROR(__xludf.DUMMYFUNCTION("""COMPUTED_VALUE"""),45667.4125134375)</f>
        <v>45667.412513437499</v>
      </c>
      <c r="B27" s="1"/>
      <c r="C27" s="1">
        <f ca="1">IFERROR(__xludf.DUMMYFUNCTION("""COMPUTED_VALUE"""),25207101778)</f>
        <v>25207101778</v>
      </c>
      <c r="D27" s="1" t="str">
        <f ca="1">IFERROR(__xludf.DUMMYFUNCTION("""COMPUTED_VALUE"""),"Trịnh Thị Mỹ Duyên")</f>
        <v>Trịnh Thị Mỹ Duyên</v>
      </c>
      <c r="E27" s="4"/>
      <c r="F27" s="1" t="str">
        <f ca="1">IFERROR(__xludf.DUMMYFUNCTION("""COMPUTED_VALUE"""),"K25DLK14")</f>
        <v>K25DLK14</v>
      </c>
      <c r="G27" s="1" t="str">
        <f ca="1">IFERROR(__xludf.DUMMYFUNCTION("""COMPUTED_VALUE"""),"Quản trị Du lịch &amp; Khách sạn")</f>
        <v>Quản trị Du lịch &amp; Khách sạn</v>
      </c>
      <c r="H27" s="1">
        <f ca="1">IFERROR(__xludf.DUMMYFUNCTION("""COMPUTED_VALUE"""),26)</f>
        <v>26</v>
      </c>
      <c r="I27" s="1"/>
      <c r="J27" s="1" t="str">
        <f ca="1">IFERROR(__xludf.DUMMYFUNCTION("""COMPUTED_VALUE"""),"Chuyên đề")</f>
        <v>Chuyên đề</v>
      </c>
      <c r="K27" s="1" t="str">
        <f ca="1">IFERROR(__xludf.DUMMYFUNCTION("""COMPUTED_VALUE"""),"Grand Mercure Đà Nẵng")</f>
        <v>Grand Mercure Đà Nẵng</v>
      </c>
      <c r="L27" s="1"/>
      <c r="M27" s="1" t="str">
        <f ca="1">IFERROR(__xludf.DUMMYFUNCTION("""COMPUTED_VALUE"""),"Lô A1, Khu biệt thự Đảo Xanh, phường Hòa Cường Bắc, quận Hải Châu, Thành phố Đà Nẵng")</f>
        <v>Lô A1, Khu biệt thự Đảo Xanh, phường Hòa Cường Bắc, quận Hải Châu, Thành phố Đà Nẵng</v>
      </c>
      <c r="N27" s="1" t="str">
        <f ca="1">IFERROR(__xludf.DUMMYFUNCTION("""COMPUTED_VALUE"""),"Đà Nẵng")</f>
        <v>Đà Nẵng</v>
      </c>
      <c r="O27" s="1" t="str">
        <f ca="1">IFERROR(__xludf.DUMMYFUNCTION("""COMPUTED_VALUE"""),"Lễ tân")</f>
        <v>Lễ tân</v>
      </c>
      <c r="P27" s="1"/>
      <c r="Q27" s="1" t="str">
        <f ca="1">IFERROR(__xludf.DUMMYFUNCTION("""COMPUTED_VALUE"""),"25/01/2025")</f>
        <v>25/01/2025</v>
      </c>
      <c r="R27" s="1" t="str">
        <f ca="1">IFERROR(__xludf.DUMMYFUNCTION("""COMPUTED_VALUE"""),"cam kết")</f>
        <v>cam kết</v>
      </c>
      <c r="S27" s="1" t="str">
        <f ca="1">IFERROR(__xludf.DUMMYFUNCTION("""COMPUTED_VALUE"""),"Chuyên đề")</f>
        <v>Chuyên đề</v>
      </c>
      <c r="T27" s="1" t="str">
        <f ca="1">IFERROR(__xludf.DUMMYFUNCTION("""COMPUTED_VALUE"""),"Dương Thị Xuân Diệu")</f>
        <v>Dương Thị Xuân Diệu</v>
      </c>
      <c r="U27" s="4">
        <f ca="1">IFERROR(__xludf.DUMMYFUNCTION("""COMPUTED_VALUE"""),45698)</f>
        <v>45698</v>
      </c>
      <c r="V27" s="4">
        <f ca="1">IFERROR(__xludf.DUMMYFUNCTION("""COMPUTED_VALUE"""),45787)</f>
        <v>45787</v>
      </c>
      <c r="W27" s="1">
        <f ca="1">IFERROR(__xludf.DUMMYFUNCTION("""COMPUTED_VALUE"""),26)</f>
        <v>26</v>
      </c>
      <c r="X27" s="3">
        <f ca="1">IFERROR(__xludf.DUMMYFUNCTION("""COMPUTED_VALUE"""),45840)</f>
        <v>45840</v>
      </c>
      <c r="Y27" s="1" t="str">
        <f ca="1">IFERROR(__xludf.DUMMYFUNCTION("""COMPUTED_VALUE"""),"DUYỆT")</f>
        <v>DUYỆT</v>
      </c>
      <c r="Z27" s="3">
        <f ca="1">IFERROR(__xludf.DUMMYFUNCTION("""COMPUTED_VALUE"""),45962)</f>
        <v>45962</v>
      </c>
      <c r="AA27" s="1" t="str">
        <f ca="1">IFERROR(__xludf.DUMMYFUNCTION("""COMPUTED_VALUE"""),"Grand Mercure Đà Nẵng")</f>
        <v>Grand Mercure Đà Nẵng</v>
      </c>
      <c r="AB27" s="1" t="str">
        <f ca="1">IFERROR(__xludf.DUMMYFUNCTION("""COMPUTED_VALUE"""),"Lễ tân")</f>
        <v>Lễ tân</v>
      </c>
      <c r="AC27" s="1" t="str">
        <f ca="1">IFERROR(__xludf.DUMMYFUNCTION("""COMPUTED_VALUE"""),"ĐÃ NỘP")</f>
        <v>ĐÃ NỘP</v>
      </c>
      <c r="AD27" s="1" t="str">
        <f ca="1">IFERROR(__xludf.DUMMYFUNCTION("""COMPUTED_VALUE"""),"SV điền link bộ phận thực tập là nhà hàng, nhưng phiếu nộp về là Lễ tân")</f>
        <v>SV điền link bộ phận thực tập là nhà hàng, nhưng phiếu nộp về là Lễ tân</v>
      </c>
      <c r="AE27" s="1" t="str">
        <f ca="1">IFERROR(__xludf.DUMMYFUNCTION("""COMPUTED_VALUE"""),"")</f>
        <v/>
      </c>
    </row>
    <row r="28" spans="1:31" x14ac:dyDescent="0.2">
      <c r="A28" s="6">
        <f ca="1">IFERROR(__xludf.DUMMYFUNCTION("""COMPUTED_VALUE"""),45667.4129139004)</f>
        <v>45667.4129139004</v>
      </c>
      <c r="B28" s="1"/>
      <c r="C28" s="1">
        <f ca="1">IFERROR(__xludf.DUMMYFUNCTION("""COMPUTED_VALUE"""),27217152552)</f>
        <v>27217152552</v>
      </c>
      <c r="D28" s="1" t="str">
        <f ca="1">IFERROR(__xludf.DUMMYFUNCTION("""COMPUTED_VALUE"""),"Nguyễn Văn Chung")</f>
        <v>Nguyễn Văn Chung</v>
      </c>
      <c r="E28" s="4"/>
      <c r="F28" s="1" t="str">
        <f ca="1">IFERROR(__xludf.DUMMYFUNCTION("""COMPUTED_VALUE"""),"K27DLK7")</f>
        <v>K27DLK7</v>
      </c>
      <c r="G28" s="1" t="str">
        <f ca="1">IFERROR(__xludf.DUMMYFUNCTION("""COMPUTED_VALUE"""),"Quản trị Du lịch &amp; Khách sạn")</f>
        <v>Quản trị Du lịch &amp; Khách sạn</v>
      </c>
      <c r="H28" s="1">
        <f ca="1">IFERROR(__xludf.DUMMYFUNCTION("""COMPUTED_VALUE"""),27)</f>
        <v>27</v>
      </c>
      <c r="I28" s="1"/>
      <c r="J28" s="1" t="str">
        <f ca="1">IFERROR(__xludf.DUMMYFUNCTION("""COMPUTED_VALUE"""),"Chuyên đề")</f>
        <v>Chuyên đề</v>
      </c>
      <c r="K28" s="1" t="str">
        <f ca="1">IFERROR(__xludf.DUMMYFUNCTION("""COMPUTED_VALUE"""),"Hyatt regency DaNang Resort")</f>
        <v>Hyatt regency DaNang Resort</v>
      </c>
      <c r="L28" s="1"/>
      <c r="M28" s="1" t="str">
        <f ca="1">IFERROR(__xludf.DUMMYFUNCTION("""COMPUTED_VALUE"""),"05 Trường Sa , Hòa Hải , Ngũ Hành Sơn , Đà Nẵng")</f>
        <v>05 Trường Sa , Hòa Hải , Ngũ Hành Sơn , Đà Nẵng</v>
      </c>
      <c r="N28" s="1" t="str">
        <f ca="1">IFERROR(__xludf.DUMMYFUNCTION("""COMPUTED_VALUE"""),"Đà Nẵng")</f>
        <v>Đà Nẵng</v>
      </c>
      <c r="O28" s="1" t="str">
        <f ca="1">IFERROR(__xludf.DUMMYFUNCTION("""COMPUTED_VALUE"""),"Nhà hàng")</f>
        <v>Nhà hàng</v>
      </c>
      <c r="P28" s="1"/>
      <c r="Q28" s="1" t="str">
        <f ca="1">IFERROR(__xludf.DUMMYFUNCTION("""COMPUTED_VALUE"""),"13/01/2025")</f>
        <v>13/01/2025</v>
      </c>
      <c r="R28" s="1" t="str">
        <f ca="1">IFERROR(__xludf.DUMMYFUNCTION("""COMPUTED_VALUE"""),"cam kết")</f>
        <v>cam kết</v>
      </c>
      <c r="S28" s="1" t="str">
        <f ca="1">IFERROR(__xludf.DUMMYFUNCTION("""COMPUTED_VALUE"""),"Chuyên đề")</f>
        <v>Chuyên đề</v>
      </c>
      <c r="T28" s="1"/>
      <c r="U28" s="4">
        <f ca="1">IFERROR(__xludf.DUMMYFUNCTION("""COMPUTED_VALUE"""),45691)</f>
        <v>45691</v>
      </c>
      <c r="V28" s="4">
        <f ca="1">IFERROR(__xludf.DUMMYFUNCTION("""COMPUTED_VALUE"""),45780)</f>
        <v>45780</v>
      </c>
      <c r="W28" s="1">
        <f ca="1">IFERROR(__xludf.DUMMYFUNCTION("""COMPUTED_VALUE"""),27)</f>
        <v>27</v>
      </c>
      <c r="X28" s="1" t="str">
        <f ca="1">IFERROR(__xludf.DUMMYFUNCTION("""COMPUTED_VALUE"""),"14/01/2025")</f>
        <v>14/01/2025</v>
      </c>
      <c r="Y28" s="1" t="str">
        <f ca="1">IFERROR(__xludf.DUMMYFUNCTION("""COMPUTED_VALUE"""),"DUYỆT")</f>
        <v>DUYỆT</v>
      </c>
      <c r="Z28" s="3">
        <f ca="1">IFERROR(__xludf.DUMMYFUNCTION("""COMPUTED_VALUE"""),45962)</f>
        <v>45962</v>
      </c>
      <c r="AA28" s="1" t="str">
        <f ca="1">IFERROR(__xludf.DUMMYFUNCTION("""COMPUTED_VALUE"""),"Hyatt regency DaNang Resort")</f>
        <v>Hyatt regency DaNang Resort</v>
      </c>
      <c r="AB28" s="1" t="str">
        <f ca="1">IFERROR(__xludf.DUMMYFUNCTION("""COMPUTED_VALUE"""),"Nhà hàng")</f>
        <v>Nhà hàng</v>
      </c>
      <c r="AC28" s="1"/>
      <c r="AD28" s="1" t="str">
        <f ca="1">IFERROR(__xludf.DUMMYFUNCTION("""COMPUTED_VALUE"""),"SV phải đảm bảo không thực tập quá 5sv/nhà hàng
chưa có thông tin người hướng dẫn tại ks")</f>
        <v>SV phải đảm bảo không thực tập quá 5sv/nhà hàng
chưa có thông tin người hướng dẫn tại ks</v>
      </c>
      <c r="AE28" s="1" t="str">
        <f ca="1">IFERROR(__xludf.DUMMYFUNCTION("""COMPUTED_VALUE"""),"")</f>
        <v/>
      </c>
    </row>
    <row r="29" spans="1:31" x14ac:dyDescent="0.2">
      <c r="A29" s="6">
        <f ca="1">IFERROR(__xludf.DUMMYFUNCTION("""COMPUTED_VALUE"""),45694.8356315625)</f>
        <v>45694.835631562499</v>
      </c>
      <c r="B29" s="1"/>
      <c r="C29" s="1">
        <f ca="1">IFERROR(__xludf.DUMMYFUNCTION("""COMPUTED_VALUE"""),26217240100)</f>
        <v>26217240100</v>
      </c>
      <c r="D29" s="1" t="str">
        <f ca="1">IFERROR(__xludf.DUMMYFUNCTION("""COMPUTED_VALUE"""),"Đinh Minh Thành ")</f>
        <v xml:space="preserve">Đinh Minh Thành </v>
      </c>
      <c r="E29" s="4"/>
      <c r="F29" s="1" t="str">
        <f ca="1">IFERROR(__xludf.DUMMYFUNCTION("""COMPUTED_VALUE"""),"K26PSUDLK3")</f>
        <v>K26PSUDLK3</v>
      </c>
      <c r="G29" s="1" t="str">
        <f ca="1">IFERROR(__xludf.DUMMYFUNCTION("""COMPUTED_VALUE"""),"Quản trị Du lịch &amp; Khách sạn chuẩn PSU")</f>
        <v>Quản trị Du lịch &amp; Khách sạn chuẩn PSU</v>
      </c>
      <c r="H29" s="1">
        <f ca="1">IFERROR(__xludf.DUMMYFUNCTION("""COMPUTED_VALUE"""),26)</f>
        <v>26</v>
      </c>
      <c r="I29" s="1"/>
      <c r="J29" s="1" t="str">
        <f ca="1">IFERROR(__xludf.DUMMYFUNCTION("""COMPUTED_VALUE"""),"Chuyên đề")</f>
        <v>Chuyên đề</v>
      </c>
      <c r="K29" s="1" t="str">
        <f ca="1">IFERROR(__xludf.DUMMYFUNCTION("""COMPUTED_VALUE"""),"Meliá Vinpearl Danang Riverfront")</f>
        <v>Meliá Vinpearl Danang Riverfront</v>
      </c>
      <c r="L29" s="1"/>
      <c r="M29" s="1" t="str">
        <f ca="1">IFERROR(__xludf.DUMMYFUNCTION("""COMPUTED_VALUE"""),"99 Võ Nguyên Giáp")</f>
        <v>99 Võ Nguyên Giáp</v>
      </c>
      <c r="N29" s="1" t="str">
        <f ca="1">IFERROR(__xludf.DUMMYFUNCTION("""COMPUTED_VALUE"""),"Đà Nẵng")</f>
        <v>Đà Nẵng</v>
      </c>
      <c r="O29" s="1" t="str">
        <f ca="1">IFERROR(__xludf.DUMMYFUNCTION("""COMPUTED_VALUE"""),"Buồng phòng")</f>
        <v>Buồng phòng</v>
      </c>
      <c r="P29" s="1"/>
      <c r="Q29" s="1" t="str">
        <f ca="1">IFERROR(__xludf.DUMMYFUNCTION("""COMPUTED_VALUE"""),"6 tháng 2 năm 2025")</f>
        <v>6 tháng 2 năm 2025</v>
      </c>
      <c r="R29" s="1" t="str">
        <f ca="1">IFERROR(__xludf.DUMMYFUNCTION("""COMPUTED_VALUE"""),"cam kết")</f>
        <v>cam kết</v>
      </c>
      <c r="S29" s="1" t="str">
        <f ca="1">IFERROR(__xludf.DUMMYFUNCTION("""COMPUTED_VALUE"""),"Chuyên đề")</f>
        <v>Chuyên đề</v>
      </c>
      <c r="T29" s="1" t="str">
        <f ca="1">IFERROR(__xludf.DUMMYFUNCTION("""COMPUTED_VALUE"""),"Hồ Sử Minh Tài")</f>
        <v>Hồ Sử Minh Tài</v>
      </c>
      <c r="U29" s="4">
        <f ca="1">IFERROR(__xludf.DUMMYFUNCTION("""COMPUTED_VALUE"""),45677)</f>
        <v>45677</v>
      </c>
      <c r="V29" s="4">
        <f ca="1">IFERROR(__xludf.DUMMYFUNCTION("""COMPUTED_VALUE"""),45746)</f>
        <v>45746</v>
      </c>
      <c r="W29" s="1">
        <f ca="1">IFERROR(__xludf.DUMMYFUNCTION("""COMPUTED_VALUE"""),28)</f>
        <v>28</v>
      </c>
      <c r="X29" s="3">
        <f ca="1">IFERROR(__xludf.DUMMYFUNCTION("""COMPUTED_VALUE"""),45840)</f>
        <v>45840</v>
      </c>
      <c r="Y29" s="1" t="str">
        <f ca="1">IFERROR(__xludf.DUMMYFUNCTION("""COMPUTED_VALUE"""),"DUYỆT")</f>
        <v>DUYỆT</v>
      </c>
      <c r="Z29" s="3">
        <f ca="1">IFERROR(__xludf.DUMMYFUNCTION("""COMPUTED_VALUE"""),45962)</f>
        <v>45962</v>
      </c>
      <c r="AA29" s="1" t="str">
        <f ca="1">IFERROR(__xludf.DUMMYFUNCTION("""COMPUTED_VALUE"""),"Meliá Vinpearl Danang Riverfront")</f>
        <v>Meliá Vinpearl Danang Riverfront</v>
      </c>
      <c r="AB29" s="1" t="str">
        <f ca="1">IFERROR(__xludf.DUMMYFUNCTION("""COMPUTED_VALUE"""),"Buồng phòng")</f>
        <v>Buồng phòng</v>
      </c>
      <c r="AC29" s="1" t="str">
        <f ca="1">IFERROR(__xludf.DUMMYFUNCTION("""COMPUTED_VALUE"""),"ĐÃ NỘP")</f>
        <v>ĐÃ NỘP</v>
      </c>
      <c r="AD29" s="1"/>
      <c r="AE29" s="1" t="str">
        <f ca="1">IFERROR(__xludf.DUMMYFUNCTION("""COMPUTED_VALUE"""),"")</f>
        <v/>
      </c>
    </row>
    <row r="30" spans="1:31" x14ac:dyDescent="0.2">
      <c r="A30" s="6">
        <f ca="1">IFERROR(__xludf.DUMMYFUNCTION("""COMPUTED_VALUE"""),45667.5161090277)</f>
        <v>45667.516109027703</v>
      </c>
      <c r="B30" s="1"/>
      <c r="C30" s="1">
        <f ca="1">IFERROR(__xludf.DUMMYFUNCTION("""COMPUTED_VALUE"""),27217136125)</f>
        <v>27217136125</v>
      </c>
      <c r="D30" s="1" t="str">
        <f ca="1">IFERROR(__xludf.DUMMYFUNCTION("""COMPUTED_VALUE"""),"Triệu Đức Mạnh")</f>
        <v>Triệu Đức Mạnh</v>
      </c>
      <c r="E30" s="4"/>
      <c r="F30" s="1" t="str">
        <f ca="1">IFERROR(__xludf.DUMMYFUNCTION("""COMPUTED_VALUE"""),"K27DLK3")</f>
        <v>K27DLK3</v>
      </c>
      <c r="G30" s="1" t="str">
        <f ca="1">IFERROR(__xludf.DUMMYFUNCTION("""COMPUTED_VALUE"""),"Quản trị Du lịch &amp; Khách sạn")</f>
        <v>Quản trị Du lịch &amp; Khách sạn</v>
      </c>
      <c r="H30" s="1">
        <f ca="1">IFERROR(__xludf.DUMMYFUNCTION("""COMPUTED_VALUE"""),27)</f>
        <v>27</v>
      </c>
      <c r="I30" s="1"/>
      <c r="J30" s="1" t="str">
        <f ca="1">IFERROR(__xludf.DUMMYFUNCTION("""COMPUTED_VALUE"""),"Chuyên đề")</f>
        <v>Chuyên đề</v>
      </c>
      <c r="K30" s="1" t="str">
        <f ca="1">IFERROR(__xludf.DUMMYFUNCTION("""COMPUTED_VALUE"""),"DLG Hotel DaNang")</f>
        <v>DLG Hotel DaNang</v>
      </c>
      <c r="L30" s="1"/>
      <c r="M30" s="1" t="str">
        <f ca="1">IFERROR(__xludf.DUMMYFUNCTION("""COMPUTED_VALUE"""),"258 Võ Nguyên Giáp, Phước Mỹ, Sơn Trà, Đà Nẵng")</f>
        <v>258 Võ Nguyên Giáp, Phước Mỹ, Sơn Trà, Đà Nẵng</v>
      </c>
      <c r="N30" s="1" t="str">
        <f ca="1">IFERROR(__xludf.DUMMYFUNCTION("""COMPUTED_VALUE"""),"Đà Nẵng")</f>
        <v>Đà Nẵng</v>
      </c>
      <c r="O30" s="1" t="str">
        <f ca="1">IFERROR(__xludf.DUMMYFUNCTION("""COMPUTED_VALUE"""),"Buồng phòng")</f>
        <v>Buồng phòng</v>
      </c>
      <c r="P30" s="1"/>
      <c r="Q30" s="1" t="str">
        <f ca="1">IFERROR(__xludf.DUMMYFUNCTION("""COMPUTED_VALUE"""),"10/01/2025")</f>
        <v>10/01/2025</v>
      </c>
      <c r="R30" s="1" t="str">
        <f ca="1">IFERROR(__xludf.DUMMYFUNCTION("""COMPUTED_VALUE"""),"cam kết")</f>
        <v>cam kết</v>
      </c>
      <c r="S30" s="1" t="str">
        <f ca="1">IFERROR(__xludf.DUMMYFUNCTION("""COMPUTED_VALUE"""),"Chuyên đề")</f>
        <v>Chuyên đề</v>
      </c>
      <c r="T30" s="1"/>
      <c r="U30" s="4">
        <f ca="1">IFERROR(__xludf.DUMMYFUNCTION("""COMPUTED_VALUE"""),45664)</f>
        <v>45664</v>
      </c>
      <c r="V30" s="4">
        <f ca="1">IFERROR(__xludf.DUMMYFUNCTION("""COMPUTED_VALUE"""),45760)</f>
        <v>45760</v>
      </c>
      <c r="W30" s="1">
        <f ca="1">IFERROR(__xludf.DUMMYFUNCTION("""COMPUTED_VALUE"""),29)</f>
        <v>29</v>
      </c>
      <c r="X30" s="3">
        <f ca="1">IFERROR(__xludf.DUMMYFUNCTION("""COMPUTED_VALUE"""),45962)</f>
        <v>45962</v>
      </c>
      <c r="Y30" s="1" t="str">
        <f ca="1">IFERROR(__xludf.DUMMYFUNCTION("""COMPUTED_VALUE"""),"DUYỆT")</f>
        <v>DUYỆT</v>
      </c>
      <c r="Z30" s="3">
        <f ca="1">IFERROR(__xludf.DUMMYFUNCTION("""COMPUTED_VALUE"""),45962)</f>
        <v>45962</v>
      </c>
      <c r="AA30" s="1" t="str">
        <f ca="1">IFERROR(__xludf.DUMMYFUNCTION("""COMPUTED_VALUE"""),"DLG Hotel DaNang")</f>
        <v>DLG Hotel DaNang</v>
      </c>
      <c r="AB30" s="1" t="str">
        <f ca="1">IFERROR(__xludf.DUMMYFUNCTION("""COMPUTED_VALUE"""),"Buồng phòng")</f>
        <v>Buồng phòng</v>
      </c>
      <c r="AC30" s="1"/>
      <c r="AD30" s="1"/>
      <c r="AE30" s="1" t="str">
        <f ca="1">IFERROR(__xludf.DUMMYFUNCTION("""COMPUTED_VALUE"""),"")</f>
        <v/>
      </c>
    </row>
    <row r="31" spans="1:31" x14ac:dyDescent="0.2">
      <c r="A31" s="6">
        <f ca="1">IFERROR(__xludf.DUMMYFUNCTION("""COMPUTED_VALUE"""),45696.7040233912)</f>
        <v>45696.704023391198</v>
      </c>
      <c r="B31" s="1"/>
      <c r="C31" s="1">
        <f ca="1">IFERROR(__xludf.DUMMYFUNCTION("""COMPUTED_VALUE"""),27207144974)</f>
        <v>27207144974</v>
      </c>
      <c r="D31" s="1" t="str">
        <f ca="1">IFERROR(__xludf.DUMMYFUNCTION("""COMPUTED_VALUE"""),"Nguyễn Thị Bảo Ngọc ")</f>
        <v xml:space="preserve">Nguyễn Thị Bảo Ngọc </v>
      </c>
      <c r="E31" s="4"/>
      <c r="F31" s="1" t="str">
        <f ca="1">IFERROR(__xludf.DUMMYFUNCTION("""COMPUTED_VALUE"""),"K27DLK2")</f>
        <v>K27DLK2</v>
      </c>
      <c r="G31" s="1" t="str">
        <f ca="1">IFERROR(__xludf.DUMMYFUNCTION("""COMPUTED_VALUE"""),"Quản trị Du lịch &amp; Khách sạn")</f>
        <v>Quản trị Du lịch &amp; Khách sạn</v>
      </c>
      <c r="H31" s="1">
        <f ca="1">IFERROR(__xludf.DUMMYFUNCTION("""COMPUTED_VALUE"""),27)</f>
        <v>27</v>
      </c>
      <c r="I31" s="1"/>
      <c r="J31" s="1" t="str">
        <f ca="1">IFERROR(__xludf.DUMMYFUNCTION("""COMPUTED_VALUE"""),"Chuyên đề")</f>
        <v>Chuyên đề</v>
      </c>
      <c r="K31" s="1" t="str">
        <f ca="1">IFERROR(__xludf.DUMMYFUNCTION("""COMPUTED_VALUE"""),"Paris Deli Danang Beach Hotel")</f>
        <v>Paris Deli Danang Beach Hotel</v>
      </c>
      <c r="L31" s="1"/>
      <c r="M31" s="1" t="str">
        <f ca="1">IFERROR(__xludf.DUMMYFUNCTION("""COMPUTED_VALUE"""),"236 Võ Nguyên Giáp, Phước Mỹ, Sơn Trà, Đà Nẵng ")</f>
        <v xml:space="preserve">236 Võ Nguyên Giáp, Phước Mỹ, Sơn Trà, Đà Nẵng </v>
      </c>
      <c r="N31" s="1" t="str">
        <f ca="1">IFERROR(__xludf.DUMMYFUNCTION("""COMPUTED_VALUE"""),"Đà Nẵng ")</f>
        <v xml:space="preserve">Đà Nẵng </v>
      </c>
      <c r="O31" s="1" t="str">
        <f ca="1">IFERROR(__xludf.DUMMYFUNCTION("""COMPUTED_VALUE"""),"Nhà hàng")</f>
        <v>Nhà hàng</v>
      </c>
      <c r="P31" s="1"/>
      <c r="Q31" s="1" t="str">
        <f ca="1">IFERROR(__xludf.DUMMYFUNCTION("""COMPUTED_VALUE"""),"Ngày 08/02/2025")</f>
        <v>Ngày 08/02/2025</v>
      </c>
      <c r="R31" s="1" t="str">
        <f ca="1">IFERROR(__xludf.DUMMYFUNCTION("""COMPUTED_VALUE"""),"cam kết")</f>
        <v>cam kết</v>
      </c>
      <c r="S31" s="1" t="str">
        <f ca="1">IFERROR(__xludf.DUMMYFUNCTION("""COMPUTED_VALUE"""),"Chuyên đề")</f>
        <v>Chuyên đề</v>
      </c>
      <c r="T31" s="1"/>
      <c r="U31" s="4">
        <f ca="1">IFERROR(__xludf.DUMMYFUNCTION("""COMPUTED_VALUE"""),45691)</f>
        <v>45691</v>
      </c>
      <c r="V31" s="4">
        <f ca="1">IFERROR(__xludf.DUMMYFUNCTION("""COMPUTED_VALUE"""),45774)</f>
        <v>45774</v>
      </c>
      <c r="W31" s="1">
        <f ca="1">IFERROR(__xludf.DUMMYFUNCTION("""COMPUTED_VALUE"""),30)</f>
        <v>30</v>
      </c>
      <c r="X31" s="3">
        <f ca="1">IFERROR(__xludf.DUMMYFUNCTION("""COMPUTED_VALUE"""),45963)</f>
        <v>45963</v>
      </c>
      <c r="Y31" s="1" t="str">
        <f ca="1">IFERROR(__xludf.DUMMYFUNCTION("""COMPUTED_VALUE"""),"DUYỆT")</f>
        <v>DUYỆT</v>
      </c>
      <c r="Z31" s="3">
        <f ca="1">IFERROR(__xludf.DUMMYFUNCTION("""COMPUTED_VALUE"""),45962)</f>
        <v>45962</v>
      </c>
      <c r="AA31" s="1" t="str">
        <f ca="1">IFERROR(__xludf.DUMMYFUNCTION("""COMPUTED_VALUE"""),"Paris Deli Danang Beach Hotel")</f>
        <v>Paris Deli Danang Beach Hotel</v>
      </c>
      <c r="AB31" s="1" t="str">
        <f ca="1">IFERROR(__xludf.DUMMYFUNCTION("""COMPUTED_VALUE"""),"Nhà hàng")</f>
        <v>Nhà hàng</v>
      </c>
      <c r="AC31" s="1"/>
      <c r="AD31" s="1" t="str">
        <f ca="1">IFERROR(__xludf.DUMMYFUNCTION("""COMPUTED_VALUE"""),"SV chuyển từ Buồng phòng Mikazuki qua Nhà hàng Paris Deli")</f>
        <v>SV chuyển từ Buồng phòng Mikazuki qua Nhà hàng Paris Deli</v>
      </c>
      <c r="AE31" s="1" t="str">
        <f ca="1">IFERROR(__xludf.DUMMYFUNCTION("""COMPUTED_VALUE"""),"")</f>
        <v/>
      </c>
    </row>
    <row r="32" spans="1:31" x14ac:dyDescent="0.2">
      <c r="A32" s="6">
        <f ca="1">IFERROR(__xludf.DUMMYFUNCTION("""COMPUTED_VALUE"""),45667.5362255324)</f>
        <v>45667.5362255324</v>
      </c>
      <c r="B32" s="1"/>
      <c r="C32" s="1">
        <f ca="1">IFERROR(__xludf.DUMMYFUNCTION("""COMPUTED_VALUE"""),27217128728)</f>
        <v>27217128728</v>
      </c>
      <c r="D32" s="1" t="str">
        <f ca="1">IFERROR(__xludf.DUMMYFUNCTION("""COMPUTED_VALUE"""),"H'Trùng Mlô")</f>
        <v>H'Trùng Mlô</v>
      </c>
      <c r="E32" s="4"/>
      <c r="F32" s="1" t="str">
        <f ca="1">IFERROR(__xludf.DUMMYFUNCTION("""COMPUTED_VALUE"""),"K27DLK2")</f>
        <v>K27DLK2</v>
      </c>
      <c r="G32" s="1" t="str">
        <f ca="1">IFERROR(__xludf.DUMMYFUNCTION("""COMPUTED_VALUE"""),"Quản trị Du lịch &amp; Khách sạn")</f>
        <v>Quản trị Du lịch &amp; Khách sạn</v>
      </c>
      <c r="H32" s="1">
        <f ca="1">IFERROR(__xludf.DUMMYFUNCTION("""COMPUTED_VALUE"""),27)</f>
        <v>27</v>
      </c>
      <c r="I32" s="1"/>
      <c r="J32" s="1" t="str">
        <f ca="1">IFERROR(__xludf.DUMMYFUNCTION("""COMPUTED_VALUE"""),"Chuyên đề")</f>
        <v>Chuyên đề</v>
      </c>
      <c r="K32" s="1" t="str">
        <f ca="1">IFERROR(__xludf.DUMMYFUNCTION("""COMPUTED_VALUE"""),"Novotel DaNang Premier Han River")</f>
        <v>Novotel DaNang Premier Han River</v>
      </c>
      <c r="L32" s="1"/>
      <c r="M32" s="1" t="str">
        <f ca="1">IFERROR(__xludf.DUMMYFUNCTION("""COMPUTED_VALUE"""),"36 Bạch Đằng, Thạch Thang, Hải Châu, Đà Nẵng")</f>
        <v>36 Bạch Đằng, Thạch Thang, Hải Châu, Đà Nẵng</v>
      </c>
      <c r="N32" s="1" t="str">
        <f ca="1">IFERROR(__xludf.DUMMYFUNCTION("""COMPUTED_VALUE"""),"TP Đà Nẵng")</f>
        <v>TP Đà Nẵng</v>
      </c>
      <c r="O32" s="1" t="str">
        <f ca="1">IFERROR(__xludf.DUMMYFUNCTION("""COMPUTED_VALUE"""),"Tiền sảnh")</f>
        <v>Tiền sảnh</v>
      </c>
      <c r="P32" s="1"/>
      <c r="Q32" s="1" t="str">
        <f ca="1">IFERROR(__xludf.DUMMYFUNCTION("""COMPUTED_VALUE"""),"05/02/2025")</f>
        <v>05/02/2025</v>
      </c>
      <c r="R32" s="1" t="str">
        <f ca="1">IFERROR(__xludf.DUMMYFUNCTION("""COMPUTED_VALUE"""),"cam kết")</f>
        <v>cam kết</v>
      </c>
      <c r="S32" s="1" t="str">
        <f ca="1">IFERROR(__xludf.DUMMYFUNCTION("""COMPUTED_VALUE"""),"Chuyên đề")</f>
        <v>Chuyên đề</v>
      </c>
      <c r="T32" s="1" t="str">
        <f ca="1">IFERROR(__xludf.DUMMYFUNCTION("""COMPUTED_VALUE"""),"Mai Thị Thương")</f>
        <v>Mai Thị Thương</v>
      </c>
      <c r="U32" s="4">
        <f ca="1">IFERROR(__xludf.DUMMYFUNCTION("""COMPUTED_VALUE"""),45672)</f>
        <v>45672</v>
      </c>
      <c r="V32" s="4">
        <f ca="1">IFERROR(__xludf.DUMMYFUNCTION("""COMPUTED_VALUE"""),45762)</f>
        <v>45762</v>
      </c>
      <c r="W32" s="1">
        <f ca="1">IFERROR(__xludf.DUMMYFUNCTION("""COMPUTED_VALUE"""),31)</f>
        <v>31</v>
      </c>
      <c r="X32" s="3">
        <f ca="1">IFERROR(__xludf.DUMMYFUNCTION("""COMPUTED_VALUE"""),45810)</f>
        <v>45810</v>
      </c>
      <c r="Y32" s="1" t="str">
        <f ca="1">IFERROR(__xludf.DUMMYFUNCTION("""COMPUTED_VALUE"""),"DUYỆT")</f>
        <v>DUYỆT</v>
      </c>
      <c r="Z32" s="3">
        <f ca="1">IFERROR(__xludf.DUMMYFUNCTION("""COMPUTED_VALUE"""),45962)</f>
        <v>45962</v>
      </c>
      <c r="AA32" s="1" t="str">
        <f ca="1">IFERROR(__xludf.DUMMYFUNCTION("""COMPUTED_VALUE"""),"Novotel DaNang Premier Han River")</f>
        <v>Novotel DaNang Premier Han River</v>
      </c>
      <c r="AB32" s="1" t="str">
        <f ca="1">IFERROR(__xludf.DUMMYFUNCTION("""COMPUTED_VALUE"""),"Tiền sảnh")</f>
        <v>Tiền sảnh</v>
      </c>
      <c r="AC32" s="1"/>
      <c r="AD32" s="1"/>
      <c r="AE32" s="1" t="str">
        <f ca="1">IFERROR(__xludf.DUMMYFUNCTION("""COMPUTED_VALUE"""),"")</f>
        <v/>
      </c>
    </row>
    <row r="33" spans="1:31" x14ac:dyDescent="0.2">
      <c r="A33" s="6">
        <f ca="1">IFERROR(__xludf.DUMMYFUNCTION("""COMPUTED_VALUE"""),45670.4456517245)</f>
        <v>45670.445651724498</v>
      </c>
      <c r="B33" s="1"/>
      <c r="C33" s="1">
        <f ca="1">IFERROR(__xludf.DUMMYFUNCTION("""COMPUTED_VALUE"""),25217107474)</f>
        <v>25217107474</v>
      </c>
      <c r="D33" s="1" t="str">
        <f ca="1">IFERROR(__xludf.DUMMYFUNCTION("""COMPUTED_VALUE"""),"Lê Anh Tú")</f>
        <v>Lê Anh Tú</v>
      </c>
      <c r="E33" s="4"/>
      <c r="F33" s="1" t="str">
        <f ca="1">IFERROR(__xludf.DUMMYFUNCTION("""COMPUTED_VALUE"""),"K25PSUDLK17")</f>
        <v>K25PSUDLK17</v>
      </c>
      <c r="G33" s="1" t="str">
        <f ca="1">IFERROR(__xludf.DUMMYFUNCTION("""COMPUTED_VALUE"""),"Quản trị Du lịch &amp; Khách sạn chuẩn PSU")</f>
        <v>Quản trị Du lịch &amp; Khách sạn chuẩn PSU</v>
      </c>
      <c r="H33" s="1">
        <f ca="1">IFERROR(__xludf.DUMMYFUNCTION("""COMPUTED_VALUE"""),25)</f>
        <v>25</v>
      </c>
      <c r="I33" s="1"/>
      <c r="J33" s="1" t="str">
        <f ca="1">IFERROR(__xludf.DUMMYFUNCTION("""COMPUTED_VALUE"""),"Chuyên đề")</f>
        <v>Chuyên đề</v>
      </c>
      <c r="K33" s="1" t="str">
        <f ca="1">IFERROR(__xludf.DUMMYFUNCTION("""COMPUTED_VALUE"""),"Mường Thanh Luxury Đà Nẵng Hotel")</f>
        <v>Mường Thanh Luxury Đà Nẵng Hotel</v>
      </c>
      <c r="L33" s="1" t="str">
        <f ca="1">IFERROR(__xludf.DUMMYFUNCTION("""COMPUTED_VALUE"""),"Mường Thanh Luxury Đà Nẵng Hotel")</f>
        <v>Mường Thanh Luxury Đà Nẵng Hotel</v>
      </c>
      <c r="M33" s="1" t="str">
        <f ca="1">IFERROR(__xludf.DUMMYFUNCTION("""COMPUTED_VALUE"""),"270 Võ Nguyên Giáp")</f>
        <v>270 Võ Nguyên Giáp</v>
      </c>
      <c r="N33" s="1" t="str">
        <f ca="1">IFERROR(__xludf.DUMMYFUNCTION("""COMPUTED_VALUE"""),"Đà Nẵng")</f>
        <v>Đà Nẵng</v>
      </c>
      <c r="O33" s="1" t="str">
        <f ca="1">IFERROR(__xludf.DUMMYFUNCTION("""COMPUTED_VALUE"""),"Tiền sảnh")</f>
        <v>Tiền sảnh</v>
      </c>
      <c r="P33" s="1"/>
      <c r="Q33" s="1" t="str">
        <f ca="1">IFERROR(__xludf.DUMMYFUNCTION("""COMPUTED_VALUE"""),"20/01/2025")</f>
        <v>20/01/2025</v>
      </c>
      <c r="R33" s="1" t="str">
        <f ca="1">IFERROR(__xludf.DUMMYFUNCTION("""COMPUTED_VALUE"""),"cam kết")</f>
        <v>cam kết</v>
      </c>
      <c r="S33" s="1" t="str">
        <f ca="1">IFERROR(__xludf.DUMMYFUNCTION("""COMPUTED_VALUE"""),"Chuyên đề")</f>
        <v>Chuyên đề</v>
      </c>
      <c r="T33" s="1" t="str">
        <f ca="1">IFERROR(__xludf.DUMMYFUNCTION("""COMPUTED_VALUE"""),"Phạm Thị Hoàng Dung")</f>
        <v>Phạm Thị Hoàng Dung</v>
      </c>
      <c r="U33" s="4">
        <f ca="1">IFERROR(__xludf.DUMMYFUNCTION("""COMPUTED_VALUE"""),45698)</f>
        <v>45698</v>
      </c>
      <c r="V33" s="4">
        <f ca="1">IFERROR(__xludf.DUMMYFUNCTION("""COMPUTED_VALUE"""),45787)</f>
        <v>45787</v>
      </c>
      <c r="W33" s="1">
        <f ca="1">IFERROR(__xludf.DUMMYFUNCTION("""COMPUTED_VALUE"""),32)</f>
        <v>32</v>
      </c>
      <c r="X33" s="1"/>
      <c r="Y33" s="1" t="str">
        <f ca="1">IFERROR(__xludf.DUMMYFUNCTION("""COMPUTED_VALUE"""),"KHÔNG DUYỆT")</f>
        <v>KHÔNG DUYỆT</v>
      </c>
      <c r="Z33" s="3">
        <f ca="1">IFERROR(__xludf.DUMMYFUNCTION("""COMPUTED_VALUE"""),45962)</f>
        <v>45962</v>
      </c>
      <c r="AA33" s="1" t="str">
        <f ca="1">IFERROR(__xludf.DUMMYFUNCTION("""COMPUTED_VALUE"""),"Sel de Mer Hotel &amp; Suites")</f>
        <v>Sel de Mer Hotel &amp; Suites</v>
      </c>
      <c r="AB33" s="1" t="str">
        <f ca="1">IFERROR(__xludf.DUMMYFUNCTION("""COMPUTED_VALUE"""),"Tiền sảnh")</f>
        <v>Tiền sảnh</v>
      </c>
      <c r="AC33" s="1" t="str">
        <f ca="1">IFERROR(__xludf.DUMMYFUNCTION("""COMPUTED_VALUE"""),"ĐÃ NỘP")</f>
        <v>ĐÃ NỘP</v>
      </c>
      <c r="AD33" s="1" t="str">
        <f ca="1">IFERROR(__xludf.DUMMYFUNCTION("""COMPUTED_VALUE"""),"Khoa ko duyệt đơn xin phê duyệt đơn vị thực tập")</f>
        <v>Khoa ko duyệt đơn xin phê duyệt đơn vị thực tập</v>
      </c>
      <c r="AE33" s="1" t="str">
        <f ca="1">IFERROR(__xludf.DUMMYFUNCTION("""COMPUTED_VALUE"""),"")</f>
        <v/>
      </c>
    </row>
    <row r="34" spans="1:31" x14ac:dyDescent="0.2">
      <c r="A34" s="6">
        <f ca="1">IFERROR(__xludf.DUMMYFUNCTION("""COMPUTED_VALUE"""),45667.6665342129)</f>
        <v>45667.666534212898</v>
      </c>
      <c r="B34" s="1"/>
      <c r="C34" s="1">
        <f ca="1">IFERROR(__xludf.DUMMYFUNCTION("""COMPUTED_VALUE"""),27207100694)</f>
        <v>27207100694</v>
      </c>
      <c r="D34" s="1" t="str">
        <f ca="1">IFERROR(__xludf.DUMMYFUNCTION("""COMPUTED_VALUE"""),"Nguyễn Thị Hồng Thư ")</f>
        <v xml:space="preserve">Nguyễn Thị Hồng Thư </v>
      </c>
      <c r="E34" s="4"/>
      <c r="F34" s="1" t="str">
        <f ca="1">IFERROR(__xludf.DUMMYFUNCTION("""COMPUTED_VALUE"""),"K27DLK2")</f>
        <v>K27DLK2</v>
      </c>
      <c r="G34" s="1" t="str">
        <f ca="1">IFERROR(__xludf.DUMMYFUNCTION("""COMPUTED_VALUE"""),"Quản trị Du lịch &amp; Khách sạn")</f>
        <v>Quản trị Du lịch &amp; Khách sạn</v>
      </c>
      <c r="H34" s="1">
        <f ca="1">IFERROR(__xludf.DUMMYFUNCTION("""COMPUTED_VALUE"""),27)</f>
        <v>27</v>
      </c>
      <c r="I34" s="1"/>
      <c r="J34" s="1" t="str">
        <f ca="1">IFERROR(__xludf.DUMMYFUNCTION("""COMPUTED_VALUE"""),"Chuyên đề")</f>
        <v>Chuyên đề</v>
      </c>
      <c r="K34" s="1" t="str">
        <f ca="1">IFERROR(__xludf.DUMMYFUNCTION("""COMPUTED_VALUE"""),"Novotel DaNang Premier Han River")</f>
        <v>Novotel DaNang Premier Han River</v>
      </c>
      <c r="L34" s="1"/>
      <c r="M34" s="1" t="str">
        <f ca="1">IFERROR(__xludf.DUMMYFUNCTION("""COMPUTED_VALUE"""),"36 Bạch Đằng, Thạch Thang, Hải Châu, Đà Nẵng")</f>
        <v>36 Bạch Đằng, Thạch Thang, Hải Châu, Đà Nẵng</v>
      </c>
      <c r="N34" s="1" t="str">
        <f ca="1">IFERROR(__xludf.DUMMYFUNCTION("""COMPUTED_VALUE"""),"Đà Nẵng")</f>
        <v>Đà Nẵng</v>
      </c>
      <c r="O34" s="1" t="str">
        <f ca="1">IFERROR(__xludf.DUMMYFUNCTION("""COMPUTED_VALUE"""),"Nhà hàng")</f>
        <v>Nhà hàng</v>
      </c>
      <c r="P34" s="1"/>
      <c r="Q34" s="1" t="str">
        <f ca="1">IFERROR(__xludf.DUMMYFUNCTION("""COMPUTED_VALUE"""),"10/01/2025")</f>
        <v>10/01/2025</v>
      </c>
      <c r="R34" s="1" t="str">
        <f ca="1">IFERROR(__xludf.DUMMYFUNCTION("""COMPUTED_VALUE"""),"cam kết")</f>
        <v>cam kết</v>
      </c>
      <c r="S34" s="1" t="str">
        <f ca="1">IFERROR(__xludf.DUMMYFUNCTION("""COMPUTED_VALUE"""),"Chuyên đề")</f>
        <v>Chuyên đề</v>
      </c>
      <c r="T34" s="1"/>
      <c r="U34" s="4">
        <f ca="1">IFERROR(__xludf.DUMMYFUNCTION("""COMPUTED_VALUE"""),45698)</f>
        <v>45698</v>
      </c>
      <c r="V34" s="4">
        <f ca="1">IFERROR(__xludf.DUMMYFUNCTION("""COMPUTED_VALUE"""),45787)</f>
        <v>45787</v>
      </c>
      <c r="W34" s="1">
        <f ca="1">IFERROR(__xludf.DUMMYFUNCTION("""COMPUTED_VALUE"""),33)</f>
        <v>33</v>
      </c>
      <c r="X34" s="3">
        <f ca="1">IFERROR(__xludf.DUMMYFUNCTION("""COMPUTED_VALUE"""),45962)</f>
        <v>45962</v>
      </c>
      <c r="Y34" s="1" t="str">
        <f ca="1">IFERROR(__xludf.DUMMYFUNCTION("""COMPUTED_VALUE"""),"DUYỆT")</f>
        <v>DUYỆT</v>
      </c>
      <c r="Z34" s="3">
        <f ca="1">IFERROR(__xludf.DUMMYFUNCTION("""COMPUTED_VALUE"""),45962)</f>
        <v>45962</v>
      </c>
      <c r="AA34" s="1" t="str">
        <f ca="1">IFERROR(__xludf.DUMMYFUNCTION("""COMPUTED_VALUE"""),"Novotel DaNang Premier Han River")</f>
        <v>Novotel DaNang Premier Han River</v>
      </c>
      <c r="AB34" s="1" t="str">
        <f ca="1">IFERROR(__xludf.DUMMYFUNCTION("""COMPUTED_VALUE"""),"Nhà hàng")</f>
        <v>Nhà hàng</v>
      </c>
      <c r="AC34" s="1"/>
      <c r="AD34" s="1" t="str">
        <f ca="1">IFERROR(__xludf.DUMMYFUNCTION("""COMPUTED_VALUE"""),"chưa có thông tin người hướng dẫn tại ks")</f>
        <v>chưa có thông tin người hướng dẫn tại ks</v>
      </c>
      <c r="AE34" s="1" t="str">
        <f ca="1">IFERROR(__xludf.DUMMYFUNCTION("""COMPUTED_VALUE"""),"")</f>
        <v/>
      </c>
    </row>
    <row r="35" spans="1:31" x14ac:dyDescent="0.2">
      <c r="A35" s="6">
        <f ca="1">IFERROR(__xludf.DUMMYFUNCTION("""COMPUTED_VALUE"""),45667.6698275)</f>
        <v>45667.669827500002</v>
      </c>
      <c r="B35" s="1"/>
      <c r="C35" s="1">
        <f ca="1">IFERROR(__xludf.DUMMYFUNCTION("""COMPUTED_VALUE"""),27202139022)</f>
        <v>27202139022</v>
      </c>
      <c r="D35" s="1" t="str">
        <f ca="1">IFERROR(__xludf.DUMMYFUNCTION("""COMPUTED_VALUE"""),"Võ Lương Phương Yến")</f>
        <v>Võ Lương Phương Yến</v>
      </c>
      <c r="E35" s="4"/>
      <c r="F35" s="1" t="str">
        <f ca="1">IFERROR(__xludf.DUMMYFUNCTION("""COMPUTED_VALUE"""),"K27DLK2")</f>
        <v>K27DLK2</v>
      </c>
      <c r="G35" s="1" t="str">
        <f ca="1">IFERROR(__xludf.DUMMYFUNCTION("""COMPUTED_VALUE"""),"Quản trị Du lịch &amp; Khách sạn")</f>
        <v>Quản trị Du lịch &amp; Khách sạn</v>
      </c>
      <c r="H35" s="1">
        <f ca="1">IFERROR(__xludf.DUMMYFUNCTION("""COMPUTED_VALUE"""),27)</f>
        <v>27</v>
      </c>
      <c r="I35" s="1"/>
      <c r="J35" s="1" t="str">
        <f ca="1">IFERROR(__xludf.DUMMYFUNCTION("""COMPUTED_VALUE"""),"Chuyên đề")</f>
        <v>Chuyên đề</v>
      </c>
      <c r="K35" s="1" t="str">
        <f ca="1">IFERROR(__xludf.DUMMYFUNCTION("""COMPUTED_VALUE"""),"Novotel DaNang Premier Han River")</f>
        <v>Novotel DaNang Premier Han River</v>
      </c>
      <c r="L35" s="1"/>
      <c r="M35" s="1" t="str">
        <f ca="1">IFERROR(__xludf.DUMMYFUNCTION("""COMPUTED_VALUE"""),"36 Bạch Đằng , Thạch Thang ,Hải Châu, Đà Nẵng ")</f>
        <v xml:space="preserve">36 Bạch Đằng , Thạch Thang ,Hải Châu, Đà Nẵng </v>
      </c>
      <c r="N35" s="1" t="str">
        <f ca="1">IFERROR(__xludf.DUMMYFUNCTION("""COMPUTED_VALUE"""),"Đà Nẵng ")</f>
        <v xml:space="preserve">Đà Nẵng </v>
      </c>
      <c r="O35" s="1" t="str">
        <f ca="1">IFERROR(__xludf.DUMMYFUNCTION("""COMPUTED_VALUE"""),"Nhà hàng")</f>
        <v>Nhà hàng</v>
      </c>
      <c r="P35" s="1"/>
      <c r="Q35" s="1" t="str">
        <f ca="1">IFERROR(__xludf.DUMMYFUNCTION("""COMPUTED_VALUE"""),"10/01/2025")</f>
        <v>10/01/2025</v>
      </c>
      <c r="R35" s="1" t="str">
        <f ca="1">IFERROR(__xludf.DUMMYFUNCTION("""COMPUTED_VALUE"""),"cam kết")</f>
        <v>cam kết</v>
      </c>
      <c r="S35" s="1" t="str">
        <f ca="1">IFERROR(__xludf.DUMMYFUNCTION("""COMPUTED_VALUE"""),"Chuyên đề")</f>
        <v>Chuyên đề</v>
      </c>
      <c r="T35" s="1"/>
      <c r="U35" s="4">
        <f ca="1">IFERROR(__xludf.DUMMYFUNCTION("""COMPUTED_VALUE"""),45698)</f>
        <v>45698</v>
      </c>
      <c r="V35" s="4">
        <f ca="1">IFERROR(__xludf.DUMMYFUNCTION("""COMPUTED_VALUE"""),45787)</f>
        <v>45787</v>
      </c>
      <c r="W35" s="1">
        <f ca="1">IFERROR(__xludf.DUMMYFUNCTION("""COMPUTED_VALUE"""),34)</f>
        <v>34</v>
      </c>
      <c r="X35" s="3">
        <f ca="1">IFERROR(__xludf.DUMMYFUNCTION("""COMPUTED_VALUE"""),45962)</f>
        <v>45962</v>
      </c>
      <c r="Y35" s="1" t="str">
        <f ca="1">IFERROR(__xludf.DUMMYFUNCTION("""COMPUTED_VALUE"""),"DUYỆT")</f>
        <v>DUYỆT</v>
      </c>
      <c r="Z35" s="3">
        <f ca="1">IFERROR(__xludf.DUMMYFUNCTION("""COMPUTED_VALUE"""),45962)</f>
        <v>45962</v>
      </c>
      <c r="AA35" s="1" t="str">
        <f ca="1">IFERROR(__xludf.DUMMYFUNCTION("""COMPUTED_VALUE"""),"Novotel DaNang Premier Han River")</f>
        <v>Novotel DaNang Premier Han River</v>
      </c>
      <c r="AB35" s="1" t="str">
        <f ca="1">IFERROR(__xludf.DUMMYFUNCTION("""COMPUTED_VALUE"""),"Nhà hàng")</f>
        <v>Nhà hàng</v>
      </c>
      <c r="AC35" s="1"/>
      <c r="AD35" s="1" t="str">
        <f ca="1">IFERROR(__xludf.DUMMYFUNCTION("""COMPUTED_VALUE"""),"chưa có thông tin người hướng dẫn tại ks")</f>
        <v>chưa có thông tin người hướng dẫn tại ks</v>
      </c>
      <c r="AE35" s="1" t="str">
        <f ca="1">IFERROR(__xludf.DUMMYFUNCTION("""COMPUTED_VALUE"""),"")</f>
        <v/>
      </c>
    </row>
    <row r="36" spans="1:31" x14ac:dyDescent="0.2">
      <c r="A36" s="6">
        <f ca="1">IFERROR(__xludf.DUMMYFUNCTION("""COMPUTED_VALUE"""),45667.8183484722)</f>
        <v>45667.818348472203</v>
      </c>
      <c r="B36" s="1"/>
      <c r="C36" s="1">
        <f ca="1">IFERROR(__xludf.DUMMYFUNCTION("""COMPUTED_VALUE"""),25217204586)</f>
        <v>25217204586</v>
      </c>
      <c r="D36" s="1" t="str">
        <f ca="1">IFERROR(__xludf.DUMMYFUNCTION("""COMPUTED_VALUE"""),"Nguyễn Hữu Mạnh")</f>
        <v>Nguyễn Hữu Mạnh</v>
      </c>
      <c r="E36" s="4"/>
      <c r="F36" s="1" t="str">
        <f ca="1">IFERROR(__xludf.DUMMYFUNCTION("""COMPUTED_VALUE"""),"K25PSUDLK 12")</f>
        <v>K25PSUDLK 12</v>
      </c>
      <c r="G36" s="1" t="str">
        <f ca="1">IFERROR(__xludf.DUMMYFUNCTION("""COMPUTED_VALUE"""),"Quản trị Du lịch &amp; Khách sạn chuẩn PSU")</f>
        <v>Quản trị Du lịch &amp; Khách sạn chuẩn PSU</v>
      </c>
      <c r="H36" s="1">
        <f ca="1">IFERROR(__xludf.DUMMYFUNCTION("""COMPUTED_VALUE"""),25)</f>
        <v>25</v>
      </c>
      <c r="I36" s="1"/>
      <c r="J36" s="1" t="str">
        <f ca="1">IFERROR(__xludf.DUMMYFUNCTION("""COMPUTED_VALUE"""),"Chuyên đề")</f>
        <v>Chuyên đề</v>
      </c>
      <c r="K36" s="1" t="str">
        <f ca="1">IFERROR(__xludf.DUMMYFUNCTION("""COMPUTED_VALUE"""),"Brilliant Hotel")</f>
        <v>Brilliant Hotel</v>
      </c>
      <c r="L36" s="1"/>
      <c r="M36" s="1" t="str">
        <f ca="1">IFERROR(__xludf.DUMMYFUNCTION("""COMPUTED_VALUE"""),"162 Bạch Đằng , Hải Châu , Đà Nẵng")</f>
        <v>162 Bạch Đằng , Hải Châu , Đà Nẵng</v>
      </c>
      <c r="N36" s="1" t="str">
        <f ca="1">IFERROR(__xludf.DUMMYFUNCTION("""COMPUTED_VALUE"""),"Đà Nẵng")</f>
        <v>Đà Nẵng</v>
      </c>
      <c r="O36" s="1" t="str">
        <f ca="1">IFERROR(__xludf.DUMMYFUNCTION("""COMPUTED_VALUE"""),"Tiền sảnh")</f>
        <v>Tiền sảnh</v>
      </c>
      <c r="P36" s="1"/>
      <c r="Q36" s="1" t="str">
        <f ca="1">IFERROR(__xludf.DUMMYFUNCTION("""COMPUTED_VALUE"""),"10/01/2025")</f>
        <v>10/01/2025</v>
      </c>
      <c r="R36" s="1" t="str">
        <f ca="1">IFERROR(__xludf.DUMMYFUNCTION("""COMPUTED_VALUE"""),"cam kết")</f>
        <v>cam kết</v>
      </c>
      <c r="S36" s="1" t="str">
        <f ca="1">IFERROR(__xludf.DUMMYFUNCTION("""COMPUTED_VALUE"""),"Chuyên đề")</f>
        <v>Chuyên đề</v>
      </c>
      <c r="T36" s="1"/>
      <c r="U36" s="4">
        <f ca="1">IFERROR(__xludf.DUMMYFUNCTION("""COMPUTED_VALUE"""),45332)</f>
        <v>45332</v>
      </c>
      <c r="V36" s="4">
        <f ca="1">IFERROR(__xludf.DUMMYFUNCTION("""COMPUTED_VALUE"""),45787)</f>
        <v>45787</v>
      </c>
      <c r="W36" s="1">
        <f ca="1">IFERROR(__xludf.DUMMYFUNCTION("""COMPUTED_VALUE"""),35)</f>
        <v>35</v>
      </c>
      <c r="X36" s="3">
        <f ca="1">IFERROR(__xludf.DUMMYFUNCTION("""COMPUTED_VALUE"""),45871)</f>
        <v>45871</v>
      </c>
      <c r="Y36" s="1" t="str">
        <f ca="1">IFERROR(__xludf.DUMMYFUNCTION("""COMPUTED_VALUE"""),"DUYỆT")</f>
        <v>DUYỆT</v>
      </c>
      <c r="Z36" s="3">
        <f ca="1">IFERROR(__xludf.DUMMYFUNCTION("""COMPUTED_VALUE"""),45962)</f>
        <v>45962</v>
      </c>
      <c r="AA36" s="1" t="str">
        <f ca="1">IFERROR(__xludf.DUMMYFUNCTION("""COMPUTED_VALUE"""),"Brilliant Hotel")</f>
        <v>Brilliant Hotel</v>
      </c>
      <c r="AB36" s="1" t="str">
        <f ca="1">IFERROR(__xludf.DUMMYFUNCTION("""COMPUTED_VALUE"""),"Tiền sảnh")</f>
        <v>Tiền sảnh</v>
      </c>
      <c r="AC36" s="1" t="str">
        <f ca="1">IFERROR(__xludf.DUMMYFUNCTION("""COMPUTED_VALUE"""),"ĐÃ NỘP")</f>
        <v>ĐÃ NỘP</v>
      </c>
      <c r="AD36" s="1" t="str">
        <f ca="1">IFERROR(__xludf.DUMMYFUNCTION("""COMPUTED_VALUE"""),"trưởng khoa đã duyệt đơn
Chưa có thông tin người hướng dẫn tại ks")</f>
        <v>trưởng khoa đã duyệt đơn
Chưa có thông tin người hướng dẫn tại ks</v>
      </c>
      <c r="AE36" s="1" t="str">
        <f ca="1">IFERROR(__xludf.DUMMYFUNCTION("""COMPUTED_VALUE"""),"")</f>
        <v/>
      </c>
    </row>
    <row r="37" spans="1:31" x14ac:dyDescent="0.2">
      <c r="A37" s="6">
        <f ca="1">IFERROR(__xludf.DUMMYFUNCTION("""COMPUTED_VALUE"""),45668.3889650925)</f>
        <v>45668.388965092498</v>
      </c>
      <c r="B37" s="1"/>
      <c r="C37" s="1">
        <f ca="1">IFERROR(__xludf.DUMMYFUNCTION("""COMPUTED_VALUE"""),27207152531)</f>
        <v>27207152531</v>
      </c>
      <c r="D37" s="1" t="str">
        <f ca="1">IFERROR(__xludf.DUMMYFUNCTION("""COMPUTED_VALUE"""),"Cao Nguyễn Minh Châu")</f>
        <v>Cao Nguyễn Minh Châu</v>
      </c>
      <c r="E37" s="4"/>
      <c r="F37" s="1" t="str">
        <f ca="1">IFERROR(__xludf.DUMMYFUNCTION("""COMPUTED_VALUE"""),"K27DLK1")</f>
        <v>K27DLK1</v>
      </c>
      <c r="G37" s="1" t="str">
        <f ca="1">IFERROR(__xludf.DUMMYFUNCTION("""COMPUTED_VALUE"""),"Quản trị Du lịch &amp; Khách sạn")</f>
        <v>Quản trị Du lịch &amp; Khách sạn</v>
      </c>
      <c r="H37" s="1">
        <f ca="1">IFERROR(__xludf.DUMMYFUNCTION("""COMPUTED_VALUE"""),27)</f>
        <v>27</v>
      </c>
      <c r="I37" s="1"/>
      <c r="J37" s="1" t="str">
        <f ca="1">IFERROR(__xludf.DUMMYFUNCTION("""COMPUTED_VALUE"""),"Chuyên đề")</f>
        <v>Chuyên đề</v>
      </c>
      <c r="K37" s="1" t="str">
        <f ca="1">IFERROR(__xludf.DUMMYFUNCTION("""COMPUTED_VALUE"""),"Wyndham DaNang Golden Bay")</f>
        <v>Wyndham DaNang Golden Bay</v>
      </c>
      <c r="L37" s="1"/>
      <c r="M37" s="1" t="str">
        <f ca="1">IFERROR(__xludf.DUMMYFUNCTION("""COMPUTED_VALUE"""),"01 Lê Văn Duyệt, Nại Hiên Đông, Sơn Trà, thành phố Đà Nẵng")</f>
        <v>01 Lê Văn Duyệt, Nại Hiên Đông, Sơn Trà, thành phố Đà Nẵng</v>
      </c>
      <c r="N37" s="1" t="str">
        <f ca="1">IFERROR(__xludf.DUMMYFUNCTION("""COMPUTED_VALUE"""),"Thành phố Đà Nẵng")</f>
        <v>Thành phố Đà Nẵng</v>
      </c>
      <c r="O37" s="1" t="str">
        <f ca="1">IFERROR(__xludf.DUMMYFUNCTION("""COMPUTED_VALUE"""),"Buồng phòng")</f>
        <v>Buồng phòng</v>
      </c>
      <c r="P37" s="1"/>
      <c r="Q37" s="1" t="str">
        <f ca="1">IFERROR(__xludf.DUMMYFUNCTION("""COMPUTED_VALUE"""),"7.1.2025")</f>
        <v>7.1.2025</v>
      </c>
      <c r="R37" s="1" t="str">
        <f ca="1">IFERROR(__xludf.DUMMYFUNCTION("""COMPUTED_VALUE"""),"cam kết")</f>
        <v>cam kết</v>
      </c>
      <c r="S37" s="1" t="str">
        <f ca="1">IFERROR(__xludf.DUMMYFUNCTION("""COMPUTED_VALUE"""),"Chuyên đề")</f>
        <v>Chuyên đề</v>
      </c>
      <c r="T37" s="1"/>
      <c r="U37" s="4">
        <f ca="1">IFERROR(__xludf.DUMMYFUNCTION("""COMPUTED_VALUE"""),45698)</f>
        <v>45698</v>
      </c>
      <c r="V37" s="4">
        <f ca="1">IFERROR(__xludf.DUMMYFUNCTION("""COMPUTED_VALUE"""),45787)</f>
        <v>45787</v>
      </c>
      <c r="W37" s="1">
        <f ca="1">IFERROR(__xludf.DUMMYFUNCTION("""COMPUTED_VALUE"""),36)</f>
        <v>36</v>
      </c>
      <c r="X37" s="1" t="str">
        <f ca="1">IFERROR(__xludf.DUMMYFUNCTION("""COMPUTED_VALUE"""),"14/01/2025")</f>
        <v>14/01/2025</v>
      </c>
      <c r="Y37" s="1" t="str">
        <f ca="1">IFERROR(__xludf.DUMMYFUNCTION("""COMPUTED_VALUE"""),"DUYỆT")</f>
        <v>DUYỆT</v>
      </c>
      <c r="Z37" s="3">
        <f ca="1">IFERROR(__xludf.DUMMYFUNCTION("""COMPUTED_VALUE"""),45962)</f>
        <v>45962</v>
      </c>
      <c r="AA37" s="1" t="str">
        <f ca="1">IFERROR(__xludf.DUMMYFUNCTION("""COMPUTED_VALUE"""),"Wyndham DaNang Golden Bay")</f>
        <v>Wyndham DaNang Golden Bay</v>
      </c>
      <c r="AB37" s="1" t="str">
        <f ca="1">IFERROR(__xludf.DUMMYFUNCTION("""COMPUTED_VALUE"""),"Buồng phòng")</f>
        <v>Buồng phòng</v>
      </c>
      <c r="AC37" s="1"/>
      <c r="AD37" s="1"/>
      <c r="AE37" s="1" t="str">
        <f ca="1">IFERROR(__xludf.DUMMYFUNCTION("""COMPUTED_VALUE"""),"")</f>
        <v/>
      </c>
    </row>
    <row r="38" spans="1:31" x14ac:dyDescent="0.2">
      <c r="A38" s="6">
        <f ca="1">IFERROR(__xludf.DUMMYFUNCTION("""COMPUTED_VALUE"""),45668.5620783449)</f>
        <v>45668.562078344898</v>
      </c>
      <c r="B38" s="1"/>
      <c r="C38" s="1">
        <f ca="1">IFERROR(__xludf.DUMMYFUNCTION("""COMPUTED_VALUE"""),27217122799)</f>
        <v>27217122799</v>
      </c>
      <c r="D38" s="1" t="str">
        <f ca="1">IFERROR(__xludf.DUMMYFUNCTION("""COMPUTED_VALUE"""),"Đoàn Minh Trí ")</f>
        <v xml:space="preserve">Đoàn Minh Trí </v>
      </c>
      <c r="E38" s="4"/>
      <c r="F38" s="1" t="str">
        <f ca="1">IFERROR(__xludf.DUMMYFUNCTION("""COMPUTED_VALUE"""),"K27DLK5")</f>
        <v>K27DLK5</v>
      </c>
      <c r="G38" s="1" t="str">
        <f ca="1">IFERROR(__xludf.DUMMYFUNCTION("""COMPUTED_VALUE"""),"Quản trị Du lịch &amp; Khách sạn")</f>
        <v>Quản trị Du lịch &amp; Khách sạn</v>
      </c>
      <c r="H38" s="1">
        <f ca="1">IFERROR(__xludf.DUMMYFUNCTION("""COMPUTED_VALUE"""),27)</f>
        <v>27</v>
      </c>
      <c r="I38" s="1"/>
      <c r="J38" s="1" t="str">
        <f ca="1">IFERROR(__xludf.DUMMYFUNCTION("""COMPUTED_VALUE"""),"Chuyên đề")</f>
        <v>Chuyên đề</v>
      </c>
      <c r="K38" s="1" t="str">
        <f ca="1">IFERROR(__xludf.DUMMYFUNCTION("""COMPUTED_VALUE"""),"Risemount Premier Resort Danang")</f>
        <v>Risemount Premier Resort Danang</v>
      </c>
      <c r="L38" s="1"/>
      <c r="M38" s="1" t="str">
        <f ca="1">IFERROR(__xludf.DUMMYFUNCTION("""COMPUTED_VALUE"""),"120 Nguyễn Văn Thoại , Ngũ Hành Sơn , Đà Nẵng")</f>
        <v>120 Nguyễn Văn Thoại , Ngũ Hành Sơn , Đà Nẵng</v>
      </c>
      <c r="N38" s="1" t="str">
        <f ca="1">IFERROR(__xludf.DUMMYFUNCTION("""COMPUTED_VALUE"""),"Đà Nẵng ")</f>
        <v xml:space="preserve">Đà Nẵng </v>
      </c>
      <c r="O38" s="1" t="str">
        <f ca="1">IFERROR(__xludf.DUMMYFUNCTION("""COMPUTED_VALUE"""),"Buồng phòng")</f>
        <v>Buồng phòng</v>
      </c>
      <c r="P38" s="1"/>
      <c r="Q38" s="1" t="str">
        <f ca="1">IFERROR(__xludf.DUMMYFUNCTION("""COMPUTED_VALUE"""),"13/1/2025")</f>
        <v>13/1/2025</v>
      </c>
      <c r="R38" s="1" t="str">
        <f ca="1">IFERROR(__xludf.DUMMYFUNCTION("""COMPUTED_VALUE"""),"cam kết")</f>
        <v>cam kết</v>
      </c>
      <c r="S38" s="1" t="str">
        <f ca="1">IFERROR(__xludf.DUMMYFUNCTION("""COMPUTED_VALUE"""),"Chuyên đề")</f>
        <v>Chuyên đề</v>
      </c>
      <c r="T38" s="1"/>
      <c r="U38" s="4">
        <f ca="1">IFERROR(__xludf.DUMMYFUNCTION("""COMPUTED_VALUE"""),45692)</f>
        <v>45692</v>
      </c>
      <c r="V38" s="4">
        <f ca="1">IFERROR(__xludf.DUMMYFUNCTION("""COMPUTED_VALUE"""),45781)</f>
        <v>45781</v>
      </c>
      <c r="W38" s="1">
        <f ca="1">IFERROR(__xludf.DUMMYFUNCTION("""COMPUTED_VALUE"""),37)</f>
        <v>37</v>
      </c>
      <c r="X38" s="1" t="str">
        <f ca="1">IFERROR(__xludf.DUMMYFUNCTION("""COMPUTED_VALUE"""),"14/01/2025")</f>
        <v>14/01/2025</v>
      </c>
      <c r="Y38" s="1" t="str">
        <f ca="1">IFERROR(__xludf.DUMMYFUNCTION("""COMPUTED_VALUE"""),"DUYỆT")</f>
        <v>DUYỆT</v>
      </c>
      <c r="Z38" s="3">
        <f ca="1">IFERROR(__xludf.DUMMYFUNCTION("""COMPUTED_VALUE"""),45962)</f>
        <v>45962</v>
      </c>
      <c r="AA38" s="1" t="str">
        <f ca="1">IFERROR(__xludf.DUMMYFUNCTION("""COMPUTED_VALUE"""),"Risemount Premier Resort Danang")</f>
        <v>Risemount Premier Resort Danang</v>
      </c>
      <c r="AB38" s="1" t="str">
        <f ca="1">IFERROR(__xludf.DUMMYFUNCTION("""COMPUTED_VALUE"""),"Buồng phòng")</f>
        <v>Buồng phòng</v>
      </c>
      <c r="AC38" s="1"/>
      <c r="AD38" s="1"/>
      <c r="AE38" s="1" t="str">
        <f ca="1">IFERROR(__xludf.DUMMYFUNCTION("""COMPUTED_VALUE"""),"")</f>
        <v/>
      </c>
    </row>
    <row r="39" spans="1:31" x14ac:dyDescent="0.2">
      <c r="A39" s="6">
        <f ca="1">IFERROR(__xludf.DUMMYFUNCTION("""COMPUTED_VALUE"""),45668.6544167245)</f>
        <v>45668.654416724501</v>
      </c>
      <c r="B39" s="1"/>
      <c r="C39" s="1">
        <f ca="1">IFERROR(__xludf.DUMMYFUNCTION("""COMPUTED_VALUE"""),27217101593)</f>
        <v>27217101593</v>
      </c>
      <c r="D39" s="1" t="str">
        <f ca="1">IFERROR(__xludf.DUMMYFUNCTION("""COMPUTED_VALUE"""),"Nguyễn Huỳnh Thảo Nhi ")</f>
        <v xml:space="preserve">Nguyễn Huỳnh Thảo Nhi </v>
      </c>
      <c r="E39" s="4"/>
      <c r="F39" s="1" t="str">
        <f ca="1">IFERROR(__xludf.DUMMYFUNCTION("""COMPUTED_VALUE"""),"K27DLK1")</f>
        <v>K27DLK1</v>
      </c>
      <c r="G39" s="1" t="str">
        <f ca="1">IFERROR(__xludf.DUMMYFUNCTION("""COMPUTED_VALUE"""),"Quản trị Du lịch &amp; Khách sạn")</f>
        <v>Quản trị Du lịch &amp; Khách sạn</v>
      </c>
      <c r="H39" s="1">
        <f ca="1">IFERROR(__xludf.DUMMYFUNCTION("""COMPUTED_VALUE"""),27)</f>
        <v>27</v>
      </c>
      <c r="I39" s="1"/>
      <c r="J39" s="1" t="str">
        <f ca="1">IFERROR(__xludf.DUMMYFUNCTION("""COMPUTED_VALUE"""),"Chuyên đề")</f>
        <v>Chuyên đề</v>
      </c>
      <c r="K39" s="1" t="str">
        <f ca="1">IFERROR(__xludf.DUMMYFUNCTION("""COMPUTED_VALUE"""),"Wyndham DaNang Golden Bay")</f>
        <v>Wyndham DaNang Golden Bay</v>
      </c>
      <c r="L39" s="1"/>
      <c r="M39" s="1" t="str">
        <f ca="1">IFERROR(__xludf.DUMMYFUNCTION("""COMPUTED_VALUE"""),"01 Lê Văn Duyệt, Nại Hiên Đông, Sơn Trà, Đà Nẵng")</f>
        <v>01 Lê Văn Duyệt, Nại Hiên Đông, Sơn Trà, Đà Nẵng</v>
      </c>
      <c r="N39" s="1" t="str">
        <f ca="1">IFERROR(__xludf.DUMMYFUNCTION("""COMPUTED_VALUE"""),"Đà Nẵng ")</f>
        <v xml:space="preserve">Đà Nẵng </v>
      </c>
      <c r="O39" s="1" t="str">
        <f ca="1">IFERROR(__xludf.DUMMYFUNCTION("""COMPUTED_VALUE"""),"Nhà hàng")</f>
        <v>Nhà hàng</v>
      </c>
      <c r="P39" s="1"/>
      <c r="Q39" s="1" t="str">
        <f ca="1">IFERROR(__xludf.DUMMYFUNCTION("""COMPUTED_VALUE"""),"7/1/2025")</f>
        <v>7/1/2025</v>
      </c>
      <c r="R39" s="1" t="str">
        <f ca="1">IFERROR(__xludf.DUMMYFUNCTION("""COMPUTED_VALUE"""),"cam kết")</f>
        <v>cam kết</v>
      </c>
      <c r="S39" s="1" t="str">
        <f ca="1">IFERROR(__xludf.DUMMYFUNCTION("""COMPUTED_VALUE"""),"Chuyên đề")</f>
        <v>Chuyên đề</v>
      </c>
      <c r="T39" s="1"/>
      <c r="U39" s="4">
        <f ca="1">IFERROR(__xludf.DUMMYFUNCTION("""COMPUTED_VALUE"""),45698)</f>
        <v>45698</v>
      </c>
      <c r="V39" s="4">
        <f ca="1">IFERROR(__xludf.DUMMYFUNCTION("""COMPUTED_VALUE"""),45787)</f>
        <v>45787</v>
      </c>
      <c r="W39" s="1">
        <f ca="1">IFERROR(__xludf.DUMMYFUNCTION("""COMPUTED_VALUE"""),38)</f>
        <v>38</v>
      </c>
      <c r="X39" s="1" t="str">
        <f ca="1">IFERROR(__xludf.DUMMYFUNCTION("""COMPUTED_VALUE"""),"14/01/2025")</f>
        <v>14/01/2025</v>
      </c>
      <c r="Y39" s="1" t="str">
        <f ca="1">IFERROR(__xludf.DUMMYFUNCTION("""COMPUTED_VALUE"""),"DUYỆT")</f>
        <v>DUYỆT</v>
      </c>
      <c r="Z39" s="1" t="str">
        <f ca="1">IFERROR(__xludf.DUMMYFUNCTION("""COMPUTED_VALUE"""),"14/01/2025")</f>
        <v>14/01/2025</v>
      </c>
      <c r="AA39" s="1" t="str">
        <f ca="1">IFERROR(__xludf.DUMMYFUNCTION("""COMPUTED_VALUE"""),"Wyndham DaNang Golden Bay")</f>
        <v>Wyndham DaNang Golden Bay</v>
      </c>
      <c r="AB39" s="1" t="str">
        <f ca="1">IFERROR(__xludf.DUMMYFUNCTION("""COMPUTED_VALUE"""),"Nhà hàng")</f>
        <v>Nhà hàng</v>
      </c>
      <c r="AC39" s="1"/>
      <c r="AD39" s="1" t="str">
        <f ca="1">IFERROR(__xludf.DUMMYFUNCTION("""COMPUTED_VALUE"""),"sv phải đám bảo ko quá 5sv/nhà hàng")</f>
        <v>sv phải đám bảo ko quá 5sv/nhà hàng</v>
      </c>
      <c r="AE39" s="1" t="str">
        <f ca="1">IFERROR(__xludf.DUMMYFUNCTION("""COMPUTED_VALUE"""),"")</f>
        <v/>
      </c>
    </row>
    <row r="40" spans="1:31" x14ac:dyDescent="0.2">
      <c r="A40" s="6">
        <f ca="1">IFERROR(__xludf.DUMMYFUNCTION("""COMPUTED_VALUE"""),45668.7976266666)</f>
        <v>45668.797626666601</v>
      </c>
      <c r="B40" s="1"/>
      <c r="C40" s="1">
        <f ca="1">IFERROR(__xludf.DUMMYFUNCTION("""COMPUTED_VALUE"""),27207142484)</f>
        <v>27207142484</v>
      </c>
      <c r="D40" s="1" t="str">
        <f ca="1">IFERROR(__xludf.DUMMYFUNCTION("""COMPUTED_VALUE"""),"Trần Thị Thanh Nguyệt")</f>
        <v>Trần Thị Thanh Nguyệt</v>
      </c>
      <c r="E40" s="4"/>
      <c r="F40" s="1" t="str">
        <f ca="1">IFERROR(__xludf.DUMMYFUNCTION("""COMPUTED_VALUE"""),"K27PSUDLK1")</f>
        <v>K27PSUDLK1</v>
      </c>
      <c r="G40" s="1" t="str">
        <f ca="1">IFERROR(__xludf.DUMMYFUNCTION("""COMPUTED_VALUE"""),"Quản trị Du lịch &amp; Khách sạn chuẩn PSU")</f>
        <v>Quản trị Du lịch &amp; Khách sạn chuẩn PSU</v>
      </c>
      <c r="H40" s="1">
        <f ca="1">IFERROR(__xludf.DUMMYFUNCTION("""COMPUTED_VALUE"""),27)</f>
        <v>27</v>
      </c>
      <c r="I40" s="1"/>
      <c r="J40" s="1" t="str">
        <f ca="1">IFERROR(__xludf.DUMMYFUNCTION("""COMPUTED_VALUE"""),"Khóa luận")</f>
        <v>Khóa luận</v>
      </c>
      <c r="K40" s="1" t="str">
        <f ca="1">IFERROR(__xludf.DUMMYFUNCTION("""COMPUTED_VALUE"""),"Hyatt regency DaNang Resort")</f>
        <v>Hyatt regency DaNang Resort</v>
      </c>
      <c r="L40" s="1"/>
      <c r="M40" s="1" t="str">
        <f ca="1">IFERROR(__xludf.DUMMYFUNCTION("""COMPUTED_VALUE"""),"5 Trường Sa, Hòa Hải, Ngũ Hành Sơn, Đà Nẵng")</f>
        <v>5 Trường Sa, Hòa Hải, Ngũ Hành Sơn, Đà Nẵng</v>
      </c>
      <c r="N40" s="1" t="str">
        <f ca="1">IFERROR(__xludf.DUMMYFUNCTION("""COMPUTED_VALUE"""),"Đà Nẵng")</f>
        <v>Đà Nẵng</v>
      </c>
      <c r="O40" s="1" t="str">
        <f ca="1">IFERROR(__xludf.DUMMYFUNCTION("""COMPUTED_VALUE"""),"Nhà hàng")</f>
        <v>Nhà hàng</v>
      </c>
      <c r="P40" s="1"/>
      <c r="Q40" s="1" t="str">
        <f ca="1">IFERROR(__xludf.DUMMYFUNCTION("""COMPUTED_VALUE"""),"13/01/2025")</f>
        <v>13/01/2025</v>
      </c>
      <c r="R40" s="1" t="str">
        <f ca="1">IFERROR(__xludf.DUMMYFUNCTION("""COMPUTED_VALUE"""),"cam kết")</f>
        <v>cam kết</v>
      </c>
      <c r="S40" s="1" t="str">
        <f ca="1">IFERROR(__xludf.DUMMYFUNCTION("""COMPUTED_VALUE"""),"Khóa luận")</f>
        <v>Khóa luận</v>
      </c>
      <c r="T40" s="1" t="str">
        <f ca="1">IFERROR(__xludf.DUMMYFUNCTION("""COMPUTED_VALUE"""),"Mai Thị Thương")</f>
        <v>Mai Thị Thương</v>
      </c>
      <c r="U40" s="4">
        <f ca="1">IFERROR(__xludf.DUMMYFUNCTION("""COMPUTED_VALUE"""),45677)</f>
        <v>45677</v>
      </c>
      <c r="V40" s="4">
        <f ca="1">IFERROR(__xludf.DUMMYFUNCTION("""COMPUTED_VALUE"""),45767)</f>
        <v>45767</v>
      </c>
      <c r="W40" s="1">
        <f ca="1">IFERROR(__xludf.DUMMYFUNCTION("""COMPUTED_VALUE"""),39)</f>
        <v>39</v>
      </c>
      <c r="X40" s="1" t="str">
        <f ca="1">IFERROR(__xludf.DUMMYFUNCTION("""COMPUTED_VALUE"""),"14/01/2025")</f>
        <v>14/01/2025</v>
      </c>
      <c r="Y40" s="1" t="str">
        <f ca="1">IFERROR(__xludf.DUMMYFUNCTION("""COMPUTED_VALUE"""),"DUYỆT")</f>
        <v>DUYỆT</v>
      </c>
      <c r="Z40" s="1" t="str">
        <f ca="1">IFERROR(__xludf.DUMMYFUNCTION("""COMPUTED_VALUE"""),"14/01/2025")</f>
        <v>14/01/2025</v>
      </c>
      <c r="AA40" s="1" t="str">
        <f ca="1">IFERROR(__xludf.DUMMYFUNCTION("""COMPUTED_VALUE"""),"Hyatt regency DaNang Resort")</f>
        <v>Hyatt regency DaNang Resort</v>
      </c>
      <c r="AB40" s="1" t="str">
        <f ca="1">IFERROR(__xludf.DUMMYFUNCTION("""COMPUTED_VALUE"""),"Nhà hàng")</f>
        <v>Nhà hàng</v>
      </c>
      <c r="AC40" s="1"/>
      <c r="AD40" s="1" t="str">
        <f ca="1">IFERROR(__xludf.DUMMYFUNCTION("""COMPUTED_VALUE"""),"SV phải đảm bảo không thực tập quá 5sv/nhà hàng")</f>
        <v>SV phải đảm bảo không thực tập quá 5sv/nhà hàng</v>
      </c>
      <c r="AE40" s="1" t="str">
        <f ca="1">IFERROR(__xludf.DUMMYFUNCTION("""COMPUTED_VALUE"""),"")</f>
        <v/>
      </c>
    </row>
    <row r="41" spans="1:31" x14ac:dyDescent="0.2">
      <c r="A41" s="6">
        <f ca="1">IFERROR(__xludf.DUMMYFUNCTION("""COMPUTED_VALUE"""),45668.8069314583)</f>
        <v>45668.806931458297</v>
      </c>
      <c r="B41" s="1"/>
      <c r="C41" s="1">
        <f ca="1">IFERROR(__xludf.DUMMYFUNCTION("""COMPUTED_VALUE"""),27207101634)</f>
        <v>27207101634</v>
      </c>
      <c r="D41" s="1" t="str">
        <f ca="1">IFERROR(__xludf.DUMMYFUNCTION("""COMPUTED_VALUE"""),"Lê Thị Trà My")</f>
        <v>Lê Thị Trà My</v>
      </c>
      <c r="E41" s="4"/>
      <c r="F41" s="1" t="str">
        <f ca="1">IFERROR(__xludf.DUMMYFUNCTION("""COMPUTED_VALUE"""),"K27DLK1")</f>
        <v>K27DLK1</v>
      </c>
      <c r="G41" s="1" t="str">
        <f ca="1">IFERROR(__xludf.DUMMYFUNCTION("""COMPUTED_VALUE"""),"Quản trị Du lịch &amp; Khách sạn")</f>
        <v>Quản trị Du lịch &amp; Khách sạn</v>
      </c>
      <c r="H41" s="1">
        <f ca="1">IFERROR(__xludf.DUMMYFUNCTION("""COMPUTED_VALUE"""),27)</f>
        <v>27</v>
      </c>
      <c r="I41" s="1"/>
      <c r="J41" s="1" t="str">
        <f ca="1">IFERROR(__xludf.DUMMYFUNCTION("""COMPUTED_VALUE"""),"Chuyên đề")</f>
        <v>Chuyên đề</v>
      </c>
      <c r="K41" s="1" t="str">
        <f ca="1">IFERROR(__xludf.DUMMYFUNCTION("""COMPUTED_VALUE"""),"Wyndham DaNang Golden Bay")</f>
        <v>Wyndham DaNang Golden Bay</v>
      </c>
      <c r="L41" s="1"/>
      <c r="M41" s="1" t="str">
        <f ca="1">IFERROR(__xludf.DUMMYFUNCTION("""COMPUTED_VALUE"""),"01 Lê Văn Duyệt, Nại Hiên Đông, Sơn Trà")</f>
        <v>01 Lê Văn Duyệt, Nại Hiên Đông, Sơn Trà</v>
      </c>
      <c r="N41" s="1" t="str">
        <f ca="1">IFERROR(__xludf.DUMMYFUNCTION("""COMPUTED_VALUE"""),"Đà Nẵng")</f>
        <v>Đà Nẵng</v>
      </c>
      <c r="O41" s="1" t="str">
        <f ca="1">IFERROR(__xludf.DUMMYFUNCTION("""COMPUTED_VALUE"""),"Nhà hàng")</f>
        <v>Nhà hàng</v>
      </c>
      <c r="P41" s="1"/>
      <c r="Q41" s="1" t="str">
        <f ca="1">IFERROR(__xludf.DUMMYFUNCTION("""COMPUTED_VALUE"""),"07/01/2025")</f>
        <v>07/01/2025</v>
      </c>
      <c r="R41" s="1" t="str">
        <f ca="1">IFERROR(__xludf.DUMMYFUNCTION("""COMPUTED_VALUE"""),"cam kết")</f>
        <v>cam kết</v>
      </c>
      <c r="S41" s="1" t="str">
        <f ca="1">IFERROR(__xludf.DUMMYFUNCTION("""COMPUTED_VALUE"""),"Chuyên đề")</f>
        <v>Chuyên đề</v>
      </c>
      <c r="T41" s="1"/>
      <c r="U41" s="4">
        <f ca="1">IFERROR(__xludf.DUMMYFUNCTION("""COMPUTED_VALUE"""),45698)</f>
        <v>45698</v>
      </c>
      <c r="V41" s="4">
        <f ca="1">IFERROR(__xludf.DUMMYFUNCTION("""COMPUTED_VALUE"""),45787)</f>
        <v>45787</v>
      </c>
      <c r="W41" s="1">
        <f ca="1">IFERROR(__xludf.DUMMYFUNCTION("""COMPUTED_VALUE"""),40)</f>
        <v>40</v>
      </c>
      <c r="X41" s="1" t="str">
        <f ca="1">IFERROR(__xludf.DUMMYFUNCTION("""COMPUTED_VALUE"""),"14/01/2025")</f>
        <v>14/01/2025</v>
      </c>
      <c r="Y41" s="1" t="str">
        <f ca="1">IFERROR(__xludf.DUMMYFUNCTION("""COMPUTED_VALUE"""),"DUYỆT")</f>
        <v>DUYỆT</v>
      </c>
      <c r="Z41" s="1" t="str">
        <f ca="1">IFERROR(__xludf.DUMMYFUNCTION("""COMPUTED_VALUE"""),"14/01/2025")</f>
        <v>14/01/2025</v>
      </c>
      <c r="AA41" s="1" t="str">
        <f ca="1">IFERROR(__xludf.DUMMYFUNCTION("""COMPUTED_VALUE"""),"Wyndham DaNang Golden Bay")</f>
        <v>Wyndham DaNang Golden Bay</v>
      </c>
      <c r="AB41" s="1" t="str">
        <f ca="1">IFERROR(__xludf.DUMMYFUNCTION("""COMPUTED_VALUE"""),"Nhà hàng")</f>
        <v>Nhà hàng</v>
      </c>
      <c r="AC41" s="1"/>
      <c r="AD41" s="1" t="str">
        <f ca="1">IFERROR(__xludf.DUMMYFUNCTION("""COMPUTED_VALUE"""),"sv phải đám bảo ko quá 5sv/nhà hàng")</f>
        <v>sv phải đám bảo ko quá 5sv/nhà hàng</v>
      </c>
      <c r="AE41" s="1" t="str">
        <f ca="1">IFERROR(__xludf.DUMMYFUNCTION("""COMPUTED_VALUE"""),"")</f>
        <v/>
      </c>
    </row>
    <row r="42" spans="1:31" x14ac:dyDescent="0.2">
      <c r="A42" s="6">
        <f ca="1">IFERROR(__xludf.DUMMYFUNCTION("""COMPUTED_VALUE"""),45668.839027581)</f>
        <v>45668.839027581002</v>
      </c>
      <c r="B42" s="1"/>
      <c r="C42" s="1">
        <f ca="1">IFERROR(__xludf.DUMMYFUNCTION("""COMPUTED_VALUE"""),27203449750)</f>
        <v>27203449750</v>
      </c>
      <c r="D42" s="1" t="str">
        <f ca="1">IFERROR(__xludf.DUMMYFUNCTION("""COMPUTED_VALUE"""),"Lương Thị Minh Tâm ")</f>
        <v xml:space="preserve">Lương Thị Minh Tâm </v>
      </c>
      <c r="E42" s="4"/>
      <c r="F42" s="1" t="str">
        <f ca="1">IFERROR(__xludf.DUMMYFUNCTION("""COMPUTED_VALUE"""),"K27DLK7 ")</f>
        <v xml:space="preserve">K27DLK7 </v>
      </c>
      <c r="G42" s="1" t="str">
        <f ca="1">IFERROR(__xludf.DUMMYFUNCTION("""COMPUTED_VALUE"""),"Quản trị Du lịch &amp; Khách sạn")</f>
        <v>Quản trị Du lịch &amp; Khách sạn</v>
      </c>
      <c r="H42" s="1">
        <f ca="1">IFERROR(__xludf.DUMMYFUNCTION("""COMPUTED_VALUE"""),27)</f>
        <v>27</v>
      </c>
      <c r="I42" s="1"/>
      <c r="J42" s="1" t="str">
        <f ca="1">IFERROR(__xludf.DUMMYFUNCTION("""COMPUTED_VALUE"""),"Chuyên đề")</f>
        <v>Chuyên đề</v>
      </c>
      <c r="K42" s="1" t="str">
        <f ca="1">IFERROR(__xludf.DUMMYFUNCTION("""COMPUTED_VALUE"""),"Wyndham DaNang Golden Bay")</f>
        <v>Wyndham DaNang Golden Bay</v>
      </c>
      <c r="L42" s="1"/>
      <c r="M42" s="1" t="str">
        <f ca="1">IFERROR(__xludf.DUMMYFUNCTION("""COMPUTED_VALUE"""),"01 Lê Văn Duyệt, Nại Hiên Đông, Sơn Trà, thành phố Đà Nẵng")</f>
        <v>01 Lê Văn Duyệt, Nại Hiên Đông, Sơn Trà, thành phố Đà Nẵng</v>
      </c>
      <c r="N42" s="1" t="str">
        <f ca="1">IFERROR(__xludf.DUMMYFUNCTION("""COMPUTED_VALUE"""),"Thành phố Đà Nẵng ")</f>
        <v xml:space="preserve">Thành phố Đà Nẵng </v>
      </c>
      <c r="O42" s="1" t="str">
        <f ca="1">IFERROR(__xludf.DUMMYFUNCTION("""COMPUTED_VALUE"""),"Nhà hàng")</f>
        <v>Nhà hàng</v>
      </c>
      <c r="P42" s="1"/>
      <c r="Q42" s="1" t="str">
        <f ca="1">IFERROR(__xludf.DUMMYFUNCTION("""COMPUTED_VALUE"""),"07/01/2025")</f>
        <v>07/01/2025</v>
      </c>
      <c r="R42" s="1" t="str">
        <f ca="1">IFERROR(__xludf.DUMMYFUNCTION("""COMPUTED_VALUE"""),"cam kết")</f>
        <v>cam kết</v>
      </c>
      <c r="S42" s="1" t="str">
        <f ca="1">IFERROR(__xludf.DUMMYFUNCTION("""COMPUTED_VALUE"""),"Chuyên đề")</f>
        <v>Chuyên đề</v>
      </c>
      <c r="T42" s="1"/>
      <c r="U42" s="4">
        <f ca="1">IFERROR(__xludf.DUMMYFUNCTION("""COMPUTED_VALUE"""),45698)</f>
        <v>45698</v>
      </c>
      <c r="V42" s="4">
        <f ca="1">IFERROR(__xludf.DUMMYFUNCTION("""COMPUTED_VALUE"""),45787)</f>
        <v>45787</v>
      </c>
      <c r="W42" s="1">
        <f ca="1">IFERROR(__xludf.DUMMYFUNCTION("""COMPUTED_VALUE"""),41)</f>
        <v>41</v>
      </c>
      <c r="X42" s="1" t="str">
        <f ca="1">IFERROR(__xludf.DUMMYFUNCTION("""COMPUTED_VALUE"""),"14/01/2025")</f>
        <v>14/01/2025</v>
      </c>
      <c r="Y42" s="1" t="str">
        <f ca="1">IFERROR(__xludf.DUMMYFUNCTION("""COMPUTED_VALUE"""),"DUYỆT")</f>
        <v>DUYỆT</v>
      </c>
      <c r="Z42" s="1" t="str">
        <f ca="1">IFERROR(__xludf.DUMMYFUNCTION("""COMPUTED_VALUE"""),"14/01/2025")</f>
        <v>14/01/2025</v>
      </c>
      <c r="AA42" s="1" t="str">
        <f ca="1">IFERROR(__xludf.DUMMYFUNCTION("""COMPUTED_VALUE"""),"Wyndham DaNang Golden Bay")</f>
        <v>Wyndham DaNang Golden Bay</v>
      </c>
      <c r="AB42" s="1" t="str">
        <f ca="1">IFERROR(__xludf.DUMMYFUNCTION("""COMPUTED_VALUE"""),"Nhà hàng")</f>
        <v>Nhà hàng</v>
      </c>
      <c r="AC42" s="1"/>
      <c r="AD42" s="1" t="str">
        <f ca="1">IFERROR(__xludf.DUMMYFUNCTION("""COMPUTED_VALUE"""),"sv phải đám bảo ko quá 5sv/nhà hàng")</f>
        <v>sv phải đám bảo ko quá 5sv/nhà hàng</v>
      </c>
      <c r="AE42" s="1" t="str">
        <f ca="1">IFERROR(__xludf.DUMMYFUNCTION("""COMPUTED_VALUE"""),"")</f>
        <v/>
      </c>
    </row>
    <row r="43" spans="1:31" x14ac:dyDescent="0.2">
      <c r="A43" s="6">
        <f ca="1">IFERROR(__xludf.DUMMYFUNCTION("""COMPUTED_VALUE"""),45668.8675076273)</f>
        <v>45668.867507627299</v>
      </c>
      <c r="B43" s="1"/>
      <c r="C43" s="1">
        <f ca="1">IFERROR(__xludf.DUMMYFUNCTION("""COMPUTED_VALUE"""),27207123321)</f>
        <v>27207123321</v>
      </c>
      <c r="D43" s="1" t="str">
        <f ca="1">IFERROR(__xludf.DUMMYFUNCTION("""COMPUTED_VALUE"""),"Trần Thị Thanh Lê")</f>
        <v>Trần Thị Thanh Lê</v>
      </c>
      <c r="E43" s="4"/>
      <c r="F43" s="1" t="str">
        <f ca="1">IFERROR(__xludf.DUMMYFUNCTION("""COMPUTED_VALUE"""),"K27DLK1")</f>
        <v>K27DLK1</v>
      </c>
      <c r="G43" s="1" t="str">
        <f ca="1">IFERROR(__xludf.DUMMYFUNCTION("""COMPUTED_VALUE"""),"Quản trị Du lịch &amp; Khách sạn")</f>
        <v>Quản trị Du lịch &amp; Khách sạn</v>
      </c>
      <c r="H43" s="1">
        <f ca="1">IFERROR(__xludf.DUMMYFUNCTION("""COMPUTED_VALUE"""),27)</f>
        <v>27</v>
      </c>
      <c r="I43" s="1"/>
      <c r="J43" s="1" t="str">
        <f ca="1">IFERROR(__xludf.DUMMYFUNCTION("""COMPUTED_VALUE"""),"Chuyên đề")</f>
        <v>Chuyên đề</v>
      </c>
      <c r="K43" s="1" t="str">
        <f ca="1">IFERROR(__xludf.DUMMYFUNCTION("""COMPUTED_VALUE"""),"Wyndham DaNang Golden Bay")</f>
        <v>Wyndham DaNang Golden Bay</v>
      </c>
      <c r="L43" s="1"/>
      <c r="M43" s="1" t="str">
        <f ca="1">IFERROR(__xludf.DUMMYFUNCTION("""COMPUTED_VALUE"""),"01 Lê Văn Duyệt, Nại Hiên Đông, Sơn Trà ")</f>
        <v xml:space="preserve">01 Lê Văn Duyệt, Nại Hiên Đông, Sơn Trà </v>
      </c>
      <c r="N43" s="1" t="str">
        <f ca="1">IFERROR(__xludf.DUMMYFUNCTION("""COMPUTED_VALUE"""),"Đà Nẵng ")</f>
        <v xml:space="preserve">Đà Nẵng </v>
      </c>
      <c r="O43" s="1" t="str">
        <f ca="1">IFERROR(__xludf.DUMMYFUNCTION("""COMPUTED_VALUE"""),"Buồng phòng")</f>
        <v>Buồng phòng</v>
      </c>
      <c r="P43" s="1"/>
      <c r="Q43" s="1" t="str">
        <f ca="1">IFERROR(__xludf.DUMMYFUNCTION("""COMPUTED_VALUE"""),"07/01/2025")</f>
        <v>07/01/2025</v>
      </c>
      <c r="R43" s="1" t="str">
        <f ca="1">IFERROR(__xludf.DUMMYFUNCTION("""COMPUTED_VALUE"""),"cam kết")</f>
        <v>cam kết</v>
      </c>
      <c r="S43" s="1" t="str">
        <f ca="1">IFERROR(__xludf.DUMMYFUNCTION("""COMPUTED_VALUE"""),"Chuyên đề")</f>
        <v>Chuyên đề</v>
      </c>
      <c r="T43" s="1"/>
      <c r="U43" s="4">
        <f ca="1">IFERROR(__xludf.DUMMYFUNCTION("""COMPUTED_VALUE"""),45698)</f>
        <v>45698</v>
      </c>
      <c r="V43" s="4">
        <f ca="1">IFERROR(__xludf.DUMMYFUNCTION("""COMPUTED_VALUE"""),45787)</f>
        <v>45787</v>
      </c>
      <c r="W43" s="1">
        <f ca="1">IFERROR(__xludf.DUMMYFUNCTION("""COMPUTED_VALUE"""),42)</f>
        <v>42</v>
      </c>
      <c r="X43" s="1" t="str">
        <f ca="1">IFERROR(__xludf.DUMMYFUNCTION("""COMPUTED_VALUE"""),"14/01/2025")</f>
        <v>14/01/2025</v>
      </c>
      <c r="Y43" s="1" t="str">
        <f ca="1">IFERROR(__xludf.DUMMYFUNCTION("""COMPUTED_VALUE"""),"DUYỆT")</f>
        <v>DUYỆT</v>
      </c>
      <c r="Z43" s="1" t="str">
        <f ca="1">IFERROR(__xludf.DUMMYFUNCTION("""COMPUTED_VALUE"""),"14/01/2025")</f>
        <v>14/01/2025</v>
      </c>
      <c r="AA43" s="1" t="str">
        <f ca="1">IFERROR(__xludf.DUMMYFUNCTION("""COMPUTED_VALUE"""),"Wyndham DaNang Golden Bay")</f>
        <v>Wyndham DaNang Golden Bay</v>
      </c>
      <c r="AB43" s="1" t="str">
        <f ca="1">IFERROR(__xludf.DUMMYFUNCTION("""COMPUTED_VALUE"""),"Buồng phòng")</f>
        <v>Buồng phòng</v>
      </c>
      <c r="AC43" s="1"/>
      <c r="AD43" s="1"/>
      <c r="AE43" s="1" t="str">
        <f ca="1">IFERROR(__xludf.DUMMYFUNCTION("""COMPUTED_VALUE"""),"")</f>
        <v/>
      </c>
    </row>
    <row r="44" spans="1:31" x14ac:dyDescent="0.2">
      <c r="A44" s="6">
        <f ca="1">IFERROR(__xludf.DUMMYFUNCTION("""COMPUTED_VALUE"""),45672.759032199)</f>
        <v>45672.759032198999</v>
      </c>
      <c r="B44" s="1"/>
      <c r="C44" s="1">
        <f ca="1">IFERROR(__xludf.DUMMYFUNCTION("""COMPUTED_VALUE"""),27213445193)</f>
        <v>27213445193</v>
      </c>
      <c r="D44" s="1" t="str">
        <f ca="1">IFERROR(__xludf.DUMMYFUNCTION("""COMPUTED_VALUE"""),"Nguyễn Đăng Khoa")</f>
        <v>Nguyễn Đăng Khoa</v>
      </c>
      <c r="E44" s="4"/>
      <c r="F44" s="1" t="str">
        <f ca="1">IFERROR(__xludf.DUMMYFUNCTION("""COMPUTED_VALUE"""),"K27PSUDLK 1")</f>
        <v>K27PSUDLK 1</v>
      </c>
      <c r="G44" s="1" t="str">
        <f ca="1">IFERROR(__xludf.DUMMYFUNCTION("""COMPUTED_VALUE"""),"Quản trị Du lịch &amp; Khách sạn chuẩn PSU")</f>
        <v>Quản trị Du lịch &amp; Khách sạn chuẩn PSU</v>
      </c>
      <c r="H44" s="1">
        <f ca="1">IFERROR(__xludf.DUMMYFUNCTION("""COMPUTED_VALUE"""),27)</f>
        <v>27</v>
      </c>
      <c r="I44" s="1"/>
      <c r="J44" s="1" t="str">
        <f ca="1">IFERROR(__xludf.DUMMYFUNCTION("""COMPUTED_VALUE"""),"Chuyên đề")</f>
        <v>Chuyên đề</v>
      </c>
      <c r="K44" s="1" t="str">
        <f ca="1">IFERROR(__xludf.DUMMYFUNCTION("""COMPUTED_VALUE"""),"Hyatt regency DaNang Resort")</f>
        <v>Hyatt regency DaNang Resort</v>
      </c>
      <c r="L44" s="1"/>
      <c r="M44" s="1" t="str">
        <f ca="1">IFERROR(__xludf.DUMMYFUNCTION("""COMPUTED_VALUE"""),"05 Trường Sa, Ngũ Hành Sơn, Đà Nẵng")</f>
        <v>05 Trường Sa, Ngũ Hành Sơn, Đà Nẵng</v>
      </c>
      <c r="N44" s="1" t="str">
        <f ca="1">IFERROR(__xludf.DUMMYFUNCTION("""COMPUTED_VALUE"""),"Đà Nẵng")</f>
        <v>Đà Nẵng</v>
      </c>
      <c r="O44" s="1" t="str">
        <f ca="1">IFERROR(__xludf.DUMMYFUNCTION("""COMPUTED_VALUE"""),"Tiền sảnh")</f>
        <v>Tiền sảnh</v>
      </c>
      <c r="P44" s="1"/>
      <c r="Q44" s="1" t="str">
        <f ca="1">IFERROR(__xludf.DUMMYFUNCTION("""COMPUTED_VALUE"""),"16/01/2025")</f>
        <v>16/01/2025</v>
      </c>
      <c r="R44" s="1" t="str">
        <f ca="1">IFERROR(__xludf.DUMMYFUNCTION("""COMPUTED_VALUE"""),"cam kết")</f>
        <v>cam kết</v>
      </c>
      <c r="S44" s="1" t="str">
        <f ca="1">IFERROR(__xludf.DUMMYFUNCTION("""COMPUTED_VALUE"""),"Chuyên đề")</f>
        <v>Chuyên đề</v>
      </c>
      <c r="T44" s="1"/>
      <c r="U44" s="4">
        <f ca="1">IFERROR(__xludf.DUMMYFUNCTION("""COMPUTED_VALUE"""),45691)</f>
        <v>45691</v>
      </c>
      <c r="V44" s="4">
        <f ca="1">IFERROR(__xludf.DUMMYFUNCTION("""COMPUTED_VALUE"""),45780)</f>
        <v>45780</v>
      </c>
      <c r="W44" s="1">
        <f ca="1">IFERROR(__xludf.DUMMYFUNCTION("""COMPUTED_VALUE"""),43)</f>
        <v>43</v>
      </c>
      <c r="X44" s="1" t="str">
        <f ca="1">IFERROR(__xludf.DUMMYFUNCTION("""COMPUTED_VALUE"""),"18/01/2025")</f>
        <v>18/01/2025</v>
      </c>
      <c r="Y44" s="1" t="str">
        <f ca="1">IFERROR(__xludf.DUMMYFUNCTION("""COMPUTED_VALUE"""),"DUYỆT")</f>
        <v>DUYỆT</v>
      </c>
      <c r="Z44" s="1" t="str">
        <f ca="1">IFERROR(__xludf.DUMMYFUNCTION("""COMPUTED_VALUE"""),"14/01/2025")</f>
        <v>14/01/2025</v>
      </c>
      <c r="AA44" s="1" t="str">
        <f ca="1">IFERROR(__xludf.DUMMYFUNCTION("""COMPUTED_VALUE"""),"Hyatt regency DaNang Resort")</f>
        <v>Hyatt regency DaNang Resort</v>
      </c>
      <c r="AB44" s="1" t="str">
        <f ca="1">IFERROR(__xludf.DUMMYFUNCTION("""COMPUTED_VALUE"""),"Tiền sảnh")</f>
        <v>Tiền sảnh</v>
      </c>
      <c r="AC44" s="1"/>
      <c r="AD44" s="1"/>
      <c r="AE44" s="1" t="str">
        <f ca="1">IFERROR(__xludf.DUMMYFUNCTION("""COMPUTED_VALUE"""),"")</f>
        <v/>
      </c>
    </row>
    <row r="45" spans="1:31" x14ac:dyDescent="0.2">
      <c r="A45" s="6">
        <f ca="1">IFERROR(__xludf.DUMMYFUNCTION("""COMPUTED_VALUE"""),45671.414110081)</f>
        <v>45671.414110081001</v>
      </c>
      <c r="B45" s="1"/>
      <c r="C45" s="1">
        <f ca="1">IFERROR(__xludf.DUMMYFUNCTION("""COMPUTED_VALUE"""),27217133738)</f>
        <v>27217133738</v>
      </c>
      <c r="D45" s="1" t="str">
        <f ca="1">IFERROR(__xludf.DUMMYFUNCTION("""COMPUTED_VALUE"""),"Hoàng Trần Thuý Vy")</f>
        <v>Hoàng Trần Thuý Vy</v>
      </c>
      <c r="E45" s="4"/>
      <c r="F45" s="1" t="str">
        <f ca="1">IFERROR(__xludf.DUMMYFUNCTION("""COMPUTED_VALUE"""),"K27DLK1")</f>
        <v>K27DLK1</v>
      </c>
      <c r="G45" s="1" t="str">
        <f ca="1">IFERROR(__xludf.DUMMYFUNCTION("""COMPUTED_VALUE"""),"Quản trị Du lịch &amp; Khách sạn")</f>
        <v>Quản trị Du lịch &amp; Khách sạn</v>
      </c>
      <c r="H45" s="1">
        <f ca="1">IFERROR(__xludf.DUMMYFUNCTION("""COMPUTED_VALUE"""),27)</f>
        <v>27</v>
      </c>
      <c r="I45" s="1"/>
      <c r="J45" s="1" t="str">
        <f ca="1">IFERROR(__xludf.DUMMYFUNCTION("""COMPUTED_VALUE"""),"Chuyên đề")</f>
        <v>Chuyên đề</v>
      </c>
      <c r="K45" s="1" t="str">
        <f ca="1">IFERROR(__xludf.DUMMYFUNCTION("""COMPUTED_VALUE"""),"Hyatt regency DaNang Resort")</f>
        <v>Hyatt regency DaNang Resort</v>
      </c>
      <c r="L45" s="1"/>
      <c r="M45" s="1" t="str">
        <f ca="1">IFERROR(__xludf.DUMMYFUNCTION("""COMPUTED_VALUE"""),"05 Trường Sa, Hoà Hải, Ngũ Hành Sơn, TP. Đà Nẵng")</f>
        <v>05 Trường Sa, Hoà Hải, Ngũ Hành Sơn, TP. Đà Nẵng</v>
      </c>
      <c r="N45" s="1" t="str">
        <f ca="1">IFERROR(__xludf.DUMMYFUNCTION("""COMPUTED_VALUE"""),"Đà Nẵng")</f>
        <v>Đà Nẵng</v>
      </c>
      <c r="O45" s="1" t="str">
        <f ca="1">IFERROR(__xludf.DUMMYFUNCTION("""COMPUTED_VALUE"""),"Nhà hàng")</f>
        <v>Nhà hàng</v>
      </c>
      <c r="P45" s="1"/>
      <c r="Q45" s="1" t="str">
        <f ca="1">IFERROR(__xludf.DUMMYFUNCTION("""COMPUTED_VALUE"""),"14/1/2025")</f>
        <v>14/1/2025</v>
      </c>
      <c r="R45" s="1" t="str">
        <f ca="1">IFERROR(__xludf.DUMMYFUNCTION("""COMPUTED_VALUE"""),"cam kết")</f>
        <v>cam kết</v>
      </c>
      <c r="S45" s="1" t="str">
        <f ca="1">IFERROR(__xludf.DUMMYFUNCTION("""COMPUTED_VALUE"""),"Chuyên đề")</f>
        <v>Chuyên đề</v>
      </c>
      <c r="T45" s="1" t="str">
        <f ca="1">IFERROR(__xludf.DUMMYFUNCTION("""COMPUTED_VALUE"""),"Phạm Thị Thu Thủy")</f>
        <v>Phạm Thị Thu Thủy</v>
      </c>
      <c r="U45" s="4">
        <f ca="1">IFERROR(__xludf.DUMMYFUNCTION("""COMPUTED_VALUE"""),45325)</f>
        <v>45325</v>
      </c>
      <c r="V45" s="4">
        <f ca="1">IFERROR(__xludf.DUMMYFUNCTION("""COMPUTED_VALUE"""),45780)</f>
        <v>45780</v>
      </c>
      <c r="W45" s="1">
        <f ca="1">IFERROR(__xludf.DUMMYFUNCTION("""COMPUTED_VALUE"""),44)</f>
        <v>44</v>
      </c>
      <c r="X45" s="1" t="str">
        <f ca="1">IFERROR(__xludf.DUMMYFUNCTION("""COMPUTED_VALUE"""),"14/01/2025")</f>
        <v>14/01/2025</v>
      </c>
      <c r="Y45" s="1" t="str">
        <f ca="1">IFERROR(__xludf.DUMMYFUNCTION("""COMPUTED_VALUE"""),"DUYỆT")</f>
        <v>DUYỆT</v>
      </c>
      <c r="Z45" s="1" t="str">
        <f ca="1">IFERROR(__xludf.DUMMYFUNCTION("""COMPUTED_VALUE"""),"14/01/2025")</f>
        <v>14/01/2025</v>
      </c>
      <c r="AA45" s="1" t="str">
        <f ca="1">IFERROR(__xludf.DUMMYFUNCTION("""COMPUTED_VALUE"""),"Hyatt regency DaNang Resort")</f>
        <v>Hyatt regency DaNang Resort</v>
      </c>
      <c r="AB45" s="1" t="str">
        <f ca="1">IFERROR(__xludf.DUMMYFUNCTION("""COMPUTED_VALUE"""),"Nhà hàng")</f>
        <v>Nhà hàng</v>
      </c>
      <c r="AC45" s="1"/>
      <c r="AD45" s="1" t="str">
        <f ca="1">IFERROR(__xludf.DUMMYFUNCTION("""COMPUTED_VALUE"""),"SV phải đảm bảo không thực tập quá 5sv/nhà hàng")</f>
        <v>SV phải đảm bảo không thực tập quá 5sv/nhà hàng</v>
      </c>
      <c r="AE45" s="1" t="str">
        <f ca="1">IFERROR(__xludf.DUMMYFUNCTION("""COMPUTED_VALUE"""),"")</f>
        <v/>
      </c>
    </row>
    <row r="46" spans="1:31" x14ac:dyDescent="0.2">
      <c r="A46" s="6">
        <f ca="1">IFERROR(__xludf.DUMMYFUNCTION("""COMPUTED_VALUE"""),45670.5013623842)</f>
        <v>45670.501362384202</v>
      </c>
      <c r="B46" s="1"/>
      <c r="C46" s="1">
        <f ca="1">IFERROR(__xludf.DUMMYFUNCTION("""COMPUTED_VALUE"""),27207140181)</f>
        <v>27207140181</v>
      </c>
      <c r="D46" s="1" t="str">
        <f ca="1">IFERROR(__xludf.DUMMYFUNCTION("""COMPUTED_VALUE"""),"Bùi Phạm Thanh Ngân")</f>
        <v>Bùi Phạm Thanh Ngân</v>
      </c>
      <c r="E46" s="4"/>
      <c r="F46" s="1" t="str">
        <f ca="1">IFERROR(__xludf.DUMMYFUNCTION("""COMPUTED_VALUE"""),"K27DLK2")</f>
        <v>K27DLK2</v>
      </c>
      <c r="G46" s="1" t="str">
        <f ca="1">IFERROR(__xludf.DUMMYFUNCTION("""COMPUTED_VALUE"""),"Quản trị Du lịch &amp; Khách sạn")</f>
        <v>Quản trị Du lịch &amp; Khách sạn</v>
      </c>
      <c r="H46" s="1">
        <f ca="1">IFERROR(__xludf.DUMMYFUNCTION("""COMPUTED_VALUE"""),27)</f>
        <v>27</v>
      </c>
      <c r="I46" s="1"/>
      <c r="J46" s="1" t="str">
        <f ca="1">IFERROR(__xludf.DUMMYFUNCTION("""COMPUTED_VALUE"""),"Chuyên đề")</f>
        <v>Chuyên đề</v>
      </c>
      <c r="K46" s="1" t="str">
        <f ca="1">IFERROR(__xludf.DUMMYFUNCTION("""COMPUTED_VALUE"""),"Wyndham DaNang Golden Bay")</f>
        <v>Wyndham DaNang Golden Bay</v>
      </c>
      <c r="L46" s="1"/>
      <c r="M46" s="1" t="str">
        <f ca="1">IFERROR(__xludf.DUMMYFUNCTION("""COMPUTED_VALUE"""),"01 Lê Văn Duyệt , Phường Nại Hiên Đông , Quận Sơn Trà , TP Đà Nẵng")</f>
        <v>01 Lê Văn Duyệt , Phường Nại Hiên Đông , Quận Sơn Trà , TP Đà Nẵng</v>
      </c>
      <c r="N46" s="1" t="str">
        <f ca="1">IFERROR(__xludf.DUMMYFUNCTION("""COMPUTED_VALUE"""),"Thành Phố Đà Nẵng")</f>
        <v>Thành Phố Đà Nẵng</v>
      </c>
      <c r="O46" s="1" t="str">
        <f ca="1">IFERROR(__xludf.DUMMYFUNCTION("""COMPUTED_VALUE"""),"Buồng phòng")</f>
        <v>Buồng phòng</v>
      </c>
      <c r="P46" s="1"/>
      <c r="Q46" s="1" t="str">
        <f ca="1">IFERROR(__xludf.DUMMYFUNCTION("""COMPUTED_VALUE"""),"13/01/2025")</f>
        <v>13/01/2025</v>
      </c>
      <c r="R46" s="1" t="str">
        <f ca="1">IFERROR(__xludf.DUMMYFUNCTION("""COMPUTED_VALUE"""),"cam kết")</f>
        <v>cam kết</v>
      </c>
      <c r="S46" s="1" t="str">
        <f ca="1">IFERROR(__xludf.DUMMYFUNCTION("""COMPUTED_VALUE"""),"Chuyên đề")</f>
        <v>Chuyên đề</v>
      </c>
      <c r="T46" s="1"/>
      <c r="U46" s="4">
        <f ca="1">IFERROR(__xludf.DUMMYFUNCTION("""COMPUTED_VALUE"""),45698)</f>
        <v>45698</v>
      </c>
      <c r="V46" s="4">
        <f ca="1">IFERROR(__xludf.DUMMYFUNCTION("""COMPUTED_VALUE"""),45787)</f>
        <v>45787</v>
      </c>
      <c r="W46" s="1">
        <f ca="1">IFERROR(__xludf.DUMMYFUNCTION("""COMPUTED_VALUE"""),45)</f>
        <v>45</v>
      </c>
      <c r="X46" s="1" t="str">
        <f ca="1">IFERROR(__xludf.DUMMYFUNCTION("""COMPUTED_VALUE"""),"14/01/2025")</f>
        <v>14/01/2025</v>
      </c>
      <c r="Y46" s="1" t="str">
        <f ca="1">IFERROR(__xludf.DUMMYFUNCTION("""COMPUTED_VALUE"""),"DUYỆT")</f>
        <v>DUYỆT</v>
      </c>
      <c r="Z46" s="1" t="str">
        <f ca="1">IFERROR(__xludf.DUMMYFUNCTION("""COMPUTED_VALUE"""),"14/01/2025")</f>
        <v>14/01/2025</v>
      </c>
      <c r="AA46" s="1" t="str">
        <f ca="1">IFERROR(__xludf.DUMMYFUNCTION("""COMPUTED_VALUE"""),"Wyndham DaNang Golden Bay")</f>
        <v>Wyndham DaNang Golden Bay</v>
      </c>
      <c r="AB46" s="1" t="str">
        <f ca="1">IFERROR(__xludf.DUMMYFUNCTION("""COMPUTED_VALUE"""),"Buồng phòng")</f>
        <v>Buồng phòng</v>
      </c>
      <c r="AC46" s="1"/>
      <c r="AD46" s="1"/>
      <c r="AE46" s="1" t="str">
        <f ca="1">IFERROR(__xludf.DUMMYFUNCTION("""COMPUTED_VALUE"""),"")</f>
        <v/>
      </c>
    </row>
    <row r="47" spans="1:31" x14ac:dyDescent="0.2">
      <c r="A47" s="6">
        <f ca="1">IFERROR(__xludf.DUMMYFUNCTION("""COMPUTED_VALUE"""),45695.8503566435)</f>
        <v>45695.850356643503</v>
      </c>
      <c r="B47" s="1"/>
      <c r="C47" s="1">
        <f ca="1">IFERROR(__xludf.DUMMYFUNCTION("""COMPUTED_VALUE"""),27207100571)</f>
        <v>27207100571</v>
      </c>
      <c r="D47" s="1" t="str">
        <f ca="1">IFERROR(__xludf.DUMMYFUNCTION("""COMPUTED_VALUE"""),"Vũ Thị Khánh Linh")</f>
        <v>Vũ Thị Khánh Linh</v>
      </c>
      <c r="E47" s="4"/>
      <c r="F47" s="1" t="str">
        <f ca="1">IFERROR(__xludf.DUMMYFUNCTION("""COMPUTED_VALUE"""),"K27PSU-DLK1")</f>
        <v>K27PSU-DLK1</v>
      </c>
      <c r="G47" s="1" t="str">
        <f ca="1">IFERROR(__xludf.DUMMYFUNCTION("""COMPUTED_VALUE"""),"Quản trị Du lịch &amp; Khách sạn chuẩn PSU")</f>
        <v>Quản trị Du lịch &amp; Khách sạn chuẩn PSU</v>
      </c>
      <c r="H47" s="1">
        <f ca="1">IFERROR(__xludf.DUMMYFUNCTION("""COMPUTED_VALUE"""),27)</f>
        <v>27</v>
      </c>
      <c r="I47" s="1"/>
      <c r="J47" s="1" t="str">
        <f ca="1">IFERROR(__xludf.DUMMYFUNCTION("""COMPUTED_VALUE"""),"Chuyên đề")</f>
        <v>Chuyên đề</v>
      </c>
      <c r="K47" s="1" t="str">
        <f ca="1">IFERROR(__xludf.DUMMYFUNCTION("""COMPUTED_VALUE"""),"khách sạn khác")</f>
        <v>khách sạn khác</v>
      </c>
      <c r="L47" s="1" t="str">
        <f ca="1">IFERROR(__xludf.DUMMYFUNCTION("""COMPUTED_VALUE"""),"Meliá Danang Beach Resort")</f>
        <v>Meliá Danang Beach Resort</v>
      </c>
      <c r="M47" s="1" t="str">
        <f ca="1">IFERROR(__xludf.DUMMYFUNCTION("""COMPUTED_VALUE"""),"19 Trường Sa, Hải Hoà, Ngũ Hành Sơn, Đà Nẵng")</f>
        <v>19 Trường Sa, Hải Hoà, Ngũ Hành Sơn, Đà Nẵng</v>
      </c>
      <c r="N47" s="1" t="str">
        <f ca="1">IFERROR(__xludf.DUMMYFUNCTION("""COMPUTED_VALUE"""),"Đà Nẵng")</f>
        <v>Đà Nẵng</v>
      </c>
      <c r="O47" s="1" t="str">
        <f ca="1">IFERROR(__xludf.DUMMYFUNCTION("""COMPUTED_VALUE"""),"Nhà hàng")</f>
        <v>Nhà hàng</v>
      </c>
      <c r="P47" s="1"/>
      <c r="Q47" s="1" t="str">
        <f ca="1">IFERROR(__xludf.DUMMYFUNCTION("""COMPUTED_VALUE"""),"10/02/2025")</f>
        <v>10/02/2025</v>
      </c>
      <c r="R47" s="1" t="str">
        <f ca="1">IFERROR(__xludf.DUMMYFUNCTION("""COMPUTED_VALUE"""),"cam kết")</f>
        <v>cam kết</v>
      </c>
      <c r="S47" s="1" t="str">
        <f ca="1">IFERROR(__xludf.DUMMYFUNCTION("""COMPUTED_VALUE"""),"Chuyên đề")</f>
        <v>Chuyên đề</v>
      </c>
      <c r="T47" s="1"/>
      <c r="U47" s="4">
        <f ca="1">IFERROR(__xludf.DUMMYFUNCTION("""COMPUTED_VALUE"""),45698)</f>
        <v>45698</v>
      </c>
      <c r="V47" s="4">
        <f ca="1">IFERROR(__xludf.DUMMYFUNCTION("""COMPUTED_VALUE"""),45787)</f>
        <v>45787</v>
      </c>
      <c r="W47" s="1">
        <f ca="1">IFERROR(__xludf.DUMMYFUNCTION("""COMPUTED_VALUE"""),46)</f>
        <v>46</v>
      </c>
      <c r="X47" s="3">
        <f ca="1">IFERROR(__xludf.DUMMYFUNCTION("""COMPUTED_VALUE"""),45963)</f>
        <v>45963</v>
      </c>
      <c r="Y47" s="1" t="str">
        <f ca="1">IFERROR(__xludf.DUMMYFUNCTION("""COMPUTED_VALUE"""),"DUYỆT")</f>
        <v>DUYỆT</v>
      </c>
      <c r="Z47" s="1" t="str">
        <f ca="1">IFERROR(__xludf.DUMMYFUNCTION("""COMPUTED_VALUE"""),"18/01/2025")</f>
        <v>18/01/2025</v>
      </c>
      <c r="AA47" s="1" t="str">
        <f ca="1">IFERROR(__xludf.DUMMYFUNCTION("""COMPUTED_VALUE"""),"Meliá Danang Beach Resort")</f>
        <v>Meliá Danang Beach Resort</v>
      </c>
      <c r="AB47" s="1" t="str">
        <f ca="1">IFERROR(__xludf.DUMMYFUNCTION("""COMPUTED_VALUE"""),"Nhà hàng")</f>
        <v>Nhà hàng</v>
      </c>
      <c r="AC47" s="1"/>
      <c r="AD47" s="1"/>
      <c r="AE47" s="1" t="str">
        <f ca="1">IFERROR(__xludf.DUMMYFUNCTION("""COMPUTED_VALUE"""),"")</f>
        <v/>
      </c>
    </row>
    <row r="48" spans="1:31" x14ac:dyDescent="0.2">
      <c r="A48" s="6">
        <f ca="1">IFERROR(__xludf.DUMMYFUNCTION("""COMPUTED_VALUE"""),45670.7619219328)</f>
        <v>45670.761921932797</v>
      </c>
      <c r="B48" s="1"/>
      <c r="C48" s="1">
        <f ca="1">IFERROR(__xludf.DUMMYFUNCTION("""COMPUTED_VALUE"""),27207102765)</f>
        <v>27207102765</v>
      </c>
      <c r="D48" s="1" t="str">
        <f ca="1">IFERROR(__xludf.DUMMYFUNCTION("""COMPUTED_VALUE"""),"Nguyễn Thị Mỹ Duyên")</f>
        <v>Nguyễn Thị Mỹ Duyên</v>
      </c>
      <c r="E48" s="4"/>
      <c r="F48" s="1" t="str">
        <f ca="1">IFERROR(__xludf.DUMMYFUNCTION("""COMPUTED_VALUE"""),"K27DLK 3")</f>
        <v>K27DLK 3</v>
      </c>
      <c r="G48" s="1" t="str">
        <f ca="1">IFERROR(__xludf.DUMMYFUNCTION("""COMPUTED_VALUE"""),"Quản trị Du lịch &amp; Khách sạn")</f>
        <v>Quản trị Du lịch &amp; Khách sạn</v>
      </c>
      <c r="H48" s="1">
        <f ca="1">IFERROR(__xludf.DUMMYFUNCTION("""COMPUTED_VALUE"""),27)</f>
        <v>27</v>
      </c>
      <c r="I48" s="1"/>
      <c r="J48" s="1" t="str">
        <f ca="1">IFERROR(__xludf.DUMMYFUNCTION("""COMPUTED_VALUE"""),"Chuyên đề")</f>
        <v>Chuyên đề</v>
      </c>
      <c r="K48" s="1" t="str">
        <f ca="1">IFERROR(__xludf.DUMMYFUNCTION("""COMPUTED_VALUE"""),"Hyatt regency DaNang Resort")</f>
        <v>Hyatt regency DaNang Resort</v>
      </c>
      <c r="L48" s="1"/>
      <c r="M48" s="1" t="str">
        <f ca="1">IFERROR(__xludf.DUMMYFUNCTION("""COMPUTED_VALUE"""),"05 Trường Sa, Ngũ Hành Sơn, Đà Nẵng")</f>
        <v>05 Trường Sa, Ngũ Hành Sơn, Đà Nẵng</v>
      </c>
      <c r="N48" s="1" t="str">
        <f ca="1">IFERROR(__xludf.DUMMYFUNCTION("""COMPUTED_VALUE"""),"Đà Nẵng ")</f>
        <v xml:space="preserve">Đà Nẵng </v>
      </c>
      <c r="O48" s="1" t="str">
        <f ca="1">IFERROR(__xludf.DUMMYFUNCTION("""COMPUTED_VALUE"""),"Nhà hàng")</f>
        <v>Nhà hàng</v>
      </c>
      <c r="P48" s="1"/>
      <c r="Q48" s="1" t="str">
        <f ca="1">IFERROR(__xludf.DUMMYFUNCTION("""COMPUTED_VALUE"""),"14/1/2025")</f>
        <v>14/1/2025</v>
      </c>
      <c r="R48" s="1" t="str">
        <f ca="1">IFERROR(__xludf.DUMMYFUNCTION("""COMPUTED_VALUE"""),"cam kết")</f>
        <v>cam kết</v>
      </c>
      <c r="S48" s="1" t="str">
        <f ca="1">IFERROR(__xludf.DUMMYFUNCTION("""COMPUTED_VALUE"""),"Chuyên đề")</f>
        <v>Chuyên đề</v>
      </c>
      <c r="T48" s="1"/>
      <c r="U48" s="4">
        <f ca="1">IFERROR(__xludf.DUMMYFUNCTION("""COMPUTED_VALUE"""),45672)</f>
        <v>45672</v>
      </c>
      <c r="V48" s="4">
        <f ca="1">IFERROR(__xludf.DUMMYFUNCTION("""COMPUTED_VALUE"""),45762)</f>
        <v>45762</v>
      </c>
      <c r="W48" s="1">
        <f ca="1">IFERROR(__xludf.DUMMYFUNCTION("""COMPUTED_VALUE"""),47)</f>
        <v>47</v>
      </c>
      <c r="X48" s="1"/>
      <c r="Y48" s="1" t="str">
        <f ca="1">IFERROR(__xludf.DUMMYFUNCTION("""COMPUTED_VALUE"""),"DUYỆT")</f>
        <v>DUYỆT</v>
      </c>
      <c r="Z48" s="1" t="str">
        <f ca="1">IFERROR(__xludf.DUMMYFUNCTION("""COMPUTED_VALUE"""),"14/01/2025")</f>
        <v>14/01/2025</v>
      </c>
      <c r="AA48" s="1" t="str">
        <f ca="1">IFERROR(__xludf.DUMMYFUNCTION("""COMPUTED_VALUE"""),"Hyatt regency DaNang Resort")</f>
        <v>Hyatt regency DaNang Resort</v>
      </c>
      <c r="AB48" s="1" t="str">
        <f ca="1">IFERROR(__xludf.DUMMYFUNCTION("""COMPUTED_VALUE"""),"Nhà hàng")</f>
        <v>Nhà hàng</v>
      </c>
      <c r="AC48" s="1"/>
      <c r="AD48" s="1" t="str">
        <f ca="1">IFERROR(__xludf.DUMMYFUNCTION("""COMPUTED_VALUE"""),"SV phải đảm bảo không thực tập quá 5sv/nhà hàng")</f>
        <v>SV phải đảm bảo không thực tập quá 5sv/nhà hàng</v>
      </c>
      <c r="AE48" s="1" t="str">
        <f ca="1">IFERROR(__xludf.DUMMYFUNCTION("""COMPUTED_VALUE"""),"")</f>
        <v/>
      </c>
    </row>
    <row r="49" spans="1:31" x14ac:dyDescent="0.2">
      <c r="A49" s="6">
        <f ca="1">IFERROR(__xludf.DUMMYFUNCTION("""COMPUTED_VALUE"""),45670.8551604629)</f>
        <v>45670.855160462903</v>
      </c>
      <c r="B49" s="1"/>
      <c r="C49" s="1">
        <f ca="1">IFERROR(__xludf.DUMMYFUNCTION("""COMPUTED_VALUE"""),27217128739)</f>
        <v>27217128739</v>
      </c>
      <c r="D49" s="1" t="str">
        <f ca="1">IFERROR(__xludf.DUMMYFUNCTION("""COMPUTED_VALUE"""),"Nguyễn Khắc Anh")</f>
        <v>Nguyễn Khắc Anh</v>
      </c>
      <c r="E49" s="4"/>
      <c r="F49" s="1" t="str">
        <f ca="1">IFERROR(__xludf.DUMMYFUNCTION("""COMPUTED_VALUE"""),"K27DLK1")</f>
        <v>K27DLK1</v>
      </c>
      <c r="G49" s="1" t="str">
        <f ca="1">IFERROR(__xludf.DUMMYFUNCTION("""COMPUTED_VALUE"""),"Quản trị Du lịch &amp; Khách sạn")</f>
        <v>Quản trị Du lịch &amp; Khách sạn</v>
      </c>
      <c r="H49" s="1">
        <f ca="1">IFERROR(__xludf.DUMMYFUNCTION("""COMPUTED_VALUE"""),27)</f>
        <v>27</v>
      </c>
      <c r="I49" s="1"/>
      <c r="J49" s="1" t="str">
        <f ca="1">IFERROR(__xludf.DUMMYFUNCTION("""COMPUTED_VALUE"""),"Chuyên đề")</f>
        <v>Chuyên đề</v>
      </c>
      <c r="K49" s="1" t="str">
        <f ca="1">IFERROR(__xludf.DUMMYFUNCTION("""COMPUTED_VALUE"""),"Hyatt regency DaNang Resort")</f>
        <v>Hyatt regency DaNang Resort</v>
      </c>
      <c r="L49" s="1"/>
      <c r="M49" s="1" t="str">
        <f ca="1">IFERROR(__xludf.DUMMYFUNCTION("""COMPUTED_VALUE"""),"05 Trường Sa, Ngũ Hành Sơn, Đà Nẵng")</f>
        <v>05 Trường Sa, Ngũ Hành Sơn, Đà Nẵng</v>
      </c>
      <c r="N49" s="1" t="str">
        <f ca="1">IFERROR(__xludf.DUMMYFUNCTION("""COMPUTED_VALUE"""),"Đà Nẵng")</f>
        <v>Đà Nẵng</v>
      </c>
      <c r="O49" s="1" t="str">
        <f ca="1">IFERROR(__xludf.DUMMYFUNCTION("""COMPUTED_VALUE"""),"Nhà hàng")</f>
        <v>Nhà hàng</v>
      </c>
      <c r="P49" s="1"/>
      <c r="Q49" s="1" t="str">
        <f ca="1">IFERROR(__xludf.DUMMYFUNCTION("""COMPUTED_VALUE"""),"14/01/2025")</f>
        <v>14/01/2025</v>
      </c>
      <c r="R49" s="1" t="str">
        <f ca="1">IFERROR(__xludf.DUMMYFUNCTION("""COMPUTED_VALUE"""),"cam kết")</f>
        <v>cam kết</v>
      </c>
      <c r="S49" s="1" t="str">
        <f ca="1">IFERROR(__xludf.DUMMYFUNCTION("""COMPUTED_VALUE"""),"Chuyên đề")</f>
        <v>Chuyên đề</v>
      </c>
      <c r="T49" s="1"/>
      <c r="U49" s="4">
        <f ca="1">IFERROR(__xludf.DUMMYFUNCTION("""COMPUTED_VALUE"""),45698)</f>
        <v>45698</v>
      </c>
      <c r="V49" s="4">
        <f ca="1">IFERROR(__xludf.DUMMYFUNCTION("""COMPUTED_VALUE"""),45787)</f>
        <v>45787</v>
      </c>
      <c r="W49" s="1">
        <f ca="1">IFERROR(__xludf.DUMMYFUNCTION("""COMPUTED_VALUE"""),48)</f>
        <v>48</v>
      </c>
      <c r="X49" s="1" t="str">
        <f ca="1">IFERROR(__xludf.DUMMYFUNCTION("""COMPUTED_VALUE"""),"14/01/2025")</f>
        <v>14/01/2025</v>
      </c>
      <c r="Y49" s="1" t="str">
        <f ca="1">IFERROR(__xludf.DUMMYFUNCTION("""COMPUTED_VALUE"""),"DUYỆT")</f>
        <v>DUYỆT</v>
      </c>
      <c r="Z49" s="1" t="str">
        <f ca="1">IFERROR(__xludf.DUMMYFUNCTION("""COMPUTED_VALUE"""),"14/01/2025")</f>
        <v>14/01/2025</v>
      </c>
      <c r="AA49" s="1" t="str">
        <f ca="1">IFERROR(__xludf.DUMMYFUNCTION("""COMPUTED_VALUE"""),"Hyatt regency DaNang Resort")</f>
        <v>Hyatt regency DaNang Resort</v>
      </c>
      <c r="AB49" s="1" t="str">
        <f ca="1">IFERROR(__xludf.DUMMYFUNCTION("""COMPUTED_VALUE"""),"Nhà hàng")</f>
        <v>Nhà hàng</v>
      </c>
      <c r="AC49" s="1"/>
      <c r="AD49" s="1" t="str">
        <f ca="1">IFERROR(__xludf.DUMMYFUNCTION("""COMPUTED_VALUE"""),"SV phải đảm bảo không thực tập quá 5sv/nhà hàng")</f>
        <v>SV phải đảm bảo không thực tập quá 5sv/nhà hàng</v>
      </c>
      <c r="AE49" s="1" t="str">
        <f ca="1">IFERROR(__xludf.DUMMYFUNCTION("""COMPUTED_VALUE"""),"")</f>
        <v/>
      </c>
    </row>
    <row r="50" spans="1:31" x14ac:dyDescent="0.2">
      <c r="A50" s="6">
        <f ca="1">IFERROR(__xludf.DUMMYFUNCTION("""COMPUTED_VALUE"""),45671.4034342824)</f>
        <v>45671.403434282402</v>
      </c>
      <c r="B50" s="1"/>
      <c r="C50" s="1">
        <f ca="1">IFERROR(__xludf.DUMMYFUNCTION("""COMPUTED_VALUE"""),27217141479)</f>
        <v>27217141479</v>
      </c>
      <c r="D50" s="1" t="str">
        <f ca="1">IFERROR(__xludf.DUMMYFUNCTION("""COMPUTED_VALUE"""),"Nguyễn Hữu Thắng")</f>
        <v>Nguyễn Hữu Thắng</v>
      </c>
      <c r="E50" s="4"/>
      <c r="F50" s="1" t="str">
        <f ca="1">IFERROR(__xludf.DUMMYFUNCTION("""COMPUTED_VALUE"""),"K27 DLK1")</f>
        <v>K27 DLK1</v>
      </c>
      <c r="G50" s="1" t="str">
        <f ca="1">IFERROR(__xludf.DUMMYFUNCTION("""COMPUTED_VALUE"""),"Quản trị Du lịch &amp; Khách sạn")</f>
        <v>Quản trị Du lịch &amp; Khách sạn</v>
      </c>
      <c r="H50" s="1">
        <f ca="1">IFERROR(__xludf.DUMMYFUNCTION("""COMPUTED_VALUE"""),27)</f>
        <v>27</v>
      </c>
      <c r="I50" s="1"/>
      <c r="J50" s="1" t="str">
        <f ca="1">IFERROR(__xludf.DUMMYFUNCTION("""COMPUTED_VALUE"""),"Chuyên đề")</f>
        <v>Chuyên đề</v>
      </c>
      <c r="K50" s="1" t="str">
        <f ca="1">IFERROR(__xludf.DUMMYFUNCTION("""COMPUTED_VALUE"""),"Vanda Hotel")</f>
        <v>Vanda Hotel</v>
      </c>
      <c r="L50" s="1"/>
      <c r="M50" s="1" t="str">
        <f ca="1">IFERROR(__xludf.DUMMYFUNCTION("""COMPUTED_VALUE"""),"03 Nguyễn Văn Linh")</f>
        <v>03 Nguyễn Văn Linh</v>
      </c>
      <c r="N50" s="1" t="str">
        <f ca="1">IFERROR(__xludf.DUMMYFUNCTION("""COMPUTED_VALUE"""),"Thành Phố Đà Nẵng")</f>
        <v>Thành Phố Đà Nẵng</v>
      </c>
      <c r="O50" s="1" t="str">
        <f ca="1">IFERROR(__xludf.DUMMYFUNCTION("""COMPUTED_VALUE"""),"Nhà hàng")</f>
        <v>Nhà hàng</v>
      </c>
      <c r="P50" s="1"/>
      <c r="Q50" s="1" t="str">
        <f ca="1">IFERROR(__xludf.DUMMYFUNCTION("""COMPUTED_VALUE"""),"16/01/2025")</f>
        <v>16/01/2025</v>
      </c>
      <c r="R50" s="1" t="str">
        <f ca="1">IFERROR(__xludf.DUMMYFUNCTION("""COMPUTED_VALUE"""),"cam kết")</f>
        <v>cam kết</v>
      </c>
      <c r="S50" s="1" t="str">
        <f ca="1">IFERROR(__xludf.DUMMYFUNCTION("""COMPUTED_VALUE"""),"Chuyên đề")</f>
        <v>Chuyên đề</v>
      </c>
      <c r="T50" s="1"/>
      <c r="U50" s="4">
        <f ca="1">IFERROR(__xludf.DUMMYFUNCTION("""COMPUTED_VALUE"""),45698)</f>
        <v>45698</v>
      </c>
      <c r="V50" s="4">
        <f ca="1">IFERROR(__xludf.DUMMYFUNCTION("""COMPUTED_VALUE"""),45787)</f>
        <v>45787</v>
      </c>
      <c r="W50" s="1">
        <f ca="1">IFERROR(__xludf.DUMMYFUNCTION("""COMPUTED_VALUE"""),49)</f>
        <v>49</v>
      </c>
      <c r="X50" s="1" t="str">
        <f ca="1">IFERROR(__xludf.DUMMYFUNCTION("""COMPUTED_VALUE"""),"18/01/2025")</f>
        <v>18/01/2025</v>
      </c>
      <c r="Y50" s="1" t="str">
        <f ca="1">IFERROR(__xludf.DUMMYFUNCTION("""COMPUTED_VALUE"""),"DUYỆT")</f>
        <v>DUYỆT</v>
      </c>
      <c r="Z50" s="1" t="str">
        <f ca="1">IFERROR(__xludf.DUMMYFUNCTION("""COMPUTED_VALUE"""),"14/01/2025")</f>
        <v>14/01/2025</v>
      </c>
      <c r="AA50" s="1" t="str">
        <f ca="1">IFERROR(__xludf.DUMMYFUNCTION("""COMPUTED_VALUE"""),"Vanda Hotel")</f>
        <v>Vanda Hotel</v>
      </c>
      <c r="AB50" s="1" t="str">
        <f ca="1">IFERROR(__xludf.DUMMYFUNCTION("""COMPUTED_VALUE"""),"Nhà hàng")</f>
        <v>Nhà hàng</v>
      </c>
      <c r="AC50" s="1"/>
      <c r="AD50" s="1"/>
      <c r="AE50" s="1" t="str">
        <f ca="1">IFERROR(__xludf.DUMMYFUNCTION("""COMPUTED_VALUE"""),"")</f>
        <v/>
      </c>
    </row>
    <row r="51" spans="1:31" x14ac:dyDescent="0.2">
      <c r="A51" s="6">
        <f ca="1">IFERROR(__xludf.DUMMYFUNCTION("""COMPUTED_VALUE"""),45671.4203007523)</f>
        <v>45671.420300752303</v>
      </c>
      <c r="B51" s="1"/>
      <c r="C51" s="1">
        <f ca="1">IFERROR(__xludf.DUMMYFUNCTION("""COMPUTED_VALUE"""),27207101865)</f>
        <v>27207101865</v>
      </c>
      <c r="D51" s="1" t="str">
        <f ca="1">IFERROR(__xludf.DUMMYFUNCTION("""COMPUTED_VALUE"""),"Lê Thị Thu Ngọc ")</f>
        <v xml:space="preserve">Lê Thị Thu Ngọc </v>
      </c>
      <c r="E51" s="4"/>
      <c r="F51" s="1" t="str">
        <f ca="1">IFERROR(__xludf.DUMMYFUNCTION("""COMPUTED_VALUE"""),"K27DLK7 ")</f>
        <v xml:space="preserve">K27DLK7 </v>
      </c>
      <c r="G51" s="1" t="str">
        <f ca="1">IFERROR(__xludf.DUMMYFUNCTION("""COMPUTED_VALUE"""),"Quản trị Du lịch &amp; Khách sạn")</f>
        <v>Quản trị Du lịch &amp; Khách sạn</v>
      </c>
      <c r="H51" s="1">
        <f ca="1">IFERROR(__xludf.DUMMYFUNCTION("""COMPUTED_VALUE"""),27)</f>
        <v>27</v>
      </c>
      <c r="I51" s="1"/>
      <c r="J51" s="1" t="str">
        <f ca="1">IFERROR(__xludf.DUMMYFUNCTION("""COMPUTED_VALUE"""),"Chuyên đề")</f>
        <v>Chuyên đề</v>
      </c>
      <c r="K51" s="1" t="str">
        <f ca="1">IFERROR(__xludf.DUMMYFUNCTION("""COMPUTED_VALUE"""),"Wyndham DaNang Golden Bay")</f>
        <v>Wyndham DaNang Golden Bay</v>
      </c>
      <c r="L51" s="1"/>
      <c r="M51" s="1" t="str">
        <f ca="1">IFERROR(__xludf.DUMMYFUNCTION("""COMPUTED_VALUE"""),"01 Lê Văn Duyệt, Nại Hiện Đông, Sơn Trà, Đà Nẵng ")</f>
        <v xml:space="preserve">01 Lê Văn Duyệt, Nại Hiện Đông, Sơn Trà, Đà Nẵng </v>
      </c>
      <c r="N51" s="1" t="str">
        <f ca="1">IFERROR(__xludf.DUMMYFUNCTION("""COMPUTED_VALUE"""),"Đà Nẵng ")</f>
        <v xml:space="preserve">Đà Nẵng </v>
      </c>
      <c r="O51" s="1" t="str">
        <f ca="1">IFERROR(__xludf.DUMMYFUNCTION("""COMPUTED_VALUE"""),"Nhà hàng")</f>
        <v>Nhà hàng</v>
      </c>
      <c r="P51" s="1"/>
      <c r="Q51" s="1" t="str">
        <f ca="1">IFERROR(__xludf.DUMMYFUNCTION("""COMPUTED_VALUE"""),"14/1/2025")</f>
        <v>14/1/2025</v>
      </c>
      <c r="R51" s="1" t="str">
        <f ca="1">IFERROR(__xludf.DUMMYFUNCTION("""COMPUTED_VALUE"""),"cam kết")</f>
        <v>cam kết</v>
      </c>
      <c r="S51" s="1" t="str">
        <f ca="1">IFERROR(__xludf.DUMMYFUNCTION("""COMPUTED_VALUE"""),"Chuyên đề")</f>
        <v>Chuyên đề</v>
      </c>
      <c r="T51" s="1"/>
      <c r="U51" s="4">
        <f ca="1">IFERROR(__xludf.DUMMYFUNCTION("""COMPUTED_VALUE"""),45698)</f>
        <v>45698</v>
      </c>
      <c r="V51" s="4">
        <f ca="1">IFERROR(__xludf.DUMMYFUNCTION("""COMPUTED_VALUE"""),45787)</f>
        <v>45787</v>
      </c>
      <c r="W51" s="1">
        <f ca="1">IFERROR(__xludf.DUMMYFUNCTION("""COMPUTED_VALUE"""),50)</f>
        <v>50</v>
      </c>
      <c r="X51" s="1" t="str">
        <f ca="1">IFERROR(__xludf.DUMMYFUNCTION("""COMPUTED_VALUE"""),"14/01/2025")</f>
        <v>14/01/2025</v>
      </c>
      <c r="Y51" s="1" t="str">
        <f ca="1">IFERROR(__xludf.DUMMYFUNCTION("""COMPUTED_VALUE"""),"DUYỆT")</f>
        <v>DUYỆT</v>
      </c>
      <c r="Z51" s="1" t="str">
        <f ca="1">IFERROR(__xludf.DUMMYFUNCTION("""COMPUTED_VALUE"""),"14/01/2025")</f>
        <v>14/01/2025</v>
      </c>
      <c r="AA51" s="1" t="str">
        <f ca="1">IFERROR(__xludf.DUMMYFUNCTION("""COMPUTED_VALUE"""),"Wyndham DaNang Golden Bay")</f>
        <v>Wyndham DaNang Golden Bay</v>
      </c>
      <c r="AB51" s="1" t="str">
        <f ca="1">IFERROR(__xludf.DUMMYFUNCTION("""COMPUTED_VALUE"""),"Nhà hàng")</f>
        <v>Nhà hàng</v>
      </c>
      <c r="AC51" s="1"/>
      <c r="AD51" s="1" t="str">
        <f ca="1">IFERROR(__xludf.DUMMYFUNCTION("""COMPUTED_VALUE"""),"sv phải đám bảo ko quá 5sv/nhà hàng")</f>
        <v>sv phải đám bảo ko quá 5sv/nhà hàng</v>
      </c>
      <c r="AE51" s="1" t="str">
        <f ca="1">IFERROR(__xludf.DUMMYFUNCTION("""COMPUTED_VALUE"""),"")</f>
        <v/>
      </c>
    </row>
    <row r="52" spans="1:31" x14ac:dyDescent="0.2">
      <c r="A52" s="6">
        <f ca="1">IFERROR(__xludf.DUMMYFUNCTION("""COMPUTED_VALUE"""),45671.4215829166)</f>
        <v>45671.421582916599</v>
      </c>
      <c r="B52" s="1"/>
      <c r="C52" s="1">
        <f ca="1">IFERROR(__xludf.DUMMYFUNCTION("""COMPUTED_VALUE"""),27207136307)</f>
        <v>27207136307</v>
      </c>
      <c r="D52" s="1" t="str">
        <f ca="1">IFERROR(__xludf.DUMMYFUNCTION("""COMPUTED_VALUE"""),"Võ Thị Thanh Thảo")</f>
        <v>Võ Thị Thanh Thảo</v>
      </c>
      <c r="E52" s="4"/>
      <c r="F52" s="1" t="str">
        <f ca="1">IFERROR(__xludf.DUMMYFUNCTION("""COMPUTED_VALUE"""),"K27-DLK5")</f>
        <v>K27-DLK5</v>
      </c>
      <c r="G52" s="1" t="str">
        <f ca="1">IFERROR(__xludf.DUMMYFUNCTION("""COMPUTED_VALUE"""),"Quản trị Du lịch &amp; Khách sạn")</f>
        <v>Quản trị Du lịch &amp; Khách sạn</v>
      </c>
      <c r="H52" s="1">
        <f ca="1">IFERROR(__xludf.DUMMYFUNCTION("""COMPUTED_VALUE"""),27)</f>
        <v>27</v>
      </c>
      <c r="I52" s="1"/>
      <c r="J52" s="1" t="str">
        <f ca="1">IFERROR(__xludf.DUMMYFUNCTION("""COMPUTED_VALUE"""),"Chuyên đề")</f>
        <v>Chuyên đề</v>
      </c>
      <c r="K52" s="1" t="str">
        <f ca="1">IFERROR(__xludf.DUMMYFUNCTION("""COMPUTED_VALUE"""),"Da Nang Mikazuki Japanese Resorts &amp; Spa")</f>
        <v>Da Nang Mikazuki Japanese Resorts &amp; Spa</v>
      </c>
      <c r="L52" s="1"/>
      <c r="M52" s="1" t="str">
        <f ca="1">IFERROR(__xludf.DUMMYFUNCTION("""COMPUTED_VALUE"""),"Nguyễn Tất Thành, Hòa Hiệp Nam, Liên Chiểu")</f>
        <v>Nguyễn Tất Thành, Hòa Hiệp Nam, Liên Chiểu</v>
      </c>
      <c r="N52" s="1" t="str">
        <f ca="1">IFERROR(__xludf.DUMMYFUNCTION("""COMPUTED_VALUE"""),"Đà Nẵng")</f>
        <v>Đà Nẵng</v>
      </c>
      <c r="O52" s="1" t="str">
        <f ca="1">IFERROR(__xludf.DUMMYFUNCTION("""COMPUTED_VALUE"""),"Buồng phòng")</f>
        <v>Buồng phòng</v>
      </c>
      <c r="P52" s="1"/>
      <c r="Q52" s="1" t="str">
        <f ca="1">IFERROR(__xludf.DUMMYFUNCTION("""COMPUTED_VALUE"""),"14/01/2025")</f>
        <v>14/01/2025</v>
      </c>
      <c r="R52" s="1" t="str">
        <f ca="1">IFERROR(__xludf.DUMMYFUNCTION("""COMPUTED_VALUE"""),"cam kết")</f>
        <v>cam kết</v>
      </c>
      <c r="S52" s="1" t="str">
        <f ca="1">IFERROR(__xludf.DUMMYFUNCTION("""COMPUTED_VALUE"""),"Chuyên đề")</f>
        <v>Chuyên đề</v>
      </c>
      <c r="T52" s="1"/>
      <c r="U52" s="4">
        <f ca="1">IFERROR(__xludf.DUMMYFUNCTION("""COMPUTED_VALUE"""),45698)</f>
        <v>45698</v>
      </c>
      <c r="V52" s="4">
        <f ca="1">IFERROR(__xludf.DUMMYFUNCTION("""COMPUTED_VALUE"""),45787)</f>
        <v>45787</v>
      </c>
      <c r="W52" s="1">
        <f ca="1">IFERROR(__xludf.DUMMYFUNCTION("""COMPUTED_VALUE"""),51)</f>
        <v>51</v>
      </c>
      <c r="X52" s="3" t="str">
        <f ca="1">IFERROR(__xludf.DUMMYFUNCTION("""COMPUTED_VALUE"""),"14/01/2025")</f>
        <v>14/01/2025</v>
      </c>
      <c r="Y52" s="1" t="str">
        <f ca="1">IFERROR(__xludf.DUMMYFUNCTION("""COMPUTED_VALUE"""),"DUYỆT")</f>
        <v>DUYỆT</v>
      </c>
      <c r="Z52" s="3" t="str">
        <f ca="1">IFERROR(__xludf.DUMMYFUNCTION("""COMPUTED_VALUE"""),"14/01/2025")</f>
        <v>14/01/2025</v>
      </c>
      <c r="AA52" s="1" t="str">
        <f ca="1">IFERROR(__xludf.DUMMYFUNCTION("""COMPUTED_VALUE"""),"Da Nang Mikazuki Japanese Resorts &amp; Spa")</f>
        <v>Da Nang Mikazuki Japanese Resorts &amp; Spa</v>
      </c>
      <c r="AB52" s="1" t="str">
        <f ca="1">IFERROR(__xludf.DUMMYFUNCTION("""COMPUTED_VALUE"""),"Buồng phòng")</f>
        <v>Buồng phòng</v>
      </c>
      <c r="AC52" s="1"/>
      <c r="AD52" s="1"/>
      <c r="AE52" s="1" t="str">
        <f ca="1">IFERROR(__xludf.DUMMYFUNCTION("""COMPUTED_VALUE"""),"")</f>
        <v/>
      </c>
    </row>
    <row r="53" spans="1:31" x14ac:dyDescent="0.2">
      <c r="A53" s="6">
        <f ca="1">IFERROR(__xludf.DUMMYFUNCTION("""COMPUTED_VALUE"""),45671.4245598032)</f>
        <v>45671.424559803199</v>
      </c>
      <c r="B53" s="1"/>
      <c r="C53" s="1">
        <f ca="1">IFERROR(__xludf.DUMMYFUNCTION("""COMPUTED_VALUE"""),27207131162)</f>
        <v>27207131162</v>
      </c>
      <c r="D53" s="1" t="str">
        <f ca="1">IFERROR(__xludf.DUMMYFUNCTION("""COMPUTED_VALUE"""),"Nguyễn Thị Hà")</f>
        <v>Nguyễn Thị Hà</v>
      </c>
      <c r="E53" s="4"/>
      <c r="F53" s="1" t="str">
        <f ca="1">IFERROR(__xludf.DUMMYFUNCTION("""COMPUTED_VALUE"""),"K27DLK 6")</f>
        <v>K27DLK 6</v>
      </c>
      <c r="G53" s="1" t="str">
        <f ca="1">IFERROR(__xludf.DUMMYFUNCTION("""COMPUTED_VALUE"""),"Quản trị Du lịch &amp; Khách sạn")</f>
        <v>Quản trị Du lịch &amp; Khách sạn</v>
      </c>
      <c r="H53" s="1">
        <f ca="1">IFERROR(__xludf.DUMMYFUNCTION("""COMPUTED_VALUE"""),27)</f>
        <v>27</v>
      </c>
      <c r="I53" s="1"/>
      <c r="J53" s="1" t="str">
        <f ca="1">IFERROR(__xludf.DUMMYFUNCTION("""COMPUTED_VALUE"""),"Chuyên đề")</f>
        <v>Chuyên đề</v>
      </c>
      <c r="K53" s="1" t="str">
        <f ca="1">IFERROR(__xludf.DUMMYFUNCTION("""COMPUTED_VALUE"""),"Da Nang Mikazuki Japanese Resorts &amp; Spa")</f>
        <v>Da Nang Mikazuki Japanese Resorts &amp; Spa</v>
      </c>
      <c r="L53" s="1"/>
      <c r="M53" s="1" t="str">
        <f ca="1">IFERROR(__xludf.DUMMYFUNCTION("""COMPUTED_VALUE"""),"Nguyễn Tất Thành, Hoà Hiệp Nam, Liên Chiểu")</f>
        <v>Nguyễn Tất Thành, Hoà Hiệp Nam, Liên Chiểu</v>
      </c>
      <c r="N53" s="1" t="str">
        <f ca="1">IFERROR(__xludf.DUMMYFUNCTION("""COMPUTED_VALUE"""),"Đà Nẵng")</f>
        <v>Đà Nẵng</v>
      </c>
      <c r="O53" s="1" t="str">
        <f ca="1">IFERROR(__xludf.DUMMYFUNCTION("""COMPUTED_VALUE"""),"Buồng phòng")</f>
        <v>Buồng phòng</v>
      </c>
      <c r="P53" s="1"/>
      <c r="Q53" s="1" t="str">
        <f ca="1">IFERROR(__xludf.DUMMYFUNCTION("""COMPUTED_VALUE"""),"14/01/2025")</f>
        <v>14/01/2025</v>
      </c>
      <c r="R53" s="1" t="str">
        <f ca="1">IFERROR(__xludf.DUMMYFUNCTION("""COMPUTED_VALUE"""),"cam kết")</f>
        <v>cam kết</v>
      </c>
      <c r="S53" s="1" t="str">
        <f ca="1">IFERROR(__xludf.DUMMYFUNCTION("""COMPUTED_VALUE"""),"Chuyên đề")</f>
        <v>Chuyên đề</v>
      </c>
      <c r="T53" s="1"/>
      <c r="U53" s="4">
        <f ca="1">IFERROR(__xludf.DUMMYFUNCTION("""COMPUTED_VALUE"""),45698)</f>
        <v>45698</v>
      </c>
      <c r="V53" s="4">
        <f ca="1">IFERROR(__xludf.DUMMYFUNCTION("""COMPUTED_VALUE"""),45787)</f>
        <v>45787</v>
      </c>
      <c r="W53" s="1">
        <f ca="1">IFERROR(__xludf.DUMMYFUNCTION("""COMPUTED_VALUE"""),52)</f>
        <v>52</v>
      </c>
      <c r="X53" s="3" t="str">
        <f ca="1">IFERROR(__xludf.DUMMYFUNCTION("""COMPUTED_VALUE"""),"14/01/2025")</f>
        <v>14/01/2025</v>
      </c>
      <c r="Y53" s="1" t="str">
        <f ca="1">IFERROR(__xludf.DUMMYFUNCTION("""COMPUTED_VALUE"""),"DUYỆT")</f>
        <v>DUYỆT</v>
      </c>
      <c r="Z53" s="3" t="str">
        <f ca="1">IFERROR(__xludf.DUMMYFUNCTION("""COMPUTED_VALUE"""),"14/01/2025")</f>
        <v>14/01/2025</v>
      </c>
      <c r="AA53" s="1" t="str">
        <f ca="1">IFERROR(__xludf.DUMMYFUNCTION("""COMPUTED_VALUE"""),"Da Nang Mikazuki Japanese Resorts &amp; Spa")</f>
        <v>Da Nang Mikazuki Japanese Resorts &amp; Spa</v>
      </c>
      <c r="AB53" s="1" t="str">
        <f ca="1">IFERROR(__xludf.DUMMYFUNCTION("""COMPUTED_VALUE"""),"Buồng phòng")</f>
        <v>Buồng phòng</v>
      </c>
      <c r="AC53" s="1"/>
      <c r="AD53" s="1"/>
      <c r="AE53" s="1" t="str">
        <f ca="1">IFERROR(__xludf.DUMMYFUNCTION("""COMPUTED_VALUE"""),"")</f>
        <v/>
      </c>
    </row>
    <row r="54" spans="1:31" x14ac:dyDescent="0.2">
      <c r="A54" s="6">
        <f ca="1">IFERROR(__xludf.DUMMYFUNCTION("""COMPUTED_VALUE"""),45671.438070324)</f>
        <v>45671.438070324002</v>
      </c>
      <c r="B54" s="1"/>
      <c r="C54" s="1">
        <f ca="1">IFERROR(__xludf.DUMMYFUNCTION("""COMPUTED_VALUE"""),27207128507)</f>
        <v>27207128507</v>
      </c>
      <c r="D54" s="1" t="str">
        <f ca="1">IFERROR(__xludf.DUMMYFUNCTION("""COMPUTED_VALUE"""),"Nguyễn Mai Anh")</f>
        <v>Nguyễn Mai Anh</v>
      </c>
      <c r="E54" s="4"/>
      <c r="F54" s="1" t="str">
        <f ca="1">IFERROR(__xludf.DUMMYFUNCTION("""COMPUTED_VALUE"""),"K27PSUDLH")</f>
        <v>K27PSUDLH</v>
      </c>
      <c r="G54" s="1" t="str">
        <f ca="1">IFERROR(__xludf.DUMMYFUNCTION("""COMPUTED_VALUE"""),"Quản trị Du lịch &amp; Nhà hàng chuẩn PSU")</f>
        <v>Quản trị Du lịch &amp; Nhà hàng chuẩn PSU</v>
      </c>
      <c r="H54" s="1">
        <f ca="1">IFERROR(__xludf.DUMMYFUNCTION("""COMPUTED_VALUE"""),27)</f>
        <v>27</v>
      </c>
      <c r="I54" s="1"/>
      <c r="J54" s="1" t="str">
        <f ca="1">IFERROR(__xludf.DUMMYFUNCTION("""COMPUTED_VALUE"""),"Khóa luận")</f>
        <v>Khóa luận</v>
      </c>
      <c r="K54" s="1" t="str">
        <f ca="1">IFERROR(__xludf.DUMMYFUNCTION("""COMPUTED_VALUE"""),"Hyatt regency DaNang Resort")</f>
        <v>Hyatt regency DaNang Resort</v>
      </c>
      <c r="L54" s="1"/>
      <c r="M54" s="1" t="str">
        <f ca="1">IFERROR(__xludf.DUMMYFUNCTION("""COMPUTED_VALUE"""),"05 Trường Sa, Hoà Hải, Ngủ Hành Sơn, Đà Nẵng")</f>
        <v>05 Trường Sa, Hoà Hải, Ngủ Hành Sơn, Đà Nẵng</v>
      </c>
      <c r="N54" s="1" t="str">
        <f ca="1">IFERROR(__xludf.DUMMYFUNCTION("""COMPUTED_VALUE"""),"Đà Nẵng")</f>
        <v>Đà Nẵng</v>
      </c>
      <c r="O54" s="1" t="str">
        <f ca="1">IFERROR(__xludf.DUMMYFUNCTION("""COMPUTED_VALUE"""),"Nhà hàng")</f>
        <v>Nhà hàng</v>
      </c>
      <c r="P54" s="1"/>
      <c r="Q54" s="1" t="str">
        <f ca="1">IFERROR(__xludf.DUMMYFUNCTION("""COMPUTED_VALUE"""),"13/01/2025")</f>
        <v>13/01/2025</v>
      </c>
      <c r="R54" s="1" t="str">
        <f ca="1">IFERROR(__xludf.DUMMYFUNCTION("""COMPUTED_VALUE"""),"cam kết")</f>
        <v>cam kết</v>
      </c>
      <c r="S54" s="1" t="str">
        <f ca="1">IFERROR(__xludf.DUMMYFUNCTION("""COMPUTED_VALUE"""),"Khóa luận")</f>
        <v>Khóa luận</v>
      </c>
      <c r="T54" s="1" t="str">
        <f ca="1">IFERROR(__xludf.DUMMYFUNCTION("""COMPUTED_VALUE"""),"Mai Thị Thương")</f>
        <v>Mai Thị Thương</v>
      </c>
      <c r="U54" s="4">
        <f ca="1">IFERROR(__xludf.DUMMYFUNCTION("""COMPUTED_VALUE"""),45677)</f>
        <v>45677</v>
      </c>
      <c r="V54" s="4">
        <f ca="1">IFERROR(__xludf.DUMMYFUNCTION("""COMPUTED_VALUE"""),45767)</f>
        <v>45767</v>
      </c>
      <c r="W54" s="1">
        <f ca="1">IFERROR(__xludf.DUMMYFUNCTION("""COMPUTED_VALUE"""),53)</f>
        <v>53</v>
      </c>
      <c r="X54" s="1" t="str">
        <f ca="1">IFERROR(__xludf.DUMMYFUNCTION("""COMPUTED_VALUE"""),"14/01/2025")</f>
        <v>14/01/2025</v>
      </c>
      <c r="Y54" s="1" t="str">
        <f ca="1">IFERROR(__xludf.DUMMYFUNCTION("""COMPUTED_VALUE"""),"DUYỆT")</f>
        <v>DUYỆT</v>
      </c>
      <c r="Z54" s="1" t="str">
        <f ca="1">IFERROR(__xludf.DUMMYFUNCTION("""COMPUTED_VALUE"""),"14/01/2025")</f>
        <v>14/01/2025</v>
      </c>
      <c r="AA54" s="1" t="str">
        <f ca="1">IFERROR(__xludf.DUMMYFUNCTION("""COMPUTED_VALUE"""),"Hyatt regency DaNang Resort")</f>
        <v>Hyatt regency DaNang Resort</v>
      </c>
      <c r="AB54" s="1" t="str">
        <f ca="1">IFERROR(__xludf.DUMMYFUNCTION("""COMPUTED_VALUE"""),"Nhà hàng")</f>
        <v>Nhà hàng</v>
      </c>
      <c r="AC54" s="1"/>
      <c r="AD54" s="1" t="str">
        <f ca="1">IFERROR(__xludf.DUMMYFUNCTION("""COMPUTED_VALUE"""),"SV phải đảm bảo không thực tập quá 5sv/nhà hàng")</f>
        <v>SV phải đảm bảo không thực tập quá 5sv/nhà hàng</v>
      </c>
      <c r="AE54" s="1" t="str">
        <f ca="1">IFERROR(__xludf.DUMMYFUNCTION("""COMPUTED_VALUE"""),"")</f>
        <v/>
      </c>
    </row>
    <row r="55" spans="1:31" x14ac:dyDescent="0.2">
      <c r="A55" s="6">
        <f ca="1">IFERROR(__xludf.DUMMYFUNCTION("""COMPUTED_VALUE"""),45671.47331353)</f>
        <v>45671.473313529998</v>
      </c>
      <c r="B55" s="1"/>
      <c r="C55" s="1">
        <f ca="1">IFERROR(__xludf.DUMMYFUNCTION("""COMPUTED_VALUE"""),27217144878)</f>
        <v>27217144878</v>
      </c>
      <c r="D55" s="1" t="str">
        <f ca="1">IFERROR(__xludf.DUMMYFUNCTION("""COMPUTED_VALUE"""),"Lê ngọc chinh")</f>
        <v>Lê ngọc chinh</v>
      </c>
      <c r="E55" s="4"/>
      <c r="F55" s="1" t="str">
        <f ca="1">IFERROR(__xludf.DUMMYFUNCTION("""COMPUTED_VALUE"""),"K27DLK1")</f>
        <v>K27DLK1</v>
      </c>
      <c r="G55" s="1" t="str">
        <f ca="1">IFERROR(__xludf.DUMMYFUNCTION("""COMPUTED_VALUE"""),"Quản trị Du lịch &amp; Khách sạn")</f>
        <v>Quản trị Du lịch &amp; Khách sạn</v>
      </c>
      <c r="H55" s="1">
        <f ca="1">IFERROR(__xludf.DUMMYFUNCTION("""COMPUTED_VALUE"""),27)</f>
        <v>27</v>
      </c>
      <c r="I55" s="1"/>
      <c r="J55" s="1" t="str">
        <f ca="1">IFERROR(__xludf.DUMMYFUNCTION("""COMPUTED_VALUE"""),"Chuyên đề")</f>
        <v>Chuyên đề</v>
      </c>
      <c r="K55" s="1" t="str">
        <f ca="1">IFERROR(__xludf.DUMMYFUNCTION("""COMPUTED_VALUE"""),"Diamond Sea Hotel")</f>
        <v>Diamond Sea Hotel</v>
      </c>
      <c r="L55" s="1"/>
      <c r="M55" s="1" t="str">
        <f ca="1">IFERROR(__xludf.DUMMYFUNCTION("""COMPUTED_VALUE"""),"232 võ nguyên giáp , Quận sơn trà , Đà nẵng")</f>
        <v>232 võ nguyên giáp , Quận sơn trà , Đà nẵng</v>
      </c>
      <c r="N55" s="1" t="str">
        <f ca="1">IFERROR(__xludf.DUMMYFUNCTION("""COMPUTED_VALUE"""),"TP. Đà Nẵng")</f>
        <v>TP. Đà Nẵng</v>
      </c>
      <c r="O55" s="1" t="str">
        <f ca="1">IFERROR(__xludf.DUMMYFUNCTION("""COMPUTED_VALUE"""),"Buồng phòng")</f>
        <v>Buồng phòng</v>
      </c>
      <c r="P55" s="1"/>
      <c r="Q55" s="1" t="str">
        <f ca="1">IFERROR(__xludf.DUMMYFUNCTION("""COMPUTED_VALUE"""),"14/1/2025")</f>
        <v>14/1/2025</v>
      </c>
      <c r="R55" s="1" t="str">
        <f ca="1">IFERROR(__xludf.DUMMYFUNCTION("""COMPUTED_VALUE"""),"cam kết")</f>
        <v>cam kết</v>
      </c>
      <c r="S55" s="1" t="str">
        <f ca="1">IFERROR(__xludf.DUMMYFUNCTION("""COMPUTED_VALUE"""),"Chuyên đề")</f>
        <v>Chuyên đề</v>
      </c>
      <c r="T55" s="1"/>
      <c r="U55" s="4">
        <f ca="1">IFERROR(__xludf.DUMMYFUNCTION("""COMPUTED_VALUE"""),45698)</f>
        <v>45698</v>
      </c>
      <c r="V55" s="4">
        <f ca="1">IFERROR(__xludf.DUMMYFUNCTION("""COMPUTED_VALUE"""),45787)</f>
        <v>45787</v>
      </c>
      <c r="W55" s="1">
        <f ca="1">IFERROR(__xludf.DUMMYFUNCTION("""COMPUTED_VALUE"""),54)</f>
        <v>54</v>
      </c>
      <c r="X55" s="1" t="str">
        <f ca="1">IFERROR(__xludf.DUMMYFUNCTION("""COMPUTED_VALUE"""),"14/01/2025")</f>
        <v>14/01/2025</v>
      </c>
      <c r="Y55" s="1" t="str">
        <f ca="1">IFERROR(__xludf.DUMMYFUNCTION("""COMPUTED_VALUE"""),"DUYỆT")</f>
        <v>DUYỆT</v>
      </c>
      <c r="Z55" s="1" t="str">
        <f ca="1">IFERROR(__xludf.DUMMYFUNCTION("""COMPUTED_VALUE"""),"14/01/2025")</f>
        <v>14/01/2025</v>
      </c>
      <c r="AA55" s="1" t="str">
        <f ca="1">IFERROR(__xludf.DUMMYFUNCTION("""COMPUTED_VALUE"""),"Diamond Sea Hotel")</f>
        <v>Diamond Sea Hotel</v>
      </c>
      <c r="AB55" s="1" t="str">
        <f ca="1">IFERROR(__xludf.DUMMYFUNCTION("""COMPUTED_VALUE"""),"Buồng phòng")</f>
        <v>Buồng phòng</v>
      </c>
      <c r="AC55" s="1"/>
      <c r="AD55" s="1"/>
      <c r="AE55" s="1" t="str">
        <f ca="1">IFERROR(__xludf.DUMMYFUNCTION("""COMPUTED_VALUE"""),"")</f>
        <v/>
      </c>
    </row>
    <row r="56" spans="1:31" x14ac:dyDescent="0.2">
      <c r="A56" s="6">
        <f ca="1">IFERROR(__xludf.DUMMYFUNCTION("""COMPUTED_VALUE"""),45671.4746426967)</f>
        <v>45671.474642696703</v>
      </c>
      <c r="B56" s="1"/>
      <c r="C56" s="1">
        <f ca="1">IFERROR(__xludf.DUMMYFUNCTION("""COMPUTED_VALUE"""),27207139716)</f>
        <v>27207139716</v>
      </c>
      <c r="D56" s="1" t="str">
        <f ca="1">IFERROR(__xludf.DUMMYFUNCTION("""COMPUTED_VALUE"""),"PHẠM THỊ THANH HUYỀN")</f>
        <v>PHẠM THỊ THANH HUYỀN</v>
      </c>
      <c r="E56" s="4"/>
      <c r="F56" s="1" t="str">
        <f ca="1">IFERROR(__xludf.DUMMYFUNCTION("""COMPUTED_VALUE"""),"K27DLK1")</f>
        <v>K27DLK1</v>
      </c>
      <c r="G56" s="1" t="str">
        <f ca="1">IFERROR(__xludf.DUMMYFUNCTION("""COMPUTED_VALUE"""),"Quản trị Du lịch &amp; Khách sạn")</f>
        <v>Quản trị Du lịch &amp; Khách sạn</v>
      </c>
      <c r="H56" s="1">
        <f ca="1">IFERROR(__xludf.DUMMYFUNCTION("""COMPUTED_VALUE"""),27)</f>
        <v>27</v>
      </c>
      <c r="I56" s="1"/>
      <c r="J56" s="1" t="str">
        <f ca="1">IFERROR(__xludf.DUMMYFUNCTION("""COMPUTED_VALUE"""),"Chuyên đề")</f>
        <v>Chuyên đề</v>
      </c>
      <c r="K56" s="1" t="str">
        <f ca="1">IFERROR(__xludf.DUMMYFUNCTION("""COMPUTED_VALUE"""),"Vanda Hotel")</f>
        <v>Vanda Hotel</v>
      </c>
      <c r="L56" s="1"/>
      <c r="M56" s="1" t="str">
        <f ca="1">IFERROR(__xludf.DUMMYFUNCTION("""COMPUTED_VALUE"""),"03 Đ. Nguyễn Văn Linh, Bình Hiên, Hải Châu, Đà Nẵng 550000")</f>
        <v>03 Đ. Nguyễn Văn Linh, Bình Hiên, Hải Châu, Đà Nẵng 550000</v>
      </c>
      <c r="N56" s="1" t="str">
        <f ca="1">IFERROR(__xludf.DUMMYFUNCTION("""COMPUTED_VALUE"""),"ĐÀ NẴNG")</f>
        <v>ĐÀ NẴNG</v>
      </c>
      <c r="O56" s="1" t="str">
        <f ca="1">IFERROR(__xludf.DUMMYFUNCTION("""COMPUTED_VALUE"""),"Buồng phòng")</f>
        <v>Buồng phòng</v>
      </c>
      <c r="P56" s="1"/>
      <c r="Q56" s="1" t="str">
        <f ca="1">IFERROR(__xludf.DUMMYFUNCTION("""COMPUTED_VALUE"""),"14/01/2025")</f>
        <v>14/01/2025</v>
      </c>
      <c r="R56" s="1" t="str">
        <f ca="1">IFERROR(__xludf.DUMMYFUNCTION("""COMPUTED_VALUE"""),"cam kết")</f>
        <v>cam kết</v>
      </c>
      <c r="S56" s="1" t="str">
        <f ca="1">IFERROR(__xludf.DUMMYFUNCTION("""COMPUTED_VALUE"""),"Chuyên đề")</f>
        <v>Chuyên đề</v>
      </c>
      <c r="T56" s="1"/>
      <c r="U56" s="4">
        <f ca="1">IFERROR(__xludf.DUMMYFUNCTION("""COMPUTED_VALUE"""),45698)</f>
        <v>45698</v>
      </c>
      <c r="V56" s="4">
        <f ca="1">IFERROR(__xludf.DUMMYFUNCTION("""COMPUTED_VALUE"""),45787)</f>
        <v>45787</v>
      </c>
      <c r="W56" s="1">
        <f ca="1">IFERROR(__xludf.DUMMYFUNCTION("""COMPUTED_VALUE"""),55)</f>
        <v>55</v>
      </c>
      <c r="X56" s="1" t="str">
        <f ca="1">IFERROR(__xludf.DUMMYFUNCTION("""COMPUTED_VALUE"""),"14/01/2025")</f>
        <v>14/01/2025</v>
      </c>
      <c r="Y56" s="1" t="str">
        <f ca="1">IFERROR(__xludf.DUMMYFUNCTION("""COMPUTED_VALUE"""),"DUYỆT")</f>
        <v>DUYỆT</v>
      </c>
      <c r="Z56" s="1" t="str">
        <f ca="1">IFERROR(__xludf.DUMMYFUNCTION("""COMPUTED_VALUE"""),"14/01/2025")</f>
        <v>14/01/2025</v>
      </c>
      <c r="AA56" s="1" t="str">
        <f ca="1">IFERROR(__xludf.DUMMYFUNCTION("""COMPUTED_VALUE"""),"Vanda Hotel")</f>
        <v>Vanda Hotel</v>
      </c>
      <c r="AB56" s="1" t="str">
        <f ca="1">IFERROR(__xludf.DUMMYFUNCTION("""COMPUTED_VALUE"""),"Buồng phòng")</f>
        <v>Buồng phòng</v>
      </c>
      <c r="AC56" s="1"/>
      <c r="AD56" s="1"/>
      <c r="AE56" s="1" t="str">
        <f ca="1">IFERROR(__xludf.DUMMYFUNCTION("""COMPUTED_VALUE"""),"")</f>
        <v/>
      </c>
    </row>
    <row r="57" spans="1:31" x14ac:dyDescent="0.2">
      <c r="A57" s="6">
        <f ca="1">IFERROR(__xludf.DUMMYFUNCTION("""COMPUTED_VALUE"""),45671.6560662268)</f>
        <v>45671.656066226802</v>
      </c>
      <c r="B57" s="1"/>
      <c r="C57" s="1">
        <f ca="1">IFERROR(__xludf.DUMMYFUNCTION("""COMPUTED_VALUE"""),27203841651)</f>
        <v>27203841651</v>
      </c>
      <c r="D57" s="1" t="str">
        <f ca="1">IFERROR(__xludf.DUMMYFUNCTION("""COMPUTED_VALUE"""),"Trần Thị Hoàn Mỹ ")</f>
        <v xml:space="preserve">Trần Thị Hoàn Mỹ </v>
      </c>
      <c r="E57" s="4"/>
      <c r="F57" s="1" t="str">
        <f ca="1">IFERROR(__xludf.DUMMYFUNCTION("""COMPUTED_VALUE"""),"K27DLK4")</f>
        <v>K27DLK4</v>
      </c>
      <c r="G57" s="1" t="str">
        <f ca="1">IFERROR(__xludf.DUMMYFUNCTION("""COMPUTED_VALUE"""),"Quản trị Du lịch &amp; Khách sạn")</f>
        <v>Quản trị Du lịch &amp; Khách sạn</v>
      </c>
      <c r="H57" s="1">
        <f ca="1">IFERROR(__xludf.DUMMYFUNCTION("""COMPUTED_VALUE"""),27)</f>
        <v>27</v>
      </c>
      <c r="I57" s="1"/>
      <c r="J57" s="1" t="str">
        <f ca="1">IFERROR(__xludf.DUMMYFUNCTION("""COMPUTED_VALUE"""),"Chuyên đề")</f>
        <v>Chuyên đề</v>
      </c>
      <c r="K57" s="1" t="str">
        <f ca="1">IFERROR(__xludf.DUMMYFUNCTION("""COMPUTED_VALUE"""),"Maximilan Danang Beach Hotel")</f>
        <v>Maximilan Danang Beach Hotel</v>
      </c>
      <c r="L57" s="1"/>
      <c r="M57" s="1" t="str">
        <f ca="1">IFERROR(__xludf.DUMMYFUNCTION("""COMPUTED_VALUE"""),"222 Võ Nguyên Giáp, Sơn Trà, Đà Nẵng")</f>
        <v>222 Võ Nguyên Giáp, Sơn Trà, Đà Nẵng</v>
      </c>
      <c r="N57" s="1" t="str">
        <f ca="1">IFERROR(__xludf.DUMMYFUNCTION("""COMPUTED_VALUE"""),"Đà Nẵng")</f>
        <v>Đà Nẵng</v>
      </c>
      <c r="O57" s="1" t="str">
        <f ca="1">IFERROR(__xludf.DUMMYFUNCTION("""COMPUTED_VALUE"""),"Tiền sảnh")</f>
        <v>Tiền sảnh</v>
      </c>
      <c r="P57" s="1"/>
      <c r="Q57" s="1" t="str">
        <f ca="1">IFERROR(__xludf.DUMMYFUNCTION("""COMPUTED_VALUE"""),"14/1/2025")</f>
        <v>14/1/2025</v>
      </c>
      <c r="R57" s="1" t="str">
        <f ca="1">IFERROR(__xludf.DUMMYFUNCTION("""COMPUTED_VALUE"""),"cam kết")</f>
        <v>cam kết</v>
      </c>
      <c r="S57" s="1" t="str">
        <f ca="1">IFERROR(__xludf.DUMMYFUNCTION("""COMPUTED_VALUE"""),"Chuyên đề")</f>
        <v>Chuyên đề</v>
      </c>
      <c r="T57" s="1"/>
      <c r="U57" s="4">
        <f ca="1">IFERROR(__xludf.DUMMYFUNCTION("""COMPUTED_VALUE"""),45663)</f>
        <v>45663</v>
      </c>
      <c r="V57" s="4">
        <f ca="1">IFERROR(__xludf.DUMMYFUNCTION("""COMPUTED_VALUE"""),45746)</f>
        <v>45746</v>
      </c>
      <c r="W57" s="1">
        <f ca="1">IFERROR(__xludf.DUMMYFUNCTION("""COMPUTED_VALUE"""),56)</f>
        <v>56</v>
      </c>
      <c r="X57" s="1"/>
      <c r="Y57" s="1" t="str">
        <f ca="1">IFERROR(__xludf.DUMMYFUNCTION("""COMPUTED_VALUE"""),"DUYỆT")</f>
        <v>DUYỆT</v>
      </c>
      <c r="Z57" s="1" t="str">
        <f ca="1">IFERROR(__xludf.DUMMYFUNCTION("""COMPUTED_VALUE"""),"14/01/2025")</f>
        <v>14/01/2025</v>
      </c>
      <c r="AA57" s="1" t="str">
        <f ca="1">IFERROR(__xludf.DUMMYFUNCTION("""COMPUTED_VALUE"""),"Maximilan Danang Beach Hotel")</f>
        <v>Maximilan Danang Beach Hotel</v>
      </c>
      <c r="AB57" s="1" t="str">
        <f ca="1">IFERROR(__xludf.DUMMYFUNCTION("""COMPUTED_VALUE"""),"Tiền sảnh")</f>
        <v>Tiền sảnh</v>
      </c>
      <c r="AC57" s="1"/>
      <c r="AD57" s="1"/>
      <c r="AE57" s="1" t="str">
        <f ca="1">IFERROR(__xludf.DUMMYFUNCTION("""COMPUTED_VALUE"""),"")</f>
        <v/>
      </c>
    </row>
    <row r="58" spans="1:31" x14ac:dyDescent="0.2">
      <c r="A58" s="6">
        <f ca="1">IFERROR(__xludf.DUMMYFUNCTION("""COMPUTED_VALUE"""),45671.6793953125)</f>
        <v>45671.679395312502</v>
      </c>
      <c r="B58" s="1"/>
      <c r="C58" s="1">
        <f ca="1">IFERROR(__xludf.DUMMYFUNCTION("""COMPUTED_VALUE"""),27217138091)</f>
        <v>27217138091</v>
      </c>
      <c r="D58" s="1" t="str">
        <f ca="1">IFERROR(__xludf.DUMMYFUNCTION("""COMPUTED_VALUE"""),"Bùi Văn Phong")</f>
        <v>Bùi Văn Phong</v>
      </c>
      <c r="E58" s="4"/>
      <c r="F58" s="1" t="str">
        <f ca="1">IFERROR(__xludf.DUMMYFUNCTION("""COMPUTED_VALUE"""),"K27DLK3")</f>
        <v>K27DLK3</v>
      </c>
      <c r="G58" s="1" t="str">
        <f ca="1">IFERROR(__xludf.DUMMYFUNCTION("""COMPUTED_VALUE"""),"Quản trị Du lịch &amp; Khách sạn")</f>
        <v>Quản trị Du lịch &amp; Khách sạn</v>
      </c>
      <c r="H58" s="1">
        <f ca="1">IFERROR(__xludf.DUMMYFUNCTION("""COMPUTED_VALUE"""),27)</f>
        <v>27</v>
      </c>
      <c r="I58" s="1"/>
      <c r="J58" s="1" t="str">
        <f ca="1">IFERROR(__xludf.DUMMYFUNCTION("""COMPUTED_VALUE"""),"Chuyên đề")</f>
        <v>Chuyên đề</v>
      </c>
      <c r="K58" s="1" t="str">
        <f ca="1">IFERROR(__xludf.DUMMYFUNCTION("""COMPUTED_VALUE"""),"DLG Hotel DaNang")</f>
        <v>DLG Hotel DaNang</v>
      </c>
      <c r="L58" s="1"/>
      <c r="M58" s="1" t="str">
        <f ca="1">IFERROR(__xludf.DUMMYFUNCTION("""COMPUTED_VALUE"""),"258 Võ Nguyên Giáp - Phước Mỹ - Sơn Trà - Đà Nẵng")</f>
        <v>258 Võ Nguyên Giáp - Phước Mỹ - Sơn Trà - Đà Nẵng</v>
      </c>
      <c r="N58" s="1" t="str">
        <f ca="1">IFERROR(__xludf.DUMMYFUNCTION("""COMPUTED_VALUE"""),"Đà Nẵng")</f>
        <v>Đà Nẵng</v>
      </c>
      <c r="O58" s="1" t="str">
        <f ca="1">IFERROR(__xludf.DUMMYFUNCTION("""COMPUTED_VALUE"""),"Buồng phòng")</f>
        <v>Buồng phòng</v>
      </c>
      <c r="P58" s="1"/>
      <c r="Q58" s="1" t="str">
        <f ca="1">IFERROR(__xludf.DUMMYFUNCTION("""COMPUTED_VALUE"""),"13/1/2025")</f>
        <v>13/1/2025</v>
      </c>
      <c r="R58" s="1" t="str">
        <f ca="1">IFERROR(__xludf.DUMMYFUNCTION("""COMPUTED_VALUE"""),"cam kết")</f>
        <v>cam kết</v>
      </c>
      <c r="S58" s="1" t="str">
        <f ca="1">IFERROR(__xludf.DUMMYFUNCTION("""COMPUTED_VALUE"""),"Chuyên đề")</f>
        <v>Chuyên đề</v>
      </c>
      <c r="T58" s="1"/>
      <c r="U58" s="4">
        <f ca="1">IFERROR(__xludf.DUMMYFUNCTION("""COMPUTED_VALUE"""),45698)</f>
        <v>45698</v>
      </c>
      <c r="V58" s="4">
        <f ca="1">IFERROR(__xludf.DUMMYFUNCTION("""COMPUTED_VALUE"""),45787)</f>
        <v>45787</v>
      </c>
      <c r="W58" s="1">
        <f ca="1">IFERROR(__xludf.DUMMYFUNCTION("""COMPUTED_VALUE"""),57)</f>
        <v>57</v>
      </c>
      <c r="X58" s="1" t="str">
        <f ca="1">IFERROR(__xludf.DUMMYFUNCTION("""COMPUTED_VALUE"""),"21/01/2025")</f>
        <v>21/01/2025</v>
      </c>
      <c r="Y58" s="1" t="str">
        <f ca="1">IFERROR(__xludf.DUMMYFUNCTION("""COMPUTED_VALUE"""),"DUYỆT")</f>
        <v>DUYỆT</v>
      </c>
      <c r="Z58" s="1" t="str">
        <f ca="1">IFERROR(__xludf.DUMMYFUNCTION("""COMPUTED_VALUE"""),"14/01/2025")</f>
        <v>14/01/2025</v>
      </c>
      <c r="AA58" s="1" t="str">
        <f ca="1">IFERROR(__xludf.DUMMYFUNCTION("""COMPUTED_VALUE"""),"DLG Hotel DaNang")</f>
        <v>DLG Hotel DaNang</v>
      </c>
      <c r="AB58" s="1" t="str">
        <f ca="1">IFERROR(__xludf.DUMMYFUNCTION("""COMPUTED_VALUE"""),"Buồng phòng")</f>
        <v>Buồng phòng</v>
      </c>
      <c r="AC58" s="1"/>
      <c r="AD58" s="1" t="str">
        <f ca="1">IFERROR(__xludf.DUMMYFUNCTION("""COMPUTED_VALUE"""),"SV ghi sai mssv, đến ngày 20/01/2025 Khoa vẫn chưa gửi giấy giới thiệu")</f>
        <v>SV ghi sai mssv, đến ngày 20/01/2025 Khoa vẫn chưa gửi giấy giới thiệu</v>
      </c>
      <c r="AE58" s="1" t="str">
        <f ca="1">IFERROR(__xludf.DUMMYFUNCTION("""COMPUTED_VALUE"""),"")</f>
        <v/>
      </c>
    </row>
    <row r="59" spans="1:31" x14ac:dyDescent="0.2">
      <c r="A59" s="6">
        <f ca="1">IFERROR(__xludf.DUMMYFUNCTION("""COMPUTED_VALUE"""),45671.687512037)</f>
        <v>45671.687512037002</v>
      </c>
      <c r="B59" s="1"/>
      <c r="C59" s="1">
        <f ca="1">IFERROR(__xludf.DUMMYFUNCTION("""COMPUTED_VALUE"""),27217152519)</f>
        <v>27217152519</v>
      </c>
      <c r="D59" s="1" t="str">
        <f ca="1">IFERROR(__xludf.DUMMYFUNCTION("""COMPUTED_VALUE"""),"Nguyễn Xuân Bảo ")</f>
        <v xml:space="preserve">Nguyễn Xuân Bảo </v>
      </c>
      <c r="E59" s="4"/>
      <c r="F59" s="1" t="str">
        <f ca="1">IFERROR(__xludf.DUMMYFUNCTION("""COMPUTED_VALUE"""),"K27DLK7")</f>
        <v>K27DLK7</v>
      </c>
      <c r="G59" s="1" t="str">
        <f ca="1">IFERROR(__xludf.DUMMYFUNCTION("""COMPUTED_VALUE"""),"Quản trị Du lịch &amp; Khách sạn")</f>
        <v>Quản trị Du lịch &amp; Khách sạn</v>
      </c>
      <c r="H59" s="1">
        <f ca="1">IFERROR(__xludf.DUMMYFUNCTION("""COMPUTED_VALUE"""),27)</f>
        <v>27</v>
      </c>
      <c r="I59" s="1"/>
      <c r="J59" s="1" t="str">
        <f ca="1">IFERROR(__xludf.DUMMYFUNCTION("""COMPUTED_VALUE"""),"Chuyên đề")</f>
        <v>Chuyên đề</v>
      </c>
      <c r="K59" s="1" t="str">
        <f ca="1">IFERROR(__xludf.DUMMYFUNCTION("""COMPUTED_VALUE"""),"Satya Danang Hotel")</f>
        <v>Satya Danang Hotel</v>
      </c>
      <c r="L59" s="1"/>
      <c r="M59" s="1" t="str">
        <f ca="1">IFERROR(__xludf.DUMMYFUNCTION("""COMPUTED_VALUE"""),"155 Trần Phú, Quận Hải Châu, Đà Nẵng")</f>
        <v>155 Trần Phú, Quận Hải Châu, Đà Nẵng</v>
      </c>
      <c r="N59" s="1" t="str">
        <f ca="1">IFERROR(__xludf.DUMMYFUNCTION("""COMPUTED_VALUE"""),"Đà Nẵng")</f>
        <v>Đà Nẵng</v>
      </c>
      <c r="O59" s="1" t="str">
        <f ca="1">IFERROR(__xludf.DUMMYFUNCTION("""COMPUTED_VALUE"""),"Nhà hàng")</f>
        <v>Nhà hàng</v>
      </c>
      <c r="P59" s="1"/>
      <c r="Q59" s="1" t="str">
        <f ca="1">IFERROR(__xludf.DUMMYFUNCTION("""COMPUTED_VALUE"""),"14/01/2025")</f>
        <v>14/01/2025</v>
      </c>
      <c r="R59" s="1" t="str">
        <f ca="1">IFERROR(__xludf.DUMMYFUNCTION("""COMPUTED_VALUE"""),"cam kết")</f>
        <v>cam kết</v>
      </c>
      <c r="S59" s="1" t="str">
        <f ca="1">IFERROR(__xludf.DUMMYFUNCTION("""COMPUTED_VALUE"""),"Chuyên đề")</f>
        <v>Chuyên đề</v>
      </c>
      <c r="T59" s="1"/>
      <c r="U59" s="4">
        <f ca="1">IFERROR(__xludf.DUMMYFUNCTION("""COMPUTED_VALUE"""),45698)</f>
        <v>45698</v>
      </c>
      <c r="V59" s="4">
        <f ca="1">IFERROR(__xludf.DUMMYFUNCTION("""COMPUTED_VALUE"""),45787)</f>
        <v>45787</v>
      </c>
      <c r="W59" s="1">
        <f ca="1">IFERROR(__xludf.DUMMYFUNCTION("""COMPUTED_VALUE"""),58)</f>
        <v>58</v>
      </c>
      <c r="X59" s="1" t="str">
        <f ca="1">IFERROR(__xludf.DUMMYFUNCTION("""COMPUTED_VALUE"""),"14/01/2025")</f>
        <v>14/01/2025</v>
      </c>
      <c r="Y59" s="1" t="str">
        <f ca="1">IFERROR(__xludf.DUMMYFUNCTION("""COMPUTED_VALUE"""),"DUYỆT")</f>
        <v>DUYỆT</v>
      </c>
      <c r="Z59" s="1" t="str">
        <f ca="1">IFERROR(__xludf.DUMMYFUNCTION("""COMPUTED_VALUE"""),"14/01/2025")</f>
        <v>14/01/2025</v>
      </c>
      <c r="AA59" s="1" t="str">
        <f ca="1">IFERROR(__xludf.DUMMYFUNCTION("""COMPUTED_VALUE"""),"Satya Danang Hotel")</f>
        <v>Satya Danang Hotel</v>
      </c>
      <c r="AB59" s="1" t="str">
        <f ca="1">IFERROR(__xludf.DUMMYFUNCTION("""COMPUTED_VALUE"""),"Nhà hàng")</f>
        <v>Nhà hàng</v>
      </c>
      <c r="AC59" s="1"/>
      <c r="AD59" s="1" t="str">
        <f ca="1">IFERROR(__xludf.DUMMYFUNCTION("""COMPUTED_VALUE"""),"chưa có thông tin người hướng dẫn tại ks")</f>
        <v>chưa có thông tin người hướng dẫn tại ks</v>
      </c>
      <c r="AE59" s="1" t="str">
        <f ca="1">IFERROR(__xludf.DUMMYFUNCTION("""COMPUTED_VALUE"""),"")</f>
        <v/>
      </c>
    </row>
    <row r="60" spans="1:31" x14ac:dyDescent="0.2">
      <c r="A60" s="6">
        <f ca="1">IFERROR(__xludf.DUMMYFUNCTION("""COMPUTED_VALUE"""),45671.6961109259)</f>
        <v>45671.696110925899</v>
      </c>
      <c r="B60" s="1"/>
      <c r="C60" s="1">
        <f ca="1">IFERROR(__xludf.DUMMYFUNCTION("""COMPUTED_VALUE"""),25217104606)</f>
        <v>25217104606</v>
      </c>
      <c r="D60" s="1" t="str">
        <f ca="1">IFERROR(__xludf.DUMMYFUNCTION("""COMPUTED_VALUE"""),"Cù Nguyễn Duy Anh")</f>
        <v>Cù Nguyễn Duy Anh</v>
      </c>
      <c r="E60" s="4"/>
      <c r="F60" s="1" t="str">
        <f ca="1">IFERROR(__xludf.DUMMYFUNCTION("""COMPUTED_VALUE"""),"K25 PSU DLK 11")</f>
        <v>K25 PSU DLK 11</v>
      </c>
      <c r="G60" s="1" t="str">
        <f ca="1">IFERROR(__xludf.DUMMYFUNCTION("""COMPUTED_VALUE"""),"Quản trị Du lịch &amp; Khách sạn chuẩn PSU")</f>
        <v>Quản trị Du lịch &amp; Khách sạn chuẩn PSU</v>
      </c>
      <c r="H60" s="1">
        <f ca="1">IFERROR(__xludf.DUMMYFUNCTION("""COMPUTED_VALUE"""),25)</f>
        <v>25</v>
      </c>
      <c r="I60" s="1"/>
      <c r="J60" s="1" t="str">
        <f ca="1">IFERROR(__xludf.DUMMYFUNCTION("""COMPUTED_VALUE"""),"Chuyên đề")</f>
        <v>Chuyên đề</v>
      </c>
      <c r="K60" s="1" t="str">
        <f ca="1">IFERROR(__xludf.DUMMYFUNCTION("""COMPUTED_VALUE"""),"Brilliant Hotel")</f>
        <v>Brilliant Hotel</v>
      </c>
      <c r="L60" s="1"/>
      <c r="M60" s="1" t="str">
        <f ca="1">IFERROR(__xludf.DUMMYFUNCTION("""COMPUTED_VALUE"""),"162 Bạch Đằng, Hải Châu 1, Hải Châu, Đà Nẵng")</f>
        <v>162 Bạch Đằng, Hải Châu 1, Hải Châu, Đà Nẵng</v>
      </c>
      <c r="N60" s="1" t="str">
        <f ca="1">IFERROR(__xludf.DUMMYFUNCTION("""COMPUTED_VALUE"""),"Tp Đà Nẵng")</f>
        <v>Tp Đà Nẵng</v>
      </c>
      <c r="O60" s="1" t="str">
        <f ca="1">IFERROR(__xludf.DUMMYFUNCTION("""COMPUTED_VALUE"""),"Tiền sảnh")</f>
        <v>Tiền sảnh</v>
      </c>
      <c r="P60" s="1"/>
      <c r="Q60" s="1" t="str">
        <f ca="1">IFERROR(__xludf.DUMMYFUNCTION("""COMPUTED_VALUE"""),"14/01/2025")</f>
        <v>14/01/2025</v>
      </c>
      <c r="R60" s="1" t="str">
        <f ca="1">IFERROR(__xludf.DUMMYFUNCTION("""COMPUTED_VALUE"""),"cam kết")</f>
        <v>cam kết</v>
      </c>
      <c r="S60" s="1" t="str">
        <f ca="1">IFERROR(__xludf.DUMMYFUNCTION("""COMPUTED_VALUE"""),"Chuyên đề")</f>
        <v>Chuyên đề</v>
      </c>
      <c r="T60" s="1" t="str">
        <f ca="1">IFERROR(__xludf.DUMMYFUNCTION("""COMPUTED_VALUE"""),"Hồ Sử Minh Tài")</f>
        <v>Hồ Sử Minh Tài</v>
      </c>
      <c r="U60" s="4">
        <f ca="1">IFERROR(__xludf.DUMMYFUNCTION("""COMPUTED_VALUE"""),45698)</f>
        <v>45698</v>
      </c>
      <c r="V60" s="4">
        <f ca="1">IFERROR(__xludf.DUMMYFUNCTION("""COMPUTED_VALUE"""),45787)</f>
        <v>45787</v>
      </c>
      <c r="W60" s="1">
        <f ca="1">IFERROR(__xludf.DUMMYFUNCTION("""COMPUTED_VALUE"""),59)</f>
        <v>59</v>
      </c>
      <c r="X60" s="3">
        <f ca="1">IFERROR(__xludf.DUMMYFUNCTION("""COMPUTED_VALUE"""),45840)</f>
        <v>45840</v>
      </c>
      <c r="Y60" s="1" t="str">
        <f ca="1">IFERROR(__xludf.DUMMYFUNCTION("""COMPUTED_VALUE"""),"DUYỆT")</f>
        <v>DUYỆT</v>
      </c>
      <c r="Z60" s="1" t="str">
        <f ca="1">IFERROR(__xludf.DUMMYFUNCTION("""COMPUTED_VALUE"""),"14/01/2025")</f>
        <v>14/01/2025</v>
      </c>
      <c r="AA60" s="1" t="str">
        <f ca="1">IFERROR(__xludf.DUMMYFUNCTION("""COMPUTED_VALUE"""),"Brilliant Hotel")</f>
        <v>Brilliant Hotel</v>
      </c>
      <c r="AB60" s="1" t="str">
        <f ca="1">IFERROR(__xludf.DUMMYFUNCTION("""COMPUTED_VALUE"""),"Tiền sảnh")</f>
        <v>Tiền sảnh</v>
      </c>
      <c r="AC60" s="1" t="str">
        <f ca="1">IFERROR(__xludf.DUMMYFUNCTION("""COMPUTED_VALUE"""),"ĐÃ NỘP")</f>
        <v>ĐÃ NỘP</v>
      </c>
      <c r="AD60" s="1" t="str">
        <f ca="1">IFERROR(__xludf.DUMMYFUNCTION("""COMPUTED_VALUE"""),"trưởng khoa đã duyệt đơn, phiếu tiếp nhận chưa có thông tin người trực tiếp hướng dẫn tại DN")</f>
        <v>trưởng khoa đã duyệt đơn, phiếu tiếp nhận chưa có thông tin người trực tiếp hướng dẫn tại DN</v>
      </c>
      <c r="AE60" s="1" t="str">
        <f ca="1">IFERROR(__xludf.DUMMYFUNCTION("""COMPUTED_VALUE"""),"")</f>
        <v/>
      </c>
    </row>
    <row r="61" spans="1:31" x14ac:dyDescent="0.2">
      <c r="A61" s="6">
        <f ca="1">IFERROR(__xludf.DUMMYFUNCTION("""COMPUTED_VALUE"""),45671.7034943055)</f>
        <v>45671.703494305497</v>
      </c>
      <c r="B61" s="1"/>
      <c r="C61" s="1">
        <f ca="1">IFERROR(__xludf.DUMMYFUNCTION("""COMPUTED_VALUE"""),24207102344)</f>
        <v>24207102344</v>
      </c>
      <c r="D61" s="1" t="str">
        <f ca="1">IFERROR(__xludf.DUMMYFUNCTION("""COMPUTED_VALUE"""),"Lư Ngọc Mẫn")</f>
        <v>Lư Ngọc Mẫn</v>
      </c>
      <c r="E61" s="4"/>
      <c r="F61" s="1" t="str">
        <f ca="1">IFERROR(__xludf.DUMMYFUNCTION("""COMPUTED_VALUE"""),"K25DLK20")</f>
        <v>K25DLK20</v>
      </c>
      <c r="G61" s="1" t="str">
        <f ca="1">IFERROR(__xludf.DUMMYFUNCTION("""COMPUTED_VALUE"""),"Quản trị Du lịch &amp; Khách sạn")</f>
        <v>Quản trị Du lịch &amp; Khách sạn</v>
      </c>
      <c r="H61" s="1">
        <f ca="1">IFERROR(__xludf.DUMMYFUNCTION("""COMPUTED_VALUE"""),25)</f>
        <v>25</v>
      </c>
      <c r="I61" s="1"/>
      <c r="J61" s="1" t="str">
        <f ca="1">IFERROR(__xludf.DUMMYFUNCTION("""COMPUTED_VALUE"""),"Chuyên đề")</f>
        <v>Chuyên đề</v>
      </c>
      <c r="K61" s="1" t="str">
        <f ca="1">IFERROR(__xludf.DUMMYFUNCTION("""COMPUTED_VALUE"""),"New Orient Hotel Đà Nẵng")</f>
        <v>New Orient Hotel Đà Nẵng</v>
      </c>
      <c r="L61" s="1"/>
      <c r="M61" s="1" t="str">
        <f ca="1">IFERROR(__xludf.DUMMYFUNCTION("""COMPUTED_VALUE"""),"20 Đống Đa, Thuận Phước, Hải Châu, Đà Nẵng")</f>
        <v>20 Đống Đa, Thuận Phước, Hải Châu, Đà Nẵng</v>
      </c>
      <c r="N61" s="1" t="str">
        <f ca="1">IFERROR(__xludf.DUMMYFUNCTION("""COMPUTED_VALUE"""),"Đà Nẵng")</f>
        <v>Đà Nẵng</v>
      </c>
      <c r="O61" s="1" t="str">
        <f ca="1">IFERROR(__xludf.DUMMYFUNCTION("""COMPUTED_VALUE"""),"Tiền sảnh")</f>
        <v>Tiền sảnh</v>
      </c>
      <c r="P61" s="1"/>
      <c r="Q61" s="1" t="str">
        <f ca="1">IFERROR(__xludf.DUMMYFUNCTION("""COMPUTED_VALUE"""),"7/2/2025")</f>
        <v>7/2/2025</v>
      </c>
      <c r="R61" s="1" t="str">
        <f ca="1">IFERROR(__xludf.DUMMYFUNCTION("""COMPUTED_VALUE"""),"cam kết")</f>
        <v>cam kết</v>
      </c>
      <c r="S61" s="1" t="str">
        <f ca="1">IFERROR(__xludf.DUMMYFUNCTION("""COMPUTED_VALUE"""),"Chuyên đề")</f>
        <v>Chuyên đề</v>
      </c>
      <c r="T61" s="1" t="str">
        <f ca="1">IFERROR(__xludf.DUMMYFUNCTION("""COMPUTED_VALUE"""),"Mai Thị Thương")</f>
        <v>Mai Thị Thương</v>
      </c>
      <c r="U61" s="4">
        <f ca="1">IFERROR(__xludf.DUMMYFUNCTION("""COMPUTED_VALUE"""),45698)</f>
        <v>45698</v>
      </c>
      <c r="V61" s="4">
        <f ca="1">IFERROR(__xludf.DUMMYFUNCTION("""COMPUTED_VALUE"""),45787)</f>
        <v>45787</v>
      </c>
      <c r="W61" s="1">
        <f ca="1">IFERROR(__xludf.DUMMYFUNCTION("""COMPUTED_VALUE"""),60)</f>
        <v>60</v>
      </c>
      <c r="X61" s="3">
        <f ca="1">IFERROR(__xludf.DUMMYFUNCTION("""COMPUTED_VALUE"""),45963)</f>
        <v>45963</v>
      </c>
      <c r="Y61" s="1" t="str">
        <f ca="1">IFERROR(__xludf.DUMMYFUNCTION("""COMPUTED_VALUE"""),"DUYỆT")</f>
        <v>DUYỆT</v>
      </c>
      <c r="Z61" s="1" t="str">
        <f ca="1">IFERROR(__xludf.DUMMYFUNCTION("""COMPUTED_VALUE"""),"18/01/2025")</f>
        <v>18/01/2025</v>
      </c>
      <c r="AA61" s="1" t="str">
        <f ca="1">IFERROR(__xludf.DUMMYFUNCTION("""COMPUTED_VALUE"""),"New Orient Hotel Đà Nẵng")</f>
        <v>New Orient Hotel Đà Nẵng</v>
      </c>
      <c r="AB61" s="1" t="str">
        <f ca="1">IFERROR(__xludf.DUMMYFUNCTION("""COMPUTED_VALUE"""),"Tiền sảnh")</f>
        <v>Tiền sảnh</v>
      </c>
      <c r="AC61" s="1" t="str">
        <f ca="1">IFERROR(__xludf.DUMMYFUNCTION("""COMPUTED_VALUE"""),"ĐÃ NỘP")</f>
        <v>ĐÃ NỘP</v>
      </c>
      <c r="AD61" s="1"/>
      <c r="AE61" s="1" t="str">
        <f ca="1">IFERROR(__xludf.DUMMYFUNCTION("""COMPUTED_VALUE"""),"")</f>
        <v/>
      </c>
    </row>
    <row r="62" spans="1:31" x14ac:dyDescent="0.2">
      <c r="A62" s="6">
        <f ca="1">IFERROR(__xludf.DUMMYFUNCTION("""COMPUTED_VALUE"""),45671.7063641782)</f>
        <v>45671.706364178201</v>
      </c>
      <c r="B62" s="1"/>
      <c r="C62" s="1">
        <f ca="1">IFERROR(__xludf.DUMMYFUNCTION("""COMPUTED_VALUE"""),27207128299)</f>
        <v>27207128299</v>
      </c>
      <c r="D62" s="1" t="str">
        <f ca="1">IFERROR(__xludf.DUMMYFUNCTION("""COMPUTED_VALUE"""),"Ngô Thị Mỹ Nương")</f>
        <v>Ngô Thị Mỹ Nương</v>
      </c>
      <c r="E62" s="4"/>
      <c r="F62" s="1" t="str">
        <f ca="1">IFERROR(__xludf.DUMMYFUNCTION("""COMPUTED_VALUE"""),"K27DLK3")</f>
        <v>K27DLK3</v>
      </c>
      <c r="G62" s="1" t="str">
        <f ca="1">IFERROR(__xludf.DUMMYFUNCTION("""COMPUTED_VALUE"""),"Quản trị Du lịch &amp; Khách sạn")</f>
        <v>Quản trị Du lịch &amp; Khách sạn</v>
      </c>
      <c r="H62" s="1">
        <f ca="1">IFERROR(__xludf.DUMMYFUNCTION("""COMPUTED_VALUE"""),27)</f>
        <v>27</v>
      </c>
      <c r="I62" s="1"/>
      <c r="J62" s="1" t="str">
        <f ca="1">IFERROR(__xludf.DUMMYFUNCTION("""COMPUTED_VALUE"""),"Chuyên đề")</f>
        <v>Chuyên đề</v>
      </c>
      <c r="K62" s="1" t="str">
        <f ca="1">IFERROR(__xludf.DUMMYFUNCTION("""COMPUTED_VALUE"""),"DLG Hotel DaNang")</f>
        <v>DLG Hotel DaNang</v>
      </c>
      <c r="L62" s="1"/>
      <c r="M62" s="1" t="str">
        <f ca="1">IFERROR(__xludf.DUMMYFUNCTION("""COMPUTED_VALUE"""),"258 Võ Nguyên Giáp - Phước Mỹ - Sơn Trà - Đà Nẵng ")</f>
        <v xml:space="preserve">258 Võ Nguyên Giáp - Phước Mỹ - Sơn Trà - Đà Nẵng </v>
      </c>
      <c r="N62" s="1" t="str">
        <f ca="1">IFERROR(__xludf.DUMMYFUNCTION("""COMPUTED_VALUE"""),"Đà Nẵng")</f>
        <v>Đà Nẵng</v>
      </c>
      <c r="O62" s="1" t="str">
        <f ca="1">IFERROR(__xludf.DUMMYFUNCTION("""COMPUTED_VALUE"""),"Buồng phòng")</f>
        <v>Buồng phòng</v>
      </c>
      <c r="P62" s="1"/>
      <c r="Q62" s="1" t="str">
        <f ca="1">IFERROR(__xludf.DUMMYFUNCTION("""COMPUTED_VALUE"""),"14/01/2025")</f>
        <v>14/01/2025</v>
      </c>
      <c r="R62" s="1" t="str">
        <f ca="1">IFERROR(__xludf.DUMMYFUNCTION("""COMPUTED_VALUE"""),"cam kết")</f>
        <v>cam kết</v>
      </c>
      <c r="S62" s="1" t="str">
        <f ca="1">IFERROR(__xludf.DUMMYFUNCTION("""COMPUTED_VALUE"""),"Chuyên đề")</f>
        <v>Chuyên đề</v>
      </c>
      <c r="T62" s="1"/>
      <c r="U62" s="4">
        <f ca="1">IFERROR(__xludf.DUMMYFUNCTION("""COMPUTED_VALUE"""),45670)</f>
        <v>45670</v>
      </c>
      <c r="V62" s="4">
        <f ca="1">IFERROR(__xludf.DUMMYFUNCTION("""COMPUTED_VALUE"""),45771)</f>
        <v>45771</v>
      </c>
      <c r="W62" s="1">
        <f ca="1">IFERROR(__xludf.DUMMYFUNCTION("""COMPUTED_VALUE"""),61)</f>
        <v>61</v>
      </c>
      <c r="X62" s="1" t="str">
        <f ca="1">IFERROR(__xludf.DUMMYFUNCTION("""COMPUTED_VALUE"""),"16/01/2025")</f>
        <v>16/01/2025</v>
      </c>
      <c r="Y62" s="1" t="str">
        <f ca="1">IFERROR(__xludf.DUMMYFUNCTION("""COMPUTED_VALUE"""),"DUYỆT")</f>
        <v>DUYỆT</v>
      </c>
      <c r="Z62" s="1" t="str">
        <f ca="1">IFERROR(__xludf.DUMMYFUNCTION("""COMPUTED_VALUE"""),"16/01/2025")</f>
        <v>16/01/2025</v>
      </c>
      <c r="AA62" s="1" t="str">
        <f ca="1">IFERROR(__xludf.DUMMYFUNCTION("""COMPUTED_VALUE"""),"DLG Hotel DaNang")</f>
        <v>DLG Hotel DaNang</v>
      </c>
      <c r="AB62" s="1" t="str">
        <f ca="1">IFERROR(__xludf.DUMMYFUNCTION("""COMPUTED_VALUE"""),"Buồng phòng")</f>
        <v>Buồng phòng</v>
      </c>
      <c r="AC62" s="1"/>
      <c r="AD62" s="1"/>
      <c r="AE62" s="1" t="str">
        <f ca="1">IFERROR(__xludf.DUMMYFUNCTION("""COMPUTED_VALUE"""),"")</f>
        <v/>
      </c>
    </row>
    <row r="63" spans="1:31" x14ac:dyDescent="0.2">
      <c r="A63" s="6">
        <f ca="1">IFERROR(__xludf.DUMMYFUNCTION("""COMPUTED_VALUE"""),45698.6540230671)</f>
        <v>45698.654023067102</v>
      </c>
      <c r="B63" s="1"/>
      <c r="C63" s="1">
        <f ca="1">IFERROR(__xludf.DUMMYFUNCTION("""COMPUTED_VALUE"""),27207102076)</f>
        <v>27207102076</v>
      </c>
      <c r="D63" s="1" t="str">
        <f ca="1">IFERROR(__xludf.DUMMYFUNCTION("""COMPUTED_VALUE"""),"Trần Thị Thủy Tiên ")</f>
        <v xml:space="preserve">Trần Thị Thủy Tiên </v>
      </c>
      <c r="E63" s="4"/>
      <c r="F63" s="1" t="str">
        <f ca="1">IFERROR(__xludf.DUMMYFUNCTION("""COMPUTED_VALUE"""),"K27DLK6 ")</f>
        <v xml:space="preserve">K27DLK6 </v>
      </c>
      <c r="G63" s="1" t="str">
        <f ca="1">IFERROR(__xludf.DUMMYFUNCTION("""COMPUTED_VALUE"""),"Quản trị Du lịch &amp; Khách sạn")</f>
        <v>Quản trị Du lịch &amp; Khách sạn</v>
      </c>
      <c r="H63" s="1">
        <f ca="1">IFERROR(__xludf.DUMMYFUNCTION("""COMPUTED_VALUE"""),27)</f>
        <v>27</v>
      </c>
      <c r="I63" s="1"/>
      <c r="J63" s="1" t="str">
        <f ca="1">IFERROR(__xludf.DUMMYFUNCTION("""COMPUTED_VALUE"""),"Chuyên đề")</f>
        <v>Chuyên đề</v>
      </c>
      <c r="K63" s="1" t="str">
        <f ca="1">IFERROR(__xludf.DUMMYFUNCTION("""COMPUTED_VALUE"""),"Grand Mercure Đà Nẵng")</f>
        <v>Grand Mercure Đà Nẵng</v>
      </c>
      <c r="L63" s="1"/>
      <c r="M63" s="1" t="str">
        <f ca="1">IFERROR(__xludf.DUMMYFUNCTION("""COMPUTED_VALUE"""),"Lô A1 Khu biệt thự Đảo Xanh, phường Hòa Cường Bắc, quận Hải Châu, Đà Nẵng, Việt Nam")</f>
        <v>Lô A1 Khu biệt thự Đảo Xanh, phường Hòa Cường Bắc, quận Hải Châu, Đà Nẵng, Việt Nam</v>
      </c>
      <c r="N63" s="1" t="str">
        <f ca="1">IFERROR(__xludf.DUMMYFUNCTION("""COMPUTED_VALUE"""),"Đà Nẵng")</f>
        <v>Đà Nẵng</v>
      </c>
      <c r="O63" s="1" t="str">
        <f ca="1">IFERROR(__xludf.DUMMYFUNCTION("""COMPUTED_VALUE"""),"Nhà hàng")</f>
        <v>Nhà hàng</v>
      </c>
      <c r="P63" s="1"/>
      <c r="Q63" s="1" t="str">
        <f ca="1">IFERROR(__xludf.DUMMYFUNCTION("""COMPUTED_VALUE"""),"10/2/2025")</f>
        <v>10/2/2025</v>
      </c>
      <c r="R63" s="1" t="str">
        <f ca="1">IFERROR(__xludf.DUMMYFUNCTION("""COMPUTED_VALUE"""),"cam kết")</f>
        <v>cam kết</v>
      </c>
      <c r="S63" s="1" t="str">
        <f ca="1">IFERROR(__xludf.DUMMYFUNCTION("""COMPUTED_VALUE"""),"Chuyên đề")</f>
        <v>Chuyên đề</v>
      </c>
      <c r="T63" s="1"/>
      <c r="U63" s="4">
        <f ca="1">IFERROR(__xludf.DUMMYFUNCTION("""COMPUTED_VALUE"""),45695)</f>
        <v>45695</v>
      </c>
      <c r="V63" s="4">
        <f ca="1">IFERROR(__xludf.DUMMYFUNCTION("""COMPUTED_VALUE"""),45783)</f>
        <v>45783</v>
      </c>
      <c r="W63" s="1">
        <f ca="1">IFERROR(__xludf.DUMMYFUNCTION("""COMPUTED_VALUE"""),62)</f>
        <v>62</v>
      </c>
      <c r="X63" s="3">
        <f ca="1">IFERROR(__xludf.DUMMYFUNCTION("""COMPUTED_VALUE"""),45963)</f>
        <v>45963</v>
      </c>
      <c r="Y63" s="1" t="str">
        <f ca="1">IFERROR(__xludf.DUMMYFUNCTION("""COMPUTED_VALUE"""),"DUYỆT")</f>
        <v>DUYỆT</v>
      </c>
      <c r="Z63" s="1" t="str">
        <f ca="1">IFERROR(__xludf.DUMMYFUNCTION("""COMPUTED_VALUE"""),"18/01/2025")</f>
        <v>18/01/2025</v>
      </c>
      <c r="AA63" s="1" t="str">
        <f ca="1">IFERROR(__xludf.DUMMYFUNCTION("""COMPUTED_VALUE"""),"Grand Mercure Đà Nẵng")</f>
        <v>Grand Mercure Đà Nẵng</v>
      </c>
      <c r="AB63" s="1" t="str">
        <f ca="1">IFERROR(__xludf.DUMMYFUNCTION("""COMPUTED_VALUE"""),"Nhà hàng")</f>
        <v>Nhà hàng</v>
      </c>
      <c r="AC63" s="1"/>
      <c r="AD63" s="1"/>
      <c r="AE63" s="1" t="str">
        <f ca="1">IFERROR(__xludf.DUMMYFUNCTION("""COMPUTED_VALUE"""),"")</f>
        <v/>
      </c>
    </row>
    <row r="64" spans="1:31" x14ac:dyDescent="0.2">
      <c r="A64" s="6">
        <f ca="1">IFERROR(__xludf.DUMMYFUNCTION("""COMPUTED_VALUE"""),45680.8440803703)</f>
        <v>45680.844080370298</v>
      </c>
      <c r="B64" s="1"/>
      <c r="C64" s="1">
        <f ca="1">IFERROR(__xludf.DUMMYFUNCTION("""COMPUTED_VALUE"""),27207131471)</f>
        <v>27207131471</v>
      </c>
      <c r="D64" s="1" t="str">
        <f ca="1">IFERROR(__xludf.DUMMYFUNCTION("""COMPUTED_VALUE"""),"Nguyễn Yến Nhi")</f>
        <v>Nguyễn Yến Nhi</v>
      </c>
      <c r="E64" s="4"/>
      <c r="F64" s="1" t="str">
        <f ca="1">IFERROR(__xludf.DUMMYFUNCTION("""COMPUTED_VALUE"""),"K27PSUDLK1")</f>
        <v>K27PSUDLK1</v>
      </c>
      <c r="G64" s="1" t="str">
        <f ca="1">IFERROR(__xludf.DUMMYFUNCTION("""COMPUTED_VALUE"""),"Quản trị Du lịch &amp; Khách sạn chuẩn PSU")</f>
        <v>Quản trị Du lịch &amp; Khách sạn chuẩn PSU</v>
      </c>
      <c r="H64" s="1">
        <f ca="1">IFERROR(__xludf.DUMMYFUNCTION("""COMPUTED_VALUE"""),27)</f>
        <v>27</v>
      </c>
      <c r="I64" s="1"/>
      <c r="J64" s="1" t="str">
        <f ca="1">IFERROR(__xludf.DUMMYFUNCTION("""COMPUTED_VALUE"""),"Chuyên đề")</f>
        <v>Chuyên đề</v>
      </c>
      <c r="K64" s="1" t="str">
        <f ca="1">IFERROR(__xludf.DUMMYFUNCTION("""COMPUTED_VALUE"""),"Hyatt regency DaNang Resort")</f>
        <v>Hyatt regency DaNang Resort</v>
      </c>
      <c r="L64" s="1"/>
      <c r="M64" s="1" t="str">
        <f ca="1">IFERROR(__xludf.DUMMYFUNCTION("""COMPUTED_VALUE"""),"120A Nguyễn Văn Thoại, Bắc Phú Mỹ, Ngũ Hành Sơn, Đà Nẵng")</f>
        <v>120A Nguyễn Văn Thoại, Bắc Phú Mỹ, Ngũ Hành Sơn, Đà Nẵng</v>
      </c>
      <c r="N64" s="1" t="str">
        <f ca="1">IFERROR(__xludf.DUMMYFUNCTION("""COMPUTED_VALUE"""),"Thành phố Đà Nẵng")</f>
        <v>Thành phố Đà Nẵng</v>
      </c>
      <c r="O64" s="1" t="str">
        <f ca="1">IFERROR(__xludf.DUMMYFUNCTION("""COMPUTED_VALUE"""),"Tiền sảnh")</f>
        <v>Tiền sảnh</v>
      </c>
      <c r="P64" s="1"/>
      <c r="Q64" s="1" t="str">
        <f ca="1">IFERROR(__xludf.DUMMYFUNCTION("""COMPUTED_VALUE"""),"05/02/2025")</f>
        <v>05/02/2025</v>
      </c>
      <c r="R64" s="1" t="str">
        <f ca="1">IFERROR(__xludf.DUMMYFUNCTION("""COMPUTED_VALUE"""),"cam kết")</f>
        <v>cam kết</v>
      </c>
      <c r="S64" s="1" t="str">
        <f ca="1">IFERROR(__xludf.DUMMYFUNCTION("""COMPUTED_VALUE"""),"Chuyên đề")</f>
        <v>Chuyên đề</v>
      </c>
      <c r="T64" s="1" t="str">
        <f ca="1">IFERROR(__xludf.DUMMYFUNCTION("""COMPUTED_VALUE"""),"Hồ Sử Minh Tài")</f>
        <v>Hồ Sử Minh Tài</v>
      </c>
      <c r="U64" s="4">
        <f ca="1">IFERROR(__xludf.DUMMYFUNCTION("""COMPUTED_VALUE"""),45691)</f>
        <v>45691</v>
      </c>
      <c r="V64" s="4">
        <f ca="1">IFERROR(__xludf.DUMMYFUNCTION("""COMPUTED_VALUE"""),45780)</f>
        <v>45780</v>
      </c>
      <c r="W64" s="1">
        <f ca="1">IFERROR(__xludf.DUMMYFUNCTION("""COMPUTED_VALUE"""),63)</f>
        <v>63</v>
      </c>
      <c r="X64" s="3">
        <f ca="1">IFERROR(__xludf.DUMMYFUNCTION("""COMPUTED_VALUE"""),45810)</f>
        <v>45810</v>
      </c>
      <c r="Y64" s="1" t="str">
        <f ca="1">IFERROR(__xludf.DUMMYFUNCTION("""COMPUTED_VALUE"""),"DUYỆT")</f>
        <v>DUYỆT</v>
      </c>
      <c r="Z64" s="3">
        <f ca="1">IFERROR(__xludf.DUMMYFUNCTION("""COMPUTED_VALUE"""),45779)</f>
        <v>45779</v>
      </c>
      <c r="AA64" s="1" t="str">
        <f ca="1">IFERROR(__xludf.DUMMYFUNCTION("""COMPUTED_VALUE"""),"Hyatt regency DaNang Resort")</f>
        <v>Hyatt regency DaNang Resort</v>
      </c>
      <c r="AB64" s="1" t="str">
        <f ca="1">IFERROR(__xludf.DUMMYFUNCTION("""COMPUTED_VALUE"""),"Tiền sảnh")</f>
        <v>Tiền sảnh</v>
      </c>
      <c r="AC64" s="1"/>
      <c r="AD64" s="1" t="str">
        <f ca="1">IFERROR(__xludf.DUMMYFUNCTION("""COMPUTED_VALUE"""),"chưa có thông tin người hướng dẫn tại ks")</f>
        <v>chưa có thông tin người hướng dẫn tại ks</v>
      </c>
      <c r="AE64" s="1" t="str">
        <f ca="1">IFERROR(__xludf.DUMMYFUNCTION("""COMPUTED_VALUE"""),"")</f>
        <v/>
      </c>
    </row>
    <row r="65" spans="1:31" x14ac:dyDescent="0.2">
      <c r="A65" s="6">
        <f ca="1">IFERROR(__xludf.DUMMYFUNCTION("""COMPUTED_VALUE"""),45672.4773091203)</f>
        <v>45672.477309120302</v>
      </c>
      <c r="B65" s="1"/>
      <c r="C65" s="1">
        <f ca="1">IFERROR(__xludf.DUMMYFUNCTION("""COMPUTED_VALUE"""),27207128489)</f>
        <v>27207128489</v>
      </c>
      <c r="D65" s="1" t="str">
        <f ca="1">IFERROR(__xludf.DUMMYFUNCTION("""COMPUTED_VALUE"""),"Nguyễn Vũ Lan Anh")</f>
        <v>Nguyễn Vũ Lan Anh</v>
      </c>
      <c r="E65" s="4"/>
      <c r="F65" s="1" t="str">
        <f ca="1">IFERROR(__xludf.DUMMYFUNCTION("""COMPUTED_VALUE"""),"K27PSUDLH")</f>
        <v>K27PSUDLH</v>
      </c>
      <c r="G65" s="1" t="str">
        <f ca="1">IFERROR(__xludf.DUMMYFUNCTION("""COMPUTED_VALUE"""),"Quản trị Du lịch &amp; Nhà hàng chuẩn PSU")</f>
        <v>Quản trị Du lịch &amp; Nhà hàng chuẩn PSU</v>
      </c>
      <c r="H65" s="1">
        <f ca="1">IFERROR(__xludf.DUMMYFUNCTION("""COMPUTED_VALUE"""),27)</f>
        <v>27</v>
      </c>
      <c r="I65" s="1"/>
      <c r="J65" s="1" t="str">
        <f ca="1">IFERROR(__xludf.DUMMYFUNCTION("""COMPUTED_VALUE"""),"Khóa luận")</f>
        <v>Khóa luận</v>
      </c>
      <c r="K65" s="1" t="str">
        <f ca="1">IFERROR(__xludf.DUMMYFUNCTION("""COMPUTED_VALUE"""),"Meliá Danang Beach Resort")</f>
        <v>Meliá Danang Beach Resort</v>
      </c>
      <c r="L65" s="1" t="str">
        <f ca="1">IFERROR(__xludf.DUMMYFUNCTION("""COMPUTED_VALUE"""),"Meliá Danang Beach Resort")</f>
        <v>Meliá Danang Beach Resort</v>
      </c>
      <c r="M65" s="1" t="str">
        <f ca="1">IFERROR(__xludf.DUMMYFUNCTION("""COMPUTED_VALUE"""),"19 Trường Sa, Hoà Hải, Ngũ Hành Sơn, Đà Nẵng")</f>
        <v>19 Trường Sa, Hoà Hải, Ngũ Hành Sơn, Đà Nẵng</v>
      </c>
      <c r="N65" s="1" t="str">
        <f ca="1">IFERROR(__xludf.DUMMYFUNCTION("""COMPUTED_VALUE"""),"Đà Nẵng")</f>
        <v>Đà Nẵng</v>
      </c>
      <c r="O65" s="1" t="str">
        <f ca="1">IFERROR(__xludf.DUMMYFUNCTION("""COMPUTED_VALUE"""),"Nhà hàng")</f>
        <v>Nhà hàng</v>
      </c>
      <c r="P65" s="1"/>
      <c r="Q65" s="1" t="str">
        <f ca="1">IFERROR(__xludf.DUMMYFUNCTION("""COMPUTED_VALUE"""),"08/02/2025")</f>
        <v>08/02/2025</v>
      </c>
      <c r="R65" s="1" t="str">
        <f ca="1">IFERROR(__xludf.DUMMYFUNCTION("""COMPUTED_VALUE"""),"cam kết")</f>
        <v>cam kết</v>
      </c>
      <c r="S65" s="1" t="str">
        <f ca="1">IFERROR(__xludf.DUMMYFUNCTION("""COMPUTED_VALUE"""),"Khóa luận")</f>
        <v>Khóa luận</v>
      </c>
      <c r="T65" s="1" t="str">
        <f ca="1">IFERROR(__xludf.DUMMYFUNCTION("""COMPUTED_VALUE"""),"Mai Thị Thương")</f>
        <v>Mai Thị Thương</v>
      </c>
      <c r="U65" s="4">
        <f ca="1">IFERROR(__xludf.DUMMYFUNCTION("""COMPUTED_VALUE"""),45698)</f>
        <v>45698</v>
      </c>
      <c r="V65" s="4">
        <f ca="1">IFERROR(__xludf.DUMMYFUNCTION("""COMPUTED_VALUE"""),45787)</f>
        <v>45787</v>
      </c>
      <c r="W65" s="1">
        <f ca="1">IFERROR(__xludf.DUMMYFUNCTION("""COMPUTED_VALUE"""),64)</f>
        <v>64</v>
      </c>
      <c r="X65" s="3">
        <f ca="1">IFERROR(__xludf.DUMMYFUNCTION("""COMPUTED_VALUE"""),45810)</f>
        <v>45810</v>
      </c>
      <c r="Y65" s="1" t="str">
        <f ca="1">IFERROR(__xludf.DUMMYFUNCTION("""COMPUTED_VALUE"""),"DUYỆT")</f>
        <v>DUYỆT</v>
      </c>
      <c r="Z65" s="1" t="str">
        <f ca="1">IFERROR(__xludf.DUMMYFUNCTION("""COMPUTED_VALUE"""),"18/01/2025")</f>
        <v>18/01/2025</v>
      </c>
      <c r="AA65" s="1" t="str">
        <f ca="1">IFERROR(__xludf.DUMMYFUNCTION("""COMPUTED_VALUE"""),"Meliá Danang Beach Resort")</f>
        <v>Meliá Danang Beach Resort</v>
      </c>
      <c r="AB65" s="1" t="str">
        <f ca="1">IFERROR(__xludf.DUMMYFUNCTION("""COMPUTED_VALUE"""),"Nhà hàng")</f>
        <v>Nhà hàng</v>
      </c>
      <c r="AC65" s="1"/>
      <c r="AD65" s="1"/>
      <c r="AE65" s="1" t="str">
        <f ca="1">IFERROR(__xludf.DUMMYFUNCTION("""COMPUTED_VALUE"""),"")</f>
        <v/>
      </c>
    </row>
    <row r="66" spans="1:31" x14ac:dyDescent="0.2">
      <c r="A66" s="6">
        <f ca="1">IFERROR(__xludf.DUMMYFUNCTION("""COMPUTED_VALUE"""),45693.7527734143)</f>
        <v>45693.7527734143</v>
      </c>
      <c r="B66" s="1"/>
      <c r="C66" s="1">
        <f ca="1">IFERROR(__xludf.DUMMYFUNCTION("""COMPUTED_VALUE"""),27207142712)</f>
        <v>27207142712</v>
      </c>
      <c r="D66" s="1" t="str">
        <f ca="1">IFERROR(__xludf.DUMMYFUNCTION("""COMPUTED_VALUE"""),"Nguyễn Thị Cẩm Tú ")</f>
        <v xml:space="preserve">Nguyễn Thị Cẩm Tú </v>
      </c>
      <c r="E66" s="4"/>
      <c r="F66" s="1" t="str">
        <f ca="1">IFERROR(__xludf.DUMMYFUNCTION("""COMPUTED_VALUE"""),"K27DLK1")</f>
        <v>K27DLK1</v>
      </c>
      <c r="G66" s="1" t="str">
        <f ca="1">IFERROR(__xludf.DUMMYFUNCTION("""COMPUTED_VALUE"""),"Quản trị Du lịch &amp; Khách sạn")</f>
        <v>Quản trị Du lịch &amp; Khách sạn</v>
      </c>
      <c r="H66" s="1">
        <f ca="1">IFERROR(__xludf.DUMMYFUNCTION("""COMPUTED_VALUE"""),27)</f>
        <v>27</v>
      </c>
      <c r="I66" s="1"/>
      <c r="J66" s="1" t="str">
        <f ca="1">IFERROR(__xludf.DUMMYFUNCTION("""COMPUTED_VALUE"""),"Chuyên đề")</f>
        <v>Chuyên đề</v>
      </c>
      <c r="K66" s="1" t="str">
        <f ca="1">IFERROR(__xludf.DUMMYFUNCTION("""COMPUTED_VALUE"""),"Grand Mercure Đà Nẵng")</f>
        <v>Grand Mercure Đà Nẵng</v>
      </c>
      <c r="L66" s="1"/>
      <c r="M66" s="1" t="str">
        <f ca="1">IFERROR(__xludf.DUMMYFUNCTION("""COMPUTED_VALUE""")," A1 Khu biệt thự Đảo Xanh, P. Hòa Cường Bắc, Q. Hải Châu, Đà Nẵng ")</f>
        <v xml:space="preserve"> A1 Khu biệt thự Đảo Xanh, P. Hòa Cường Bắc, Q. Hải Châu, Đà Nẵng </v>
      </c>
      <c r="N66" s="1" t="str">
        <f ca="1">IFERROR(__xludf.DUMMYFUNCTION("""COMPUTED_VALUE"""),"Đà Nẵng")</f>
        <v>Đà Nẵng</v>
      </c>
      <c r="O66" s="1" t="str">
        <f ca="1">IFERROR(__xludf.DUMMYFUNCTION("""COMPUTED_VALUE"""),"Nhà hàng")</f>
        <v>Nhà hàng</v>
      </c>
      <c r="P66" s="1"/>
      <c r="Q66" s="1" t="str">
        <f ca="1">IFERROR(__xludf.DUMMYFUNCTION("""COMPUTED_VALUE"""),"04/02/2025")</f>
        <v>04/02/2025</v>
      </c>
      <c r="R66" s="1" t="str">
        <f ca="1">IFERROR(__xludf.DUMMYFUNCTION("""COMPUTED_VALUE"""),"cam kết")</f>
        <v>cam kết</v>
      </c>
      <c r="S66" s="1" t="str">
        <f ca="1">IFERROR(__xludf.DUMMYFUNCTION("""COMPUTED_VALUE"""),"Chuyên đề")</f>
        <v>Chuyên đề</v>
      </c>
      <c r="T66" s="1" t="str">
        <f ca="1">IFERROR(__xludf.DUMMYFUNCTION("""COMPUTED_VALUE"""),"Dương Thị Xuân Diệu")</f>
        <v>Dương Thị Xuân Diệu</v>
      </c>
      <c r="U66" s="4">
        <f ca="1">IFERROR(__xludf.DUMMYFUNCTION("""COMPUTED_VALUE"""),45691)</f>
        <v>45691</v>
      </c>
      <c r="V66" s="4">
        <f ca="1">IFERROR(__xludf.DUMMYFUNCTION("""COMPUTED_VALUE"""),45779)</f>
        <v>45779</v>
      </c>
      <c r="W66" s="1">
        <f ca="1">IFERROR(__xludf.DUMMYFUNCTION("""COMPUTED_VALUE"""),65)</f>
        <v>65</v>
      </c>
      <c r="X66" s="3">
        <f ca="1">IFERROR(__xludf.DUMMYFUNCTION("""COMPUTED_VALUE"""),45779)</f>
        <v>45779</v>
      </c>
      <c r="Y66" s="1" t="str">
        <f ca="1">IFERROR(__xludf.DUMMYFUNCTION("""COMPUTED_VALUE"""),"DUYỆT")</f>
        <v>DUYỆT</v>
      </c>
      <c r="Z66" s="1" t="str">
        <f ca="1">IFERROR(__xludf.DUMMYFUNCTION("""COMPUTED_VALUE"""),"21/01/2025")</f>
        <v>21/01/2025</v>
      </c>
      <c r="AA66" s="1" t="str">
        <f ca="1">IFERROR(__xludf.DUMMYFUNCTION("""COMPUTED_VALUE"""),"Grand Mercure Đà Nẵng")</f>
        <v>Grand Mercure Đà Nẵng</v>
      </c>
      <c r="AB66" s="1" t="str">
        <f ca="1">IFERROR(__xludf.DUMMYFUNCTION("""COMPUTED_VALUE"""),"Nhà hàng")</f>
        <v>Nhà hàng</v>
      </c>
      <c r="AC66" s="1"/>
      <c r="AD66" s="1"/>
      <c r="AE66" s="1" t="str">
        <f ca="1">IFERROR(__xludf.DUMMYFUNCTION("""COMPUTED_VALUE"""),"")</f>
        <v/>
      </c>
    </row>
    <row r="67" spans="1:31" x14ac:dyDescent="0.2">
      <c r="A67" s="6">
        <f ca="1">IFERROR(__xludf.DUMMYFUNCTION("""COMPUTED_VALUE"""),45672.6375893402)</f>
        <v>45672.6375893402</v>
      </c>
      <c r="B67" s="1"/>
      <c r="C67" s="1">
        <f ca="1">IFERROR(__xludf.DUMMYFUNCTION("""COMPUTED_VALUE"""),27217142987)</f>
        <v>27217142987</v>
      </c>
      <c r="D67" s="1" t="str">
        <f ca="1">IFERROR(__xludf.DUMMYFUNCTION("""COMPUTED_VALUE"""),"Trần Văn Thành")</f>
        <v>Trần Văn Thành</v>
      </c>
      <c r="E67" s="4"/>
      <c r="F67" s="1" t="str">
        <f ca="1">IFERROR(__xludf.DUMMYFUNCTION("""COMPUTED_VALUE"""),"K27DLK3")</f>
        <v>K27DLK3</v>
      </c>
      <c r="G67" s="1" t="str">
        <f ca="1">IFERROR(__xludf.DUMMYFUNCTION("""COMPUTED_VALUE"""),"Quản trị Du lịch &amp; Khách sạn")</f>
        <v>Quản trị Du lịch &amp; Khách sạn</v>
      </c>
      <c r="H67" s="1">
        <f ca="1">IFERROR(__xludf.DUMMYFUNCTION("""COMPUTED_VALUE"""),27)</f>
        <v>27</v>
      </c>
      <c r="I67" s="1"/>
      <c r="J67" s="1" t="str">
        <f ca="1">IFERROR(__xludf.DUMMYFUNCTION("""COMPUTED_VALUE"""),"Chuyên đề")</f>
        <v>Chuyên đề</v>
      </c>
      <c r="K67" s="1" t="str">
        <f ca="1">IFERROR(__xludf.DUMMYFUNCTION("""COMPUTED_VALUE"""),"Royal Lotus Hotel Danang")</f>
        <v>Royal Lotus Hotel Danang</v>
      </c>
      <c r="L67" s="1"/>
      <c r="M67" s="1" t="str">
        <f ca="1">IFERROR(__xludf.DUMMYFUNCTION("""COMPUTED_VALUE"""),"120A Nguyễn Văn Thoại")</f>
        <v>120A Nguyễn Văn Thoại</v>
      </c>
      <c r="N67" s="1" t="str">
        <f ca="1">IFERROR(__xludf.DUMMYFUNCTION("""COMPUTED_VALUE"""),"Đà Nẵng ")</f>
        <v xml:space="preserve">Đà Nẵng </v>
      </c>
      <c r="O67" s="1" t="str">
        <f ca="1">IFERROR(__xludf.DUMMYFUNCTION("""COMPUTED_VALUE"""),"Tiền sảnh")</f>
        <v>Tiền sảnh</v>
      </c>
      <c r="P67" s="1"/>
      <c r="Q67" s="1" t="str">
        <f ca="1">IFERROR(__xludf.DUMMYFUNCTION("""COMPUTED_VALUE"""),"15/1/2025")</f>
        <v>15/1/2025</v>
      </c>
      <c r="R67" s="1" t="str">
        <f ca="1">IFERROR(__xludf.DUMMYFUNCTION("""COMPUTED_VALUE"""),"cam kết")</f>
        <v>cam kết</v>
      </c>
      <c r="S67" s="1" t="str">
        <f ca="1">IFERROR(__xludf.DUMMYFUNCTION("""COMPUTED_VALUE"""),"Chuyên đề")</f>
        <v>Chuyên đề</v>
      </c>
      <c r="T67" s="1"/>
      <c r="U67" s="4">
        <f ca="1">IFERROR(__xludf.DUMMYFUNCTION("""COMPUTED_VALUE"""),45671)</f>
        <v>45671</v>
      </c>
      <c r="V67" s="4">
        <f ca="1">IFERROR(__xludf.DUMMYFUNCTION("""COMPUTED_VALUE"""),45761)</f>
        <v>45761</v>
      </c>
      <c r="W67" s="1">
        <f ca="1">IFERROR(__xludf.DUMMYFUNCTION("""COMPUTED_VALUE"""),66)</f>
        <v>66</v>
      </c>
      <c r="X67" s="1"/>
      <c r="Y67" s="1" t="str">
        <f ca="1">IFERROR(__xludf.DUMMYFUNCTION("""COMPUTED_VALUE"""),"DUYỆT")</f>
        <v>DUYỆT</v>
      </c>
      <c r="Z67" s="1" t="str">
        <f ca="1">IFERROR(__xludf.DUMMYFUNCTION("""COMPUTED_VALUE"""),"16/01/2025")</f>
        <v>16/01/2025</v>
      </c>
      <c r="AA67" s="1" t="str">
        <f ca="1">IFERROR(__xludf.DUMMYFUNCTION("""COMPUTED_VALUE"""),"Royal Lotus Hotel Danang")</f>
        <v>Royal Lotus Hotel Danang</v>
      </c>
      <c r="AB67" s="1" t="str">
        <f ca="1">IFERROR(__xludf.DUMMYFUNCTION("""COMPUTED_VALUE"""),"Tiền sảnh")</f>
        <v>Tiền sảnh</v>
      </c>
      <c r="AC67" s="1"/>
      <c r="AD67" s="1" t="str">
        <f ca="1">IFERROR(__xludf.DUMMYFUNCTION("""COMPUTED_VALUE"""),"Đề nghị SV nộp lại phiếu tiếp nhận SV thực tập có đóng dấu tròn. Ko chấp nhận dấu vuông bộ phận")</f>
        <v>Đề nghị SV nộp lại phiếu tiếp nhận SV thực tập có đóng dấu tròn. Ko chấp nhận dấu vuông bộ phận</v>
      </c>
      <c r="AE67" s="1" t="str">
        <f ca="1">IFERROR(__xludf.DUMMYFUNCTION("""COMPUTED_VALUE"""),"")</f>
        <v/>
      </c>
    </row>
    <row r="68" spans="1:31" x14ac:dyDescent="0.2">
      <c r="A68" s="6">
        <f ca="1">IFERROR(__xludf.DUMMYFUNCTION("""COMPUTED_VALUE"""),45672.6605231018)</f>
        <v>45672.660523101797</v>
      </c>
      <c r="B68" s="1"/>
      <c r="C68" s="1">
        <f ca="1">IFERROR(__xludf.DUMMYFUNCTION("""COMPUTED_VALUE"""),27217145233)</f>
        <v>27217145233</v>
      </c>
      <c r="D68" s="1" t="str">
        <f ca="1">IFERROR(__xludf.DUMMYFUNCTION("""COMPUTED_VALUE"""),"Lê Quốc Huy")</f>
        <v>Lê Quốc Huy</v>
      </c>
      <c r="E68" s="4"/>
      <c r="F68" s="1" t="str">
        <f ca="1">IFERROR(__xludf.DUMMYFUNCTION("""COMPUTED_VALUE"""),"K27DLK 2")</f>
        <v>K27DLK 2</v>
      </c>
      <c r="G68" s="1" t="str">
        <f ca="1">IFERROR(__xludf.DUMMYFUNCTION("""COMPUTED_VALUE"""),"Quản trị Du lịch &amp; Khách sạn")</f>
        <v>Quản trị Du lịch &amp; Khách sạn</v>
      </c>
      <c r="H68" s="1">
        <f ca="1">IFERROR(__xludf.DUMMYFUNCTION("""COMPUTED_VALUE"""),27)</f>
        <v>27</v>
      </c>
      <c r="I68" s="1"/>
      <c r="J68" s="1" t="str">
        <f ca="1">IFERROR(__xludf.DUMMYFUNCTION("""COMPUTED_VALUE"""),"Chuyên đề")</f>
        <v>Chuyên đề</v>
      </c>
      <c r="K68" s="1" t="str">
        <f ca="1">IFERROR(__xludf.DUMMYFUNCTION("""COMPUTED_VALUE"""),"Wyndham DaNang Golden Bay")</f>
        <v>Wyndham DaNang Golden Bay</v>
      </c>
      <c r="L68" s="1"/>
      <c r="M68" s="1" t="str">
        <f ca="1">IFERROR(__xludf.DUMMYFUNCTION("""COMPUTED_VALUE"""),"01 Lê Văn Duyệt, Nại Hiên Đông, Sơn Trà, thành phố Đà Nẵng")</f>
        <v>01 Lê Văn Duyệt, Nại Hiên Đông, Sơn Trà, thành phố Đà Nẵng</v>
      </c>
      <c r="N68" s="1" t="str">
        <f ca="1">IFERROR(__xludf.DUMMYFUNCTION("""COMPUTED_VALUE"""),"Đà Nẵng")</f>
        <v>Đà Nẵng</v>
      </c>
      <c r="O68" s="1" t="str">
        <f ca="1">IFERROR(__xludf.DUMMYFUNCTION("""COMPUTED_VALUE"""),"Nhà hàng")</f>
        <v>Nhà hàng</v>
      </c>
      <c r="P68" s="1"/>
      <c r="Q68" s="1" t="str">
        <f ca="1">IFERROR(__xludf.DUMMYFUNCTION("""COMPUTED_VALUE"""),"10/01/2025")</f>
        <v>10/01/2025</v>
      </c>
      <c r="R68" s="1" t="str">
        <f ca="1">IFERROR(__xludf.DUMMYFUNCTION("""COMPUTED_VALUE"""),"cam kết")</f>
        <v>cam kết</v>
      </c>
      <c r="S68" s="1" t="str">
        <f ca="1">IFERROR(__xludf.DUMMYFUNCTION("""COMPUTED_VALUE"""),"Chuyên đề")</f>
        <v>Chuyên đề</v>
      </c>
      <c r="T68" s="1"/>
      <c r="U68" s="4">
        <f ca="1">IFERROR(__xludf.DUMMYFUNCTION("""COMPUTED_VALUE"""),45698)</f>
        <v>45698</v>
      </c>
      <c r="V68" s="4">
        <f ca="1">IFERROR(__xludf.DUMMYFUNCTION("""COMPUTED_VALUE"""),45787)</f>
        <v>45787</v>
      </c>
      <c r="W68" s="1">
        <f ca="1">IFERROR(__xludf.DUMMYFUNCTION("""COMPUTED_VALUE"""),67)</f>
        <v>67</v>
      </c>
      <c r="X68" s="1" t="str">
        <f ca="1">IFERROR(__xludf.DUMMYFUNCTION("""COMPUTED_VALUE"""),"20/01/2025")</f>
        <v>20/01/2025</v>
      </c>
      <c r="Y68" s="1" t="str">
        <f ca="1">IFERROR(__xludf.DUMMYFUNCTION("""COMPUTED_VALUE"""),"DUYỆT")</f>
        <v>DUYỆT</v>
      </c>
      <c r="Z68" s="1" t="str">
        <f ca="1">IFERROR(__xludf.DUMMYFUNCTION("""COMPUTED_VALUE"""),"18/01/2025")</f>
        <v>18/01/2025</v>
      </c>
      <c r="AA68" s="1" t="str">
        <f ca="1">IFERROR(__xludf.DUMMYFUNCTION("""COMPUTED_VALUE"""),"Wyndham DaNang Golden Bay")</f>
        <v>Wyndham DaNang Golden Bay</v>
      </c>
      <c r="AB68" s="1" t="str">
        <f ca="1">IFERROR(__xludf.DUMMYFUNCTION("""COMPUTED_VALUE"""),"Nhà hàng")</f>
        <v>Nhà hàng</v>
      </c>
      <c r="AC68" s="1"/>
      <c r="AD68" s="1" t="str">
        <f ca="1">IFERROR(__xludf.DUMMYFUNCTION("""COMPUTED_VALUE"""),"sv phải đám bảo ko quá 5sv/nhà hàng")</f>
        <v>sv phải đám bảo ko quá 5sv/nhà hàng</v>
      </c>
      <c r="AE68" s="1" t="str">
        <f ca="1">IFERROR(__xludf.DUMMYFUNCTION("""COMPUTED_VALUE"""),"")</f>
        <v/>
      </c>
    </row>
    <row r="69" spans="1:31" x14ac:dyDescent="0.2">
      <c r="A69" s="6">
        <f ca="1">IFERROR(__xludf.DUMMYFUNCTION("""COMPUTED_VALUE"""),45677.4385393634)</f>
        <v>45677.4385393634</v>
      </c>
      <c r="B69" s="1"/>
      <c r="C69" s="1">
        <f ca="1">IFERROR(__xludf.DUMMYFUNCTION("""COMPUTED_VALUE"""),27207125399)</f>
        <v>27207125399</v>
      </c>
      <c r="D69" s="1" t="str">
        <f ca="1">IFERROR(__xludf.DUMMYFUNCTION("""COMPUTED_VALUE"""),"Nguyễn Thị Thuỳ Duyên")</f>
        <v>Nguyễn Thị Thuỳ Duyên</v>
      </c>
      <c r="E69" s="4"/>
      <c r="F69" s="1" t="str">
        <f ca="1">IFERROR(__xludf.DUMMYFUNCTION("""COMPUTED_VALUE"""),"K27DLK 4")</f>
        <v>K27DLK 4</v>
      </c>
      <c r="G69" s="1" t="str">
        <f ca="1">IFERROR(__xludf.DUMMYFUNCTION("""COMPUTED_VALUE"""),"Quản trị Du lịch &amp; Khách sạn")</f>
        <v>Quản trị Du lịch &amp; Khách sạn</v>
      </c>
      <c r="H69" s="1">
        <f ca="1">IFERROR(__xludf.DUMMYFUNCTION("""COMPUTED_VALUE"""),27)</f>
        <v>27</v>
      </c>
      <c r="I69" s="1"/>
      <c r="J69" s="1" t="str">
        <f ca="1">IFERROR(__xludf.DUMMYFUNCTION("""COMPUTED_VALUE"""),"Chuyên đề")</f>
        <v>Chuyên đề</v>
      </c>
      <c r="K69" s="1" t="str">
        <f ca="1">IFERROR(__xludf.DUMMYFUNCTION("""COMPUTED_VALUE"""),"Rosamia Da Nang Hotel")</f>
        <v>Rosamia Da Nang Hotel</v>
      </c>
      <c r="L69" s="1" t="str">
        <f ca="1">IFERROR(__xludf.DUMMYFUNCTION("""COMPUTED_VALUE"""),"Rosamia Da Nang Hotel")</f>
        <v>Rosamia Da Nang Hotel</v>
      </c>
      <c r="M69" s="1" t="str">
        <f ca="1">IFERROR(__xludf.DUMMYFUNCTION("""COMPUTED_VALUE"""),"282 Võ Nguyên Giáp, phường Mỹ An, quận Ngũ Hành Sơn, tp Đà Nẵng")</f>
        <v>282 Võ Nguyên Giáp, phường Mỹ An, quận Ngũ Hành Sơn, tp Đà Nẵng</v>
      </c>
      <c r="N69" s="1" t="str">
        <f ca="1">IFERROR(__xludf.DUMMYFUNCTION("""COMPUTED_VALUE"""),"Thành phố Đà Nẵng")</f>
        <v>Thành phố Đà Nẵng</v>
      </c>
      <c r="O69" s="1" t="str">
        <f ca="1">IFERROR(__xludf.DUMMYFUNCTION("""COMPUTED_VALUE"""),"Buồng phòng")</f>
        <v>Buồng phòng</v>
      </c>
      <c r="P69" s="1"/>
      <c r="Q69" s="1" t="str">
        <f ca="1">IFERROR(__xludf.DUMMYFUNCTION("""COMPUTED_VALUE"""),"21/1/2025")</f>
        <v>21/1/2025</v>
      </c>
      <c r="R69" s="1" t="str">
        <f ca="1">IFERROR(__xludf.DUMMYFUNCTION("""COMPUTED_VALUE"""),"cam kết")</f>
        <v>cam kết</v>
      </c>
      <c r="S69" s="1" t="str">
        <f ca="1">IFERROR(__xludf.DUMMYFUNCTION("""COMPUTED_VALUE"""),"Chuyên đề")</f>
        <v>Chuyên đề</v>
      </c>
      <c r="T69" s="1"/>
      <c r="U69" s="4">
        <f ca="1">IFERROR(__xludf.DUMMYFUNCTION("""COMPUTED_VALUE"""),45698)</f>
        <v>45698</v>
      </c>
      <c r="V69" s="4">
        <f ca="1">IFERROR(__xludf.DUMMYFUNCTION("""COMPUTED_VALUE"""),45787)</f>
        <v>45787</v>
      </c>
      <c r="W69" s="1">
        <f ca="1">IFERROR(__xludf.DUMMYFUNCTION("""COMPUTED_VALUE"""),68)</f>
        <v>68</v>
      </c>
      <c r="X69" s="1" t="str">
        <f ca="1">IFERROR(__xludf.DUMMYFUNCTION("""COMPUTED_VALUE"""),"21/01/2025")</f>
        <v>21/01/2025</v>
      </c>
      <c r="Y69" s="1" t="str">
        <f ca="1">IFERROR(__xludf.DUMMYFUNCTION("""COMPUTED_VALUE"""),"DUYỆT")</f>
        <v>DUYỆT</v>
      </c>
      <c r="Z69" s="1" t="str">
        <f ca="1">IFERROR(__xludf.DUMMYFUNCTION("""COMPUTED_VALUE"""),"21/01/2025")</f>
        <v>21/01/2025</v>
      </c>
      <c r="AA69" s="1" t="str">
        <f ca="1">IFERROR(__xludf.DUMMYFUNCTION("""COMPUTED_VALUE"""),"Rosamia Da Nang Hotel")</f>
        <v>Rosamia Da Nang Hotel</v>
      </c>
      <c r="AB69" s="1" t="str">
        <f ca="1">IFERROR(__xludf.DUMMYFUNCTION("""COMPUTED_VALUE"""),"Buồng phòng")</f>
        <v>Buồng phòng</v>
      </c>
      <c r="AC69" s="1"/>
      <c r="AD69" s="1"/>
      <c r="AE69" s="1" t="str">
        <f ca="1">IFERROR(__xludf.DUMMYFUNCTION("""COMPUTED_VALUE"""),"")</f>
        <v/>
      </c>
    </row>
    <row r="70" spans="1:31" x14ac:dyDescent="0.2">
      <c r="A70" s="6">
        <f ca="1">IFERROR(__xludf.DUMMYFUNCTION("""COMPUTED_VALUE"""),45672.7814523495)</f>
        <v>45672.781452349504</v>
      </c>
      <c r="B70" s="1"/>
      <c r="C70" s="1">
        <f ca="1">IFERROR(__xludf.DUMMYFUNCTION("""COMPUTED_VALUE"""),27207152556)</f>
        <v>27207152556</v>
      </c>
      <c r="D70" s="1" t="str">
        <f ca="1">IFERROR(__xludf.DUMMYFUNCTION("""COMPUTED_VALUE"""),"Võ Thị Cúc")</f>
        <v>Võ Thị Cúc</v>
      </c>
      <c r="E70" s="4"/>
      <c r="F70" s="1" t="str">
        <f ca="1">IFERROR(__xludf.DUMMYFUNCTION("""COMPUTED_VALUE"""),"K27DLK7")</f>
        <v>K27DLK7</v>
      </c>
      <c r="G70" s="1" t="str">
        <f ca="1">IFERROR(__xludf.DUMMYFUNCTION("""COMPUTED_VALUE"""),"Quản trị Du lịch &amp; Khách sạn")</f>
        <v>Quản trị Du lịch &amp; Khách sạn</v>
      </c>
      <c r="H70" s="1">
        <f ca="1">IFERROR(__xludf.DUMMYFUNCTION("""COMPUTED_VALUE"""),27)</f>
        <v>27</v>
      </c>
      <c r="I70" s="1"/>
      <c r="J70" s="1" t="str">
        <f ca="1">IFERROR(__xludf.DUMMYFUNCTION("""COMPUTED_VALUE"""),"Chuyên đề")</f>
        <v>Chuyên đề</v>
      </c>
      <c r="K70" s="1" t="str">
        <f ca="1">IFERROR(__xludf.DUMMYFUNCTION("""COMPUTED_VALUE"""),"Canvas Danang Beach Hotel")</f>
        <v>Canvas Danang Beach Hotel</v>
      </c>
      <c r="L70" s="1" t="str">
        <f ca="1">IFERROR(__xludf.DUMMYFUNCTION("""COMPUTED_VALUE"""),"Canvas Danang Beach Hotel")</f>
        <v>Canvas Danang Beach Hotel</v>
      </c>
      <c r="M70" s="1" t="str">
        <f ca="1">IFERROR(__xludf.DUMMYFUNCTION("""COMPUTED_VALUE"""),"234 Võ Nguyên Giáp, Sơn Trà, Đà Nẵng")</f>
        <v>234 Võ Nguyên Giáp, Sơn Trà, Đà Nẵng</v>
      </c>
      <c r="N70" s="1" t="str">
        <f ca="1">IFERROR(__xludf.DUMMYFUNCTION("""COMPUTED_VALUE"""),"Đà Nẵng")</f>
        <v>Đà Nẵng</v>
      </c>
      <c r="O70" s="1" t="str">
        <f ca="1">IFERROR(__xludf.DUMMYFUNCTION("""COMPUTED_VALUE"""),"Tiền sảnh")</f>
        <v>Tiền sảnh</v>
      </c>
      <c r="P70" s="1"/>
      <c r="Q70" s="1" t="str">
        <f ca="1">IFERROR(__xludf.DUMMYFUNCTION("""COMPUTED_VALUE"""),"15/01/2025")</f>
        <v>15/01/2025</v>
      </c>
      <c r="R70" s="1" t="str">
        <f ca="1">IFERROR(__xludf.DUMMYFUNCTION("""COMPUTED_VALUE"""),"cam kết")</f>
        <v>cam kết</v>
      </c>
      <c r="S70" s="1" t="str">
        <f ca="1">IFERROR(__xludf.DUMMYFUNCTION("""COMPUTED_VALUE"""),"Chuyên đề")</f>
        <v>Chuyên đề</v>
      </c>
      <c r="T70" s="1"/>
      <c r="U70" s="4">
        <f ca="1">IFERROR(__xludf.DUMMYFUNCTION("""COMPUTED_VALUE"""),45670)</f>
        <v>45670</v>
      </c>
      <c r="V70" s="4">
        <f ca="1">IFERROR(__xludf.DUMMYFUNCTION("""COMPUTED_VALUE"""),45760)</f>
        <v>45760</v>
      </c>
      <c r="W70" s="1">
        <f ca="1">IFERROR(__xludf.DUMMYFUNCTION("""COMPUTED_VALUE"""),69)</f>
        <v>69</v>
      </c>
      <c r="X70" s="1" t="str">
        <f ca="1">IFERROR(__xludf.DUMMYFUNCTION("""COMPUTED_VALUE"""),"17/01/2025")</f>
        <v>17/01/2025</v>
      </c>
      <c r="Y70" s="1" t="str">
        <f ca="1">IFERROR(__xludf.DUMMYFUNCTION("""COMPUTED_VALUE"""),"DUYỆT")</f>
        <v>DUYỆT</v>
      </c>
      <c r="Z70" s="1" t="str">
        <f ca="1">IFERROR(__xludf.DUMMYFUNCTION("""COMPUTED_VALUE"""),"18/01/2025")</f>
        <v>18/01/2025</v>
      </c>
      <c r="AA70" s="1" t="str">
        <f ca="1">IFERROR(__xludf.DUMMYFUNCTION("""COMPUTED_VALUE"""),"Canvas Danang Beach Hotel")</f>
        <v>Canvas Danang Beach Hotel</v>
      </c>
      <c r="AB70" s="1" t="str">
        <f ca="1">IFERROR(__xludf.DUMMYFUNCTION("""COMPUTED_VALUE"""),"Tiền sảnh")</f>
        <v>Tiền sảnh</v>
      </c>
      <c r="AC70" s="1"/>
      <c r="AD70" s="1"/>
      <c r="AE70" s="1" t="str">
        <f ca="1">IFERROR(__xludf.DUMMYFUNCTION("""COMPUTED_VALUE"""),"")</f>
        <v/>
      </c>
    </row>
    <row r="71" spans="1:31" x14ac:dyDescent="0.2">
      <c r="A71" s="6">
        <f ca="1">IFERROR(__xludf.DUMMYFUNCTION("""COMPUTED_VALUE"""),45672.9396150463)</f>
        <v>45672.9396150463</v>
      </c>
      <c r="B71" s="1"/>
      <c r="C71" s="1">
        <f ca="1">IFERROR(__xludf.DUMMYFUNCTION("""COMPUTED_VALUE"""),27217140882)</f>
        <v>27217140882</v>
      </c>
      <c r="D71" s="1" t="str">
        <f ca="1">IFERROR(__xludf.DUMMYFUNCTION("""COMPUTED_VALUE"""),"Nguyễn Ngọc Thạch")</f>
        <v>Nguyễn Ngọc Thạch</v>
      </c>
      <c r="E71" s="4"/>
      <c r="F71" s="1" t="str">
        <f ca="1">IFERROR(__xludf.DUMMYFUNCTION("""COMPUTED_VALUE"""),"K27PSUDLH")</f>
        <v>K27PSUDLH</v>
      </c>
      <c r="G71" s="1" t="str">
        <f ca="1">IFERROR(__xludf.DUMMYFUNCTION("""COMPUTED_VALUE"""),"Quản trị Du lịch &amp; Nhà hàng chuẩn PSU")</f>
        <v>Quản trị Du lịch &amp; Nhà hàng chuẩn PSU</v>
      </c>
      <c r="H71" s="1">
        <f ca="1">IFERROR(__xludf.DUMMYFUNCTION("""COMPUTED_VALUE"""),27)</f>
        <v>27</v>
      </c>
      <c r="I71" s="1"/>
      <c r="J71" s="1" t="str">
        <f ca="1">IFERROR(__xludf.DUMMYFUNCTION("""COMPUTED_VALUE"""),"Khóa luận")</f>
        <v>Khóa luận</v>
      </c>
      <c r="K71" s="1" t="str">
        <f ca="1">IFERROR(__xludf.DUMMYFUNCTION("""COMPUTED_VALUE"""),"Meliá Danang Beach Resort")</f>
        <v>Meliá Danang Beach Resort</v>
      </c>
      <c r="L71" s="1" t="str">
        <f ca="1">IFERROR(__xludf.DUMMYFUNCTION("""COMPUTED_VALUE"""),"Meliá Danang Beach Resort")</f>
        <v>Meliá Danang Beach Resort</v>
      </c>
      <c r="M71" s="1" t="str">
        <f ca="1">IFERROR(__xludf.DUMMYFUNCTION("""COMPUTED_VALUE"""),"19 Trường Sa, Hoà Hải, Ngũ Hành Sơn, Đà Nẵng")</f>
        <v>19 Trường Sa, Hoà Hải, Ngũ Hành Sơn, Đà Nẵng</v>
      </c>
      <c r="N71" s="1" t="str">
        <f ca="1">IFERROR(__xludf.DUMMYFUNCTION("""COMPUTED_VALUE"""),"Đà Nẵng")</f>
        <v>Đà Nẵng</v>
      </c>
      <c r="O71" s="1" t="str">
        <f ca="1">IFERROR(__xludf.DUMMYFUNCTION("""COMPUTED_VALUE"""),"Bếp")</f>
        <v>Bếp</v>
      </c>
      <c r="P71" s="1"/>
      <c r="Q71" s="1" t="str">
        <f ca="1">IFERROR(__xludf.DUMMYFUNCTION("""COMPUTED_VALUE"""),"17/1/2025")</f>
        <v>17/1/2025</v>
      </c>
      <c r="R71" s="1" t="str">
        <f ca="1">IFERROR(__xludf.DUMMYFUNCTION("""COMPUTED_VALUE"""),"cam kết")</f>
        <v>cam kết</v>
      </c>
      <c r="S71" s="1" t="str">
        <f ca="1">IFERROR(__xludf.DUMMYFUNCTION("""COMPUTED_VALUE"""),"Khóa luận")</f>
        <v>Khóa luận</v>
      </c>
      <c r="T71" s="1" t="str">
        <f ca="1">IFERROR(__xludf.DUMMYFUNCTION("""COMPUTED_VALUE"""),"Mai Thị Thương")</f>
        <v>Mai Thị Thương</v>
      </c>
      <c r="U71" s="4">
        <f ca="1">IFERROR(__xludf.DUMMYFUNCTION("""COMPUTED_VALUE"""),45698)</f>
        <v>45698</v>
      </c>
      <c r="V71" s="4">
        <f ca="1">IFERROR(__xludf.DUMMYFUNCTION("""COMPUTED_VALUE"""),45787)</f>
        <v>45787</v>
      </c>
      <c r="W71" s="1">
        <f ca="1">IFERROR(__xludf.DUMMYFUNCTION("""COMPUTED_VALUE"""),70)</f>
        <v>70</v>
      </c>
      <c r="X71" s="1" t="str">
        <f ca="1">IFERROR(__xludf.DUMMYFUNCTION("""COMPUTED_VALUE"""),"18/01/2025")</f>
        <v>18/01/2025</v>
      </c>
      <c r="Y71" s="1" t="str">
        <f ca="1">IFERROR(__xludf.DUMMYFUNCTION("""COMPUTED_VALUE"""),"DUYỆT")</f>
        <v>DUYỆT</v>
      </c>
      <c r="Z71" s="1" t="str">
        <f ca="1">IFERROR(__xludf.DUMMYFUNCTION("""COMPUTED_VALUE"""),"18/01/2025")</f>
        <v>18/01/2025</v>
      </c>
      <c r="AA71" s="1" t="str">
        <f ca="1">IFERROR(__xludf.DUMMYFUNCTION("""COMPUTED_VALUE"""),"Meliá Danang Beach Resort")</f>
        <v>Meliá Danang Beach Resort</v>
      </c>
      <c r="AB71" s="1" t="str">
        <f ca="1">IFERROR(__xludf.DUMMYFUNCTION("""COMPUTED_VALUE"""),"Bếp")</f>
        <v>Bếp</v>
      </c>
      <c r="AC71" s="1"/>
      <c r="AD71" s="1" t="str">
        <f ca="1">IFERROR(__xludf.DUMMYFUNCTION("""COMPUTED_VALUE"""),"Phiếu tiếp nhận chưa có lãnh đạo ký")</f>
        <v>Phiếu tiếp nhận chưa có lãnh đạo ký</v>
      </c>
      <c r="AE71" s="1" t="str">
        <f ca="1">IFERROR(__xludf.DUMMYFUNCTION("""COMPUTED_VALUE"""),"")</f>
        <v/>
      </c>
    </row>
    <row r="72" spans="1:31" x14ac:dyDescent="0.2">
      <c r="A72" s="6">
        <f ca="1">IFERROR(__xludf.DUMMYFUNCTION("""COMPUTED_VALUE"""),45673.5153389699)</f>
        <v>45673.515338969897</v>
      </c>
      <c r="B72" s="1"/>
      <c r="C72" s="1">
        <f ca="1">IFERROR(__xludf.DUMMYFUNCTION("""COMPUTED_VALUE"""),27207152986)</f>
        <v>27207152986</v>
      </c>
      <c r="D72" s="1" t="str">
        <f ca="1">IFERROR(__xludf.DUMMYFUNCTION("""COMPUTED_VALUE"""),"Ngô Thị Thanh Tâm")</f>
        <v>Ngô Thị Thanh Tâm</v>
      </c>
      <c r="E72" s="4"/>
      <c r="F72" s="1" t="str">
        <f ca="1">IFERROR(__xludf.DUMMYFUNCTION("""COMPUTED_VALUE"""),"K27DLK 6")</f>
        <v>K27DLK 6</v>
      </c>
      <c r="G72" s="1" t="str">
        <f ca="1">IFERROR(__xludf.DUMMYFUNCTION("""COMPUTED_VALUE"""),"Quản trị Du lịch &amp; Khách sạn")</f>
        <v>Quản trị Du lịch &amp; Khách sạn</v>
      </c>
      <c r="H72" s="1">
        <f ca="1">IFERROR(__xludf.DUMMYFUNCTION("""COMPUTED_VALUE"""),27)</f>
        <v>27</v>
      </c>
      <c r="I72" s="1"/>
      <c r="J72" s="1" t="str">
        <f ca="1">IFERROR(__xludf.DUMMYFUNCTION("""COMPUTED_VALUE"""),"Chuyên đề")</f>
        <v>Chuyên đề</v>
      </c>
      <c r="K72" s="1" t="str">
        <f ca="1">IFERROR(__xludf.DUMMYFUNCTION("""COMPUTED_VALUE"""),"Hilton Garden Inn Danang")</f>
        <v>Hilton Garden Inn Danang</v>
      </c>
      <c r="L72" s="1" t="str">
        <f ca="1">IFERROR(__xludf.DUMMYFUNCTION("""COMPUTED_VALUE"""),"Hilton Garden Inn Đà Nẵng")</f>
        <v>Hilton Garden Inn Đà Nẵng</v>
      </c>
      <c r="M72" s="1" t="str">
        <f ca="1">IFERROR(__xludf.DUMMYFUNCTION("""COMPUTED_VALUE"""),"96 Võ Nguyên Giáp, Phường Mân Thái, Quận Sơn Trà, Đà Nẵng")</f>
        <v>96 Võ Nguyên Giáp, Phường Mân Thái, Quận Sơn Trà, Đà Nẵng</v>
      </c>
      <c r="N72" s="1" t="str">
        <f ca="1">IFERROR(__xludf.DUMMYFUNCTION("""COMPUTED_VALUE"""),"Đà Nẵng")</f>
        <v>Đà Nẵng</v>
      </c>
      <c r="O72" s="1" t="str">
        <f ca="1">IFERROR(__xludf.DUMMYFUNCTION("""COMPUTED_VALUE"""),"Nhà hàng")</f>
        <v>Nhà hàng</v>
      </c>
      <c r="P72" s="1"/>
      <c r="Q72" s="1" t="str">
        <f ca="1">IFERROR(__xludf.DUMMYFUNCTION("""COMPUTED_VALUE"""),"20/1/2025")</f>
        <v>20/1/2025</v>
      </c>
      <c r="R72" s="1" t="str">
        <f ca="1">IFERROR(__xludf.DUMMYFUNCTION("""COMPUTED_VALUE"""),"cam kết")</f>
        <v>cam kết</v>
      </c>
      <c r="S72" s="1" t="str">
        <f ca="1">IFERROR(__xludf.DUMMYFUNCTION("""COMPUTED_VALUE"""),"Chuyên đề")</f>
        <v>Chuyên đề</v>
      </c>
      <c r="T72" s="1"/>
      <c r="U72" s="4">
        <f ca="1">IFERROR(__xludf.DUMMYFUNCTION("""COMPUTED_VALUE"""),45698)</f>
        <v>45698</v>
      </c>
      <c r="V72" s="4">
        <f ca="1">IFERROR(__xludf.DUMMYFUNCTION("""COMPUTED_VALUE"""),45787)</f>
        <v>45787</v>
      </c>
      <c r="W72" s="1">
        <f ca="1">IFERROR(__xludf.DUMMYFUNCTION("""COMPUTED_VALUE"""),71)</f>
        <v>71</v>
      </c>
      <c r="X72" s="1" t="str">
        <f ca="1">IFERROR(__xludf.DUMMYFUNCTION("""COMPUTED_VALUE"""),"21/01/2025")</f>
        <v>21/01/2025</v>
      </c>
      <c r="Y72" s="1" t="str">
        <f ca="1">IFERROR(__xludf.DUMMYFUNCTION("""COMPUTED_VALUE"""),"DUYỆT")</f>
        <v>DUYỆT</v>
      </c>
      <c r="Z72" s="1" t="str">
        <f ca="1">IFERROR(__xludf.DUMMYFUNCTION("""COMPUTED_VALUE"""),"18/01/2025")</f>
        <v>18/01/2025</v>
      </c>
      <c r="AA72" s="1" t="str">
        <f ca="1">IFERROR(__xludf.DUMMYFUNCTION("""COMPUTED_VALUE"""),"Hilton Garden Inn Danang")</f>
        <v>Hilton Garden Inn Danang</v>
      </c>
      <c r="AB72" s="1" t="str">
        <f ca="1">IFERROR(__xludf.DUMMYFUNCTION("""COMPUTED_VALUE"""),"Nhà hàng")</f>
        <v>Nhà hàng</v>
      </c>
      <c r="AC72" s="1"/>
      <c r="AD72" s="1"/>
      <c r="AE72" s="1" t="str">
        <f ca="1">IFERROR(__xludf.DUMMYFUNCTION("""COMPUTED_VALUE"""),"")</f>
        <v/>
      </c>
    </row>
    <row r="73" spans="1:31" x14ac:dyDescent="0.2">
      <c r="A73" s="6">
        <f ca="1">IFERROR(__xludf.DUMMYFUNCTION("""COMPUTED_VALUE"""),45673.5574367129)</f>
        <v>45673.557436712901</v>
      </c>
      <c r="B73" s="1"/>
      <c r="C73" s="1">
        <f ca="1">IFERROR(__xludf.DUMMYFUNCTION("""COMPUTED_VALUE"""),27207152388)</f>
        <v>27207152388</v>
      </c>
      <c r="D73" s="1" t="str">
        <f ca="1">IFERROR(__xludf.DUMMYFUNCTION("""COMPUTED_VALUE"""),"Ngô Thị Phương Thảo")</f>
        <v>Ngô Thị Phương Thảo</v>
      </c>
      <c r="E73" s="4"/>
      <c r="F73" s="1" t="str">
        <f ca="1">IFERROR(__xludf.DUMMYFUNCTION("""COMPUTED_VALUE"""),"K27PSU-DLK1")</f>
        <v>K27PSU-DLK1</v>
      </c>
      <c r="G73" s="1" t="str">
        <f ca="1">IFERROR(__xludf.DUMMYFUNCTION("""COMPUTED_VALUE"""),"Quản trị Du lịch &amp; Khách sạn chuẩn PSU")</f>
        <v>Quản trị Du lịch &amp; Khách sạn chuẩn PSU</v>
      </c>
      <c r="H73" s="1">
        <f ca="1">IFERROR(__xludf.DUMMYFUNCTION("""COMPUTED_VALUE"""),27)</f>
        <v>27</v>
      </c>
      <c r="I73" s="1"/>
      <c r="J73" s="1" t="str">
        <f ca="1">IFERROR(__xludf.DUMMYFUNCTION("""COMPUTED_VALUE"""),"Khóa luận")</f>
        <v>Khóa luận</v>
      </c>
      <c r="K73" s="1" t="str">
        <f ca="1">IFERROR(__xludf.DUMMYFUNCTION("""COMPUTED_VALUE"""),"Hyatt regency DaNang Resort")</f>
        <v>Hyatt regency DaNang Resort</v>
      </c>
      <c r="L73" s="1"/>
      <c r="M73" s="1" t="str">
        <f ca="1">IFERROR(__xludf.DUMMYFUNCTION("""COMPUTED_VALUE"""),"05 Trường Sa, Hòa Hải, Ngũ Hành Sơn, Đà Nẵng")</f>
        <v>05 Trường Sa, Hòa Hải, Ngũ Hành Sơn, Đà Nẵng</v>
      </c>
      <c r="N73" s="1" t="str">
        <f ca="1">IFERROR(__xludf.DUMMYFUNCTION("""COMPUTED_VALUE"""),"Đà Nẵng")</f>
        <v>Đà Nẵng</v>
      </c>
      <c r="O73" s="1" t="str">
        <f ca="1">IFERROR(__xludf.DUMMYFUNCTION("""COMPUTED_VALUE"""),"Nhà hàng")</f>
        <v>Nhà hàng</v>
      </c>
      <c r="P73" s="1"/>
      <c r="Q73" s="1" t="str">
        <f ca="1">IFERROR(__xludf.DUMMYFUNCTION("""COMPUTED_VALUE"""),"16/01/2025")</f>
        <v>16/01/2025</v>
      </c>
      <c r="R73" s="1" t="str">
        <f ca="1">IFERROR(__xludf.DUMMYFUNCTION("""COMPUTED_VALUE"""),"cam kết")</f>
        <v>cam kết</v>
      </c>
      <c r="S73" s="1" t="str">
        <f ca="1">IFERROR(__xludf.DUMMYFUNCTION("""COMPUTED_VALUE"""),"Khóa luận")</f>
        <v>Khóa luận</v>
      </c>
      <c r="T73" s="1" t="str">
        <f ca="1">IFERROR(__xludf.DUMMYFUNCTION("""COMPUTED_VALUE"""),"Hồ Sử Minh Tài")</f>
        <v>Hồ Sử Minh Tài</v>
      </c>
      <c r="U73" s="4">
        <f ca="1">IFERROR(__xludf.DUMMYFUNCTION("""COMPUTED_VALUE"""),45691)</f>
        <v>45691</v>
      </c>
      <c r="V73" s="4">
        <f ca="1">IFERROR(__xludf.DUMMYFUNCTION("""COMPUTED_VALUE"""),45780)</f>
        <v>45780</v>
      </c>
      <c r="W73" s="1">
        <f ca="1">IFERROR(__xludf.DUMMYFUNCTION("""COMPUTED_VALUE"""),72)</f>
        <v>72</v>
      </c>
      <c r="X73" s="1" t="str">
        <f ca="1">IFERROR(__xludf.DUMMYFUNCTION("""COMPUTED_VALUE"""),"18/01/2025")</f>
        <v>18/01/2025</v>
      </c>
      <c r="Y73" s="1" t="str">
        <f ca="1">IFERROR(__xludf.DUMMYFUNCTION("""COMPUTED_VALUE"""),"DUYỆT")</f>
        <v>DUYỆT</v>
      </c>
      <c r="Z73" s="1" t="str">
        <f ca="1">IFERROR(__xludf.DUMMYFUNCTION("""COMPUTED_VALUE"""),"18/01/2025")</f>
        <v>18/01/2025</v>
      </c>
      <c r="AA73" s="1" t="str">
        <f ca="1">IFERROR(__xludf.DUMMYFUNCTION("""COMPUTED_VALUE"""),"Hyatt regency DaNang Resort")</f>
        <v>Hyatt regency DaNang Resort</v>
      </c>
      <c r="AB73" s="1" t="str">
        <f ca="1">IFERROR(__xludf.DUMMYFUNCTION("""COMPUTED_VALUE"""),"Nhà hàng")</f>
        <v>Nhà hàng</v>
      </c>
      <c r="AC73" s="1"/>
      <c r="AD73" s="1" t="str">
        <f ca="1">IFERROR(__xludf.DUMMYFUNCTION("""COMPUTED_VALUE"""),"SV phải đảm bảo không thực tập quá 5sv/nhà hàng")</f>
        <v>SV phải đảm bảo không thực tập quá 5sv/nhà hàng</v>
      </c>
      <c r="AE73" s="1" t="str">
        <f ca="1">IFERROR(__xludf.DUMMYFUNCTION("""COMPUTED_VALUE"""),"")</f>
        <v/>
      </c>
    </row>
    <row r="74" spans="1:31" x14ac:dyDescent="0.2">
      <c r="A74" s="6">
        <f ca="1">IFERROR(__xludf.DUMMYFUNCTION("""COMPUTED_VALUE"""),45698.8330425)</f>
        <v>45698.833042500002</v>
      </c>
      <c r="B74" s="1"/>
      <c r="C74" s="1">
        <f ca="1">IFERROR(__xludf.DUMMYFUNCTION("""COMPUTED_VALUE"""),27207130518)</f>
        <v>27207130518</v>
      </c>
      <c r="D74" s="1" t="str">
        <f ca="1">IFERROR(__xludf.DUMMYFUNCTION("""COMPUTED_VALUE"""),"Lê Thị Thu Ny ")</f>
        <v xml:space="preserve">Lê Thị Thu Ny </v>
      </c>
      <c r="E74" s="4"/>
      <c r="F74" s="1" t="str">
        <f ca="1">IFERROR(__xludf.DUMMYFUNCTION("""COMPUTED_VALUE"""),"K27PSU DLK 1 ")</f>
        <v xml:space="preserve">K27PSU DLK 1 </v>
      </c>
      <c r="G74" s="1" t="str">
        <f ca="1">IFERROR(__xludf.DUMMYFUNCTION("""COMPUTED_VALUE"""),"Quản trị Du lịch &amp; Khách sạn chuẩn PSU")</f>
        <v>Quản trị Du lịch &amp; Khách sạn chuẩn PSU</v>
      </c>
      <c r="H74" s="1">
        <f ca="1">IFERROR(__xludf.DUMMYFUNCTION("""COMPUTED_VALUE"""),27)</f>
        <v>27</v>
      </c>
      <c r="I74" s="1"/>
      <c r="J74" s="1" t="str">
        <f ca="1">IFERROR(__xludf.DUMMYFUNCTION("""COMPUTED_VALUE"""),"Khóa luận")</f>
        <v>Khóa luận</v>
      </c>
      <c r="K74" s="1" t="str">
        <f ca="1">IFERROR(__xludf.DUMMYFUNCTION("""COMPUTED_VALUE"""),"Hyatt regency DaNang Resort")</f>
        <v>Hyatt regency DaNang Resort</v>
      </c>
      <c r="L74" s="1"/>
      <c r="M74" s="1" t="str">
        <f ca="1">IFERROR(__xludf.DUMMYFUNCTION("""COMPUTED_VALUE"""),"05 Trường Sa, Hoà Hải, Ngũ Hành Sơn, Đà Nẵng ")</f>
        <v xml:space="preserve">05 Trường Sa, Hoà Hải, Ngũ Hành Sơn, Đà Nẵng </v>
      </c>
      <c r="N74" s="1" t="str">
        <f ca="1">IFERROR(__xludf.DUMMYFUNCTION("""COMPUTED_VALUE"""),"Đà Nẵng ")</f>
        <v xml:space="preserve">Đà Nẵng </v>
      </c>
      <c r="O74" s="1" t="str">
        <f ca="1">IFERROR(__xludf.DUMMYFUNCTION("""COMPUTED_VALUE"""),"Nhà hàng")</f>
        <v>Nhà hàng</v>
      </c>
      <c r="P74" s="1"/>
      <c r="Q74" s="1" t="str">
        <f ca="1">IFERROR(__xludf.DUMMYFUNCTION("""COMPUTED_VALUE"""),"16/01/2025 ")</f>
        <v xml:space="preserve">16/01/2025 </v>
      </c>
      <c r="R74" s="1" t="str">
        <f ca="1">IFERROR(__xludf.DUMMYFUNCTION("""COMPUTED_VALUE"""),"cam kết")</f>
        <v>cam kết</v>
      </c>
      <c r="S74" s="1" t="str">
        <f ca="1">IFERROR(__xludf.DUMMYFUNCTION("""COMPUTED_VALUE"""),"Chuyên đề")</f>
        <v>Chuyên đề</v>
      </c>
      <c r="T74" s="1" t="str">
        <f ca="1">IFERROR(__xludf.DUMMYFUNCTION("""COMPUTED_VALUE"""),"Hồ Sử Minh Tài")</f>
        <v>Hồ Sử Minh Tài</v>
      </c>
      <c r="U74" s="4">
        <f ca="1">IFERROR(__xludf.DUMMYFUNCTION("""COMPUTED_VALUE"""),45677)</f>
        <v>45677</v>
      </c>
      <c r="V74" s="4">
        <f ca="1">IFERROR(__xludf.DUMMYFUNCTION("""COMPUTED_VALUE"""),45767)</f>
        <v>45767</v>
      </c>
      <c r="W74" s="1">
        <f ca="1">IFERROR(__xludf.DUMMYFUNCTION("""COMPUTED_VALUE"""),73)</f>
        <v>73</v>
      </c>
      <c r="X74" s="1" t="str">
        <f ca="1">IFERROR(__xludf.DUMMYFUNCTION("""COMPUTED_VALUE"""),"18/01/2025")</f>
        <v>18/01/2025</v>
      </c>
      <c r="Y74" s="1" t="str">
        <f ca="1">IFERROR(__xludf.DUMMYFUNCTION("""COMPUTED_VALUE"""),"DUYỆT")</f>
        <v>DUYỆT</v>
      </c>
      <c r="Z74" s="1" t="str">
        <f ca="1">IFERROR(__xludf.DUMMYFUNCTION("""COMPUTED_VALUE"""),"18/01/2025")</f>
        <v>18/01/2025</v>
      </c>
      <c r="AA74" s="1" t="str">
        <f ca="1">IFERROR(__xludf.DUMMYFUNCTION("""COMPUTED_VALUE"""),"Hyatt regency DaNang Resort")</f>
        <v>Hyatt regency DaNang Resort</v>
      </c>
      <c r="AB74" s="1" t="str">
        <f ca="1">IFERROR(__xludf.DUMMYFUNCTION("""COMPUTED_VALUE"""),"Nhà hàng")</f>
        <v>Nhà hàng</v>
      </c>
      <c r="AC74" s="1"/>
      <c r="AD74" s="1" t="str">
        <f ca="1">IFERROR(__xludf.DUMMYFUNCTION("""COMPUTED_VALUE"""),"SV phải đảm bảo không thực tập quá 5sv/nhà hàng")</f>
        <v>SV phải đảm bảo không thực tập quá 5sv/nhà hàng</v>
      </c>
      <c r="AE74" s="1" t="str">
        <f ca="1">IFERROR(__xludf.DUMMYFUNCTION("""COMPUTED_VALUE"""),"")</f>
        <v/>
      </c>
    </row>
    <row r="75" spans="1:31" x14ac:dyDescent="0.2">
      <c r="A75" s="6">
        <f ca="1">IFERROR(__xludf.DUMMYFUNCTION("""COMPUTED_VALUE"""),45673.6732616088)</f>
        <v>45673.673261608797</v>
      </c>
      <c r="B75" s="1"/>
      <c r="C75" s="1">
        <f ca="1">IFERROR(__xludf.DUMMYFUNCTION("""COMPUTED_VALUE"""),27217142556)</f>
        <v>27217142556</v>
      </c>
      <c r="D75" s="1" t="str">
        <f ca="1">IFERROR(__xludf.DUMMYFUNCTION("""COMPUTED_VALUE"""),"Trần Thu Phương")</f>
        <v>Trần Thu Phương</v>
      </c>
      <c r="E75" s="4"/>
      <c r="F75" s="1" t="str">
        <f ca="1">IFERROR(__xludf.DUMMYFUNCTION("""COMPUTED_VALUE"""),"K27DLK5")</f>
        <v>K27DLK5</v>
      </c>
      <c r="G75" s="1" t="str">
        <f ca="1">IFERROR(__xludf.DUMMYFUNCTION("""COMPUTED_VALUE"""),"Quản trị Du lịch &amp; Khách sạn")</f>
        <v>Quản trị Du lịch &amp; Khách sạn</v>
      </c>
      <c r="H75" s="1">
        <f ca="1">IFERROR(__xludf.DUMMYFUNCTION("""COMPUTED_VALUE"""),27)</f>
        <v>27</v>
      </c>
      <c r="I75" s="1"/>
      <c r="J75" s="1" t="str">
        <f ca="1">IFERROR(__xludf.DUMMYFUNCTION("""COMPUTED_VALUE"""),"Chuyên đề")</f>
        <v>Chuyên đề</v>
      </c>
      <c r="K75" s="1" t="str">
        <f ca="1">IFERROR(__xludf.DUMMYFUNCTION("""COMPUTED_VALUE"""),"Hyatt regency DaNang Resort")</f>
        <v>Hyatt regency DaNang Resort</v>
      </c>
      <c r="L75" s="1"/>
      <c r="M75" s="1" t="str">
        <f ca="1">IFERROR(__xludf.DUMMYFUNCTION("""COMPUTED_VALUE"""),"05 Trường Sa,Hoà Hải, Ngũ Hành Sơn, Đà Nẵng ")</f>
        <v xml:space="preserve">05 Trường Sa,Hoà Hải, Ngũ Hành Sơn, Đà Nẵng </v>
      </c>
      <c r="N75" s="1" t="str">
        <f ca="1">IFERROR(__xludf.DUMMYFUNCTION("""COMPUTED_VALUE"""),"Đà Nẵng")</f>
        <v>Đà Nẵng</v>
      </c>
      <c r="O75" s="1" t="str">
        <f ca="1">IFERROR(__xludf.DUMMYFUNCTION("""COMPUTED_VALUE"""),"Buồng phòng")</f>
        <v>Buồng phòng</v>
      </c>
      <c r="P75" s="1"/>
      <c r="Q75" s="1" t="str">
        <f ca="1">IFERROR(__xludf.DUMMYFUNCTION("""COMPUTED_VALUE"""),"16/01/2025")</f>
        <v>16/01/2025</v>
      </c>
      <c r="R75" s="1" t="str">
        <f ca="1">IFERROR(__xludf.DUMMYFUNCTION("""COMPUTED_VALUE"""),"cam kết")</f>
        <v>cam kết</v>
      </c>
      <c r="S75" s="1" t="str">
        <f ca="1">IFERROR(__xludf.DUMMYFUNCTION("""COMPUTED_VALUE"""),"Chuyên đề")</f>
        <v>Chuyên đề</v>
      </c>
      <c r="T75" s="1"/>
      <c r="U75" s="4">
        <f ca="1">IFERROR(__xludf.DUMMYFUNCTION("""COMPUTED_VALUE"""),45691)</f>
        <v>45691</v>
      </c>
      <c r="V75" s="4">
        <f ca="1">IFERROR(__xludf.DUMMYFUNCTION("""COMPUTED_VALUE"""),45780)</f>
        <v>45780</v>
      </c>
      <c r="W75" s="1">
        <f ca="1">IFERROR(__xludf.DUMMYFUNCTION("""COMPUTED_VALUE"""),74)</f>
        <v>74</v>
      </c>
      <c r="X75" s="1" t="str">
        <f ca="1">IFERROR(__xludf.DUMMYFUNCTION("""COMPUTED_VALUE"""),"18/01/2025")</f>
        <v>18/01/2025</v>
      </c>
      <c r="Y75" s="1" t="str">
        <f ca="1">IFERROR(__xludf.DUMMYFUNCTION("""COMPUTED_VALUE"""),"DUYỆT")</f>
        <v>DUYỆT</v>
      </c>
      <c r="Z75" s="1" t="str">
        <f ca="1">IFERROR(__xludf.DUMMYFUNCTION("""COMPUTED_VALUE"""),"18/01/2025")</f>
        <v>18/01/2025</v>
      </c>
      <c r="AA75" s="1" t="str">
        <f ca="1">IFERROR(__xludf.DUMMYFUNCTION("""COMPUTED_VALUE"""),"Hyatt regency DaNang Resort")</f>
        <v>Hyatt regency DaNang Resort</v>
      </c>
      <c r="AB75" s="1" t="str">
        <f ca="1">IFERROR(__xludf.DUMMYFUNCTION("""COMPUTED_VALUE"""),"Buồng phòng")</f>
        <v>Buồng phòng</v>
      </c>
      <c r="AC75" s="1"/>
      <c r="AD75" s="1" t="str">
        <f ca="1">IFERROR(__xludf.DUMMYFUNCTION("""COMPUTED_VALUE"""),"chưa có thông tin người hướng dẫn tại ks")</f>
        <v>chưa có thông tin người hướng dẫn tại ks</v>
      </c>
      <c r="AE75" s="1" t="str">
        <f ca="1">IFERROR(__xludf.DUMMYFUNCTION("""COMPUTED_VALUE"""),"")</f>
        <v/>
      </c>
    </row>
    <row r="76" spans="1:31" x14ac:dyDescent="0.2">
      <c r="A76" s="6">
        <f ca="1">IFERROR(__xludf.DUMMYFUNCTION("""COMPUTED_VALUE"""),45673.8056083912)</f>
        <v>45673.805608391202</v>
      </c>
      <c r="B76" s="1"/>
      <c r="C76" s="1">
        <f ca="1">IFERROR(__xludf.DUMMYFUNCTION("""COMPUTED_VALUE"""),27207122499)</f>
        <v>27207122499</v>
      </c>
      <c r="D76" s="1" t="str">
        <f ca="1">IFERROR(__xludf.DUMMYFUNCTION("""COMPUTED_VALUE"""),"MAI THỊ YẾN SƯƠNG")</f>
        <v>MAI THỊ YẾN SƯƠNG</v>
      </c>
      <c r="E76" s="4"/>
      <c r="F76" s="1" t="str">
        <f ca="1">IFERROR(__xludf.DUMMYFUNCTION("""COMPUTED_VALUE"""),"K27DLK3")</f>
        <v>K27DLK3</v>
      </c>
      <c r="G76" s="1" t="str">
        <f ca="1">IFERROR(__xludf.DUMMYFUNCTION("""COMPUTED_VALUE"""),"Quản trị Du lịch &amp; Khách sạn")</f>
        <v>Quản trị Du lịch &amp; Khách sạn</v>
      </c>
      <c r="H76" s="1">
        <f ca="1">IFERROR(__xludf.DUMMYFUNCTION("""COMPUTED_VALUE"""),27)</f>
        <v>27</v>
      </c>
      <c r="I76" s="1"/>
      <c r="J76" s="1" t="str">
        <f ca="1">IFERROR(__xludf.DUMMYFUNCTION("""COMPUTED_VALUE"""),"Chuyên đề")</f>
        <v>Chuyên đề</v>
      </c>
      <c r="K76" s="1" t="str">
        <f ca="1">IFERROR(__xludf.DUMMYFUNCTION("""COMPUTED_VALUE"""),"Khách sạn Mandila Beach Đà Nẵng")</f>
        <v>Khách sạn Mandila Beach Đà Nẵng</v>
      </c>
      <c r="L76" s="1"/>
      <c r="M76" s="1" t="str">
        <f ca="1">IFERROR(__xludf.DUMMYFUNCTION("""COMPUTED_VALUE"""),"218 Võ Nguyên Giáp, Phước Mỹ, Sơn Trà, Đà Nẵng")</f>
        <v>218 Võ Nguyên Giáp, Phước Mỹ, Sơn Trà, Đà Nẵng</v>
      </c>
      <c r="N76" s="1" t="str">
        <f ca="1">IFERROR(__xludf.DUMMYFUNCTION("""COMPUTED_VALUE"""),"Đà Nẵng")</f>
        <v>Đà Nẵng</v>
      </c>
      <c r="O76" s="1" t="str">
        <f ca="1">IFERROR(__xludf.DUMMYFUNCTION("""COMPUTED_VALUE"""),"Nhà hàng")</f>
        <v>Nhà hàng</v>
      </c>
      <c r="P76" s="1"/>
      <c r="Q76" s="1" t="str">
        <f ca="1">IFERROR(__xludf.DUMMYFUNCTION("""COMPUTED_VALUE"""),"09/02/2025")</f>
        <v>09/02/2025</v>
      </c>
      <c r="R76" s="1" t="str">
        <f ca="1">IFERROR(__xludf.DUMMYFUNCTION("""COMPUTED_VALUE"""),"cam kết")</f>
        <v>cam kết</v>
      </c>
      <c r="S76" s="1" t="str">
        <f ca="1">IFERROR(__xludf.DUMMYFUNCTION("""COMPUTED_VALUE"""),"Chuyên đề")</f>
        <v>Chuyên đề</v>
      </c>
      <c r="T76" s="1"/>
      <c r="U76" s="4">
        <f ca="1">IFERROR(__xludf.DUMMYFUNCTION("""COMPUTED_VALUE"""),45698)</f>
        <v>45698</v>
      </c>
      <c r="V76" s="4">
        <f ca="1">IFERROR(__xludf.DUMMYFUNCTION("""COMPUTED_VALUE"""),45787)</f>
        <v>45787</v>
      </c>
      <c r="W76" s="1">
        <f ca="1">IFERROR(__xludf.DUMMYFUNCTION("""COMPUTED_VALUE"""),75)</f>
        <v>75</v>
      </c>
      <c r="X76" s="1" t="str">
        <f ca="1">IFERROR(__xludf.DUMMYFUNCTION("""COMPUTED_VALUE"""),"21/02/2025")</f>
        <v>21/02/2025</v>
      </c>
      <c r="Y76" s="1" t="str">
        <f ca="1">IFERROR(__xludf.DUMMYFUNCTION("""COMPUTED_VALUE"""),"DUYỆT")</f>
        <v>DUYỆT</v>
      </c>
      <c r="Z76" s="1" t="str">
        <f ca="1">IFERROR(__xludf.DUMMYFUNCTION("""COMPUTED_VALUE"""),"18/01/2025")</f>
        <v>18/01/2025</v>
      </c>
      <c r="AA76" s="1" t="str">
        <f ca="1">IFERROR(__xludf.DUMMYFUNCTION("""COMPUTED_VALUE"""),"Khách sạn Mandila Beach Đà Nẵng")</f>
        <v>Khách sạn Mandila Beach Đà Nẵng</v>
      </c>
      <c r="AB76" s="1" t="str">
        <f ca="1">IFERROR(__xludf.DUMMYFUNCTION("""COMPUTED_VALUE"""),"Nhà hàng")</f>
        <v>Nhà hàng</v>
      </c>
      <c r="AC76" s="1"/>
      <c r="AD76" s="1"/>
      <c r="AE76" s="1" t="str">
        <f ca="1">IFERROR(__xludf.DUMMYFUNCTION("""COMPUTED_VALUE"""),"")</f>
        <v/>
      </c>
    </row>
    <row r="77" spans="1:31" x14ac:dyDescent="0.2">
      <c r="A77" s="6">
        <f ca="1">IFERROR(__xludf.DUMMYFUNCTION("""COMPUTED_VALUE"""),45673.8811988425)</f>
        <v>45673.8811988425</v>
      </c>
      <c r="B77" s="1"/>
      <c r="C77" s="1">
        <f ca="1">IFERROR(__xludf.DUMMYFUNCTION("""COMPUTED_VALUE"""),27207128512)</f>
        <v>27207128512</v>
      </c>
      <c r="D77" s="1" t="str">
        <f ca="1">IFERROR(__xludf.DUMMYFUNCTION("""COMPUTED_VALUE"""),"Nguyễn Thị Thu Hiền")</f>
        <v>Nguyễn Thị Thu Hiền</v>
      </c>
      <c r="E77" s="4"/>
      <c r="F77" s="1" t="str">
        <f ca="1">IFERROR(__xludf.DUMMYFUNCTION("""COMPUTED_VALUE"""),"K27DLK 1")</f>
        <v>K27DLK 1</v>
      </c>
      <c r="G77" s="1" t="str">
        <f ca="1">IFERROR(__xludf.DUMMYFUNCTION("""COMPUTED_VALUE"""),"Quản trị Du lịch &amp; Khách sạn")</f>
        <v>Quản trị Du lịch &amp; Khách sạn</v>
      </c>
      <c r="H77" s="1">
        <f ca="1">IFERROR(__xludf.DUMMYFUNCTION("""COMPUTED_VALUE"""),27)</f>
        <v>27</v>
      </c>
      <c r="I77" s="1"/>
      <c r="J77" s="1" t="str">
        <f ca="1">IFERROR(__xludf.DUMMYFUNCTION("""COMPUTED_VALUE"""),"Chuyên đề")</f>
        <v>Chuyên đề</v>
      </c>
      <c r="K77" s="1" t="str">
        <f ca="1">IFERROR(__xludf.DUMMYFUNCTION("""COMPUTED_VALUE"""),"Diamond Sea Hotel")</f>
        <v>Diamond Sea Hotel</v>
      </c>
      <c r="L77" s="1"/>
      <c r="M77" s="1" t="str">
        <f ca="1">IFERROR(__xludf.DUMMYFUNCTION("""COMPUTED_VALUE"""),"232 Võ Nguyên Giáp, Sơn Trà, Đà Nẵng")</f>
        <v>232 Võ Nguyên Giáp, Sơn Trà, Đà Nẵng</v>
      </c>
      <c r="N77" s="1" t="str">
        <f ca="1">IFERROR(__xludf.DUMMYFUNCTION("""COMPUTED_VALUE"""),"Đà Nẵng")</f>
        <v>Đà Nẵng</v>
      </c>
      <c r="O77" s="1" t="str">
        <f ca="1">IFERROR(__xludf.DUMMYFUNCTION("""COMPUTED_VALUE"""),"Buồng phòng")</f>
        <v>Buồng phòng</v>
      </c>
      <c r="P77" s="1"/>
      <c r="Q77" s="1" t="str">
        <f ca="1">IFERROR(__xludf.DUMMYFUNCTION("""COMPUTED_VALUE"""),"17/01/2025")</f>
        <v>17/01/2025</v>
      </c>
      <c r="R77" s="1" t="str">
        <f ca="1">IFERROR(__xludf.DUMMYFUNCTION("""COMPUTED_VALUE"""),"cam kết")</f>
        <v>cam kết</v>
      </c>
      <c r="S77" s="1" t="str">
        <f ca="1">IFERROR(__xludf.DUMMYFUNCTION("""COMPUTED_VALUE"""),"Chuyên đề")</f>
        <v>Chuyên đề</v>
      </c>
      <c r="T77" s="1"/>
      <c r="U77" s="4">
        <f ca="1">IFERROR(__xludf.DUMMYFUNCTION("""COMPUTED_VALUE"""),45698)</f>
        <v>45698</v>
      </c>
      <c r="V77" s="4">
        <f ca="1">IFERROR(__xludf.DUMMYFUNCTION("""COMPUTED_VALUE"""),45787)</f>
        <v>45787</v>
      </c>
      <c r="W77" s="1">
        <f ca="1">IFERROR(__xludf.DUMMYFUNCTION("""COMPUTED_VALUE"""),76)</f>
        <v>76</v>
      </c>
      <c r="X77" s="1" t="str">
        <f ca="1">IFERROR(__xludf.DUMMYFUNCTION("""COMPUTED_VALUE"""),"18/01/2025")</f>
        <v>18/01/2025</v>
      </c>
      <c r="Y77" s="1" t="str">
        <f ca="1">IFERROR(__xludf.DUMMYFUNCTION("""COMPUTED_VALUE"""),"DUYỆT")</f>
        <v>DUYỆT</v>
      </c>
      <c r="Z77" s="1" t="str">
        <f ca="1">IFERROR(__xludf.DUMMYFUNCTION("""COMPUTED_VALUE"""),"18/01/2025")</f>
        <v>18/01/2025</v>
      </c>
      <c r="AA77" s="1" t="str">
        <f ca="1">IFERROR(__xludf.DUMMYFUNCTION("""COMPUTED_VALUE"""),"Diamond Sea Hotel")</f>
        <v>Diamond Sea Hotel</v>
      </c>
      <c r="AB77" s="1" t="str">
        <f ca="1">IFERROR(__xludf.DUMMYFUNCTION("""COMPUTED_VALUE"""),"Buồng phòng")</f>
        <v>Buồng phòng</v>
      </c>
      <c r="AC77" s="1"/>
      <c r="AD77" s="1"/>
      <c r="AE77" s="1" t="str">
        <f ca="1">IFERROR(__xludf.DUMMYFUNCTION("""COMPUTED_VALUE"""),"")</f>
        <v/>
      </c>
    </row>
    <row r="78" spans="1:31" x14ac:dyDescent="0.2">
      <c r="A78" s="6">
        <f ca="1">IFERROR(__xludf.DUMMYFUNCTION("""COMPUTED_VALUE"""),45673.8876586574)</f>
        <v>45673.887658657397</v>
      </c>
      <c r="B78" s="1"/>
      <c r="C78" s="1">
        <f ca="1">IFERROR(__xludf.DUMMYFUNCTION("""COMPUTED_VALUE"""),27207100850)</f>
        <v>27207100850</v>
      </c>
      <c r="D78" s="1" t="str">
        <f ca="1">IFERROR(__xludf.DUMMYFUNCTION("""COMPUTED_VALUE"""),"Dương Nguyễn Khánh Giang ")</f>
        <v xml:space="preserve">Dương Nguyễn Khánh Giang </v>
      </c>
      <c r="E78" s="4"/>
      <c r="F78" s="1" t="str">
        <f ca="1">IFERROR(__xludf.DUMMYFUNCTION("""COMPUTED_VALUE"""),"K27DLK1")</f>
        <v>K27DLK1</v>
      </c>
      <c r="G78" s="1" t="str">
        <f ca="1">IFERROR(__xludf.DUMMYFUNCTION("""COMPUTED_VALUE"""),"Quản trị Du lịch &amp; Khách sạn")</f>
        <v>Quản trị Du lịch &amp; Khách sạn</v>
      </c>
      <c r="H78" s="1">
        <f ca="1">IFERROR(__xludf.DUMMYFUNCTION("""COMPUTED_VALUE"""),27)</f>
        <v>27</v>
      </c>
      <c r="I78" s="1"/>
      <c r="J78" s="1" t="str">
        <f ca="1">IFERROR(__xludf.DUMMYFUNCTION("""COMPUTED_VALUE"""),"Chuyên đề")</f>
        <v>Chuyên đề</v>
      </c>
      <c r="K78" s="1" t="str">
        <f ca="1">IFERROR(__xludf.DUMMYFUNCTION("""COMPUTED_VALUE"""),"Meliá Vinpearl Danang Riverfront")</f>
        <v>Meliá Vinpearl Danang Riverfront</v>
      </c>
      <c r="L78" s="1"/>
      <c r="M78" s="1" t="str">
        <f ca="1">IFERROR(__xludf.DUMMYFUNCTION("""COMPUTED_VALUE"""),"341 Trần Hưng Đạo - An Hải Bắc - Sơn Trà - Đà Nẵng")</f>
        <v>341 Trần Hưng Đạo - An Hải Bắc - Sơn Trà - Đà Nẵng</v>
      </c>
      <c r="N78" s="1" t="str">
        <f ca="1">IFERROR(__xludf.DUMMYFUNCTION("""COMPUTED_VALUE"""),"Đà Nẵng")</f>
        <v>Đà Nẵng</v>
      </c>
      <c r="O78" s="1" t="str">
        <f ca="1">IFERROR(__xludf.DUMMYFUNCTION("""COMPUTED_VALUE"""),"Buồng phòng")</f>
        <v>Buồng phòng</v>
      </c>
      <c r="P78" s="1"/>
      <c r="Q78" s="1" t="str">
        <f ca="1">IFERROR(__xludf.DUMMYFUNCTION("""COMPUTED_VALUE"""),"18/01/2025")</f>
        <v>18/01/2025</v>
      </c>
      <c r="R78" s="1" t="str">
        <f ca="1">IFERROR(__xludf.DUMMYFUNCTION("""COMPUTED_VALUE"""),"cam kết")</f>
        <v>cam kết</v>
      </c>
      <c r="S78" s="1" t="str">
        <f ca="1">IFERROR(__xludf.DUMMYFUNCTION("""COMPUTED_VALUE"""),"Chuyên đề")</f>
        <v>Chuyên đề</v>
      </c>
      <c r="T78" s="1"/>
      <c r="U78" s="4">
        <f ca="1">IFERROR(__xludf.DUMMYFUNCTION("""COMPUTED_VALUE"""),45698)</f>
        <v>45698</v>
      </c>
      <c r="V78" s="4">
        <f ca="1">IFERROR(__xludf.DUMMYFUNCTION("""COMPUTED_VALUE"""),45787)</f>
        <v>45787</v>
      </c>
      <c r="W78" s="1">
        <f ca="1">IFERROR(__xludf.DUMMYFUNCTION("""COMPUTED_VALUE"""),77)</f>
        <v>77</v>
      </c>
      <c r="X78" s="1" t="str">
        <f ca="1">IFERROR(__xludf.DUMMYFUNCTION("""COMPUTED_VALUE"""),"20/01/2025")</f>
        <v>20/01/2025</v>
      </c>
      <c r="Y78" s="1" t="str">
        <f ca="1">IFERROR(__xludf.DUMMYFUNCTION("""COMPUTED_VALUE"""),"DUYỆT")</f>
        <v>DUYỆT</v>
      </c>
      <c r="Z78" s="1" t="str">
        <f ca="1">IFERROR(__xludf.DUMMYFUNCTION("""COMPUTED_VALUE"""),"18/01/2025")</f>
        <v>18/01/2025</v>
      </c>
      <c r="AA78" s="1" t="str">
        <f ca="1">IFERROR(__xludf.DUMMYFUNCTION("""COMPUTED_VALUE"""),"Meliá Vinpearl Danang Riverfront")</f>
        <v>Meliá Vinpearl Danang Riverfront</v>
      </c>
      <c r="AB78" s="1" t="str">
        <f ca="1">IFERROR(__xludf.DUMMYFUNCTION("""COMPUTED_VALUE"""),"Buồng phòng")</f>
        <v>Buồng phòng</v>
      </c>
      <c r="AC78" s="1"/>
      <c r="AD78" s="1"/>
      <c r="AE78" s="1" t="str">
        <f ca="1">IFERROR(__xludf.DUMMYFUNCTION("""COMPUTED_VALUE"""),"")</f>
        <v/>
      </c>
    </row>
    <row r="79" spans="1:31" x14ac:dyDescent="0.2">
      <c r="A79" s="6">
        <f ca="1">IFERROR(__xludf.DUMMYFUNCTION("""COMPUTED_VALUE"""),45674.4243918055)</f>
        <v>45674.4243918055</v>
      </c>
      <c r="B79" s="1"/>
      <c r="C79" s="1">
        <f ca="1">IFERROR(__xludf.DUMMYFUNCTION("""COMPUTED_VALUE"""),27207140635)</f>
        <v>27207140635</v>
      </c>
      <c r="D79" s="1" t="str">
        <f ca="1">IFERROR(__xludf.DUMMYFUNCTION("""COMPUTED_VALUE"""),"Nguyễn Huỳnh Ái Ly")</f>
        <v>Nguyễn Huỳnh Ái Ly</v>
      </c>
      <c r="E79" s="4"/>
      <c r="F79" s="1" t="str">
        <f ca="1">IFERROR(__xludf.DUMMYFUNCTION("""COMPUTED_VALUE"""),"K27DLK4")</f>
        <v>K27DLK4</v>
      </c>
      <c r="G79" s="1" t="str">
        <f ca="1">IFERROR(__xludf.DUMMYFUNCTION("""COMPUTED_VALUE"""),"Quản trị Du lịch &amp; Khách sạn")</f>
        <v>Quản trị Du lịch &amp; Khách sạn</v>
      </c>
      <c r="H79" s="1">
        <f ca="1">IFERROR(__xludf.DUMMYFUNCTION("""COMPUTED_VALUE"""),27)</f>
        <v>27</v>
      </c>
      <c r="I79" s="1"/>
      <c r="J79" s="1" t="str">
        <f ca="1">IFERROR(__xludf.DUMMYFUNCTION("""COMPUTED_VALUE"""),"Chuyên đề")</f>
        <v>Chuyên đề</v>
      </c>
      <c r="K79" s="1" t="str">
        <f ca="1">IFERROR(__xludf.DUMMYFUNCTION("""COMPUTED_VALUE"""),"Maximilan Danang Beach Hotel")</f>
        <v>Maximilan Danang Beach Hotel</v>
      </c>
      <c r="L79" s="1"/>
      <c r="M79" s="1" t="str">
        <f ca="1">IFERROR(__xludf.DUMMYFUNCTION("""COMPUTED_VALUE"""),"222 Võ Nguyên Giáp - Phước Mỹ - Sơn Trà - Đà Nẵng")</f>
        <v>222 Võ Nguyên Giáp - Phước Mỹ - Sơn Trà - Đà Nẵng</v>
      </c>
      <c r="N79" s="1" t="str">
        <f ca="1">IFERROR(__xludf.DUMMYFUNCTION("""COMPUTED_VALUE"""),"Đà Nẵng")</f>
        <v>Đà Nẵng</v>
      </c>
      <c r="O79" s="1" t="str">
        <f ca="1">IFERROR(__xludf.DUMMYFUNCTION("""COMPUTED_VALUE"""),"Buồng phòng")</f>
        <v>Buồng phòng</v>
      </c>
      <c r="P79" s="1"/>
      <c r="Q79" s="1" t="str">
        <f ca="1">IFERROR(__xludf.DUMMYFUNCTION("""COMPUTED_VALUE"""),"17/01/2025")</f>
        <v>17/01/2025</v>
      </c>
      <c r="R79" s="1" t="str">
        <f ca="1">IFERROR(__xludf.DUMMYFUNCTION("""COMPUTED_VALUE"""),"cam kết")</f>
        <v>cam kết</v>
      </c>
      <c r="S79" s="1" t="str">
        <f ca="1">IFERROR(__xludf.DUMMYFUNCTION("""COMPUTED_VALUE"""),"Chuyên đề")</f>
        <v>Chuyên đề</v>
      </c>
      <c r="T79" s="1"/>
      <c r="U79" s="4">
        <f ca="1">IFERROR(__xludf.DUMMYFUNCTION("""COMPUTED_VALUE"""),45698)</f>
        <v>45698</v>
      </c>
      <c r="V79" s="4">
        <f ca="1">IFERROR(__xludf.DUMMYFUNCTION("""COMPUTED_VALUE"""),45787)</f>
        <v>45787</v>
      </c>
      <c r="W79" s="1">
        <f ca="1">IFERROR(__xludf.DUMMYFUNCTION("""COMPUTED_VALUE"""),78)</f>
        <v>78</v>
      </c>
      <c r="X79" s="1" t="str">
        <f ca="1">IFERROR(__xludf.DUMMYFUNCTION("""COMPUTED_VALUE"""),"18/01/2025")</f>
        <v>18/01/2025</v>
      </c>
      <c r="Y79" s="1" t="str">
        <f ca="1">IFERROR(__xludf.DUMMYFUNCTION("""COMPUTED_VALUE"""),"DUYỆT")</f>
        <v>DUYỆT</v>
      </c>
      <c r="Z79" s="1" t="str">
        <f ca="1">IFERROR(__xludf.DUMMYFUNCTION("""COMPUTED_VALUE"""),"18/01/2025")</f>
        <v>18/01/2025</v>
      </c>
      <c r="AA79" s="1" t="str">
        <f ca="1">IFERROR(__xludf.DUMMYFUNCTION("""COMPUTED_VALUE"""),"Maximilan Danang Beach Hotel")</f>
        <v>Maximilan Danang Beach Hotel</v>
      </c>
      <c r="AB79" s="1" t="str">
        <f ca="1">IFERROR(__xludf.DUMMYFUNCTION("""COMPUTED_VALUE"""),"Buồng phòng")</f>
        <v>Buồng phòng</v>
      </c>
      <c r="AC79" s="1"/>
      <c r="AD79" s="1"/>
      <c r="AE79" s="1" t="str">
        <f ca="1">IFERROR(__xludf.DUMMYFUNCTION("""COMPUTED_VALUE"""),"")</f>
        <v/>
      </c>
    </row>
    <row r="80" spans="1:31" x14ac:dyDescent="0.2">
      <c r="A80" s="6">
        <f ca="1">IFERROR(__xludf.DUMMYFUNCTION("""COMPUTED_VALUE"""),45674.6032439814)</f>
        <v>45674.603243981401</v>
      </c>
      <c r="B80" s="1"/>
      <c r="C80" s="1">
        <f ca="1">IFERROR(__xludf.DUMMYFUNCTION("""COMPUTED_VALUE"""),27207142127)</f>
        <v>27207142127</v>
      </c>
      <c r="D80" s="1" t="str">
        <f ca="1">IFERROR(__xludf.DUMMYFUNCTION("""COMPUTED_VALUE"""),"Huỳnh Thị Thanh Nhàn")</f>
        <v>Huỳnh Thị Thanh Nhàn</v>
      </c>
      <c r="E80" s="4"/>
      <c r="F80" s="1" t="str">
        <f ca="1">IFERROR(__xludf.DUMMYFUNCTION("""COMPUTED_VALUE"""),"K27PSUDLK1")</f>
        <v>K27PSUDLK1</v>
      </c>
      <c r="G80" s="1" t="str">
        <f ca="1">IFERROR(__xludf.DUMMYFUNCTION("""COMPUTED_VALUE"""),"Quản trị Du lịch &amp; Khách sạn chuẩn PSU")</f>
        <v>Quản trị Du lịch &amp; Khách sạn chuẩn PSU</v>
      </c>
      <c r="H80" s="1">
        <f ca="1">IFERROR(__xludf.DUMMYFUNCTION("""COMPUTED_VALUE"""),27)</f>
        <v>27</v>
      </c>
      <c r="I80" s="1"/>
      <c r="J80" s="1" t="str">
        <f ca="1">IFERROR(__xludf.DUMMYFUNCTION("""COMPUTED_VALUE"""),"Chuyên đề")</f>
        <v>Chuyên đề</v>
      </c>
      <c r="K80" s="1" t="str">
        <f ca="1">IFERROR(__xludf.DUMMYFUNCTION("""COMPUTED_VALUE"""),"Hyatt regency DaNang Resort")</f>
        <v>Hyatt regency DaNang Resort</v>
      </c>
      <c r="L80" s="1"/>
      <c r="M80" s="1" t="str">
        <f ca="1">IFERROR(__xludf.DUMMYFUNCTION("""COMPUTED_VALUE"""),"05 Trường Sa, Ngũ Hành Sơn, Đà Nẵng")</f>
        <v>05 Trường Sa, Ngũ Hành Sơn, Đà Nẵng</v>
      </c>
      <c r="N80" s="1" t="str">
        <f ca="1">IFERROR(__xludf.DUMMYFUNCTION("""COMPUTED_VALUE"""),"Đà Nẵng")</f>
        <v>Đà Nẵng</v>
      </c>
      <c r="O80" s="1" t="str">
        <f ca="1">IFERROR(__xludf.DUMMYFUNCTION("""COMPUTED_VALUE"""),"Nhà hàng")</f>
        <v>Nhà hàng</v>
      </c>
      <c r="P80" s="1"/>
      <c r="Q80" s="1" t="str">
        <f ca="1">IFERROR(__xludf.DUMMYFUNCTION("""COMPUTED_VALUE"""),"20/1/2025")</f>
        <v>20/1/2025</v>
      </c>
      <c r="R80" s="1" t="str">
        <f ca="1">IFERROR(__xludf.DUMMYFUNCTION("""COMPUTED_VALUE"""),"cam kết")</f>
        <v>cam kết</v>
      </c>
      <c r="S80" s="1" t="str">
        <f ca="1">IFERROR(__xludf.DUMMYFUNCTION("""COMPUTED_VALUE"""),"Chuyên đề")</f>
        <v>Chuyên đề</v>
      </c>
      <c r="T80" s="1" t="str">
        <f ca="1">IFERROR(__xludf.DUMMYFUNCTION("""COMPUTED_VALUE"""),"Hồ Sử Minh Tài")</f>
        <v>Hồ Sử Minh Tài</v>
      </c>
      <c r="U80" s="4">
        <f ca="1">IFERROR(__xludf.DUMMYFUNCTION("""COMPUTED_VALUE"""),45691)</f>
        <v>45691</v>
      </c>
      <c r="V80" s="4">
        <f ca="1">IFERROR(__xludf.DUMMYFUNCTION("""COMPUTED_VALUE"""),45780)</f>
        <v>45780</v>
      </c>
      <c r="W80" s="1">
        <f ca="1">IFERROR(__xludf.DUMMYFUNCTION("""COMPUTED_VALUE"""),79)</f>
        <v>79</v>
      </c>
      <c r="X80" s="1" t="str">
        <f ca="1">IFERROR(__xludf.DUMMYFUNCTION("""COMPUTED_VALUE"""),"21/01/2025")</f>
        <v>21/01/2025</v>
      </c>
      <c r="Y80" s="1" t="str">
        <f ca="1">IFERROR(__xludf.DUMMYFUNCTION("""COMPUTED_VALUE"""),"DUYỆT")</f>
        <v>DUYỆT</v>
      </c>
      <c r="Z80" s="1" t="str">
        <f ca="1">IFERROR(__xludf.DUMMYFUNCTION("""COMPUTED_VALUE"""),"18/01/2025")</f>
        <v>18/01/2025</v>
      </c>
      <c r="AA80" s="1" t="str">
        <f ca="1">IFERROR(__xludf.DUMMYFUNCTION("""COMPUTED_VALUE"""),"Hyatt regency DaNang Resort")</f>
        <v>Hyatt regency DaNang Resort</v>
      </c>
      <c r="AB80" s="1" t="str">
        <f ca="1">IFERROR(__xludf.DUMMYFUNCTION("""COMPUTED_VALUE"""),"Nhà hàng")</f>
        <v>Nhà hàng</v>
      </c>
      <c r="AC80" s="1"/>
      <c r="AD80" s="1" t="str">
        <f ca="1">IFERROR(__xludf.DUMMYFUNCTION("""COMPUTED_VALUE"""),"Phiếu tiếp nhận chưa ghi bộ phận thực tập, SV phải đảm bảo không thực tập quá 5sv/nhà hàng")</f>
        <v>Phiếu tiếp nhận chưa ghi bộ phận thực tập, SV phải đảm bảo không thực tập quá 5sv/nhà hàng</v>
      </c>
      <c r="AE80" s="1" t="str">
        <f ca="1">IFERROR(__xludf.DUMMYFUNCTION("""COMPUTED_VALUE"""),"")</f>
        <v/>
      </c>
    </row>
    <row r="81" spans="1:31" x14ac:dyDescent="0.2">
      <c r="A81" s="6">
        <f ca="1">IFERROR(__xludf.DUMMYFUNCTION("""COMPUTED_VALUE"""),45674.6347163657)</f>
        <v>45674.634716365697</v>
      </c>
      <c r="B81" s="1"/>
      <c r="C81" s="1">
        <f ca="1">IFERROR(__xludf.DUMMYFUNCTION("""COMPUTED_VALUE"""),27217102218)</f>
        <v>27217102218</v>
      </c>
      <c r="D81" s="1" t="str">
        <f ca="1">IFERROR(__xludf.DUMMYFUNCTION("""COMPUTED_VALUE"""),"Lê Thanh Hiếu")</f>
        <v>Lê Thanh Hiếu</v>
      </c>
      <c r="E81" s="4"/>
      <c r="F81" s="1" t="str">
        <f ca="1">IFERROR(__xludf.DUMMYFUNCTION("""COMPUTED_VALUE"""),"K27DLK7")</f>
        <v>K27DLK7</v>
      </c>
      <c r="G81" s="1" t="str">
        <f ca="1">IFERROR(__xludf.DUMMYFUNCTION("""COMPUTED_VALUE"""),"Quản trị Du lịch &amp; Khách sạn")</f>
        <v>Quản trị Du lịch &amp; Khách sạn</v>
      </c>
      <c r="H81" s="1">
        <f ca="1">IFERROR(__xludf.DUMMYFUNCTION("""COMPUTED_VALUE"""),27)</f>
        <v>27</v>
      </c>
      <c r="I81" s="1"/>
      <c r="J81" s="1" t="str">
        <f ca="1">IFERROR(__xludf.DUMMYFUNCTION("""COMPUTED_VALUE"""),"Chuyên đề")</f>
        <v>Chuyên đề</v>
      </c>
      <c r="K81" s="1" t="str">
        <f ca="1">IFERROR(__xludf.DUMMYFUNCTION("""COMPUTED_VALUE"""),"Diamond Sea Hotel")</f>
        <v>Diamond Sea Hotel</v>
      </c>
      <c r="L81" s="1"/>
      <c r="M81" s="1" t="str">
        <f ca="1">IFERROR(__xludf.DUMMYFUNCTION("""COMPUTED_VALUE"""),"232 Võ Nguyên Giáp, Quận Sơn Trà, Đà Nẵng")</f>
        <v>232 Võ Nguyên Giáp, Quận Sơn Trà, Đà Nẵng</v>
      </c>
      <c r="N81" s="1" t="str">
        <f ca="1">IFERROR(__xludf.DUMMYFUNCTION("""COMPUTED_VALUE"""),"Đà Nẵng")</f>
        <v>Đà Nẵng</v>
      </c>
      <c r="O81" s="1" t="str">
        <f ca="1">IFERROR(__xludf.DUMMYFUNCTION("""COMPUTED_VALUE"""),"Buồng phòng")</f>
        <v>Buồng phòng</v>
      </c>
      <c r="P81" s="1"/>
      <c r="Q81" s="1" t="str">
        <f ca="1">IFERROR(__xludf.DUMMYFUNCTION("""COMPUTED_VALUE"""),"17/1/2025")</f>
        <v>17/1/2025</v>
      </c>
      <c r="R81" s="1" t="str">
        <f ca="1">IFERROR(__xludf.DUMMYFUNCTION("""COMPUTED_VALUE"""),"cam kết")</f>
        <v>cam kết</v>
      </c>
      <c r="S81" s="1" t="str">
        <f ca="1">IFERROR(__xludf.DUMMYFUNCTION("""COMPUTED_VALUE"""),"Chuyên đề")</f>
        <v>Chuyên đề</v>
      </c>
      <c r="T81" s="1"/>
      <c r="U81" s="4">
        <f ca="1">IFERROR(__xludf.DUMMYFUNCTION("""COMPUTED_VALUE"""),45698)</f>
        <v>45698</v>
      </c>
      <c r="V81" s="4">
        <f ca="1">IFERROR(__xludf.DUMMYFUNCTION("""COMPUTED_VALUE"""),45787)</f>
        <v>45787</v>
      </c>
      <c r="W81" s="1">
        <f ca="1">IFERROR(__xludf.DUMMYFUNCTION("""COMPUTED_VALUE"""),80)</f>
        <v>80</v>
      </c>
      <c r="X81" s="1" t="str">
        <f ca="1">IFERROR(__xludf.DUMMYFUNCTION("""COMPUTED_VALUE"""),"18/01/2025")</f>
        <v>18/01/2025</v>
      </c>
      <c r="Y81" s="1" t="str">
        <f ca="1">IFERROR(__xludf.DUMMYFUNCTION("""COMPUTED_VALUE"""),"DUYỆT")</f>
        <v>DUYỆT</v>
      </c>
      <c r="Z81" s="1" t="str">
        <f ca="1">IFERROR(__xludf.DUMMYFUNCTION("""COMPUTED_VALUE"""),"18/01/2025")</f>
        <v>18/01/2025</v>
      </c>
      <c r="AA81" s="1" t="str">
        <f ca="1">IFERROR(__xludf.DUMMYFUNCTION("""COMPUTED_VALUE"""),"Diamond Sea Hotel")</f>
        <v>Diamond Sea Hotel</v>
      </c>
      <c r="AB81" s="1" t="str">
        <f ca="1">IFERROR(__xludf.DUMMYFUNCTION("""COMPUTED_VALUE"""),"Buồng phòng")</f>
        <v>Buồng phòng</v>
      </c>
      <c r="AC81" s="1"/>
      <c r="AD81" s="1"/>
      <c r="AE81" s="1" t="str">
        <f ca="1">IFERROR(__xludf.DUMMYFUNCTION("""COMPUTED_VALUE"""),"")</f>
        <v/>
      </c>
    </row>
    <row r="82" spans="1:31" x14ac:dyDescent="0.2">
      <c r="A82" s="6">
        <f ca="1">IFERROR(__xludf.DUMMYFUNCTION("""COMPUTED_VALUE"""),45674.6901734837)</f>
        <v>45674.690173483701</v>
      </c>
      <c r="B82" s="1"/>
      <c r="C82" s="1">
        <f ca="1">IFERROR(__xludf.DUMMYFUNCTION("""COMPUTED_VALUE"""),27207102577)</f>
        <v>27207102577</v>
      </c>
      <c r="D82" s="1" t="str">
        <f ca="1">IFERROR(__xludf.DUMMYFUNCTION("""COMPUTED_VALUE"""),"Trần Thị Tâm Phúc")</f>
        <v>Trần Thị Tâm Phúc</v>
      </c>
      <c r="E82" s="4"/>
      <c r="F82" s="1" t="str">
        <f ca="1">IFERROR(__xludf.DUMMYFUNCTION("""COMPUTED_VALUE"""),"K27DLK7")</f>
        <v>K27DLK7</v>
      </c>
      <c r="G82" s="1" t="str">
        <f ca="1">IFERROR(__xludf.DUMMYFUNCTION("""COMPUTED_VALUE"""),"Quản trị Du lịch &amp; Khách sạn")</f>
        <v>Quản trị Du lịch &amp; Khách sạn</v>
      </c>
      <c r="H82" s="1">
        <f ca="1">IFERROR(__xludf.DUMMYFUNCTION("""COMPUTED_VALUE"""),27)</f>
        <v>27</v>
      </c>
      <c r="I82" s="1"/>
      <c r="J82" s="1" t="str">
        <f ca="1">IFERROR(__xludf.DUMMYFUNCTION("""COMPUTED_VALUE"""),"Chuyên đề")</f>
        <v>Chuyên đề</v>
      </c>
      <c r="K82" s="1" t="str">
        <f ca="1">IFERROR(__xludf.DUMMYFUNCTION("""COMPUTED_VALUE"""),"Meliá Vinpearl Danang Riverfront")</f>
        <v>Meliá Vinpearl Danang Riverfront</v>
      </c>
      <c r="L82" s="1"/>
      <c r="M82" s="1" t="str">
        <f ca="1">IFERROR(__xludf.DUMMYFUNCTION("""COMPUTED_VALUE"""),"341 Trần Hưng Đạo, An Hải Bắc, Sơn Trà")</f>
        <v>341 Trần Hưng Đạo, An Hải Bắc, Sơn Trà</v>
      </c>
      <c r="N82" s="1" t="str">
        <f ca="1">IFERROR(__xludf.DUMMYFUNCTION("""COMPUTED_VALUE"""),"Đà Nẵng")</f>
        <v>Đà Nẵng</v>
      </c>
      <c r="O82" s="1" t="str">
        <f ca="1">IFERROR(__xludf.DUMMYFUNCTION("""COMPUTED_VALUE"""),"Tiền sảnh")</f>
        <v>Tiền sảnh</v>
      </c>
      <c r="P82" s="1"/>
      <c r="Q82" s="1" t="str">
        <f ca="1">IFERROR(__xludf.DUMMYFUNCTION("""COMPUTED_VALUE"""),"21/1/2025")</f>
        <v>21/1/2025</v>
      </c>
      <c r="R82" s="1" t="str">
        <f ca="1">IFERROR(__xludf.DUMMYFUNCTION("""COMPUTED_VALUE"""),"cam kết")</f>
        <v>cam kết</v>
      </c>
      <c r="S82" s="1" t="str">
        <f ca="1">IFERROR(__xludf.DUMMYFUNCTION("""COMPUTED_VALUE"""),"Chuyên đề")</f>
        <v>Chuyên đề</v>
      </c>
      <c r="T82" s="1"/>
      <c r="U82" s="4">
        <f ca="1">IFERROR(__xludf.DUMMYFUNCTION("""COMPUTED_VALUE"""),45663)</f>
        <v>45663</v>
      </c>
      <c r="V82" s="4">
        <f ca="1">IFERROR(__xludf.DUMMYFUNCTION("""COMPUTED_VALUE"""),45787)</f>
        <v>45787</v>
      </c>
      <c r="W82" s="1">
        <f ca="1">IFERROR(__xludf.DUMMYFUNCTION("""COMPUTED_VALUE"""),81)</f>
        <v>81</v>
      </c>
      <c r="X82" s="1" t="str">
        <f ca="1">IFERROR(__xludf.DUMMYFUNCTION("""COMPUTED_VALUE"""),"21/01/2025")</f>
        <v>21/01/2025</v>
      </c>
      <c r="Y82" s="1" t="str">
        <f ca="1">IFERROR(__xludf.DUMMYFUNCTION("""COMPUTED_VALUE"""),"DUYỆT")</f>
        <v>DUYỆT</v>
      </c>
      <c r="Z82" s="1" t="str">
        <f ca="1">IFERROR(__xludf.DUMMYFUNCTION("""COMPUTED_VALUE"""),"18/01/2025")</f>
        <v>18/01/2025</v>
      </c>
      <c r="AA82" s="1" t="str">
        <f ca="1">IFERROR(__xludf.DUMMYFUNCTION("""COMPUTED_VALUE"""),"Meliá Vinpearl Danang Riverfront")</f>
        <v>Meliá Vinpearl Danang Riverfront</v>
      </c>
      <c r="AB82" s="1" t="str">
        <f ca="1">IFERROR(__xludf.DUMMYFUNCTION("""COMPUTED_VALUE"""),"Tiền sảnh")</f>
        <v>Tiền sảnh</v>
      </c>
      <c r="AC82" s="1"/>
      <c r="AD82" s="1"/>
      <c r="AE82" s="1" t="str">
        <f ca="1">IFERROR(__xludf.DUMMYFUNCTION("""COMPUTED_VALUE"""),"")</f>
        <v/>
      </c>
    </row>
    <row r="83" spans="1:31" x14ac:dyDescent="0.2">
      <c r="A83" s="6">
        <f ca="1">IFERROR(__xludf.DUMMYFUNCTION("""COMPUTED_VALUE"""),45674.7211426736)</f>
        <v>45674.721142673603</v>
      </c>
      <c r="B83" s="1"/>
      <c r="C83" s="1">
        <f ca="1">IFERROR(__xludf.DUMMYFUNCTION("""COMPUTED_VALUE"""),27207120204)</f>
        <v>27207120204</v>
      </c>
      <c r="D83" s="1" t="str">
        <f ca="1">IFERROR(__xludf.DUMMYFUNCTION("""COMPUTED_VALUE"""),"Đậu Thị Hà Nhi")</f>
        <v>Đậu Thị Hà Nhi</v>
      </c>
      <c r="E83" s="4"/>
      <c r="F83" s="1" t="str">
        <f ca="1">IFERROR(__xludf.DUMMYFUNCTION("""COMPUTED_VALUE"""),"K27DLK1")</f>
        <v>K27DLK1</v>
      </c>
      <c r="G83" s="1" t="str">
        <f ca="1">IFERROR(__xludf.DUMMYFUNCTION("""COMPUTED_VALUE"""),"Quản trị Du lịch &amp; Khách sạn")</f>
        <v>Quản trị Du lịch &amp; Khách sạn</v>
      </c>
      <c r="H83" s="1">
        <f ca="1">IFERROR(__xludf.DUMMYFUNCTION("""COMPUTED_VALUE"""),27)</f>
        <v>27</v>
      </c>
      <c r="I83" s="1"/>
      <c r="J83" s="1" t="str">
        <f ca="1">IFERROR(__xludf.DUMMYFUNCTION("""COMPUTED_VALUE"""),"Chuyên đề")</f>
        <v>Chuyên đề</v>
      </c>
      <c r="K83" s="1" t="str">
        <f ca="1">IFERROR(__xludf.DUMMYFUNCTION("""COMPUTED_VALUE"""),"Rosamia Da Nang Hotel")</f>
        <v>Rosamia Da Nang Hotel</v>
      </c>
      <c r="L83" s="1" t="str">
        <f ca="1">IFERROR(__xludf.DUMMYFUNCTION("""COMPUTED_VALUE"""),"Rosamia Da Nang Hotel")</f>
        <v>Rosamia Da Nang Hotel</v>
      </c>
      <c r="M83" s="1" t="str">
        <f ca="1">IFERROR(__xludf.DUMMYFUNCTION("""COMPUTED_VALUE"""),"282 Võ Nguyên Giáp, Ngũ Hành Sơn, Đà Nẵng ")</f>
        <v xml:space="preserve">282 Võ Nguyên Giáp, Ngũ Hành Sơn, Đà Nẵng </v>
      </c>
      <c r="N83" s="1" t="str">
        <f ca="1">IFERROR(__xludf.DUMMYFUNCTION("""COMPUTED_VALUE"""),"Đà Nẵng ")</f>
        <v xml:space="preserve">Đà Nẵng </v>
      </c>
      <c r="O83" s="1" t="str">
        <f ca="1">IFERROR(__xludf.DUMMYFUNCTION("""COMPUTED_VALUE"""),"Lễ tân Spa")</f>
        <v>Lễ tân Spa</v>
      </c>
      <c r="P83" s="1" t="str">
        <f ca="1">IFERROR(__xludf.DUMMYFUNCTION("""COMPUTED_VALUE"""),"Spa")</f>
        <v>Spa</v>
      </c>
      <c r="Q83" s="1" t="str">
        <f ca="1">IFERROR(__xludf.DUMMYFUNCTION("""COMPUTED_VALUE"""),"17/01/2025")</f>
        <v>17/01/2025</v>
      </c>
      <c r="R83" s="1" t="str">
        <f ca="1">IFERROR(__xludf.DUMMYFUNCTION("""COMPUTED_VALUE"""),"cam kết")</f>
        <v>cam kết</v>
      </c>
      <c r="S83" s="1" t="str">
        <f ca="1">IFERROR(__xludf.DUMMYFUNCTION("""COMPUTED_VALUE"""),"Chuyên đề")</f>
        <v>Chuyên đề</v>
      </c>
      <c r="T83" s="1"/>
      <c r="U83" s="4">
        <f ca="1">IFERROR(__xludf.DUMMYFUNCTION("""COMPUTED_VALUE"""),45670)</f>
        <v>45670</v>
      </c>
      <c r="V83" s="4">
        <f ca="1">IFERROR(__xludf.DUMMYFUNCTION("""COMPUTED_VALUE"""),45760)</f>
        <v>45760</v>
      </c>
      <c r="W83" s="1">
        <f ca="1">IFERROR(__xludf.DUMMYFUNCTION("""COMPUTED_VALUE"""),82)</f>
        <v>82</v>
      </c>
      <c r="X83" s="1" t="str">
        <f ca="1">IFERROR(__xludf.DUMMYFUNCTION("""COMPUTED_VALUE"""),"18/01/2025")</f>
        <v>18/01/2025</v>
      </c>
      <c r="Y83" s="1" t="str">
        <f ca="1">IFERROR(__xludf.DUMMYFUNCTION("""COMPUTED_VALUE"""),"DUYỆT")</f>
        <v>DUYỆT</v>
      </c>
      <c r="Z83" s="1" t="str">
        <f ca="1">IFERROR(__xludf.DUMMYFUNCTION("""COMPUTED_VALUE"""),"18/01/2025")</f>
        <v>18/01/2025</v>
      </c>
      <c r="AA83" s="1" t="str">
        <f ca="1">IFERROR(__xludf.DUMMYFUNCTION("""COMPUTED_VALUE"""),"Rosamia Da Nang Hotel")</f>
        <v>Rosamia Da Nang Hotel</v>
      </c>
      <c r="AB83" s="1" t="str">
        <f ca="1">IFERROR(__xludf.DUMMYFUNCTION("""COMPUTED_VALUE"""),"Lễ tân Spa")</f>
        <v>Lễ tân Spa</v>
      </c>
      <c r="AC83" s="1"/>
      <c r="AD83" s="1" t="str">
        <f ca="1">IFERROR(__xludf.DUMMYFUNCTION("""COMPUTED_VALUE"""),"chỉ chấp nhận nếu SV làm lễ tân spa, ko chấp nhận nếu sv làm công việc khác tại bộ phận này")</f>
        <v>chỉ chấp nhận nếu SV làm lễ tân spa, ko chấp nhận nếu sv làm công việc khác tại bộ phận này</v>
      </c>
      <c r="AE83" s="1" t="str">
        <f ca="1">IFERROR(__xludf.DUMMYFUNCTION("""COMPUTED_VALUE"""),"")</f>
        <v/>
      </c>
    </row>
    <row r="84" spans="1:31" x14ac:dyDescent="0.2">
      <c r="A84" s="6">
        <f ca="1">IFERROR(__xludf.DUMMYFUNCTION("""COMPUTED_VALUE"""),45674.8711021064)</f>
        <v>45674.871102106401</v>
      </c>
      <c r="B84" s="1"/>
      <c r="C84" s="1">
        <f ca="1">IFERROR(__xludf.DUMMYFUNCTION("""COMPUTED_VALUE"""),27217120413)</f>
        <v>27217120413</v>
      </c>
      <c r="D84" s="1" t="str">
        <f ca="1">IFERROR(__xludf.DUMMYFUNCTION("""COMPUTED_VALUE"""),"Nguyễn Phú Nhân")</f>
        <v>Nguyễn Phú Nhân</v>
      </c>
      <c r="E84" s="4"/>
      <c r="F84" s="1" t="str">
        <f ca="1">IFERROR(__xludf.DUMMYFUNCTION("""COMPUTED_VALUE"""),"K27DLK 1")</f>
        <v>K27DLK 1</v>
      </c>
      <c r="G84" s="1" t="str">
        <f ca="1">IFERROR(__xludf.DUMMYFUNCTION("""COMPUTED_VALUE"""),"Quản trị Du lịch &amp; Khách sạn")</f>
        <v>Quản trị Du lịch &amp; Khách sạn</v>
      </c>
      <c r="H84" s="1">
        <f ca="1">IFERROR(__xludf.DUMMYFUNCTION("""COMPUTED_VALUE"""),27)</f>
        <v>27</v>
      </c>
      <c r="I84" s="1"/>
      <c r="J84" s="1" t="str">
        <f ca="1">IFERROR(__xludf.DUMMYFUNCTION("""COMPUTED_VALUE"""),"Chuyên đề")</f>
        <v>Chuyên đề</v>
      </c>
      <c r="K84" s="1" t="str">
        <f ca="1">IFERROR(__xludf.DUMMYFUNCTION("""COMPUTED_VALUE"""),"Wyndham DaNang Golden Bay")</f>
        <v>Wyndham DaNang Golden Bay</v>
      </c>
      <c r="L84" s="1"/>
      <c r="M84" s="1" t="str">
        <f ca="1">IFERROR(__xludf.DUMMYFUNCTION("""COMPUTED_VALUE"""),"1 Lê Văn Duyệt")</f>
        <v>1 Lê Văn Duyệt</v>
      </c>
      <c r="N84" s="1" t="str">
        <f ca="1">IFERROR(__xludf.DUMMYFUNCTION("""COMPUTED_VALUE"""),"Đà Nẵng")</f>
        <v>Đà Nẵng</v>
      </c>
      <c r="O84" s="1" t="str">
        <f ca="1">IFERROR(__xludf.DUMMYFUNCTION("""COMPUTED_VALUE"""),"Nhà hàng")</f>
        <v>Nhà hàng</v>
      </c>
      <c r="P84" s="1"/>
      <c r="Q84" s="1" t="str">
        <f ca="1">IFERROR(__xludf.DUMMYFUNCTION("""COMPUTED_VALUE"""),"7/1/2025")</f>
        <v>7/1/2025</v>
      </c>
      <c r="R84" s="1" t="str">
        <f ca="1">IFERROR(__xludf.DUMMYFUNCTION("""COMPUTED_VALUE"""),"cam kết")</f>
        <v>cam kết</v>
      </c>
      <c r="S84" s="1" t="str">
        <f ca="1">IFERROR(__xludf.DUMMYFUNCTION("""COMPUTED_VALUE"""),"Chuyên đề")</f>
        <v>Chuyên đề</v>
      </c>
      <c r="T84" s="1"/>
      <c r="U84" s="4">
        <f ca="1">IFERROR(__xludf.DUMMYFUNCTION("""COMPUTED_VALUE"""),45698)</f>
        <v>45698</v>
      </c>
      <c r="V84" s="4">
        <f ca="1">IFERROR(__xludf.DUMMYFUNCTION("""COMPUTED_VALUE"""),45787)</f>
        <v>45787</v>
      </c>
      <c r="W84" s="1">
        <f ca="1">IFERROR(__xludf.DUMMYFUNCTION("""COMPUTED_VALUE"""),83)</f>
        <v>83</v>
      </c>
      <c r="X84" s="1" t="str">
        <f ca="1">IFERROR(__xludf.DUMMYFUNCTION("""COMPUTED_VALUE"""),"20/01/2025")</f>
        <v>20/01/2025</v>
      </c>
      <c r="Y84" s="1" t="str">
        <f ca="1">IFERROR(__xludf.DUMMYFUNCTION("""COMPUTED_VALUE"""),"DUYỆT")</f>
        <v>DUYỆT</v>
      </c>
      <c r="Z84" s="1" t="str">
        <f ca="1">IFERROR(__xludf.DUMMYFUNCTION("""COMPUTED_VALUE"""),"18/01/2025")</f>
        <v>18/01/2025</v>
      </c>
      <c r="AA84" s="1" t="str">
        <f ca="1">IFERROR(__xludf.DUMMYFUNCTION("""COMPUTED_VALUE"""),"Wyndham DaNang Golden Bay")</f>
        <v>Wyndham DaNang Golden Bay</v>
      </c>
      <c r="AB84" s="1" t="str">
        <f ca="1">IFERROR(__xludf.DUMMYFUNCTION("""COMPUTED_VALUE"""),"Nhà hàng")</f>
        <v>Nhà hàng</v>
      </c>
      <c r="AC84" s="1"/>
      <c r="AD84" s="1" t="str">
        <f ca="1">IFERROR(__xludf.DUMMYFUNCTION("""COMPUTED_VALUE"""),"sv phải đám bảo ko quá 5sv/nhà hàng")</f>
        <v>sv phải đám bảo ko quá 5sv/nhà hàng</v>
      </c>
      <c r="AE84" s="1" t="str">
        <f ca="1">IFERROR(__xludf.DUMMYFUNCTION("""COMPUTED_VALUE"""),"")</f>
        <v/>
      </c>
    </row>
    <row r="85" spans="1:31" x14ac:dyDescent="0.2">
      <c r="A85" s="6">
        <f ca="1">IFERROR(__xludf.DUMMYFUNCTION("""COMPUTED_VALUE"""),45694.4348487268)</f>
        <v>45694.4348487268</v>
      </c>
      <c r="B85" s="1"/>
      <c r="C85" s="1">
        <f ca="1">IFERROR(__xludf.DUMMYFUNCTION("""COMPUTED_VALUE"""),26207100647)</f>
        <v>26207100647</v>
      </c>
      <c r="D85" s="1" t="str">
        <f ca="1">IFERROR(__xludf.DUMMYFUNCTION("""COMPUTED_VALUE"""),"Huỳnh Thị Bích Dung")</f>
        <v>Huỳnh Thị Bích Dung</v>
      </c>
      <c r="E85" s="4"/>
      <c r="F85" s="1" t="str">
        <f ca="1">IFERROR(__xludf.DUMMYFUNCTION("""COMPUTED_VALUE"""),"K27PSU DLK 1")</f>
        <v>K27PSU DLK 1</v>
      </c>
      <c r="G85" s="1" t="str">
        <f ca="1">IFERROR(__xludf.DUMMYFUNCTION("""COMPUTED_VALUE"""),"Quản trị Du lịch &amp; Khách sạn chuẩn PSU")</f>
        <v>Quản trị Du lịch &amp; Khách sạn chuẩn PSU</v>
      </c>
      <c r="H85" s="1">
        <f ca="1">IFERROR(__xludf.DUMMYFUNCTION("""COMPUTED_VALUE"""),27)</f>
        <v>27</v>
      </c>
      <c r="I85" s="1"/>
      <c r="J85" s="1" t="str">
        <f ca="1">IFERROR(__xludf.DUMMYFUNCTION("""COMPUTED_VALUE"""),"Chuyên đề")</f>
        <v>Chuyên đề</v>
      </c>
      <c r="K85" s="1" t="str">
        <f ca="1">IFERROR(__xludf.DUMMYFUNCTION("""COMPUTED_VALUE"""),"Renaissance Hoi An Resort &amp; Spa")</f>
        <v>Renaissance Hoi An Resort &amp; Spa</v>
      </c>
      <c r="L85" s="1" t="str">
        <f ca="1">IFERROR(__xludf.DUMMYFUNCTION("""COMPUTED_VALUE"""),"Renaissance Hoi An Resort &amp; Spa")</f>
        <v>Renaissance Hoi An Resort &amp; Spa</v>
      </c>
      <c r="M85" s="1" t="str">
        <f ca="1">IFERROR(__xludf.DUMMYFUNCTION("""COMPUTED_VALUE"""),"Block 6, Phuoc Hai, Cửa Đại, Hội An, Quảng Nam 51300")</f>
        <v>Block 6, Phuoc Hai, Cửa Đại, Hội An, Quảng Nam 51300</v>
      </c>
      <c r="N85" s="1" t="str">
        <f ca="1">IFERROR(__xludf.DUMMYFUNCTION("""COMPUTED_VALUE"""),"Quảng Nam")</f>
        <v>Quảng Nam</v>
      </c>
      <c r="O85" s="1" t="str">
        <f ca="1">IFERROR(__xludf.DUMMYFUNCTION("""COMPUTED_VALUE"""),"Nhà hàng")</f>
        <v>Nhà hàng</v>
      </c>
      <c r="P85" s="1"/>
      <c r="Q85" s="1" t="str">
        <f ca="1">IFERROR(__xludf.DUMMYFUNCTION("""COMPUTED_VALUE"""),"10/02/2025")</f>
        <v>10/02/2025</v>
      </c>
      <c r="R85" s="1" t="str">
        <f ca="1">IFERROR(__xludf.DUMMYFUNCTION("""COMPUTED_VALUE"""),"cam kết")</f>
        <v>cam kết</v>
      </c>
      <c r="S85" s="1" t="str">
        <f ca="1">IFERROR(__xludf.DUMMYFUNCTION("""COMPUTED_VALUE"""),"Chuyên đề")</f>
        <v>Chuyên đề</v>
      </c>
      <c r="T85" s="1" t="str">
        <f ca="1">IFERROR(__xludf.DUMMYFUNCTION("""COMPUTED_VALUE"""),"Hồ Sử Minh Tài")</f>
        <v>Hồ Sử Minh Tài</v>
      </c>
      <c r="U85" s="4">
        <f ca="1">IFERROR(__xludf.DUMMYFUNCTION("""COMPUTED_VALUE"""),45698)</f>
        <v>45698</v>
      </c>
      <c r="V85" s="4">
        <f ca="1">IFERROR(__xludf.DUMMYFUNCTION("""COMPUTED_VALUE"""),45787)</f>
        <v>45787</v>
      </c>
      <c r="W85" s="1"/>
      <c r="X85" s="1"/>
      <c r="Y85" s="1" t="str">
        <f ca="1">IFERROR(__xludf.DUMMYFUNCTION("""COMPUTED_VALUE"""),"DUYỆT")</f>
        <v>DUYỆT</v>
      </c>
      <c r="Z85" s="3">
        <f ca="1">IFERROR(__xludf.DUMMYFUNCTION("""COMPUTED_VALUE"""),45810)</f>
        <v>45810</v>
      </c>
      <c r="AA85" s="1" t="str">
        <f ca="1">IFERROR(__xludf.DUMMYFUNCTION("""COMPUTED_VALUE"""),"Renaissance Hoi An Resort &amp; Spa")</f>
        <v>Renaissance Hoi An Resort &amp; Spa</v>
      </c>
      <c r="AB85" s="1" t="str">
        <f ca="1">IFERROR(__xludf.DUMMYFUNCTION("""COMPUTED_VALUE"""),"Nhà hàng")</f>
        <v>Nhà hàng</v>
      </c>
      <c r="AC85" s="1" t="str">
        <f ca="1">IFERROR(__xludf.DUMMYFUNCTION("""COMPUTED_VALUE"""),"ĐÃ NỘP")</f>
        <v>ĐÃ NỘP</v>
      </c>
      <c r="AD85" s="1"/>
      <c r="AE85" s="1" t="str">
        <f ca="1">IFERROR(__xludf.DUMMYFUNCTION("""COMPUTED_VALUE"""),"")</f>
        <v/>
      </c>
    </row>
    <row r="86" spans="1:31" x14ac:dyDescent="0.2">
      <c r="A86" s="6">
        <f ca="1">IFERROR(__xludf.DUMMYFUNCTION("""COMPUTED_VALUE"""),45675.0893570601)</f>
        <v>45675.089357060097</v>
      </c>
      <c r="B86" s="1"/>
      <c r="C86" s="1">
        <f ca="1">IFERROR(__xludf.DUMMYFUNCTION("""COMPUTED_VALUE"""),27207130741)</f>
        <v>27207130741</v>
      </c>
      <c r="D86" s="1" t="str">
        <f ca="1">IFERROR(__xludf.DUMMYFUNCTION("""COMPUTED_VALUE"""),"PHẠM NGỌC TƯƠI")</f>
        <v>PHẠM NGỌC TƯƠI</v>
      </c>
      <c r="E86" s="4"/>
      <c r="F86" s="1" t="str">
        <f ca="1">IFERROR(__xludf.DUMMYFUNCTION("""COMPUTED_VALUE"""),"K27DLK3")</f>
        <v>K27DLK3</v>
      </c>
      <c r="G86" s="1" t="str">
        <f ca="1">IFERROR(__xludf.DUMMYFUNCTION("""COMPUTED_VALUE"""),"Quản trị Du lịch &amp; Khách sạn")</f>
        <v>Quản trị Du lịch &amp; Khách sạn</v>
      </c>
      <c r="H86" s="1">
        <f ca="1">IFERROR(__xludf.DUMMYFUNCTION("""COMPUTED_VALUE"""),27)</f>
        <v>27</v>
      </c>
      <c r="I86" s="1"/>
      <c r="J86" s="1" t="str">
        <f ca="1">IFERROR(__xludf.DUMMYFUNCTION("""COMPUTED_VALUE"""),"Khóa luận")</f>
        <v>Khóa luận</v>
      </c>
      <c r="K86" s="1" t="str">
        <f ca="1">IFERROR(__xludf.DUMMYFUNCTION("""COMPUTED_VALUE"""),"Khách sạn Hilton Đà Nẵng")</f>
        <v>Khách sạn Hilton Đà Nẵng</v>
      </c>
      <c r="L86" s="1"/>
      <c r="M86" s="1" t="str">
        <f ca="1">IFERROR(__xludf.DUMMYFUNCTION("""COMPUTED_VALUE"""),"50 Bạch Đằng, Quận Hải Châu, Đà Nẵng , Việt Nam")</f>
        <v>50 Bạch Đằng, Quận Hải Châu, Đà Nẵng , Việt Nam</v>
      </c>
      <c r="N86" s="1" t="str">
        <f ca="1">IFERROR(__xludf.DUMMYFUNCTION("""COMPUTED_VALUE"""),"Đà Nẵng")</f>
        <v>Đà Nẵng</v>
      </c>
      <c r="O86" s="1" t="str">
        <f ca="1">IFERROR(__xludf.DUMMYFUNCTION("""COMPUTED_VALUE"""),"Nhà hàng")</f>
        <v>Nhà hàng</v>
      </c>
      <c r="P86" s="1"/>
      <c r="Q86" s="1" t="str">
        <f ca="1">IFERROR(__xludf.DUMMYFUNCTION("""COMPUTED_VALUE"""),"10/02/2025")</f>
        <v>10/02/2025</v>
      </c>
      <c r="R86" s="1" t="str">
        <f ca="1">IFERROR(__xludf.DUMMYFUNCTION("""COMPUTED_VALUE"""),"cam kết")</f>
        <v>cam kết</v>
      </c>
      <c r="S86" s="1" t="str">
        <f ca="1">IFERROR(__xludf.DUMMYFUNCTION("""COMPUTED_VALUE"""),"Khóa luận")</f>
        <v>Khóa luận</v>
      </c>
      <c r="T86" s="1" t="str">
        <f ca="1">IFERROR(__xludf.DUMMYFUNCTION("""COMPUTED_VALUE"""),"Trần Hoàng Anh")</f>
        <v>Trần Hoàng Anh</v>
      </c>
      <c r="U86" s="4">
        <f ca="1">IFERROR(__xludf.DUMMYFUNCTION("""COMPUTED_VALUE"""),45698)</f>
        <v>45698</v>
      </c>
      <c r="V86" s="4">
        <f ca="1">IFERROR(__xludf.DUMMYFUNCTION("""COMPUTED_VALUE"""),42134)</f>
        <v>42134</v>
      </c>
      <c r="W86" s="1">
        <f ca="1">IFERROR(__xludf.DUMMYFUNCTION("""COMPUTED_VALUE"""),85)</f>
        <v>85</v>
      </c>
      <c r="X86" s="3">
        <f ca="1">IFERROR(__xludf.DUMMYFUNCTION("""COMPUTED_VALUE"""),45963)</f>
        <v>45963</v>
      </c>
      <c r="Y86" s="1" t="str">
        <f ca="1">IFERROR(__xludf.DUMMYFUNCTION("""COMPUTED_VALUE"""),"DUYỆT")</f>
        <v>DUYỆT</v>
      </c>
      <c r="Z86" s="1" t="str">
        <f ca="1">IFERROR(__xludf.DUMMYFUNCTION("""COMPUTED_VALUE"""),"18/01/2025")</f>
        <v>18/01/2025</v>
      </c>
      <c r="AA86" s="1" t="str">
        <f ca="1">IFERROR(__xludf.DUMMYFUNCTION("""COMPUTED_VALUE"""),"Khách sạn Hilton Đà Nẵng")</f>
        <v>Khách sạn Hilton Đà Nẵng</v>
      </c>
      <c r="AB86" s="1" t="str">
        <f ca="1">IFERROR(__xludf.DUMMYFUNCTION("""COMPUTED_VALUE"""),"Nhà hàng")</f>
        <v>Nhà hàng</v>
      </c>
      <c r="AC86" s="1"/>
      <c r="AD86" s="1"/>
      <c r="AE86" s="1" t="str">
        <f ca="1">IFERROR(__xludf.DUMMYFUNCTION("""COMPUTED_VALUE"""),"")</f>
        <v/>
      </c>
    </row>
    <row r="87" spans="1:31" x14ac:dyDescent="0.2">
      <c r="A87" s="6">
        <f ca="1">IFERROR(__xludf.DUMMYFUNCTION("""COMPUTED_VALUE"""),45675.3282590277)</f>
        <v>45675.328259027701</v>
      </c>
      <c r="B87" s="1"/>
      <c r="C87" s="1">
        <f ca="1">IFERROR(__xludf.DUMMYFUNCTION("""COMPUTED_VALUE"""),27217101082)</f>
        <v>27217101082</v>
      </c>
      <c r="D87" s="1" t="str">
        <f ca="1">IFERROR(__xludf.DUMMYFUNCTION("""COMPUTED_VALUE"""),"Nguyễn Phương Anh")</f>
        <v>Nguyễn Phương Anh</v>
      </c>
      <c r="E87" s="4"/>
      <c r="F87" s="1" t="str">
        <f ca="1">IFERROR(__xludf.DUMMYFUNCTION("""COMPUTED_VALUE"""),"DLK5")</f>
        <v>DLK5</v>
      </c>
      <c r="G87" s="1" t="str">
        <f ca="1">IFERROR(__xludf.DUMMYFUNCTION("""COMPUTED_VALUE"""),"Quản trị Du lịch &amp; Khách sạn")</f>
        <v>Quản trị Du lịch &amp; Khách sạn</v>
      </c>
      <c r="H87" s="1">
        <f ca="1">IFERROR(__xludf.DUMMYFUNCTION("""COMPUTED_VALUE"""),27)</f>
        <v>27</v>
      </c>
      <c r="I87" s="1"/>
      <c r="J87" s="1" t="str">
        <f ca="1">IFERROR(__xludf.DUMMYFUNCTION("""COMPUTED_VALUE"""),"Chuyên đề")</f>
        <v>Chuyên đề</v>
      </c>
      <c r="K87" s="1" t="str">
        <f ca="1">IFERROR(__xludf.DUMMYFUNCTION("""COMPUTED_VALUE"""),"Vanda Hotel")</f>
        <v>Vanda Hotel</v>
      </c>
      <c r="L87" s="1"/>
      <c r="M87" s="1" t="str">
        <f ca="1">IFERROR(__xludf.DUMMYFUNCTION("""COMPUTED_VALUE"""),"3 Nguyễn Văn Linh")</f>
        <v>3 Nguyễn Văn Linh</v>
      </c>
      <c r="N87" s="1" t="str">
        <f ca="1">IFERROR(__xludf.DUMMYFUNCTION("""COMPUTED_VALUE"""),"Đà Nẵng")</f>
        <v>Đà Nẵng</v>
      </c>
      <c r="O87" s="1" t="str">
        <f ca="1">IFERROR(__xludf.DUMMYFUNCTION("""COMPUTED_VALUE"""),"Nhà hàng")</f>
        <v>Nhà hàng</v>
      </c>
      <c r="P87" s="1"/>
      <c r="Q87" s="1" t="str">
        <f ca="1">IFERROR(__xludf.DUMMYFUNCTION("""COMPUTED_VALUE"""),"17/01/2025")</f>
        <v>17/01/2025</v>
      </c>
      <c r="R87" s="1" t="str">
        <f ca="1">IFERROR(__xludf.DUMMYFUNCTION("""COMPUTED_VALUE"""),"cam kết")</f>
        <v>cam kết</v>
      </c>
      <c r="S87" s="1" t="str">
        <f ca="1">IFERROR(__xludf.DUMMYFUNCTION("""COMPUTED_VALUE"""),"Chuyên đề")</f>
        <v>Chuyên đề</v>
      </c>
      <c r="T87" s="1"/>
      <c r="U87" s="4">
        <f ca="1">IFERROR(__xludf.DUMMYFUNCTION("""COMPUTED_VALUE"""),45698)</f>
        <v>45698</v>
      </c>
      <c r="V87" s="4">
        <f ca="1">IFERROR(__xludf.DUMMYFUNCTION("""COMPUTED_VALUE"""),45787)</f>
        <v>45787</v>
      </c>
      <c r="W87" s="1">
        <f ca="1">IFERROR(__xludf.DUMMYFUNCTION("""COMPUTED_VALUE"""),86)</f>
        <v>86</v>
      </c>
      <c r="X87" s="1" t="str">
        <f ca="1">IFERROR(__xludf.DUMMYFUNCTION("""COMPUTED_VALUE"""),"20/01/2025")</f>
        <v>20/01/2025</v>
      </c>
      <c r="Y87" s="1" t="str">
        <f ca="1">IFERROR(__xludf.DUMMYFUNCTION("""COMPUTED_VALUE"""),"DUYỆT")</f>
        <v>DUYỆT</v>
      </c>
      <c r="Z87" s="1" t="str">
        <f ca="1">IFERROR(__xludf.DUMMYFUNCTION("""COMPUTED_VALUE"""),"18/01/2025")</f>
        <v>18/01/2025</v>
      </c>
      <c r="AA87" s="1" t="str">
        <f ca="1">IFERROR(__xludf.DUMMYFUNCTION("""COMPUTED_VALUE"""),"Vanda Hotel")</f>
        <v>Vanda Hotel</v>
      </c>
      <c r="AB87" s="1" t="str">
        <f ca="1">IFERROR(__xludf.DUMMYFUNCTION("""COMPUTED_VALUE"""),"Nhà hàng")</f>
        <v>Nhà hàng</v>
      </c>
      <c r="AC87" s="1"/>
      <c r="AD87" s="1"/>
      <c r="AE87" s="1" t="str">
        <f ca="1">IFERROR(__xludf.DUMMYFUNCTION("""COMPUTED_VALUE"""),"")</f>
        <v/>
      </c>
    </row>
    <row r="88" spans="1:31" x14ac:dyDescent="0.2">
      <c r="A88" s="6">
        <f ca="1">IFERROR(__xludf.DUMMYFUNCTION("""COMPUTED_VALUE"""),45675.4027243171)</f>
        <v>45675.4027243171</v>
      </c>
      <c r="B88" s="1"/>
      <c r="C88" s="1">
        <f ca="1">IFERROR(__xludf.DUMMYFUNCTION("""COMPUTED_VALUE"""),27207101221)</f>
        <v>27207101221</v>
      </c>
      <c r="D88" s="1" t="str">
        <f ca="1">IFERROR(__xludf.DUMMYFUNCTION("""COMPUTED_VALUE"""),"Ngô Thị Tuyết Nhi")</f>
        <v>Ngô Thị Tuyết Nhi</v>
      </c>
      <c r="E88" s="4"/>
      <c r="F88" s="1" t="str">
        <f ca="1">IFERROR(__xludf.DUMMYFUNCTION("""COMPUTED_VALUE"""),"K27DLK4")</f>
        <v>K27DLK4</v>
      </c>
      <c r="G88" s="1" t="str">
        <f ca="1">IFERROR(__xludf.DUMMYFUNCTION("""COMPUTED_VALUE"""),"Quản trị Du lịch &amp; Khách sạn")</f>
        <v>Quản trị Du lịch &amp; Khách sạn</v>
      </c>
      <c r="H88" s="1">
        <f ca="1">IFERROR(__xludf.DUMMYFUNCTION("""COMPUTED_VALUE"""),27)</f>
        <v>27</v>
      </c>
      <c r="I88" s="1"/>
      <c r="J88" s="1" t="str">
        <f ca="1">IFERROR(__xludf.DUMMYFUNCTION("""COMPUTED_VALUE"""),"Chuyên đề")</f>
        <v>Chuyên đề</v>
      </c>
      <c r="K88" s="1" t="str">
        <f ca="1">IFERROR(__xludf.DUMMYFUNCTION("""COMPUTED_VALUE"""),"Meliá Vinpearl Danang Riverfront")</f>
        <v>Meliá Vinpearl Danang Riverfront</v>
      </c>
      <c r="L88" s="1"/>
      <c r="M88" s="1" t="str">
        <f ca="1">IFERROR(__xludf.DUMMYFUNCTION("""COMPUTED_VALUE"""),"341 Trần Hưng Đạo")</f>
        <v>341 Trần Hưng Đạo</v>
      </c>
      <c r="N88" s="1" t="str">
        <f ca="1">IFERROR(__xludf.DUMMYFUNCTION("""COMPUTED_VALUE"""),"Thành Phố Đà Nẵng")</f>
        <v>Thành Phố Đà Nẵng</v>
      </c>
      <c r="O88" s="1" t="str">
        <f ca="1">IFERROR(__xludf.DUMMYFUNCTION("""COMPUTED_VALUE"""),"Buồng phòng")</f>
        <v>Buồng phòng</v>
      </c>
      <c r="P88" s="1"/>
      <c r="Q88" s="1" t="str">
        <f ca="1">IFERROR(__xludf.DUMMYFUNCTION("""COMPUTED_VALUE"""),"18/11/2025")</f>
        <v>18/11/2025</v>
      </c>
      <c r="R88" s="1" t="str">
        <f ca="1">IFERROR(__xludf.DUMMYFUNCTION("""COMPUTED_VALUE"""),"cam kết")</f>
        <v>cam kết</v>
      </c>
      <c r="S88" s="1" t="str">
        <f ca="1">IFERROR(__xludf.DUMMYFUNCTION("""COMPUTED_VALUE"""),"Chuyên đề")</f>
        <v>Chuyên đề</v>
      </c>
      <c r="T88" s="1" t="str">
        <f ca="1">IFERROR(__xludf.DUMMYFUNCTION("""COMPUTED_VALUE"""),"Trần Hoàng Anh")</f>
        <v>Trần Hoàng Anh</v>
      </c>
      <c r="U88" s="4">
        <f ca="1">IFERROR(__xludf.DUMMYFUNCTION("""COMPUTED_VALUE"""),45698)</f>
        <v>45698</v>
      </c>
      <c r="V88" s="4">
        <f ca="1">IFERROR(__xludf.DUMMYFUNCTION("""COMPUTED_VALUE"""),45787)</f>
        <v>45787</v>
      </c>
      <c r="W88" s="1">
        <f ca="1">IFERROR(__xludf.DUMMYFUNCTION("""COMPUTED_VALUE"""),87)</f>
        <v>87</v>
      </c>
      <c r="X88" s="1" t="str">
        <f ca="1">IFERROR(__xludf.DUMMYFUNCTION("""COMPUTED_VALUE"""),"20/01/2025")</f>
        <v>20/01/2025</v>
      </c>
      <c r="Y88" s="1" t="str">
        <f ca="1">IFERROR(__xludf.DUMMYFUNCTION("""COMPUTED_VALUE"""),"DUYỆT")</f>
        <v>DUYỆT</v>
      </c>
      <c r="Z88" s="1" t="str">
        <f ca="1">IFERROR(__xludf.DUMMYFUNCTION("""COMPUTED_VALUE"""),"18/01/2025")</f>
        <v>18/01/2025</v>
      </c>
      <c r="AA88" s="1" t="str">
        <f ca="1">IFERROR(__xludf.DUMMYFUNCTION("""COMPUTED_VALUE"""),"Meliá Vinpearl Danang Riverfront")</f>
        <v>Meliá Vinpearl Danang Riverfront</v>
      </c>
      <c r="AB88" s="1" t="str">
        <f ca="1">IFERROR(__xludf.DUMMYFUNCTION("""COMPUTED_VALUE"""),"Buồng phòng")</f>
        <v>Buồng phòng</v>
      </c>
      <c r="AC88" s="1"/>
      <c r="AD88" s="1"/>
      <c r="AE88" s="1" t="str">
        <f ca="1">IFERROR(__xludf.DUMMYFUNCTION("""COMPUTED_VALUE"""),"")</f>
        <v/>
      </c>
    </row>
    <row r="89" spans="1:31" x14ac:dyDescent="0.2">
      <c r="A89" s="6">
        <f ca="1">IFERROR(__xludf.DUMMYFUNCTION("""COMPUTED_VALUE"""),45675.4507485995)</f>
        <v>45675.450748599498</v>
      </c>
      <c r="B89" s="1"/>
      <c r="C89" s="1">
        <f ca="1">IFERROR(__xludf.DUMMYFUNCTION("""COMPUTED_VALUE"""),27217135116)</f>
        <v>27217135116</v>
      </c>
      <c r="D89" s="1" t="str">
        <f ca="1">IFERROR(__xludf.DUMMYFUNCTION("""COMPUTED_VALUE"""),"Phạm Huỳnh Tường Vy ")</f>
        <v xml:space="preserve">Phạm Huỳnh Tường Vy </v>
      </c>
      <c r="E89" s="4"/>
      <c r="F89" s="1" t="str">
        <f ca="1">IFERROR(__xludf.DUMMYFUNCTION("""COMPUTED_VALUE"""),"K37DLK3")</f>
        <v>K37DLK3</v>
      </c>
      <c r="G89" s="1" t="str">
        <f ca="1">IFERROR(__xludf.DUMMYFUNCTION("""COMPUTED_VALUE"""),"Quản trị Du lịch &amp; Khách sạn")</f>
        <v>Quản trị Du lịch &amp; Khách sạn</v>
      </c>
      <c r="H89" s="1">
        <f ca="1">IFERROR(__xludf.DUMMYFUNCTION("""COMPUTED_VALUE"""),27)</f>
        <v>27</v>
      </c>
      <c r="I89" s="1"/>
      <c r="J89" s="1" t="str">
        <f ca="1">IFERROR(__xludf.DUMMYFUNCTION("""COMPUTED_VALUE"""),"Chuyên đề")</f>
        <v>Chuyên đề</v>
      </c>
      <c r="K89" s="1" t="str">
        <f ca="1">IFERROR(__xludf.DUMMYFUNCTION("""COMPUTED_VALUE"""),"Risemount Premier Resort Danang")</f>
        <v>Risemount Premier Resort Danang</v>
      </c>
      <c r="L89" s="1"/>
      <c r="M89" s="1" t="str">
        <f ca="1">IFERROR(__xludf.DUMMYFUNCTION("""COMPUTED_VALUE"""),"120 Nguyễn Văn Thoại , Bắc Mỹ Phú, Ngũ Hành Sơn ")</f>
        <v xml:space="preserve">120 Nguyễn Văn Thoại , Bắc Mỹ Phú, Ngũ Hành Sơn </v>
      </c>
      <c r="N89" s="1" t="str">
        <f ca="1">IFERROR(__xludf.DUMMYFUNCTION("""COMPUTED_VALUE"""),"Thành Phố Đà Nẵng ")</f>
        <v xml:space="preserve">Thành Phố Đà Nẵng </v>
      </c>
      <c r="O89" s="1" t="str">
        <f ca="1">IFERROR(__xludf.DUMMYFUNCTION("""COMPUTED_VALUE"""),"Nhà hàng, Buồng phòng")</f>
        <v>Nhà hàng, Buồng phòng</v>
      </c>
      <c r="P89" s="1"/>
      <c r="Q89" s="1" t="str">
        <f ca="1">IFERROR(__xludf.DUMMYFUNCTION("""COMPUTED_VALUE"""),"18/01/2025")</f>
        <v>18/01/2025</v>
      </c>
      <c r="R89" s="1" t="str">
        <f ca="1">IFERROR(__xludf.DUMMYFUNCTION("""COMPUTED_VALUE"""),"cam kết")</f>
        <v>cam kết</v>
      </c>
      <c r="S89" s="1" t="str">
        <f ca="1">IFERROR(__xludf.DUMMYFUNCTION("""COMPUTED_VALUE"""),"Chuyên đề")</f>
        <v>Chuyên đề</v>
      </c>
      <c r="T89" s="1"/>
      <c r="U89" s="4">
        <f ca="1">IFERROR(__xludf.DUMMYFUNCTION("""COMPUTED_VALUE"""),45698)</f>
        <v>45698</v>
      </c>
      <c r="V89" s="4">
        <f ca="1">IFERROR(__xludf.DUMMYFUNCTION("""COMPUTED_VALUE"""),45787)</f>
        <v>45787</v>
      </c>
      <c r="W89" s="1">
        <f ca="1">IFERROR(__xludf.DUMMYFUNCTION("""COMPUTED_VALUE"""),88)</f>
        <v>88</v>
      </c>
      <c r="X89" s="1" t="str">
        <f ca="1">IFERROR(__xludf.DUMMYFUNCTION("""COMPUTED_VALUE"""),"20/01/2025")</f>
        <v>20/01/2025</v>
      </c>
      <c r="Y89" s="1" t="str">
        <f ca="1">IFERROR(__xludf.DUMMYFUNCTION("""COMPUTED_VALUE"""),"DUYỆT")</f>
        <v>DUYỆT</v>
      </c>
      <c r="Z89" s="1" t="str">
        <f ca="1">IFERROR(__xludf.DUMMYFUNCTION("""COMPUTED_VALUE"""),"18/01/2025")</f>
        <v>18/01/2025</v>
      </c>
      <c r="AA89" s="1" t="str">
        <f ca="1">IFERROR(__xludf.DUMMYFUNCTION("""COMPUTED_VALUE"""),"Risemount Premier Resort Danang")</f>
        <v>Risemount Premier Resort Danang</v>
      </c>
      <c r="AB89" s="1" t="str">
        <f ca="1">IFERROR(__xludf.DUMMYFUNCTION("""COMPUTED_VALUE"""),"Nhà hàng, Buồng phòng")</f>
        <v>Nhà hàng, Buồng phòng</v>
      </c>
      <c r="AC89" s="1"/>
      <c r="AD89" s="1"/>
      <c r="AE89" s="1" t="str">
        <f ca="1">IFERROR(__xludf.DUMMYFUNCTION("""COMPUTED_VALUE"""),"")</f>
        <v/>
      </c>
    </row>
    <row r="90" spans="1:31" x14ac:dyDescent="0.2">
      <c r="A90" s="6">
        <f ca="1">IFERROR(__xludf.DUMMYFUNCTION("""COMPUTED_VALUE"""),45675.455532905)</f>
        <v>45675.455532904998</v>
      </c>
      <c r="B90" s="1"/>
      <c r="C90" s="1">
        <f ca="1">IFERROR(__xludf.DUMMYFUNCTION("""COMPUTED_VALUE"""),27207100134)</f>
        <v>27207100134</v>
      </c>
      <c r="D90" s="1" t="str">
        <f ca="1">IFERROR(__xludf.DUMMYFUNCTION("""COMPUTED_VALUE"""),"Hoàng Thị Thuỷ Tiên")</f>
        <v>Hoàng Thị Thuỷ Tiên</v>
      </c>
      <c r="E90" s="4"/>
      <c r="F90" s="1" t="str">
        <f ca="1">IFERROR(__xludf.DUMMYFUNCTION("""COMPUTED_VALUE"""),"K27DLK3")</f>
        <v>K27DLK3</v>
      </c>
      <c r="G90" s="1" t="str">
        <f ca="1">IFERROR(__xludf.DUMMYFUNCTION("""COMPUTED_VALUE"""),"Quản trị Du lịch &amp; Khách sạn")</f>
        <v>Quản trị Du lịch &amp; Khách sạn</v>
      </c>
      <c r="H90" s="1">
        <f ca="1">IFERROR(__xludf.DUMMYFUNCTION("""COMPUTED_VALUE"""),27)</f>
        <v>27</v>
      </c>
      <c r="I90" s="1"/>
      <c r="J90" s="1" t="str">
        <f ca="1">IFERROR(__xludf.DUMMYFUNCTION("""COMPUTED_VALUE"""),"Chuyên đề")</f>
        <v>Chuyên đề</v>
      </c>
      <c r="K90" s="1" t="str">
        <f ca="1">IFERROR(__xludf.DUMMYFUNCTION("""COMPUTED_VALUE"""),"Risemount Premier Resort Danang")</f>
        <v>Risemount Premier Resort Danang</v>
      </c>
      <c r="L90" s="1"/>
      <c r="M90" s="1" t="str">
        <f ca="1">IFERROR(__xludf.DUMMYFUNCTION("""COMPUTED_VALUE"""),"120 Nguyễn Văn Thoại, Bắc Mỹ Phú, Ngũ Hành Sơn, TP. Đà Nẵng")</f>
        <v>120 Nguyễn Văn Thoại, Bắc Mỹ Phú, Ngũ Hành Sơn, TP. Đà Nẵng</v>
      </c>
      <c r="N90" s="1" t="str">
        <f ca="1">IFERROR(__xludf.DUMMYFUNCTION("""COMPUTED_VALUE"""),"Đà Nẵng")</f>
        <v>Đà Nẵng</v>
      </c>
      <c r="O90" s="1" t="str">
        <f ca="1">IFERROR(__xludf.DUMMYFUNCTION("""COMPUTED_VALUE"""),"Nhà hàng")</f>
        <v>Nhà hàng</v>
      </c>
      <c r="P90" s="1"/>
      <c r="Q90" s="1" t="str">
        <f ca="1">IFERROR(__xludf.DUMMYFUNCTION("""COMPUTED_VALUE"""),"18/01/2025")</f>
        <v>18/01/2025</v>
      </c>
      <c r="R90" s="1" t="str">
        <f ca="1">IFERROR(__xludf.DUMMYFUNCTION("""COMPUTED_VALUE"""),"cam kết")</f>
        <v>cam kết</v>
      </c>
      <c r="S90" s="1" t="str">
        <f ca="1">IFERROR(__xludf.DUMMYFUNCTION("""COMPUTED_VALUE"""),"Chuyên đề")</f>
        <v>Chuyên đề</v>
      </c>
      <c r="T90" s="1"/>
      <c r="U90" s="4">
        <f ca="1">IFERROR(__xludf.DUMMYFUNCTION("""COMPUTED_VALUE"""),45698)</f>
        <v>45698</v>
      </c>
      <c r="V90" s="4">
        <f ca="1">IFERROR(__xludf.DUMMYFUNCTION("""COMPUTED_VALUE"""),45787)</f>
        <v>45787</v>
      </c>
      <c r="W90" s="1">
        <f ca="1">IFERROR(__xludf.DUMMYFUNCTION("""COMPUTED_VALUE"""),89)</f>
        <v>89</v>
      </c>
      <c r="X90" s="1" t="str">
        <f ca="1">IFERROR(__xludf.DUMMYFUNCTION("""COMPUTED_VALUE"""),"20/01/2025")</f>
        <v>20/01/2025</v>
      </c>
      <c r="Y90" s="1" t="str">
        <f ca="1">IFERROR(__xludf.DUMMYFUNCTION("""COMPUTED_VALUE"""),"DUYỆT")</f>
        <v>DUYỆT</v>
      </c>
      <c r="Z90" s="1" t="str">
        <f ca="1">IFERROR(__xludf.DUMMYFUNCTION("""COMPUTED_VALUE"""),"18/01/2025")</f>
        <v>18/01/2025</v>
      </c>
      <c r="AA90" s="1" t="str">
        <f ca="1">IFERROR(__xludf.DUMMYFUNCTION("""COMPUTED_VALUE"""),"Risemount Premier Resort Danang")</f>
        <v>Risemount Premier Resort Danang</v>
      </c>
      <c r="AB90" s="1" t="str">
        <f ca="1">IFERROR(__xludf.DUMMYFUNCTION("""COMPUTED_VALUE"""),"Nhà hàng")</f>
        <v>Nhà hàng</v>
      </c>
      <c r="AC90" s="1"/>
      <c r="AD90" s="1"/>
      <c r="AE90" s="1" t="str">
        <f ca="1">IFERROR(__xludf.DUMMYFUNCTION("""COMPUTED_VALUE"""),"")</f>
        <v/>
      </c>
    </row>
    <row r="91" spans="1:31" x14ac:dyDescent="0.2">
      <c r="A91" s="6">
        <f ca="1">IFERROR(__xludf.DUMMYFUNCTION("""COMPUTED_VALUE"""),45695.5788194675)</f>
        <v>45695.578819467497</v>
      </c>
      <c r="B91" s="1"/>
      <c r="C91" s="1">
        <f ca="1">IFERROR(__xludf.DUMMYFUNCTION("""COMPUTED_VALUE"""),27217101134)</f>
        <v>27217101134</v>
      </c>
      <c r="D91" s="1" t="str">
        <f ca="1">IFERROR(__xludf.DUMMYFUNCTION("""COMPUTED_VALUE"""),"Trang Minh Phúc")</f>
        <v>Trang Minh Phúc</v>
      </c>
      <c r="E91" s="4"/>
      <c r="F91" s="1" t="str">
        <f ca="1">IFERROR(__xludf.DUMMYFUNCTION("""COMPUTED_VALUE"""),"K27DLK4")</f>
        <v>K27DLK4</v>
      </c>
      <c r="G91" s="1" t="str">
        <f ca="1">IFERROR(__xludf.DUMMYFUNCTION("""COMPUTED_VALUE"""),"Quản trị Du lịch &amp; Khách sạn")</f>
        <v>Quản trị Du lịch &amp; Khách sạn</v>
      </c>
      <c r="H91" s="1">
        <f ca="1">IFERROR(__xludf.DUMMYFUNCTION("""COMPUTED_VALUE"""),27)</f>
        <v>27</v>
      </c>
      <c r="I91" s="1"/>
      <c r="J91" s="1" t="str">
        <f ca="1">IFERROR(__xludf.DUMMYFUNCTION("""COMPUTED_VALUE"""),"Chuyên đề")</f>
        <v>Chuyên đề</v>
      </c>
      <c r="K91" s="1" t="str">
        <f ca="1">IFERROR(__xludf.DUMMYFUNCTION("""COMPUTED_VALUE"""),"Paris Deli Danang Beach Hotel")</f>
        <v>Paris Deli Danang Beach Hotel</v>
      </c>
      <c r="L91" s="1" t="str">
        <f ca="1">IFERROR(__xludf.DUMMYFUNCTION("""COMPUTED_VALUE"""),"Khách Sạn Paris Deli")</f>
        <v>Khách Sạn Paris Deli</v>
      </c>
      <c r="M91" s="1" t="str">
        <f ca="1">IFERROR(__xludf.DUMMYFUNCTION("""COMPUTED_VALUE"""),"236 Võ Nguyên Giáp, Phường Phước Mỹ, Quận Sơn Trà, Thành Phố Đà Nẵng")</f>
        <v>236 Võ Nguyên Giáp, Phường Phước Mỹ, Quận Sơn Trà, Thành Phố Đà Nẵng</v>
      </c>
      <c r="N91" s="1" t="str">
        <f ca="1">IFERROR(__xludf.DUMMYFUNCTION("""COMPUTED_VALUE"""),"Thành Phố Đà Nẵng")</f>
        <v>Thành Phố Đà Nẵng</v>
      </c>
      <c r="O91" s="1" t="str">
        <f ca="1">IFERROR(__xludf.DUMMYFUNCTION("""COMPUTED_VALUE"""),"Tiền sảnh")</f>
        <v>Tiền sảnh</v>
      </c>
      <c r="P91" s="1"/>
      <c r="Q91" s="1" t="str">
        <f ca="1">IFERROR(__xludf.DUMMYFUNCTION("""COMPUTED_VALUE"""),"07/02/2025")</f>
        <v>07/02/2025</v>
      </c>
      <c r="R91" s="1" t="str">
        <f ca="1">IFERROR(__xludf.DUMMYFUNCTION("""COMPUTED_VALUE"""),"cam kết")</f>
        <v>cam kết</v>
      </c>
      <c r="S91" s="1" t="str">
        <f ca="1">IFERROR(__xludf.DUMMYFUNCTION("""COMPUTED_VALUE"""),"Chuyên đề")</f>
        <v>Chuyên đề</v>
      </c>
      <c r="T91" s="1"/>
      <c r="U91" s="4">
        <f ca="1">IFERROR(__xludf.DUMMYFUNCTION("""COMPUTED_VALUE"""),45691)</f>
        <v>45691</v>
      </c>
      <c r="V91" s="4">
        <f ca="1">IFERROR(__xludf.DUMMYFUNCTION("""COMPUTED_VALUE"""),45780)</f>
        <v>45780</v>
      </c>
      <c r="W91" s="1">
        <f ca="1">IFERROR(__xludf.DUMMYFUNCTION("""COMPUTED_VALUE"""),90)</f>
        <v>90</v>
      </c>
      <c r="X91" s="3">
        <f ca="1">IFERROR(__xludf.DUMMYFUNCTION("""COMPUTED_VALUE"""),45932)</f>
        <v>45932</v>
      </c>
      <c r="Y91" s="1" t="str">
        <f ca="1">IFERROR(__xludf.DUMMYFUNCTION("""COMPUTED_VALUE"""),"DUYỆT")</f>
        <v>DUYỆT</v>
      </c>
      <c r="Z91" s="3">
        <f ca="1">IFERROR(__xludf.DUMMYFUNCTION("""COMPUTED_VALUE"""),45932)</f>
        <v>45932</v>
      </c>
      <c r="AA91" s="1" t="str">
        <f ca="1">IFERROR(__xludf.DUMMYFUNCTION("""COMPUTED_VALUE"""),"Paris Deli Danang Beach Hotel")</f>
        <v>Paris Deli Danang Beach Hotel</v>
      </c>
      <c r="AB91" s="1" t="str">
        <f ca="1">IFERROR(__xludf.DUMMYFUNCTION("""COMPUTED_VALUE"""),"Tiền sảnh")</f>
        <v>Tiền sảnh</v>
      </c>
      <c r="AC91" s="1"/>
      <c r="AD91" s="1"/>
      <c r="AE91" s="1" t="str">
        <f ca="1">IFERROR(__xludf.DUMMYFUNCTION("""COMPUTED_VALUE"""),"")</f>
        <v/>
      </c>
    </row>
    <row r="92" spans="1:31" x14ac:dyDescent="0.2">
      <c r="A92" s="6">
        <f ca="1">IFERROR(__xludf.DUMMYFUNCTION("""COMPUTED_VALUE"""),45675.466139375)</f>
        <v>45675.466139374999</v>
      </c>
      <c r="B92" s="1"/>
      <c r="C92" s="1">
        <f ca="1">IFERROR(__xludf.DUMMYFUNCTION("""COMPUTED_VALUE"""),27217130071)</f>
        <v>27217130071</v>
      </c>
      <c r="D92" s="1" t="str">
        <f ca="1">IFERROR(__xludf.DUMMYFUNCTION("""COMPUTED_VALUE"""),"Trần Văn Tứ ")</f>
        <v xml:space="preserve">Trần Văn Tứ </v>
      </c>
      <c r="E92" s="4"/>
      <c r="F92" s="1" t="str">
        <f ca="1">IFERROR(__xludf.DUMMYFUNCTION("""COMPUTED_VALUE"""),"K27DLK1")</f>
        <v>K27DLK1</v>
      </c>
      <c r="G92" s="1" t="str">
        <f ca="1">IFERROR(__xludf.DUMMYFUNCTION("""COMPUTED_VALUE"""),"Quản trị Du lịch &amp; Khách sạn")</f>
        <v>Quản trị Du lịch &amp; Khách sạn</v>
      </c>
      <c r="H92" s="1">
        <f ca="1">IFERROR(__xludf.DUMMYFUNCTION("""COMPUTED_VALUE"""),27)</f>
        <v>27</v>
      </c>
      <c r="I92" s="1"/>
      <c r="J92" s="1" t="str">
        <f ca="1">IFERROR(__xludf.DUMMYFUNCTION("""COMPUTED_VALUE"""),"Chuyên đề")</f>
        <v>Chuyên đề</v>
      </c>
      <c r="K92" s="1" t="str">
        <f ca="1">IFERROR(__xludf.DUMMYFUNCTION("""COMPUTED_VALUE"""),"Meliá Vinpearl Danang Riverfront")</f>
        <v>Meliá Vinpearl Danang Riverfront</v>
      </c>
      <c r="L92" s="1"/>
      <c r="M92" s="1" t="str">
        <f ca="1">IFERROR(__xludf.DUMMYFUNCTION("""COMPUTED_VALUE"""),"341 Trần Hưng Đạo, An Hải Bắc, Sơn Trà, Đà Nẵng")</f>
        <v>341 Trần Hưng Đạo, An Hải Bắc, Sơn Trà, Đà Nẵng</v>
      </c>
      <c r="N92" s="1" t="str">
        <f ca="1">IFERROR(__xludf.DUMMYFUNCTION("""COMPUTED_VALUE"""),"Đà Nẵng")</f>
        <v>Đà Nẵng</v>
      </c>
      <c r="O92" s="1" t="str">
        <f ca="1">IFERROR(__xludf.DUMMYFUNCTION("""COMPUTED_VALUE"""),"Buồng phòng")</f>
        <v>Buồng phòng</v>
      </c>
      <c r="P92" s="1"/>
      <c r="Q92" s="1" t="str">
        <f ca="1">IFERROR(__xludf.DUMMYFUNCTION("""COMPUTED_VALUE"""),"18/01/2025")</f>
        <v>18/01/2025</v>
      </c>
      <c r="R92" s="1" t="str">
        <f ca="1">IFERROR(__xludf.DUMMYFUNCTION("""COMPUTED_VALUE"""),"cam kết")</f>
        <v>cam kết</v>
      </c>
      <c r="S92" s="1" t="str">
        <f ca="1">IFERROR(__xludf.DUMMYFUNCTION("""COMPUTED_VALUE"""),"Chuyên đề")</f>
        <v>Chuyên đề</v>
      </c>
      <c r="T92" s="1" t="str">
        <f ca="1">IFERROR(__xludf.DUMMYFUNCTION("""COMPUTED_VALUE"""),"Trần Hoàng Anh")</f>
        <v>Trần Hoàng Anh</v>
      </c>
      <c r="U92" s="4">
        <f ca="1">IFERROR(__xludf.DUMMYFUNCTION("""COMPUTED_VALUE"""),45698)</f>
        <v>45698</v>
      </c>
      <c r="V92" s="4">
        <f ca="1">IFERROR(__xludf.DUMMYFUNCTION("""COMPUTED_VALUE"""),45787)</f>
        <v>45787</v>
      </c>
      <c r="W92" s="1">
        <f ca="1">IFERROR(__xludf.DUMMYFUNCTION("""COMPUTED_VALUE"""),91)</f>
        <v>91</v>
      </c>
      <c r="X92" s="1" t="str">
        <f ca="1">IFERROR(__xludf.DUMMYFUNCTION("""COMPUTED_VALUE"""),"20/01/2025")</f>
        <v>20/01/2025</v>
      </c>
      <c r="Y92" s="1" t="str">
        <f ca="1">IFERROR(__xludf.DUMMYFUNCTION("""COMPUTED_VALUE"""),"DUYỆT")</f>
        <v>DUYỆT</v>
      </c>
      <c r="Z92" s="1" t="str">
        <f ca="1">IFERROR(__xludf.DUMMYFUNCTION("""COMPUTED_VALUE"""),"18/01/2025")</f>
        <v>18/01/2025</v>
      </c>
      <c r="AA92" s="1" t="str">
        <f ca="1">IFERROR(__xludf.DUMMYFUNCTION("""COMPUTED_VALUE"""),"Meliá Vinpearl Danang Riverfront")</f>
        <v>Meliá Vinpearl Danang Riverfront</v>
      </c>
      <c r="AB92" s="1" t="str">
        <f ca="1">IFERROR(__xludf.DUMMYFUNCTION("""COMPUTED_VALUE"""),"Buồng phòng")</f>
        <v>Buồng phòng</v>
      </c>
      <c r="AC92" s="1"/>
      <c r="AD92" s="1"/>
      <c r="AE92" s="1" t="str">
        <f ca="1">IFERROR(__xludf.DUMMYFUNCTION("""COMPUTED_VALUE"""),"")</f>
        <v/>
      </c>
    </row>
    <row r="93" spans="1:31" x14ac:dyDescent="0.2">
      <c r="A93" s="6">
        <f ca="1">IFERROR(__xludf.DUMMYFUNCTION("""COMPUTED_VALUE"""),45675.5751791666)</f>
        <v>45675.575179166597</v>
      </c>
      <c r="B93" s="1"/>
      <c r="C93" s="1">
        <f ca="1">IFERROR(__xludf.DUMMYFUNCTION("""COMPUTED_VALUE"""),27207128591)</f>
        <v>27207128591</v>
      </c>
      <c r="D93" s="1" t="str">
        <f ca="1">IFERROR(__xludf.DUMMYFUNCTION("""COMPUTED_VALUE"""),"Trương Thị Ngọc Lan ")</f>
        <v xml:space="preserve">Trương Thị Ngọc Lan </v>
      </c>
      <c r="E93" s="4"/>
      <c r="F93" s="1" t="str">
        <f ca="1">IFERROR(__xludf.DUMMYFUNCTION("""COMPUTED_VALUE"""),"K27DLK2")</f>
        <v>K27DLK2</v>
      </c>
      <c r="G93" s="1" t="str">
        <f ca="1">IFERROR(__xludf.DUMMYFUNCTION("""COMPUTED_VALUE"""),"Quản trị Du lịch &amp; Khách sạn")</f>
        <v>Quản trị Du lịch &amp; Khách sạn</v>
      </c>
      <c r="H93" s="1">
        <f ca="1">IFERROR(__xludf.DUMMYFUNCTION("""COMPUTED_VALUE"""),27)</f>
        <v>27</v>
      </c>
      <c r="I93" s="1"/>
      <c r="J93" s="1" t="str">
        <f ca="1">IFERROR(__xludf.DUMMYFUNCTION("""COMPUTED_VALUE"""),"Chuyên đề")</f>
        <v>Chuyên đề</v>
      </c>
      <c r="K93" s="1" t="str">
        <f ca="1">IFERROR(__xludf.DUMMYFUNCTION("""COMPUTED_VALUE"""),"Meliá Vinpearl Danang Riverfront")</f>
        <v>Meliá Vinpearl Danang Riverfront</v>
      </c>
      <c r="L93" s="1"/>
      <c r="M93" s="1" t="str">
        <f ca="1">IFERROR(__xludf.DUMMYFUNCTION("""COMPUTED_VALUE""")," 341 Trần Đạo - An Hải Bắc - Sơn Trà - Đà Nẵng")</f>
        <v xml:space="preserve"> 341 Trần Đạo - An Hải Bắc - Sơn Trà - Đà Nẵng</v>
      </c>
      <c r="N93" s="1" t="str">
        <f ca="1">IFERROR(__xludf.DUMMYFUNCTION("""COMPUTED_VALUE"""),"Đà Nẵng ")</f>
        <v xml:space="preserve">Đà Nẵng </v>
      </c>
      <c r="O93" s="1" t="str">
        <f ca="1">IFERROR(__xludf.DUMMYFUNCTION("""COMPUTED_VALUE"""),"Nhà hàng")</f>
        <v>Nhà hàng</v>
      </c>
      <c r="P93" s="1"/>
      <c r="Q93" s="1" t="str">
        <f ca="1">IFERROR(__xludf.DUMMYFUNCTION("""COMPUTED_VALUE"""),"18/01/2025")</f>
        <v>18/01/2025</v>
      </c>
      <c r="R93" s="1" t="str">
        <f ca="1">IFERROR(__xludf.DUMMYFUNCTION("""COMPUTED_VALUE"""),"cam kết")</f>
        <v>cam kết</v>
      </c>
      <c r="S93" s="1" t="str">
        <f ca="1">IFERROR(__xludf.DUMMYFUNCTION("""COMPUTED_VALUE"""),"Chuyên đề")</f>
        <v>Chuyên đề</v>
      </c>
      <c r="T93" s="1"/>
      <c r="U93" s="4">
        <f ca="1">IFERROR(__xludf.DUMMYFUNCTION("""COMPUTED_VALUE"""),45698)</f>
        <v>45698</v>
      </c>
      <c r="V93" s="4">
        <f ca="1">IFERROR(__xludf.DUMMYFUNCTION("""COMPUTED_VALUE"""),45787)</f>
        <v>45787</v>
      </c>
      <c r="W93" s="1">
        <f ca="1">IFERROR(__xludf.DUMMYFUNCTION("""COMPUTED_VALUE"""),92)</f>
        <v>92</v>
      </c>
      <c r="X93" s="1" t="str">
        <f ca="1">IFERROR(__xludf.DUMMYFUNCTION("""COMPUTED_VALUE"""),"20/01/2025")</f>
        <v>20/01/2025</v>
      </c>
      <c r="Y93" s="1" t="str">
        <f ca="1">IFERROR(__xludf.DUMMYFUNCTION("""COMPUTED_VALUE"""),"DUYỆT")</f>
        <v>DUYỆT</v>
      </c>
      <c r="Z93" s="1" t="str">
        <f ca="1">IFERROR(__xludf.DUMMYFUNCTION("""COMPUTED_VALUE"""),"20/01/2025")</f>
        <v>20/01/2025</v>
      </c>
      <c r="AA93" s="1" t="str">
        <f ca="1">IFERROR(__xludf.DUMMYFUNCTION("""COMPUTED_VALUE"""),"Meliá Vinpearl Danang Riverfront")</f>
        <v>Meliá Vinpearl Danang Riverfront</v>
      </c>
      <c r="AB93" s="1" t="str">
        <f ca="1">IFERROR(__xludf.DUMMYFUNCTION("""COMPUTED_VALUE"""),"Nhà hàng")</f>
        <v>Nhà hàng</v>
      </c>
      <c r="AC93" s="1"/>
      <c r="AD93" s="1"/>
      <c r="AE93" s="1" t="str">
        <f ca="1">IFERROR(__xludf.DUMMYFUNCTION("""COMPUTED_VALUE"""),"")</f>
        <v/>
      </c>
    </row>
    <row r="94" spans="1:31" x14ac:dyDescent="0.2">
      <c r="A94" s="6">
        <f ca="1">IFERROR(__xludf.DUMMYFUNCTION("""COMPUTED_VALUE"""),45675.602127037)</f>
        <v>45675.602127036997</v>
      </c>
      <c r="B94" s="1"/>
      <c r="C94" s="1">
        <f ca="1">IFERROR(__xludf.DUMMYFUNCTION("""COMPUTED_VALUE"""),27217102556)</f>
        <v>27217102556</v>
      </c>
      <c r="D94" s="1" t="str">
        <f ca="1">IFERROR(__xludf.DUMMYFUNCTION("""COMPUTED_VALUE"""),"Đặng Thu Phương")</f>
        <v>Đặng Thu Phương</v>
      </c>
      <c r="E94" s="4"/>
      <c r="F94" s="1" t="str">
        <f ca="1">IFERROR(__xludf.DUMMYFUNCTION("""COMPUTED_VALUE"""),"K27DLK7")</f>
        <v>K27DLK7</v>
      </c>
      <c r="G94" s="1" t="str">
        <f ca="1">IFERROR(__xludf.DUMMYFUNCTION("""COMPUTED_VALUE"""),"Quản trị Du lịch &amp; Khách sạn")</f>
        <v>Quản trị Du lịch &amp; Khách sạn</v>
      </c>
      <c r="H94" s="1">
        <f ca="1">IFERROR(__xludf.DUMMYFUNCTION("""COMPUTED_VALUE"""),27)</f>
        <v>27</v>
      </c>
      <c r="I94" s="1"/>
      <c r="J94" s="1" t="str">
        <f ca="1">IFERROR(__xludf.DUMMYFUNCTION("""COMPUTED_VALUE"""),"Chuyên đề")</f>
        <v>Chuyên đề</v>
      </c>
      <c r="K94" s="1" t="str">
        <f ca="1">IFERROR(__xludf.DUMMYFUNCTION("""COMPUTED_VALUE"""),"Hyatt regency DaNang Resort")</f>
        <v>Hyatt regency DaNang Resort</v>
      </c>
      <c r="L94" s="1"/>
      <c r="M94" s="1" t="str">
        <f ca="1">IFERROR(__xludf.DUMMYFUNCTION("""COMPUTED_VALUE"""),"5 Trường Sa , Hoà Hải,Ngũ Hành Sơn,Đà Nẵng ")</f>
        <v xml:space="preserve">5 Trường Sa , Hoà Hải,Ngũ Hành Sơn,Đà Nẵng </v>
      </c>
      <c r="N94" s="1" t="str">
        <f ca="1">IFERROR(__xludf.DUMMYFUNCTION("""COMPUTED_VALUE"""),"Đà Nẵng")</f>
        <v>Đà Nẵng</v>
      </c>
      <c r="O94" s="1" t="str">
        <f ca="1">IFERROR(__xludf.DUMMYFUNCTION("""COMPUTED_VALUE"""),"Nhà hàng")</f>
        <v>Nhà hàng</v>
      </c>
      <c r="P94" s="1"/>
      <c r="Q94" s="1" t="str">
        <f ca="1">IFERROR(__xludf.DUMMYFUNCTION("""COMPUTED_VALUE"""),"22/01/2025")</f>
        <v>22/01/2025</v>
      </c>
      <c r="R94" s="1" t="str">
        <f ca="1">IFERROR(__xludf.DUMMYFUNCTION("""COMPUTED_VALUE"""),"cam kết")</f>
        <v>cam kết</v>
      </c>
      <c r="S94" s="1" t="str">
        <f ca="1">IFERROR(__xludf.DUMMYFUNCTION("""COMPUTED_VALUE"""),"Chuyên đề")</f>
        <v>Chuyên đề</v>
      </c>
      <c r="T94" s="1"/>
      <c r="U94" s="4">
        <f ca="1">IFERROR(__xludf.DUMMYFUNCTION("""COMPUTED_VALUE"""),45698)</f>
        <v>45698</v>
      </c>
      <c r="V94" s="4">
        <f ca="1">IFERROR(__xludf.DUMMYFUNCTION("""COMPUTED_VALUE"""),45787)</f>
        <v>45787</v>
      </c>
      <c r="W94" s="1">
        <f ca="1">IFERROR(__xludf.DUMMYFUNCTION("""COMPUTED_VALUE"""),93)</f>
        <v>93</v>
      </c>
      <c r="X94" s="1" t="str">
        <f ca="1">IFERROR(__xludf.DUMMYFUNCTION("""COMPUTED_VALUE"""),"21/01/2025")</f>
        <v>21/01/2025</v>
      </c>
      <c r="Y94" s="1" t="str">
        <f ca="1">IFERROR(__xludf.DUMMYFUNCTION("""COMPUTED_VALUE"""),"DUYỆT")</f>
        <v>DUYỆT</v>
      </c>
      <c r="Z94" s="1" t="str">
        <f ca="1">IFERROR(__xludf.DUMMYFUNCTION("""COMPUTED_VALUE"""),"20/01/2025")</f>
        <v>20/01/2025</v>
      </c>
      <c r="AA94" s="1" t="str">
        <f ca="1">IFERROR(__xludf.DUMMYFUNCTION("""COMPUTED_VALUE"""),"Hyatt regency DaNang Resort")</f>
        <v>Hyatt regency DaNang Resort</v>
      </c>
      <c r="AB94" s="1" t="str">
        <f ca="1">IFERROR(__xludf.DUMMYFUNCTION("""COMPUTED_VALUE"""),"Nhà hàng")</f>
        <v>Nhà hàng</v>
      </c>
      <c r="AC94" s="1"/>
      <c r="AD94" s="1" t="str">
        <f ca="1">IFERROR(__xludf.DUMMYFUNCTION("""COMPUTED_VALUE"""),"SV phải đảm bảo không thực tập quá 5sv/nhà hàng
Sv chưa ghi thông tin người hướng dẫn tại khách sạn")</f>
        <v>SV phải đảm bảo không thực tập quá 5sv/nhà hàng
Sv chưa ghi thông tin người hướng dẫn tại khách sạn</v>
      </c>
      <c r="AE94" s="1" t="str">
        <f ca="1">IFERROR(__xludf.DUMMYFUNCTION("""COMPUTED_VALUE"""),"")</f>
        <v/>
      </c>
    </row>
    <row r="95" spans="1:31" x14ac:dyDescent="0.2">
      <c r="A95" s="6">
        <f ca="1">IFERROR(__xludf.DUMMYFUNCTION("""COMPUTED_VALUE"""),45675.9883540162)</f>
        <v>45675.988354016197</v>
      </c>
      <c r="B95" s="1"/>
      <c r="C95" s="1">
        <f ca="1">IFERROR(__xludf.DUMMYFUNCTION("""COMPUTED_VALUE"""),27207152647)</f>
        <v>27207152647</v>
      </c>
      <c r="D95" s="1" t="str">
        <f ca="1">IFERROR(__xludf.DUMMYFUNCTION("""COMPUTED_VALUE"""),"Phạm Thị Ngọc Mùi")</f>
        <v>Phạm Thị Ngọc Mùi</v>
      </c>
      <c r="E95" s="4"/>
      <c r="F95" s="1" t="str">
        <f ca="1">IFERROR(__xludf.DUMMYFUNCTION("""COMPUTED_VALUE"""),"K27DLK 2")</f>
        <v>K27DLK 2</v>
      </c>
      <c r="G95" s="1" t="str">
        <f ca="1">IFERROR(__xludf.DUMMYFUNCTION("""COMPUTED_VALUE"""),"Quản trị Du lịch &amp; Khách sạn")</f>
        <v>Quản trị Du lịch &amp; Khách sạn</v>
      </c>
      <c r="H95" s="1">
        <f ca="1">IFERROR(__xludf.DUMMYFUNCTION("""COMPUTED_VALUE"""),27)</f>
        <v>27</v>
      </c>
      <c r="I95" s="1"/>
      <c r="J95" s="1" t="str">
        <f ca="1">IFERROR(__xludf.DUMMYFUNCTION("""COMPUTED_VALUE"""),"Khóa luận")</f>
        <v>Khóa luận</v>
      </c>
      <c r="K95" s="1" t="str">
        <f ca="1">IFERROR(__xludf.DUMMYFUNCTION("""COMPUTED_VALUE"""),"Diamond Sea Hotel")</f>
        <v>Diamond Sea Hotel</v>
      </c>
      <c r="L95" s="1"/>
      <c r="M95" s="1" t="str">
        <f ca="1">IFERROR(__xludf.DUMMYFUNCTION("""COMPUTED_VALUE"""),"232 Võ Nguyên Giáp, Phước Mỹ, Sơn Trà, Đà Nẵng")</f>
        <v>232 Võ Nguyên Giáp, Phước Mỹ, Sơn Trà, Đà Nẵng</v>
      </c>
      <c r="N95" s="1" t="str">
        <f ca="1">IFERROR(__xludf.DUMMYFUNCTION("""COMPUTED_VALUE"""),"Đà Nẵng")</f>
        <v>Đà Nẵng</v>
      </c>
      <c r="O95" s="1" t="str">
        <f ca="1">IFERROR(__xludf.DUMMYFUNCTION("""COMPUTED_VALUE"""),"Buồng phòng")</f>
        <v>Buồng phòng</v>
      </c>
      <c r="P95" s="1"/>
      <c r="Q95" s="1" t="str">
        <f ca="1">IFERROR(__xludf.DUMMYFUNCTION("""COMPUTED_VALUE"""),"17/01/2025")</f>
        <v>17/01/2025</v>
      </c>
      <c r="R95" s="1" t="str">
        <f ca="1">IFERROR(__xludf.DUMMYFUNCTION("""COMPUTED_VALUE"""),"cam kết")</f>
        <v>cam kết</v>
      </c>
      <c r="S95" s="1" t="str">
        <f ca="1">IFERROR(__xludf.DUMMYFUNCTION("""COMPUTED_VALUE"""),"Khóa luận")</f>
        <v>Khóa luận</v>
      </c>
      <c r="T95" s="1"/>
      <c r="U95" s="4">
        <f ca="1">IFERROR(__xludf.DUMMYFUNCTION("""COMPUTED_VALUE"""),45698)</f>
        <v>45698</v>
      </c>
      <c r="V95" s="4">
        <f ca="1">IFERROR(__xludf.DUMMYFUNCTION("""COMPUTED_VALUE"""),45787)</f>
        <v>45787</v>
      </c>
      <c r="W95" s="1">
        <f ca="1">IFERROR(__xludf.DUMMYFUNCTION("""COMPUTED_VALUE"""),94)</f>
        <v>94</v>
      </c>
      <c r="X95" s="1" t="str">
        <f ca="1">IFERROR(__xludf.DUMMYFUNCTION("""COMPUTED_VALUE"""),"20/01/2025")</f>
        <v>20/01/2025</v>
      </c>
      <c r="Y95" s="1" t="str">
        <f ca="1">IFERROR(__xludf.DUMMYFUNCTION("""COMPUTED_VALUE"""),"DUYỆT")</f>
        <v>DUYỆT</v>
      </c>
      <c r="Z95" s="1" t="str">
        <f ca="1">IFERROR(__xludf.DUMMYFUNCTION("""COMPUTED_VALUE"""),"20/01/2025")</f>
        <v>20/01/2025</v>
      </c>
      <c r="AA95" s="1" t="str">
        <f ca="1">IFERROR(__xludf.DUMMYFUNCTION("""COMPUTED_VALUE"""),"Diamond Sea Hotel")</f>
        <v>Diamond Sea Hotel</v>
      </c>
      <c r="AB95" s="1" t="str">
        <f ca="1">IFERROR(__xludf.DUMMYFUNCTION("""COMPUTED_VALUE"""),"Buồng phòng")</f>
        <v>Buồng phòng</v>
      </c>
      <c r="AC95" s="1"/>
      <c r="AD95" s="1"/>
      <c r="AE95" s="1" t="str">
        <f ca="1">IFERROR(__xludf.DUMMYFUNCTION("""COMPUTED_VALUE"""),"")</f>
        <v/>
      </c>
    </row>
    <row r="96" spans="1:31" x14ac:dyDescent="0.2">
      <c r="A96" s="6">
        <f ca="1">IFERROR(__xludf.DUMMYFUNCTION("""COMPUTED_VALUE"""),45693.6790262037)</f>
        <v>45693.679026203703</v>
      </c>
      <c r="B96" s="1"/>
      <c r="C96" s="1">
        <f ca="1">IFERROR(__xludf.DUMMYFUNCTION("""COMPUTED_VALUE"""),27217127461)</f>
        <v>27217127461</v>
      </c>
      <c r="D96" s="1" t="str">
        <f ca="1">IFERROR(__xludf.DUMMYFUNCTION("""COMPUTED_VALUE"""),"Bùi Văn Lợi ")</f>
        <v xml:space="preserve">Bùi Văn Lợi </v>
      </c>
      <c r="E96" s="4"/>
      <c r="F96" s="1" t="str">
        <f ca="1">IFERROR(__xludf.DUMMYFUNCTION("""COMPUTED_VALUE"""),"K27DLK1")</f>
        <v>K27DLK1</v>
      </c>
      <c r="G96" s="1" t="str">
        <f ca="1">IFERROR(__xludf.DUMMYFUNCTION("""COMPUTED_VALUE"""),"Quản trị Du lịch &amp; Khách sạn")</f>
        <v>Quản trị Du lịch &amp; Khách sạn</v>
      </c>
      <c r="H96" s="1">
        <f ca="1">IFERROR(__xludf.DUMMYFUNCTION("""COMPUTED_VALUE"""),27)</f>
        <v>27</v>
      </c>
      <c r="I96" s="1"/>
      <c r="J96" s="1" t="str">
        <f ca="1">IFERROR(__xludf.DUMMYFUNCTION("""COMPUTED_VALUE"""),"Chuyên đề")</f>
        <v>Chuyên đề</v>
      </c>
      <c r="K96" s="1" t="str">
        <f ca="1">IFERROR(__xludf.DUMMYFUNCTION("""COMPUTED_VALUE"""),"Novotel DaNang Premier Han River")</f>
        <v>Novotel DaNang Premier Han River</v>
      </c>
      <c r="L96" s="1"/>
      <c r="M96" s="1" t="str">
        <f ca="1">IFERROR(__xludf.DUMMYFUNCTION("""COMPUTED_VALUE"""),"36 Bạch Đằng, Hải Châu, Đà Nẵng ")</f>
        <v xml:space="preserve">36 Bạch Đằng, Hải Châu, Đà Nẵng </v>
      </c>
      <c r="N96" s="1" t="str">
        <f ca="1">IFERROR(__xludf.DUMMYFUNCTION("""COMPUTED_VALUE"""),"Đà Nẵng ")</f>
        <v xml:space="preserve">Đà Nẵng </v>
      </c>
      <c r="O96" s="1" t="str">
        <f ca="1">IFERROR(__xludf.DUMMYFUNCTION("""COMPUTED_VALUE"""),"Buồng phòng")</f>
        <v>Buồng phòng</v>
      </c>
      <c r="P96" s="1"/>
      <c r="Q96" s="1" t="str">
        <f ca="1">IFERROR(__xludf.DUMMYFUNCTION("""COMPUTED_VALUE"""),"04/02/2025")</f>
        <v>04/02/2025</v>
      </c>
      <c r="R96" s="1" t="str">
        <f ca="1">IFERROR(__xludf.DUMMYFUNCTION("""COMPUTED_VALUE"""),"cam kết")</f>
        <v>cam kết</v>
      </c>
      <c r="S96" s="1" t="str">
        <f ca="1">IFERROR(__xludf.DUMMYFUNCTION("""COMPUTED_VALUE"""),"Chuyên đề")</f>
        <v>Chuyên đề</v>
      </c>
      <c r="T96" s="1"/>
      <c r="U96" s="4">
        <f ca="1">IFERROR(__xludf.DUMMYFUNCTION("""COMPUTED_VALUE"""),45698)</f>
        <v>45698</v>
      </c>
      <c r="V96" s="4">
        <f ca="1">IFERROR(__xludf.DUMMYFUNCTION("""COMPUTED_VALUE"""),45787)</f>
        <v>45787</v>
      </c>
      <c r="W96" s="1">
        <f ca="1">IFERROR(__xludf.DUMMYFUNCTION("""COMPUTED_VALUE"""),95)</f>
        <v>95</v>
      </c>
      <c r="X96" s="3">
        <f ca="1">IFERROR(__xludf.DUMMYFUNCTION("""COMPUTED_VALUE"""),45779)</f>
        <v>45779</v>
      </c>
      <c r="Y96" s="1" t="str">
        <f ca="1">IFERROR(__xludf.DUMMYFUNCTION("""COMPUTED_VALUE"""),"DUYỆT")</f>
        <v>DUYỆT</v>
      </c>
      <c r="Z96" s="1" t="str">
        <f ca="1">IFERROR(__xludf.DUMMYFUNCTION("""COMPUTED_VALUE"""),"20/01/2025")</f>
        <v>20/01/2025</v>
      </c>
      <c r="AA96" s="1" t="str">
        <f ca="1">IFERROR(__xludf.DUMMYFUNCTION("""COMPUTED_VALUE"""),"Novotel DaNang Premier Han River")</f>
        <v>Novotel DaNang Premier Han River</v>
      </c>
      <c r="AB96" s="1" t="str">
        <f ca="1">IFERROR(__xludf.DUMMYFUNCTION("""COMPUTED_VALUE"""),"Buồng phòng")</f>
        <v>Buồng phòng</v>
      </c>
      <c r="AC96" s="1"/>
      <c r="AD96" s="1"/>
      <c r="AE96" s="1" t="str">
        <f ca="1">IFERROR(__xludf.DUMMYFUNCTION("""COMPUTED_VALUE"""),"")</f>
        <v/>
      </c>
    </row>
    <row r="97" spans="1:31" x14ac:dyDescent="0.2">
      <c r="A97" s="6">
        <f ca="1">IFERROR(__xludf.DUMMYFUNCTION("""COMPUTED_VALUE"""),45676.406696412)</f>
        <v>45676.406696411999</v>
      </c>
      <c r="B97" s="1"/>
      <c r="C97" s="1">
        <f ca="1">IFERROR(__xludf.DUMMYFUNCTION("""COMPUTED_VALUE"""),27207120272)</f>
        <v>27207120272</v>
      </c>
      <c r="D97" s="1" t="str">
        <f ca="1">IFERROR(__xludf.DUMMYFUNCTION("""COMPUTED_VALUE"""),"Nguyễn Thị Hồng Vân")</f>
        <v>Nguyễn Thị Hồng Vân</v>
      </c>
      <c r="E97" s="4"/>
      <c r="F97" s="1" t="str">
        <f ca="1">IFERROR(__xludf.DUMMYFUNCTION("""COMPUTED_VALUE"""),"K27DLK1")</f>
        <v>K27DLK1</v>
      </c>
      <c r="G97" s="1" t="str">
        <f ca="1">IFERROR(__xludf.DUMMYFUNCTION("""COMPUTED_VALUE"""),"Quản trị Du lịch &amp; Khách sạn")</f>
        <v>Quản trị Du lịch &amp; Khách sạn</v>
      </c>
      <c r="H97" s="1">
        <f ca="1">IFERROR(__xludf.DUMMYFUNCTION("""COMPUTED_VALUE"""),27)</f>
        <v>27</v>
      </c>
      <c r="I97" s="1"/>
      <c r="J97" s="1" t="str">
        <f ca="1">IFERROR(__xludf.DUMMYFUNCTION("""COMPUTED_VALUE"""),"Khóa luận")</f>
        <v>Khóa luận</v>
      </c>
      <c r="K97" s="1" t="str">
        <f ca="1">IFERROR(__xludf.DUMMYFUNCTION("""COMPUTED_VALUE"""),"Wyndham DaNang Golden Bay")</f>
        <v>Wyndham DaNang Golden Bay</v>
      </c>
      <c r="L97" s="1">
        <f ca="1">IFERROR(__xludf.DUMMYFUNCTION("""COMPUTED_VALUE"""),3.74)</f>
        <v>3.74</v>
      </c>
      <c r="M97" s="1" t="str">
        <f ca="1">IFERROR(__xludf.DUMMYFUNCTION("""COMPUTED_VALUE"""),"01 Lê Văn Duyệt, Nại Hiên Đông, Sơn Trà, thành phố Đà Nẵng")</f>
        <v>01 Lê Văn Duyệt, Nại Hiên Đông, Sơn Trà, thành phố Đà Nẵng</v>
      </c>
      <c r="N97" s="1" t="str">
        <f ca="1">IFERROR(__xludf.DUMMYFUNCTION("""COMPUTED_VALUE"""),"Đà Nẵng")</f>
        <v>Đà Nẵng</v>
      </c>
      <c r="O97" s="1" t="str">
        <f ca="1">IFERROR(__xludf.DUMMYFUNCTION("""COMPUTED_VALUE"""),"Nhà hàng")</f>
        <v>Nhà hàng</v>
      </c>
      <c r="P97" s="1"/>
      <c r="Q97" s="1" t="str">
        <f ca="1">IFERROR(__xludf.DUMMYFUNCTION("""COMPUTED_VALUE"""),"3/1/2025")</f>
        <v>3/1/2025</v>
      </c>
      <c r="R97" s="1" t="str">
        <f ca="1">IFERROR(__xludf.DUMMYFUNCTION("""COMPUTED_VALUE"""),"cam kết")</f>
        <v>cam kết</v>
      </c>
      <c r="S97" s="1" t="str">
        <f ca="1">IFERROR(__xludf.DUMMYFUNCTION("""COMPUTED_VALUE"""),"Khóa luận")</f>
        <v>Khóa luận</v>
      </c>
      <c r="T97" s="1" t="str">
        <f ca="1">IFERROR(__xludf.DUMMYFUNCTION("""COMPUTED_VALUE"""),"Mai Thị Thương")</f>
        <v>Mai Thị Thương</v>
      </c>
      <c r="U97" s="4">
        <f ca="1">IFERROR(__xludf.DUMMYFUNCTION("""COMPUTED_VALUE"""),45698)</f>
        <v>45698</v>
      </c>
      <c r="V97" s="4">
        <f ca="1">IFERROR(__xludf.DUMMYFUNCTION("""COMPUTED_VALUE"""),45787)</f>
        <v>45787</v>
      </c>
      <c r="W97" s="1">
        <f ca="1">IFERROR(__xludf.DUMMYFUNCTION("""COMPUTED_VALUE"""),96)</f>
        <v>96</v>
      </c>
      <c r="X97" s="1" t="str">
        <f ca="1">IFERROR(__xludf.DUMMYFUNCTION("""COMPUTED_VALUE"""),"20/01/2025")</f>
        <v>20/01/2025</v>
      </c>
      <c r="Y97" s="1" t="str">
        <f ca="1">IFERROR(__xludf.DUMMYFUNCTION("""COMPUTED_VALUE"""),"DUYỆT")</f>
        <v>DUYỆT</v>
      </c>
      <c r="Z97" s="1" t="str">
        <f ca="1">IFERROR(__xludf.DUMMYFUNCTION("""COMPUTED_VALUE"""),"20/01/2025")</f>
        <v>20/01/2025</v>
      </c>
      <c r="AA97" s="1" t="str">
        <f ca="1">IFERROR(__xludf.DUMMYFUNCTION("""COMPUTED_VALUE"""),"Wyndham DaNang Golden Bay")</f>
        <v>Wyndham DaNang Golden Bay</v>
      </c>
      <c r="AB97" s="1" t="str">
        <f ca="1">IFERROR(__xludf.DUMMYFUNCTION("""COMPUTED_VALUE"""),"Nhà hàng")</f>
        <v>Nhà hàng</v>
      </c>
      <c r="AC97" s="1"/>
      <c r="AD97" s="1" t="str">
        <f ca="1">IFERROR(__xludf.DUMMYFUNCTION("""COMPUTED_VALUE"""),"sv phải đám bảo ko quá 5sv/nhà hàng")</f>
        <v>sv phải đám bảo ko quá 5sv/nhà hàng</v>
      </c>
      <c r="AE97" s="1" t="str">
        <f ca="1">IFERROR(__xludf.DUMMYFUNCTION("""COMPUTED_VALUE"""),"")</f>
        <v/>
      </c>
    </row>
    <row r="98" spans="1:31" x14ac:dyDescent="0.2">
      <c r="A98" s="6">
        <f ca="1">IFERROR(__xludf.DUMMYFUNCTION("""COMPUTED_VALUE"""),45677.3956248379)</f>
        <v>45677.395624837904</v>
      </c>
      <c r="B98" s="1"/>
      <c r="C98" s="1">
        <f ca="1">IFERROR(__xludf.DUMMYFUNCTION("""COMPUTED_VALUE"""),27207141496)</f>
        <v>27207141496</v>
      </c>
      <c r="D98" s="1" t="str">
        <f ca="1">IFERROR(__xludf.DUMMYFUNCTION("""COMPUTED_VALUE"""),"Lê Hoàng Đoan Trang")</f>
        <v>Lê Hoàng Đoan Trang</v>
      </c>
      <c r="E98" s="4"/>
      <c r="F98" s="1" t="str">
        <f ca="1">IFERROR(__xludf.DUMMYFUNCTION("""COMPUTED_VALUE"""),"K27DLK 4")</f>
        <v>K27DLK 4</v>
      </c>
      <c r="G98" s="1" t="str">
        <f ca="1">IFERROR(__xludf.DUMMYFUNCTION("""COMPUTED_VALUE"""),"Quản trị Du lịch &amp; Khách sạn")</f>
        <v>Quản trị Du lịch &amp; Khách sạn</v>
      </c>
      <c r="H98" s="1">
        <f ca="1">IFERROR(__xludf.DUMMYFUNCTION("""COMPUTED_VALUE"""),27)</f>
        <v>27</v>
      </c>
      <c r="I98" s="1"/>
      <c r="J98" s="1" t="str">
        <f ca="1">IFERROR(__xludf.DUMMYFUNCTION("""COMPUTED_VALUE"""),"Chuyên đề")</f>
        <v>Chuyên đề</v>
      </c>
      <c r="K98" s="1" t="str">
        <f ca="1">IFERROR(__xludf.DUMMYFUNCTION("""COMPUTED_VALUE"""),"Vanda Hotel")</f>
        <v>Vanda Hotel</v>
      </c>
      <c r="L98" s="1"/>
      <c r="M98" s="1" t="str">
        <f ca="1">IFERROR(__xludf.DUMMYFUNCTION("""COMPUTED_VALUE"""),"03 Nguyễn Văn Linh")</f>
        <v>03 Nguyễn Văn Linh</v>
      </c>
      <c r="N98" s="1" t="str">
        <f ca="1">IFERROR(__xludf.DUMMYFUNCTION("""COMPUTED_VALUE"""),"Đà Nẵng")</f>
        <v>Đà Nẵng</v>
      </c>
      <c r="O98" s="1" t="str">
        <f ca="1">IFERROR(__xludf.DUMMYFUNCTION("""COMPUTED_VALUE"""),"Buồng phòng")</f>
        <v>Buồng phòng</v>
      </c>
      <c r="P98" s="1"/>
      <c r="Q98" s="1" t="str">
        <f ca="1">IFERROR(__xludf.DUMMYFUNCTION("""COMPUTED_VALUE"""),"19/1/2025")</f>
        <v>19/1/2025</v>
      </c>
      <c r="R98" s="1" t="str">
        <f ca="1">IFERROR(__xludf.DUMMYFUNCTION("""COMPUTED_VALUE"""),"cam kết")</f>
        <v>cam kết</v>
      </c>
      <c r="S98" s="1" t="str">
        <f ca="1">IFERROR(__xludf.DUMMYFUNCTION("""COMPUTED_VALUE"""),"Chuyên đề")</f>
        <v>Chuyên đề</v>
      </c>
      <c r="T98" s="1"/>
      <c r="U98" s="4">
        <f ca="1">IFERROR(__xludf.DUMMYFUNCTION("""COMPUTED_VALUE"""),45698)</f>
        <v>45698</v>
      </c>
      <c r="V98" s="4">
        <f ca="1">IFERROR(__xludf.DUMMYFUNCTION("""COMPUTED_VALUE"""),45787)</f>
        <v>45787</v>
      </c>
      <c r="W98" s="1">
        <f ca="1">IFERROR(__xludf.DUMMYFUNCTION("""COMPUTED_VALUE"""),97)</f>
        <v>97</v>
      </c>
      <c r="X98" s="1" t="str">
        <f ca="1">IFERROR(__xludf.DUMMYFUNCTION("""COMPUTED_VALUE"""),"20/01/2025")</f>
        <v>20/01/2025</v>
      </c>
      <c r="Y98" s="1" t="str">
        <f ca="1">IFERROR(__xludf.DUMMYFUNCTION("""COMPUTED_VALUE"""),"DUYỆT")</f>
        <v>DUYỆT</v>
      </c>
      <c r="Z98" s="1" t="str">
        <f ca="1">IFERROR(__xludf.DUMMYFUNCTION("""COMPUTED_VALUE"""),"20/01/2025")</f>
        <v>20/01/2025</v>
      </c>
      <c r="AA98" s="1" t="str">
        <f ca="1">IFERROR(__xludf.DUMMYFUNCTION("""COMPUTED_VALUE"""),"Vanda Hotel")</f>
        <v>Vanda Hotel</v>
      </c>
      <c r="AB98" s="1" t="str">
        <f ca="1">IFERROR(__xludf.DUMMYFUNCTION("""COMPUTED_VALUE"""),"Buồng phòng")</f>
        <v>Buồng phòng</v>
      </c>
      <c r="AC98" s="1"/>
      <c r="AD98" s="1"/>
      <c r="AE98" s="1" t="str">
        <f ca="1">IFERROR(__xludf.DUMMYFUNCTION("""COMPUTED_VALUE"""),"")</f>
        <v/>
      </c>
    </row>
    <row r="99" spans="1:31" x14ac:dyDescent="0.2">
      <c r="A99" s="6">
        <f ca="1">IFERROR(__xludf.DUMMYFUNCTION("""COMPUTED_VALUE"""),45677.3936162384)</f>
        <v>45677.393616238398</v>
      </c>
      <c r="B99" s="1"/>
      <c r="C99" s="1">
        <f ca="1">IFERROR(__xludf.DUMMYFUNCTION("""COMPUTED_VALUE"""),27207141584)</f>
        <v>27207141584</v>
      </c>
      <c r="D99" s="1" t="str">
        <f ca="1">IFERROR(__xludf.DUMMYFUNCTION("""COMPUTED_VALUE"""),"NGUYỄN NHƯ Ý")</f>
        <v>NGUYỄN NHƯ Ý</v>
      </c>
      <c r="E99" s="4"/>
      <c r="F99" s="1" t="str">
        <f ca="1">IFERROR(__xludf.DUMMYFUNCTION("""COMPUTED_VALUE"""),"K27DLK4")</f>
        <v>K27DLK4</v>
      </c>
      <c r="G99" s="1" t="str">
        <f ca="1">IFERROR(__xludf.DUMMYFUNCTION("""COMPUTED_VALUE"""),"Quản trị Du lịch &amp; Khách sạn")</f>
        <v>Quản trị Du lịch &amp; Khách sạn</v>
      </c>
      <c r="H99" s="1">
        <f ca="1">IFERROR(__xludf.DUMMYFUNCTION("""COMPUTED_VALUE"""),27)</f>
        <v>27</v>
      </c>
      <c r="I99" s="1"/>
      <c r="J99" s="1" t="str">
        <f ca="1">IFERROR(__xludf.DUMMYFUNCTION("""COMPUTED_VALUE"""),"Chuyên đề")</f>
        <v>Chuyên đề</v>
      </c>
      <c r="K99" s="1" t="str">
        <f ca="1">IFERROR(__xludf.DUMMYFUNCTION("""COMPUTED_VALUE"""),"Vanda Hotel")</f>
        <v>Vanda Hotel</v>
      </c>
      <c r="L99" s="1"/>
      <c r="M99" s="1" t="str">
        <f ca="1">IFERROR(__xludf.DUMMYFUNCTION("""COMPUTED_VALUE"""),"03 Nguyễn Văn Linh, Đà Nẵng")</f>
        <v>03 Nguyễn Văn Linh, Đà Nẵng</v>
      </c>
      <c r="N99" s="1" t="str">
        <f ca="1">IFERROR(__xludf.DUMMYFUNCTION("""COMPUTED_VALUE"""),"Đà Nẵng")</f>
        <v>Đà Nẵng</v>
      </c>
      <c r="O99" s="1" t="str">
        <f ca="1">IFERROR(__xludf.DUMMYFUNCTION("""COMPUTED_VALUE"""),"Buồng phòng")</f>
        <v>Buồng phòng</v>
      </c>
      <c r="P99" s="1"/>
      <c r="Q99" s="1" t="str">
        <f ca="1">IFERROR(__xludf.DUMMYFUNCTION("""COMPUTED_VALUE"""),"Ngày 19/01/2025")</f>
        <v>Ngày 19/01/2025</v>
      </c>
      <c r="R99" s="1" t="str">
        <f ca="1">IFERROR(__xludf.DUMMYFUNCTION("""COMPUTED_VALUE"""),"cam kết")</f>
        <v>cam kết</v>
      </c>
      <c r="S99" s="1" t="str">
        <f ca="1">IFERROR(__xludf.DUMMYFUNCTION("""COMPUTED_VALUE"""),"Chuyên đề")</f>
        <v>Chuyên đề</v>
      </c>
      <c r="T99" s="1"/>
      <c r="U99" s="4">
        <f ca="1">IFERROR(__xludf.DUMMYFUNCTION("""COMPUTED_VALUE"""),45698)</f>
        <v>45698</v>
      </c>
      <c r="V99" s="4">
        <f ca="1">IFERROR(__xludf.DUMMYFUNCTION("""COMPUTED_VALUE"""),45787)</f>
        <v>45787</v>
      </c>
      <c r="W99" s="1">
        <f ca="1">IFERROR(__xludf.DUMMYFUNCTION("""COMPUTED_VALUE"""),98)</f>
        <v>98</v>
      </c>
      <c r="X99" s="1" t="str">
        <f ca="1">IFERROR(__xludf.DUMMYFUNCTION("""COMPUTED_VALUE"""),"20/01/2025")</f>
        <v>20/01/2025</v>
      </c>
      <c r="Y99" s="1" t="str">
        <f ca="1">IFERROR(__xludf.DUMMYFUNCTION("""COMPUTED_VALUE"""),"DUYỆT")</f>
        <v>DUYỆT</v>
      </c>
      <c r="Z99" s="1" t="str">
        <f ca="1">IFERROR(__xludf.DUMMYFUNCTION("""COMPUTED_VALUE"""),"20/01/2025")</f>
        <v>20/01/2025</v>
      </c>
      <c r="AA99" s="1" t="str">
        <f ca="1">IFERROR(__xludf.DUMMYFUNCTION("""COMPUTED_VALUE"""),"Vanda Hotel")</f>
        <v>Vanda Hotel</v>
      </c>
      <c r="AB99" s="1" t="str">
        <f ca="1">IFERROR(__xludf.DUMMYFUNCTION("""COMPUTED_VALUE"""),"Buồng phòng")</f>
        <v>Buồng phòng</v>
      </c>
      <c r="AC99" s="1"/>
      <c r="AD99" s="1"/>
      <c r="AE99" s="1" t="str">
        <f ca="1">IFERROR(__xludf.DUMMYFUNCTION("""COMPUTED_VALUE"""),"")</f>
        <v/>
      </c>
    </row>
    <row r="100" spans="1:31" x14ac:dyDescent="0.2">
      <c r="A100" s="6">
        <f ca="1">IFERROR(__xludf.DUMMYFUNCTION("""COMPUTED_VALUE"""),45677.5952216782)</f>
        <v>45677.595221678203</v>
      </c>
      <c r="B100" s="1"/>
      <c r="C100" s="1">
        <f ca="1">IFERROR(__xludf.DUMMYFUNCTION("""COMPUTED_VALUE"""),27207141358)</f>
        <v>27207141358</v>
      </c>
      <c r="D100" s="1" t="str">
        <f ca="1">IFERROR(__xludf.DUMMYFUNCTION("""COMPUTED_VALUE"""),"Trần Lê Lan Hương")</f>
        <v>Trần Lê Lan Hương</v>
      </c>
      <c r="E100" s="4"/>
      <c r="F100" s="1" t="str">
        <f ca="1">IFERROR(__xludf.DUMMYFUNCTION("""COMPUTED_VALUE"""),"K27DLK7")</f>
        <v>K27DLK7</v>
      </c>
      <c r="G100" s="1" t="str">
        <f ca="1">IFERROR(__xludf.DUMMYFUNCTION("""COMPUTED_VALUE"""),"Quản trị Du lịch &amp; Khách sạn")</f>
        <v>Quản trị Du lịch &amp; Khách sạn</v>
      </c>
      <c r="H100" s="1">
        <f ca="1">IFERROR(__xludf.DUMMYFUNCTION("""COMPUTED_VALUE"""),27)</f>
        <v>27</v>
      </c>
      <c r="I100" s="1"/>
      <c r="J100" s="1" t="str">
        <f ca="1">IFERROR(__xludf.DUMMYFUNCTION("""COMPUTED_VALUE"""),"Chuyên đề")</f>
        <v>Chuyên đề</v>
      </c>
      <c r="K100" s="1" t="str">
        <f ca="1">IFERROR(__xludf.DUMMYFUNCTION("""COMPUTED_VALUE"""),"Grand Mercure Đà Nẵng")</f>
        <v>Grand Mercure Đà Nẵng</v>
      </c>
      <c r="L100" s="1"/>
      <c r="M100" s="1" t="str">
        <f ca="1">IFERROR(__xludf.DUMMYFUNCTION("""COMPUTED_VALUE"""),"Lô A1 Khu biệt thự Đảo Xanh, phường Hoà Cường Bắc, quận Hải Châu, Đà Nẵng")</f>
        <v>Lô A1 Khu biệt thự Đảo Xanh, phường Hoà Cường Bắc, quận Hải Châu, Đà Nẵng</v>
      </c>
      <c r="N100" s="1" t="str">
        <f ca="1">IFERROR(__xludf.DUMMYFUNCTION("""COMPUTED_VALUE"""),"Đà Nẵng")</f>
        <v>Đà Nẵng</v>
      </c>
      <c r="O100" s="1" t="str">
        <f ca="1">IFERROR(__xludf.DUMMYFUNCTION("""COMPUTED_VALUE"""),"Bộ phận Sales")</f>
        <v>Bộ phận Sales</v>
      </c>
      <c r="P100" s="1" t="str">
        <f ca="1">IFERROR(__xludf.DUMMYFUNCTION("""COMPUTED_VALUE"""),"Bộ phận Sales")</f>
        <v>Bộ phận Sales</v>
      </c>
      <c r="Q100" s="1" t="str">
        <f ca="1">IFERROR(__xludf.DUMMYFUNCTION("""COMPUTED_VALUE"""),"04/02/2025")</f>
        <v>04/02/2025</v>
      </c>
      <c r="R100" s="1" t="str">
        <f ca="1">IFERROR(__xludf.DUMMYFUNCTION("""COMPUTED_VALUE"""),"cam kết")</f>
        <v>cam kết</v>
      </c>
      <c r="S100" s="1" t="str">
        <f ca="1">IFERROR(__xludf.DUMMYFUNCTION("""COMPUTED_VALUE"""),"Chuyên đề")</f>
        <v>Chuyên đề</v>
      </c>
      <c r="T100" s="1"/>
      <c r="U100" s="4">
        <f ca="1">IFERROR(__xludf.DUMMYFUNCTION("""COMPUTED_VALUE"""),45691)</f>
        <v>45691</v>
      </c>
      <c r="V100" s="4">
        <f ca="1">IFERROR(__xludf.DUMMYFUNCTION("""COMPUTED_VALUE"""),45780)</f>
        <v>45780</v>
      </c>
      <c r="W100" s="1">
        <f ca="1">IFERROR(__xludf.DUMMYFUNCTION("""COMPUTED_VALUE"""),99)</f>
        <v>99</v>
      </c>
      <c r="X100" s="3">
        <f ca="1">IFERROR(__xludf.DUMMYFUNCTION("""COMPUTED_VALUE"""),45779)</f>
        <v>45779</v>
      </c>
      <c r="Y100" s="1" t="str">
        <f ca="1">IFERROR(__xludf.DUMMYFUNCTION("""COMPUTED_VALUE"""),"DUYỆT")</f>
        <v>DUYỆT</v>
      </c>
      <c r="Z100" s="1" t="str">
        <f ca="1">IFERROR(__xludf.DUMMYFUNCTION("""COMPUTED_VALUE"""),"20/01/2025")</f>
        <v>20/01/2025</v>
      </c>
      <c r="AA100" s="1" t="str">
        <f ca="1">IFERROR(__xludf.DUMMYFUNCTION("""COMPUTED_VALUE"""),"Grand Mercure Đà Nẵng")</f>
        <v>Grand Mercure Đà Nẵng</v>
      </c>
      <c r="AB100" s="1" t="str">
        <f ca="1">IFERROR(__xludf.DUMMYFUNCTION("""COMPUTED_VALUE"""),"Bộ phận Sales")</f>
        <v>Bộ phận Sales</v>
      </c>
      <c r="AC100" s="1"/>
      <c r="AD100" s="1"/>
      <c r="AE100" s="1" t="str">
        <f ca="1">IFERROR(__xludf.DUMMYFUNCTION("""COMPUTED_VALUE"""),"")</f>
        <v/>
      </c>
    </row>
    <row r="101" spans="1:31" x14ac:dyDescent="0.2">
      <c r="A101" s="6">
        <f ca="1">IFERROR(__xludf.DUMMYFUNCTION("""COMPUTED_VALUE"""),45677.6055887615)</f>
        <v>45677.6055887615</v>
      </c>
      <c r="B101" s="1"/>
      <c r="C101" s="1">
        <f ca="1">IFERROR(__xludf.DUMMYFUNCTION("""COMPUTED_VALUE"""),27217143521)</f>
        <v>27217143521</v>
      </c>
      <c r="D101" s="1" t="str">
        <f ca="1">IFERROR(__xludf.DUMMYFUNCTION("""COMPUTED_VALUE"""),"Hoàng Mai Tâm")</f>
        <v>Hoàng Mai Tâm</v>
      </c>
      <c r="E101" s="4"/>
      <c r="F101" s="1" t="str">
        <f ca="1">IFERROR(__xludf.DUMMYFUNCTION("""COMPUTED_VALUE"""),"K27DLk2")</f>
        <v>K27DLk2</v>
      </c>
      <c r="G101" s="1" t="str">
        <f ca="1">IFERROR(__xludf.DUMMYFUNCTION("""COMPUTED_VALUE"""),"Quản trị Du lịch &amp; Khách sạn")</f>
        <v>Quản trị Du lịch &amp; Khách sạn</v>
      </c>
      <c r="H101" s="1">
        <f ca="1">IFERROR(__xludf.DUMMYFUNCTION("""COMPUTED_VALUE"""),27)</f>
        <v>27</v>
      </c>
      <c r="I101" s="1"/>
      <c r="J101" s="1" t="str">
        <f ca="1">IFERROR(__xludf.DUMMYFUNCTION("""COMPUTED_VALUE"""),"Chuyên đề")</f>
        <v>Chuyên đề</v>
      </c>
      <c r="K101" s="1" t="str">
        <f ca="1">IFERROR(__xludf.DUMMYFUNCTION("""COMPUTED_VALUE"""),"Hilton Garden Inn Danang")</f>
        <v>Hilton Garden Inn Danang</v>
      </c>
      <c r="L101" s="1" t="str">
        <f ca="1">IFERROR(__xludf.DUMMYFUNCTION("""COMPUTED_VALUE"""),"Hilton Garden Inn Danang")</f>
        <v>Hilton Garden Inn Danang</v>
      </c>
      <c r="M101" s="1" t="str">
        <f ca="1">IFERROR(__xludf.DUMMYFUNCTION("""COMPUTED_VALUE"""),"96Võ Nguyên Giáp, Mân Thái, Sơn Trà, Đà Nẵng")</f>
        <v>96Võ Nguyên Giáp, Mân Thái, Sơn Trà, Đà Nẵng</v>
      </c>
      <c r="N101" s="1" t="str">
        <f ca="1">IFERROR(__xludf.DUMMYFUNCTION("""COMPUTED_VALUE"""),"Đà Nẵng")</f>
        <v>Đà Nẵng</v>
      </c>
      <c r="O101" s="1" t="str">
        <f ca="1">IFERROR(__xludf.DUMMYFUNCTION("""COMPUTED_VALUE"""),"Nhà hàng")</f>
        <v>Nhà hàng</v>
      </c>
      <c r="P101" s="1"/>
      <c r="Q101" s="1" t="str">
        <f ca="1">IFERROR(__xludf.DUMMYFUNCTION("""COMPUTED_VALUE"""),"20/1/2025")</f>
        <v>20/1/2025</v>
      </c>
      <c r="R101" s="1" t="str">
        <f ca="1">IFERROR(__xludf.DUMMYFUNCTION("""COMPUTED_VALUE"""),"cam kết")</f>
        <v>cam kết</v>
      </c>
      <c r="S101" s="1" t="str">
        <f ca="1">IFERROR(__xludf.DUMMYFUNCTION("""COMPUTED_VALUE"""),"Chuyên đề")</f>
        <v>Chuyên đề</v>
      </c>
      <c r="T101" s="1"/>
      <c r="U101" s="4">
        <f ca="1">IFERROR(__xludf.DUMMYFUNCTION("""COMPUTED_VALUE"""),45698)</f>
        <v>45698</v>
      </c>
      <c r="V101" s="4">
        <f ca="1">IFERROR(__xludf.DUMMYFUNCTION("""COMPUTED_VALUE"""),45787)</f>
        <v>45787</v>
      </c>
      <c r="W101" s="1">
        <f ca="1">IFERROR(__xludf.DUMMYFUNCTION("""COMPUTED_VALUE"""),100)</f>
        <v>100</v>
      </c>
      <c r="X101" s="1" t="str">
        <f ca="1">IFERROR(__xludf.DUMMYFUNCTION("""COMPUTED_VALUE"""),"20/01/2025")</f>
        <v>20/01/2025</v>
      </c>
      <c r="Y101" s="1" t="str">
        <f ca="1">IFERROR(__xludf.DUMMYFUNCTION("""COMPUTED_VALUE"""),"DUYỆT")</f>
        <v>DUYỆT</v>
      </c>
      <c r="Z101" s="1" t="str">
        <f ca="1">IFERROR(__xludf.DUMMYFUNCTION("""COMPUTED_VALUE"""),"20/01/2025")</f>
        <v>20/01/2025</v>
      </c>
      <c r="AA101" s="1" t="str">
        <f ca="1">IFERROR(__xludf.DUMMYFUNCTION("""COMPUTED_VALUE"""),"Hilton Garden Inn Danang")</f>
        <v>Hilton Garden Inn Danang</v>
      </c>
      <c r="AB101" s="1" t="str">
        <f ca="1">IFERROR(__xludf.DUMMYFUNCTION("""COMPUTED_VALUE"""),"Nhà hàng")</f>
        <v>Nhà hàng</v>
      </c>
      <c r="AC101" s="1"/>
      <c r="AD101" s="1" t="str">
        <f ca="1">IFERROR(__xludf.DUMMYFUNCTION("""COMPUTED_VALUE"""),"Sv chưa ghi thông tin người hướng dẫn tại khách sạn")</f>
        <v>Sv chưa ghi thông tin người hướng dẫn tại khách sạn</v>
      </c>
      <c r="AE101" s="1" t="str">
        <f ca="1">IFERROR(__xludf.DUMMYFUNCTION("""COMPUTED_VALUE"""),"")</f>
        <v/>
      </c>
    </row>
    <row r="102" spans="1:31" x14ac:dyDescent="0.2">
      <c r="A102" s="6">
        <f ca="1">IFERROR(__xludf.DUMMYFUNCTION("""COMPUTED_VALUE"""),45696.5906187963)</f>
        <v>45696.590618796297</v>
      </c>
      <c r="B102" s="1"/>
      <c r="C102" s="1">
        <f ca="1">IFERROR(__xludf.DUMMYFUNCTION("""COMPUTED_VALUE"""),2321713977)</f>
        <v>2321713977</v>
      </c>
      <c r="D102" s="1" t="str">
        <f ca="1">IFERROR(__xludf.DUMMYFUNCTION("""COMPUTED_VALUE"""),"Nguyễn Công Quốc")</f>
        <v>Nguyễn Công Quốc</v>
      </c>
      <c r="E102" s="4"/>
      <c r="F102" s="1" t="str">
        <f ca="1">IFERROR(__xludf.DUMMYFUNCTION("""COMPUTED_VALUE"""),"K23DLK9")</f>
        <v>K23DLK9</v>
      </c>
      <c r="G102" s="1" t="str">
        <f ca="1">IFERROR(__xludf.DUMMYFUNCTION("""COMPUTED_VALUE"""),"Quản trị Du lịch &amp; Khách sạn")</f>
        <v>Quản trị Du lịch &amp; Khách sạn</v>
      </c>
      <c r="H102" s="1">
        <f ca="1">IFERROR(__xludf.DUMMYFUNCTION("""COMPUTED_VALUE"""),26)</f>
        <v>26</v>
      </c>
      <c r="I102" s="1"/>
      <c r="J102" s="1" t="str">
        <f ca="1">IFERROR(__xludf.DUMMYFUNCTION("""COMPUTED_VALUE"""),"Chuyên đề")</f>
        <v>Chuyên đề</v>
      </c>
      <c r="K102" s="1" t="str">
        <f ca="1">IFERROR(__xludf.DUMMYFUNCTION("""COMPUTED_VALUE"""),"khách sạn khác")</f>
        <v>khách sạn khác</v>
      </c>
      <c r="L102" s="1" t="str">
        <f ca="1">IFERROR(__xludf.DUMMYFUNCTION("""COMPUTED_VALUE"""),"Grand Tourane Hotel")</f>
        <v>Grand Tourane Hotel</v>
      </c>
      <c r="M102" s="1" t="str">
        <f ca="1">IFERROR(__xludf.DUMMYFUNCTION("""COMPUTED_VALUE"""),"252 Võ Nguyên Giáp, Phước Mỹ, Sơn Trà, Đà Nẵng ")</f>
        <v xml:space="preserve">252 Võ Nguyên Giáp, Phước Mỹ, Sơn Trà, Đà Nẵng </v>
      </c>
      <c r="N102" s="1" t="str">
        <f ca="1">IFERROR(__xludf.DUMMYFUNCTION("""COMPUTED_VALUE"""),"Đà Nẵng")</f>
        <v>Đà Nẵng</v>
      </c>
      <c r="O102" s="1" t="str">
        <f ca="1">IFERROR(__xludf.DUMMYFUNCTION("""COMPUTED_VALUE"""),"Nhà hàng")</f>
        <v>Nhà hàng</v>
      </c>
      <c r="P102" s="1"/>
      <c r="Q102" s="1" t="str">
        <f ca="1">IFERROR(__xludf.DUMMYFUNCTION("""COMPUTED_VALUE"""),"08/02/2025")</f>
        <v>08/02/2025</v>
      </c>
      <c r="R102" s="1" t="str">
        <f ca="1">IFERROR(__xludf.DUMMYFUNCTION("""COMPUTED_VALUE"""),"cam kết")</f>
        <v>cam kết</v>
      </c>
      <c r="S102" s="1" t="str">
        <f ca="1">IFERROR(__xludf.DUMMYFUNCTION("""COMPUTED_VALUE"""),"Chuyên đề")</f>
        <v>Chuyên đề</v>
      </c>
      <c r="T102" s="1" t="str">
        <f ca="1">IFERROR(__xludf.DUMMYFUNCTION("""COMPUTED_VALUE"""),"Trần Hoàng Anh")</f>
        <v>Trần Hoàng Anh</v>
      </c>
      <c r="U102" s="4">
        <f ca="1">IFERROR(__xludf.DUMMYFUNCTION("""COMPUTED_VALUE"""),45693)</f>
        <v>45693</v>
      </c>
      <c r="V102" s="4">
        <f ca="1">IFERROR(__xludf.DUMMYFUNCTION("""COMPUTED_VALUE"""),45782)</f>
        <v>45782</v>
      </c>
      <c r="W102" s="1">
        <f ca="1">IFERROR(__xludf.DUMMYFUNCTION("""COMPUTED_VALUE"""),101)</f>
        <v>101</v>
      </c>
      <c r="X102" s="3">
        <f ca="1">IFERROR(__xludf.DUMMYFUNCTION("""COMPUTED_VALUE"""),45963)</f>
        <v>45963</v>
      </c>
      <c r="Y102" s="1" t="str">
        <f ca="1">IFERROR(__xludf.DUMMYFUNCTION("""COMPUTED_VALUE"""),"DUYỆT")</f>
        <v>DUYỆT</v>
      </c>
      <c r="Z102" s="1" t="str">
        <f ca="1">IFERROR(__xludf.DUMMYFUNCTION("""COMPUTED_VALUE"""),"20/01/2025")</f>
        <v>20/01/2025</v>
      </c>
      <c r="AA102" s="1" t="str">
        <f ca="1">IFERROR(__xludf.DUMMYFUNCTION("""COMPUTED_VALUE"""),"Grand Tourane Hotel")</f>
        <v>Grand Tourane Hotel</v>
      </c>
      <c r="AB102" s="1" t="str">
        <f ca="1">IFERROR(__xludf.DUMMYFUNCTION("""COMPUTED_VALUE"""),"Nhà hàng")</f>
        <v>Nhà hàng</v>
      </c>
      <c r="AC102" s="1" t="str">
        <f ca="1">IFERROR(__xludf.DUMMYFUNCTION("""COMPUTED_VALUE"""),"ĐÃ NỘP")</f>
        <v>ĐÃ NỘP</v>
      </c>
      <c r="AD102" s="1"/>
      <c r="AE102" s="1" t="str">
        <f ca="1">IFERROR(__xludf.DUMMYFUNCTION("""COMPUTED_VALUE"""),"")</f>
        <v/>
      </c>
    </row>
    <row r="103" spans="1:31" x14ac:dyDescent="0.2">
      <c r="A103" s="6">
        <f ca="1">IFERROR(__xludf.DUMMYFUNCTION("""COMPUTED_VALUE"""),45677.6372175925)</f>
        <v>45677.637217592499</v>
      </c>
      <c r="B103" s="1"/>
      <c r="C103" s="1">
        <f ca="1">IFERROR(__xludf.DUMMYFUNCTION("""COMPUTED_VALUE"""),27217139845)</f>
        <v>27217139845</v>
      </c>
      <c r="D103" s="1" t="str">
        <f ca="1">IFERROR(__xludf.DUMMYFUNCTION("""COMPUTED_VALUE"""),"Đặng Trần Minh Quân ")</f>
        <v xml:space="preserve">Đặng Trần Minh Quân </v>
      </c>
      <c r="E103" s="4"/>
      <c r="F103" s="1" t="str">
        <f ca="1">IFERROR(__xludf.DUMMYFUNCTION("""COMPUTED_VALUE"""),"K27DLK6")</f>
        <v>K27DLK6</v>
      </c>
      <c r="G103" s="1" t="str">
        <f ca="1">IFERROR(__xludf.DUMMYFUNCTION("""COMPUTED_VALUE"""),"Quản trị Du lịch &amp; Khách sạn")</f>
        <v>Quản trị Du lịch &amp; Khách sạn</v>
      </c>
      <c r="H103" s="1">
        <f ca="1">IFERROR(__xludf.DUMMYFUNCTION("""COMPUTED_VALUE"""),27)</f>
        <v>27</v>
      </c>
      <c r="I103" s="1"/>
      <c r="J103" s="1" t="str">
        <f ca="1">IFERROR(__xludf.DUMMYFUNCTION("""COMPUTED_VALUE"""),"Chuyên đề")</f>
        <v>Chuyên đề</v>
      </c>
      <c r="K103" s="1" t="str">
        <f ca="1">IFERROR(__xludf.DUMMYFUNCTION("""COMPUTED_VALUE"""),"Grand Mercure Đà Nẵng")</f>
        <v>Grand Mercure Đà Nẵng</v>
      </c>
      <c r="L103" s="1"/>
      <c r="M103" s="1" t="str">
        <f ca="1">IFERROR(__xludf.DUMMYFUNCTION("""COMPUTED_VALUE"""),"Lô 1A Khu Biệt Thự Đảo Xanh ")</f>
        <v xml:space="preserve">Lô 1A Khu Biệt Thự Đảo Xanh </v>
      </c>
      <c r="N103" s="1" t="str">
        <f ca="1">IFERROR(__xludf.DUMMYFUNCTION("""COMPUTED_VALUE"""),"Thành Phố Đà Nẵng")</f>
        <v>Thành Phố Đà Nẵng</v>
      </c>
      <c r="O103" s="1" t="str">
        <f ca="1">IFERROR(__xludf.DUMMYFUNCTION("""COMPUTED_VALUE"""),"Nhà hàng")</f>
        <v>Nhà hàng</v>
      </c>
      <c r="P103" s="1"/>
      <c r="Q103" s="1" t="str">
        <f ca="1">IFERROR(__xludf.DUMMYFUNCTION("""COMPUTED_VALUE"""),"4/2/2025")</f>
        <v>4/2/2025</v>
      </c>
      <c r="R103" s="1" t="str">
        <f ca="1">IFERROR(__xludf.DUMMYFUNCTION("""COMPUTED_VALUE"""),"cam kết")</f>
        <v>cam kết</v>
      </c>
      <c r="S103" s="1" t="str">
        <f ca="1">IFERROR(__xludf.DUMMYFUNCTION("""COMPUTED_VALUE"""),"Chuyên đề")</f>
        <v>Chuyên đề</v>
      </c>
      <c r="T103" s="1" t="str">
        <f ca="1">IFERROR(__xludf.DUMMYFUNCTION("""COMPUTED_VALUE"""),"Phạm Thị Hoàng Dung")</f>
        <v>Phạm Thị Hoàng Dung</v>
      </c>
      <c r="U103" s="4">
        <f ca="1">IFERROR(__xludf.DUMMYFUNCTION("""COMPUTED_VALUE"""),45698)</f>
        <v>45698</v>
      </c>
      <c r="V103" s="4">
        <f ca="1">IFERROR(__xludf.DUMMYFUNCTION("""COMPUTED_VALUE"""),45787)</f>
        <v>45787</v>
      </c>
      <c r="W103" s="1">
        <f ca="1">IFERROR(__xludf.DUMMYFUNCTION("""COMPUTED_VALUE"""),102)</f>
        <v>102</v>
      </c>
      <c r="X103" s="3">
        <f ca="1">IFERROR(__xludf.DUMMYFUNCTION("""COMPUTED_VALUE"""),45779)</f>
        <v>45779</v>
      </c>
      <c r="Y103" s="1" t="str">
        <f ca="1">IFERROR(__xludf.DUMMYFUNCTION("""COMPUTED_VALUE"""),"DUYỆT")</f>
        <v>DUYỆT</v>
      </c>
      <c r="Z103" s="1" t="str">
        <f ca="1">IFERROR(__xludf.DUMMYFUNCTION("""COMPUTED_VALUE"""),"20/01/2025")</f>
        <v>20/01/2025</v>
      </c>
      <c r="AA103" s="1" t="str">
        <f ca="1">IFERROR(__xludf.DUMMYFUNCTION("""COMPUTED_VALUE"""),"Grand Mercure Đà Nẵng")</f>
        <v>Grand Mercure Đà Nẵng</v>
      </c>
      <c r="AB103" s="1" t="str">
        <f ca="1">IFERROR(__xludf.DUMMYFUNCTION("""COMPUTED_VALUE"""),"Nhà hàng")</f>
        <v>Nhà hàng</v>
      </c>
      <c r="AC103" s="1"/>
      <c r="AD103" s="1"/>
      <c r="AE103" s="1" t="str">
        <f ca="1">IFERROR(__xludf.DUMMYFUNCTION("""COMPUTED_VALUE"""),"")</f>
        <v/>
      </c>
    </row>
    <row r="104" spans="1:31" x14ac:dyDescent="0.2">
      <c r="A104" s="6">
        <f ca="1">IFERROR(__xludf.DUMMYFUNCTION("""COMPUTED_VALUE"""),45677.7037345486)</f>
        <v>45677.703734548602</v>
      </c>
      <c r="B104" s="1"/>
      <c r="C104" s="1">
        <f ca="1">IFERROR(__xludf.DUMMYFUNCTION("""COMPUTED_VALUE"""),27207140948)</f>
        <v>27207140948</v>
      </c>
      <c r="D104" s="1" t="str">
        <f ca="1">IFERROR(__xludf.DUMMYFUNCTION("""COMPUTED_VALUE"""),"Thái Thị Thuý Vi")</f>
        <v>Thái Thị Thuý Vi</v>
      </c>
      <c r="E104" s="4"/>
      <c r="F104" s="1" t="str">
        <f ca="1">IFERROR(__xludf.DUMMYFUNCTION("""COMPUTED_VALUE"""),"K27PSU-DLK2")</f>
        <v>K27PSU-DLK2</v>
      </c>
      <c r="G104" s="1" t="str">
        <f ca="1">IFERROR(__xludf.DUMMYFUNCTION("""COMPUTED_VALUE"""),"Quản trị Du lịch &amp; Khách sạn chuẩn PSU")</f>
        <v>Quản trị Du lịch &amp; Khách sạn chuẩn PSU</v>
      </c>
      <c r="H104" s="1">
        <f ca="1">IFERROR(__xludf.DUMMYFUNCTION("""COMPUTED_VALUE"""),27)</f>
        <v>27</v>
      </c>
      <c r="I104" s="1"/>
      <c r="J104" s="1" t="str">
        <f ca="1">IFERROR(__xludf.DUMMYFUNCTION("""COMPUTED_VALUE"""),"Chuyên đề")</f>
        <v>Chuyên đề</v>
      </c>
      <c r="K104" s="1" t="str">
        <f ca="1">IFERROR(__xludf.DUMMYFUNCTION("""COMPUTED_VALUE"""),"Meliá Danang Beach Resort")</f>
        <v>Meliá Danang Beach Resort</v>
      </c>
      <c r="L104" s="1" t="str">
        <f ca="1">IFERROR(__xludf.DUMMYFUNCTION("""COMPUTED_VALUE"""),"Meliá Danang beach resort")</f>
        <v>Meliá Danang beach resort</v>
      </c>
      <c r="M104" s="1" t="str">
        <f ca="1">IFERROR(__xludf.DUMMYFUNCTION("""COMPUTED_VALUE"""),"19 Trường Sa, Hoà Hải, Ngũ Hành Sơn, Đà Nẵng")</f>
        <v>19 Trường Sa, Hoà Hải, Ngũ Hành Sơn, Đà Nẵng</v>
      </c>
      <c r="N104" s="1" t="str">
        <f ca="1">IFERROR(__xludf.DUMMYFUNCTION("""COMPUTED_VALUE"""),"Đà Nẵng")</f>
        <v>Đà Nẵng</v>
      </c>
      <c r="O104" s="1" t="str">
        <f ca="1">IFERROR(__xludf.DUMMYFUNCTION("""COMPUTED_VALUE"""),"Buồng phòng")</f>
        <v>Buồng phòng</v>
      </c>
      <c r="P104" s="1"/>
      <c r="Q104" s="1" t="str">
        <f ca="1">IFERROR(__xludf.DUMMYFUNCTION("""COMPUTED_VALUE"""),"20/01/2025")</f>
        <v>20/01/2025</v>
      </c>
      <c r="R104" s="1" t="str">
        <f ca="1">IFERROR(__xludf.DUMMYFUNCTION("""COMPUTED_VALUE"""),"cam kết")</f>
        <v>cam kết</v>
      </c>
      <c r="S104" s="1" t="str">
        <f ca="1">IFERROR(__xludf.DUMMYFUNCTION("""COMPUTED_VALUE"""),"Chuyên đề")</f>
        <v>Chuyên đề</v>
      </c>
      <c r="T104" s="1" t="str">
        <f ca="1">IFERROR(__xludf.DUMMYFUNCTION("""COMPUTED_VALUE"""),"Hồ Sử Minh Tài")</f>
        <v>Hồ Sử Minh Tài</v>
      </c>
      <c r="U104" s="4">
        <f ca="1">IFERROR(__xludf.DUMMYFUNCTION("""COMPUTED_VALUE"""),45699)</f>
        <v>45699</v>
      </c>
      <c r="V104" s="4">
        <f ca="1">IFERROR(__xludf.DUMMYFUNCTION("""COMPUTED_VALUE"""),45788)</f>
        <v>45788</v>
      </c>
      <c r="W104" s="1">
        <f ca="1">IFERROR(__xludf.DUMMYFUNCTION("""COMPUTED_VALUE"""),103)</f>
        <v>103</v>
      </c>
      <c r="X104" s="1" t="str">
        <f ca="1">IFERROR(__xludf.DUMMYFUNCTION("""COMPUTED_VALUE"""),"21/01/2025")</f>
        <v>21/01/2025</v>
      </c>
      <c r="Y104" s="1" t="str">
        <f ca="1">IFERROR(__xludf.DUMMYFUNCTION("""COMPUTED_VALUE"""),"DUYỆT")</f>
        <v>DUYỆT</v>
      </c>
      <c r="Z104" s="1" t="str">
        <f ca="1">IFERROR(__xludf.DUMMYFUNCTION("""COMPUTED_VALUE"""),"21/01/2025")</f>
        <v>21/01/2025</v>
      </c>
      <c r="AA104" s="1" t="str">
        <f ca="1">IFERROR(__xludf.DUMMYFUNCTION("""COMPUTED_VALUE"""),"Meliá Danang Beach Resort")</f>
        <v>Meliá Danang Beach Resort</v>
      </c>
      <c r="AB104" s="1" t="str">
        <f ca="1">IFERROR(__xludf.DUMMYFUNCTION("""COMPUTED_VALUE"""),"Buồng phòng")</f>
        <v>Buồng phòng</v>
      </c>
      <c r="AC104" s="1"/>
      <c r="AD104" s="1"/>
      <c r="AE104" s="1" t="str">
        <f ca="1">IFERROR(__xludf.DUMMYFUNCTION("""COMPUTED_VALUE"""),"")</f>
        <v/>
      </c>
    </row>
    <row r="105" spans="1:31" x14ac:dyDescent="0.2">
      <c r="A105" s="6">
        <f ca="1">IFERROR(__xludf.DUMMYFUNCTION("""COMPUTED_VALUE"""),45677.7070126736)</f>
        <v>45677.7070126736</v>
      </c>
      <c r="B105" s="1"/>
      <c r="C105" s="1">
        <f ca="1">IFERROR(__xludf.DUMMYFUNCTION("""COMPUTED_VALUE"""),27207128839)</f>
        <v>27207128839</v>
      </c>
      <c r="D105" s="1" t="str">
        <f ca="1">IFERROR(__xludf.DUMMYFUNCTION("""COMPUTED_VALUE"""),"Nguyễn Thị Thu Thương")</f>
        <v>Nguyễn Thị Thu Thương</v>
      </c>
      <c r="E105" s="4"/>
      <c r="F105" s="1" t="str">
        <f ca="1">IFERROR(__xludf.DUMMYFUNCTION("""COMPUTED_VALUE"""),"K27DLK 4")</f>
        <v>K27DLK 4</v>
      </c>
      <c r="G105" s="1" t="str">
        <f ca="1">IFERROR(__xludf.DUMMYFUNCTION("""COMPUTED_VALUE"""),"Quản trị Du lịch &amp; Khách sạn")</f>
        <v>Quản trị Du lịch &amp; Khách sạn</v>
      </c>
      <c r="H105" s="1">
        <f ca="1">IFERROR(__xludf.DUMMYFUNCTION("""COMPUTED_VALUE"""),27)</f>
        <v>27</v>
      </c>
      <c r="I105" s="1"/>
      <c r="J105" s="1" t="str">
        <f ca="1">IFERROR(__xludf.DUMMYFUNCTION("""COMPUTED_VALUE"""),"Chuyên đề")</f>
        <v>Chuyên đề</v>
      </c>
      <c r="K105" s="1" t="str">
        <f ca="1">IFERROR(__xludf.DUMMYFUNCTION("""COMPUTED_VALUE"""),"Vanda Hotel")</f>
        <v>Vanda Hotel</v>
      </c>
      <c r="L105" s="1"/>
      <c r="M105" s="1" t="str">
        <f ca="1">IFERROR(__xludf.DUMMYFUNCTION("""COMPUTED_VALUE"""),"03 Nguyễn Văn Linh")</f>
        <v>03 Nguyễn Văn Linh</v>
      </c>
      <c r="N105" s="1" t="str">
        <f ca="1">IFERROR(__xludf.DUMMYFUNCTION("""COMPUTED_VALUE"""),"Đà Nẵng")</f>
        <v>Đà Nẵng</v>
      </c>
      <c r="O105" s="1" t="str">
        <f ca="1">IFERROR(__xludf.DUMMYFUNCTION("""COMPUTED_VALUE"""),"Nhà hàng")</f>
        <v>Nhà hàng</v>
      </c>
      <c r="P105" s="1"/>
      <c r="Q105" s="1" t="str">
        <f ca="1">IFERROR(__xludf.DUMMYFUNCTION("""COMPUTED_VALUE"""),"20/01/2025")</f>
        <v>20/01/2025</v>
      </c>
      <c r="R105" s="1" t="str">
        <f ca="1">IFERROR(__xludf.DUMMYFUNCTION("""COMPUTED_VALUE"""),"cam kết")</f>
        <v>cam kết</v>
      </c>
      <c r="S105" s="1" t="str">
        <f ca="1">IFERROR(__xludf.DUMMYFUNCTION("""COMPUTED_VALUE"""),"Chuyên đề")</f>
        <v>Chuyên đề</v>
      </c>
      <c r="T105" s="1"/>
      <c r="U105" s="4">
        <f ca="1">IFERROR(__xludf.DUMMYFUNCTION("""COMPUTED_VALUE"""),45698)</f>
        <v>45698</v>
      </c>
      <c r="V105" s="4">
        <f ca="1">IFERROR(__xludf.DUMMYFUNCTION("""COMPUTED_VALUE"""),45787)</f>
        <v>45787</v>
      </c>
      <c r="W105" s="1">
        <f ca="1">IFERROR(__xludf.DUMMYFUNCTION("""COMPUTED_VALUE"""),104)</f>
        <v>104</v>
      </c>
      <c r="X105" s="1" t="str">
        <f ca="1">IFERROR(__xludf.DUMMYFUNCTION("""COMPUTED_VALUE"""),"21/01/2025")</f>
        <v>21/01/2025</v>
      </c>
      <c r="Y105" s="1" t="str">
        <f ca="1">IFERROR(__xludf.DUMMYFUNCTION("""COMPUTED_VALUE"""),"DUYỆT")</f>
        <v>DUYỆT</v>
      </c>
      <c r="Z105" s="1" t="str">
        <f ca="1">IFERROR(__xludf.DUMMYFUNCTION("""COMPUTED_VALUE"""),"21/01/2025")</f>
        <v>21/01/2025</v>
      </c>
      <c r="AA105" s="1" t="str">
        <f ca="1">IFERROR(__xludf.DUMMYFUNCTION("""COMPUTED_VALUE"""),"Vanda Hotel")</f>
        <v>Vanda Hotel</v>
      </c>
      <c r="AB105" s="1" t="str">
        <f ca="1">IFERROR(__xludf.DUMMYFUNCTION("""COMPUTED_VALUE"""),"Nhà hàng")</f>
        <v>Nhà hàng</v>
      </c>
      <c r="AC105" s="1"/>
      <c r="AD105" s="1"/>
      <c r="AE105" s="1" t="str">
        <f ca="1">IFERROR(__xludf.DUMMYFUNCTION("""COMPUTED_VALUE"""),"")</f>
        <v/>
      </c>
    </row>
    <row r="106" spans="1:31" x14ac:dyDescent="0.2">
      <c r="A106" s="6">
        <f ca="1">IFERROR(__xludf.DUMMYFUNCTION("""COMPUTED_VALUE"""),45677.9309643171)</f>
        <v>45677.9309643171</v>
      </c>
      <c r="B106" s="1"/>
      <c r="C106" s="1">
        <f ca="1">IFERROR(__xludf.DUMMYFUNCTION("""COMPUTED_VALUE"""),26207133639)</f>
        <v>26207133639</v>
      </c>
      <c r="D106" s="1" t="str">
        <f ca="1">IFERROR(__xludf.DUMMYFUNCTION("""COMPUTED_VALUE"""),"Nguyễn Trúc Linh")</f>
        <v>Nguyễn Trúc Linh</v>
      </c>
      <c r="E106" s="4"/>
      <c r="F106" s="1" t="str">
        <f ca="1">IFERROR(__xludf.DUMMYFUNCTION("""COMPUTED_VALUE"""),"K26DLK13")</f>
        <v>K26DLK13</v>
      </c>
      <c r="G106" s="1" t="str">
        <f ca="1">IFERROR(__xludf.DUMMYFUNCTION("""COMPUTED_VALUE"""),"Quản trị Du lịch &amp; Khách sạn")</f>
        <v>Quản trị Du lịch &amp; Khách sạn</v>
      </c>
      <c r="H106" s="1">
        <f ca="1">IFERROR(__xludf.DUMMYFUNCTION("""COMPUTED_VALUE"""),26)</f>
        <v>26</v>
      </c>
      <c r="I106" s="1"/>
      <c r="J106" s="1" t="str">
        <f ca="1">IFERROR(__xludf.DUMMYFUNCTION("""COMPUTED_VALUE"""),"Chuyên đề")</f>
        <v>Chuyên đề</v>
      </c>
      <c r="K106" s="1" t="str">
        <f ca="1">IFERROR(__xludf.DUMMYFUNCTION("""COMPUTED_VALUE"""),"New Orient Hotel Đà Nẵng")</f>
        <v>New Orient Hotel Đà Nẵng</v>
      </c>
      <c r="L106" s="1"/>
      <c r="M106" s="1" t="str">
        <f ca="1">IFERROR(__xludf.DUMMYFUNCTION("""COMPUTED_VALUE"""),"20 Đống Đa, Thuận Phước, Hải Châu, Đà Nẵng")</f>
        <v>20 Đống Đa, Thuận Phước, Hải Châu, Đà Nẵng</v>
      </c>
      <c r="N106" s="1" t="str">
        <f ca="1">IFERROR(__xludf.DUMMYFUNCTION("""COMPUTED_VALUE"""),"Đà Nẵng")</f>
        <v>Đà Nẵng</v>
      </c>
      <c r="O106" s="1" t="str">
        <f ca="1">IFERROR(__xludf.DUMMYFUNCTION("""COMPUTED_VALUE"""),"Buồng phòng")</f>
        <v>Buồng phòng</v>
      </c>
      <c r="P106" s="1"/>
      <c r="Q106" s="1" t="str">
        <f ca="1">IFERROR(__xludf.DUMMYFUNCTION("""COMPUTED_VALUE"""),"20/01/2025")</f>
        <v>20/01/2025</v>
      </c>
      <c r="R106" s="1" t="str">
        <f ca="1">IFERROR(__xludf.DUMMYFUNCTION("""COMPUTED_VALUE"""),"cam kết")</f>
        <v>cam kết</v>
      </c>
      <c r="S106" s="1" t="str">
        <f ca="1">IFERROR(__xludf.DUMMYFUNCTION("""COMPUTED_VALUE"""),"Chuyên đề")</f>
        <v>Chuyên đề</v>
      </c>
      <c r="T106" s="1" t="str">
        <f ca="1">IFERROR(__xludf.DUMMYFUNCTION("""COMPUTED_VALUE"""),"Phạm Thị Thu Thủy")</f>
        <v>Phạm Thị Thu Thủy</v>
      </c>
      <c r="U106" s="4">
        <f ca="1">IFERROR(__xludf.DUMMYFUNCTION("""COMPUTED_VALUE"""),45698)</f>
        <v>45698</v>
      </c>
      <c r="V106" s="4">
        <f ca="1">IFERROR(__xludf.DUMMYFUNCTION("""COMPUTED_VALUE"""),45787)</f>
        <v>45787</v>
      </c>
      <c r="W106" s="1">
        <f ca="1">IFERROR(__xludf.DUMMYFUNCTION("""COMPUTED_VALUE"""),105)</f>
        <v>105</v>
      </c>
      <c r="X106" s="1" t="str">
        <f ca="1">IFERROR(__xludf.DUMMYFUNCTION("""COMPUTED_VALUE"""),"21/01/2025")</f>
        <v>21/01/2025</v>
      </c>
      <c r="Y106" s="1" t="str">
        <f ca="1">IFERROR(__xludf.DUMMYFUNCTION("""COMPUTED_VALUE"""),"DUYỆT")</f>
        <v>DUYỆT</v>
      </c>
      <c r="Z106" s="1" t="str">
        <f ca="1">IFERROR(__xludf.DUMMYFUNCTION("""COMPUTED_VALUE"""),"21/01/2025")</f>
        <v>21/01/2025</v>
      </c>
      <c r="AA106" s="1" t="str">
        <f ca="1">IFERROR(__xludf.DUMMYFUNCTION("""COMPUTED_VALUE"""),"New Orient Hotel Đà Nẵng")</f>
        <v>New Orient Hotel Đà Nẵng</v>
      </c>
      <c r="AB106" s="1" t="str">
        <f ca="1">IFERROR(__xludf.DUMMYFUNCTION("""COMPUTED_VALUE"""),"Buồng phòng")</f>
        <v>Buồng phòng</v>
      </c>
      <c r="AC106" s="1" t="str">
        <f ca="1">IFERROR(__xludf.DUMMYFUNCTION("""COMPUTED_VALUE"""),"ĐÃ NỘP")</f>
        <v>ĐÃ NỘP</v>
      </c>
      <c r="AD106" s="1"/>
      <c r="AE106" s="1" t="str">
        <f ca="1">IFERROR(__xludf.DUMMYFUNCTION("""COMPUTED_VALUE"""),"")</f>
        <v/>
      </c>
    </row>
    <row r="107" spans="1:31" x14ac:dyDescent="0.2">
      <c r="A107" s="6">
        <f ca="1">IFERROR(__xludf.DUMMYFUNCTION("""COMPUTED_VALUE"""),45679.7220197916)</f>
        <v>45679.722019791603</v>
      </c>
      <c r="B107" s="1"/>
      <c r="C107" s="1">
        <f ca="1">IFERROR(__xludf.DUMMYFUNCTION("""COMPUTED_VALUE"""),27213324100)</f>
        <v>27213324100</v>
      </c>
      <c r="D107" s="1" t="str">
        <f ca="1">IFERROR(__xludf.DUMMYFUNCTION("""COMPUTED_VALUE"""),"Lưu Vương Hà My")</f>
        <v>Lưu Vương Hà My</v>
      </c>
      <c r="E107" s="4"/>
      <c r="F107" s="1" t="str">
        <f ca="1">IFERROR(__xludf.DUMMYFUNCTION("""COMPUTED_VALUE"""),"K27DLK 7")</f>
        <v>K27DLK 7</v>
      </c>
      <c r="G107" s="1" t="str">
        <f ca="1">IFERROR(__xludf.DUMMYFUNCTION("""COMPUTED_VALUE"""),"Quản trị Du lịch &amp; Khách sạn")</f>
        <v>Quản trị Du lịch &amp; Khách sạn</v>
      </c>
      <c r="H107" s="1">
        <f ca="1">IFERROR(__xludf.DUMMYFUNCTION("""COMPUTED_VALUE"""),27)</f>
        <v>27</v>
      </c>
      <c r="I107" s="1"/>
      <c r="J107" s="1" t="str">
        <f ca="1">IFERROR(__xludf.DUMMYFUNCTION("""COMPUTED_VALUE"""),"Chuyên đề")</f>
        <v>Chuyên đề</v>
      </c>
      <c r="K107" s="1" t="str">
        <f ca="1">IFERROR(__xludf.DUMMYFUNCTION("""COMPUTED_VALUE"""),"Khách sạn Shilla Monogram Quangnam Danang")</f>
        <v>Khách sạn Shilla Monogram Quangnam Danang</v>
      </c>
      <c r="L107" s="1"/>
      <c r="M107" s="1" t="str">
        <f ca="1">IFERROR(__xludf.DUMMYFUNCTION("""COMPUTED_VALUE"""),"Lạc Long Quân, phường Điện Ngọc, thị xã Điện Bàn, tỉnh Quảng Nam, Việt Nam")</f>
        <v>Lạc Long Quân, phường Điện Ngọc, thị xã Điện Bàn, tỉnh Quảng Nam, Việt Nam</v>
      </c>
      <c r="N107" s="1" t="str">
        <f ca="1">IFERROR(__xludf.DUMMYFUNCTION("""COMPUTED_VALUE"""),"Quảng Nam")</f>
        <v>Quảng Nam</v>
      </c>
      <c r="O107" s="1" t="str">
        <f ca="1">IFERROR(__xludf.DUMMYFUNCTION("""COMPUTED_VALUE"""),"Nhà hàng")</f>
        <v>Nhà hàng</v>
      </c>
      <c r="P107" s="1"/>
      <c r="Q107" s="1" t="str">
        <f ca="1">IFERROR(__xludf.DUMMYFUNCTION("""COMPUTED_VALUE"""),"20/01/2025")</f>
        <v>20/01/2025</v>
      </c>
      <c r="R107" s="1" t="str">
        <f ca="1">IFERROR(__xludf.DUMMYFUNCTION("""COMPUTED_VALUE"""),"cam kết")</f>
        <v>cam kết</v>
      </c>
      <c r="S107" s="1" t="str">
        <f ca="1">IFERROR(__xludf.DUMMYFUNCTION("""COMPUTED_VALUE"""),"Chuyên đề")</f>
        <v>Chuyên đề</v>
      </c>
      <c r="T107" s="1"/>
      <c r="U107" s="4">
        <f ca="1">IFERROR(__xludf.DUMMYFUNCTION("""COMPUTED_VALUE"""),45698)</f>
        <v>45698</v>
      </c>
      <c r="V107" s="4">
        <f ca="1">IFERROR(__xludf.DUMMYFUNCTION("""COMPUTED_VALUE"""),45787)</f>
        <v>45787</v>
      </c>
      <c r="W107" s="1">
        <f ca="1">IFERROR(__xludf.DUMMYFUNCTION("""COMPUTED_VALUE"""),106)</f>
        <v>106</v>
      </c>
      <c r="X107" s="1" t="str">
        <f ca="1">IFERROR(__xludf.DUMMYFUNCTION("""COMPUTED_VALUE"""),"21/01/2025")</f>
        <v>21/01/2025</v>
      </c>
      <c r="Y107" s="1" t="str">
        <f ca="1">IFERROR(__xludf.DUMMYFUNCTION("""COMPUTED_VALUE"""),"DUYỆT")</f>
        <v>DUYỆT</v>
      </c>
      <c r="Z107" s="1" t="str">
        <f ca="1">IFERROR(__xludf.DUMMYFUNCTION("""COMPUTED_VALUE"""),"21/01/2025")</f>
        <v>21/01/2025</v>
      </c>
      <c r="AA107" s="1" t="str">
        <f ca="1">IFERROR(__xludf.DUMMYFUNCTION("""COMPUTED_VALUE"""),"Khách sạn Shilla Monogram Quangnam Danang")</f>
        <v>Khách sạn Shilla Monogram Quangnam Danang</v>
      </c>
      <c r="AB107" s="1" t="str">
        <f ca="1">IFERROR(__xludf.DUMMYFUNCTION("""COMPUTED_VALUE"""),"Nhà hàng")</f>
        <v>Nhà hàng</v>
      </c>
      <c r="AC107" s="1"/>
      <c r="AD107" s="1" t="str">
        <f ca="1">IFERROR(__xludf.DUMMYFUNCTION("""COMPUTED_VALUE"""),"sinh viên phải đảm bảo ko quá 5sv/nhà hàng")</f>
        <v>sinh viên phải đảm bảo ko quá 5sv/nhà hàng</v>
      </c>
      <c r="AE107" s="1" t="str">
        <f ca="1">IFERROR(__xludf.DUMMYFUNCTION("""COMPUTED_VALUE"""),"")</f>
        <v/>
      </c>
    </row>
    <row r="108" spans="1:31" x14ac:dyDescent="0.2">
      <c r="A108" s="6">
        <f ca="1">IFERROR(__xludf.DUMMYFUNCTION("""COMPUTED_VALUE"""),45697.9041727546)</f>
        <v>45697.904172754599</v>
      </c>
      <c r="B108" s="1"/>
      <c r="C108" s="1">
        <f ca="1">IFERROR(__xludf.DUMMYFUNCTION("""COMPUTED_VALUE"""),27217131784)</f>
        <v>27217131784</v>
      </c>
      <c r="D108" s="1" t="str">
        <f ca="1">IFERROR(__xludf.DUMMYFUNCTION("""COMPUTED_VALUE"""),"Đoàn Văn Lại")</f>
        <v>Đoàn Văn Lại</v>
      </c>
      <c r="E108" s="4"/>
      <c r="F108" s="1" t="str">
        <f ca="1">IFERROR(__xludf.DUMMYFUNCTION("""COMPUTED_VALUE"""),"K27DLK4")</f>
        <v>K27DLK4</v>
      </c>
      <c r="G108" s="1" t="str">
        <f ca="1">IFERROR(__xludf.DUMMYFUNCTION("""COMPUTED_VALUE"""),"Quản trị Du lịch &amp; Khách sạn")</f>
        <v>Quản trị Du lịch &amp; Khách sạn</v>
      </c>
      <c r="H108" s="1">
        <f ca="1">IFERROR(__xludf.DUMMYFUNCTION("""COMPUTED_VALUE"""),27)</f>
        <v>27</v>
      </c>
      <c r="I108" s="1"/>
      <c r="J108" s="1" t="str">
        <f ca="1">IFERROR(__xludf.DUMMYFUNCTION("""COMPUTED_VALUE"""),"Chuyên đề")</f>
        <v>Chuyên đề</v>
      </c>
      <c r="K108" s="1" t="str">
        <f ca="1">IFERROR(__xludf.DUMMYFUNCTION("""COMPUTED_VALUE"""),"Grand Tourane Hotel")</f>
        <v>Grand Tourane Hotel</v>
      </c>
      <c r="L108" s="1"/>
      <c r="M108" s="1" t="str">
        <f ca="1">IFERROR(__xludf.DUMMYFUNCTION("""COMPUTED_VALUE"""),"252 Võ Nguyên Giáp, Phường Phước Mỹ, Quận Sơn Trà, Thành phố Đà Nẵng")</f>
        <v>252 Võ Nguyên Giáp, Phường Phước Mỹ, Quận Sơn Trà, Thành phố Đà Nẵng</v>
      </c>
      <c r="N108" s="1" t="str">
        <f ca="1">IFERROR(__xludf.DUMMYFUNCTION("""COMPUTED_VALUE"""),"Đà Nẵng")</f>
        <v>Đà Nẵng</v>
      </c>
      <c r="O108" s="1" t="str">
        <f ca="1">IFERROR(__xludf.DUMMYFUNCTION("""COMPUTED_VALUE"""),"Nhà hàng")</f>
        <v>Nhà hàng</v>
      </c>
      <c r="P108" s="1"/>
      <c r="Q108" s="1" t="str">
        <f ca="1">IFERROR(__xludf.DUMMYFUNCTION("""COMPUTED_VALUE"""),"21/01/2025")</f>
        <v>21/01/2025</v>
      </c>
      <c r="R108" s="1" t="str">
        <f ca="1">IFERROR(__xludf.DUMMYFUNCTION("""COMPUTED_VALUE"""),"cam kết")</f>
        <v>cam kết</v>
      </c>
      <c r="S108" s="1" t="str">
        <f ca="1">IFERROR(__xludf.DUMMYFUNCTION("""COMPUTED_VALUE"""),"Chuyên đề")</f>
        <v>Chuyên đề</v>
      </c>
      <c r="T108" s="1" t="str">
        <f ca="1">IFERROR(__xludf.DUMMYFUNCTION("""COMPUTED_VALUE"""),"Mai Thị Thương")</f>
        <v>Mai Thị Thương</v>
      </c>
      <c r="U108" s="4">
        <f ca="1">IFERROR(__xludf.DUMMYFUNCTION("""COMPUTED_VALUE"""),45698)</f>
        <v>45698</v>
      </c>
      <c r="V108" s="4">
        <f ca="1">IFERROR(__xludf.DUMMYFUNCTION("""COMPUTED_VALUE"""),45787)</f>
        <v>45787</v>
      </c>
      <c r="W108" s="1">
        <f ca="1">IFERROR(__xludf.DUMMYFUNCTION("""COMPUTED_VALUE"""),107)</f>
        <v>107</v>
      </c>
      <c r="X108" s="1" t="str">
        <f ca="1">IFERROR(__xludf.DUMMYFUNCTION("""COMPUTED_VALUE"""),"21/01/2025")</f>
        <v>21/01/2025</v>
      </c>
      <c r="Y108" s="1" t="str">
        <f ca="1">IFERROR(__xludf.DUMMYFUNCTION("""COMPUTED_VALUE"""),"DUYỆT")</f>
        <v>DUYỆT</v>
      </c>
      <c r="Z108" s="1" t="str">
        <f ca="1">IFERROR(__xludf.DUMMYFUNCTION("""COMPUTED_VALUE"""),"21/01/2025")</f>
        <v>21/01/2025</v>
      </c>
      <c r="AA108" s="1" t="str">
        <f ca="1">IFERROR(__xludf.DUMMYFUNCTION("""COMPUTED_VALUE"""),"Grand Tourane Hotel")</f>
        <v>Grand Tourane Hotel</v>
      </c>
      <c r="AB108" s="1" t="str">
        <f ca="1">IFERROR(__xludf.DUMMYFUNCTION("""COMPUTED_VALUE"""),"Nhà hàng")</f>
        <v>Nhà hàng</v>
      </c>
      <c r="AC108" s="1"/>
      <c r="AD108" s="1"/>
      <c r="AE108" s="1" t="str">
        <f ca="1">IFERROR(__xludf.DUMMYFUNCTION("""COMPUTED_VALUE"""),"")</f>
        <v/>
      </c>
    </row>
    <row r="109" spans="1:31" x14ac:dyDescent="0.2">
      <c r="A109" s="6">
        <f ca="1">IFERROR(__xludf.DUMMYFUNCTION("""COMPUTED_VALUE"""),45691.7072717245)</f>
        <v>45691.707271724503</v>
      </c>
      <c r="B109" s="1"/>
      <c r="C109" s="1">
        <f ca="1">IFERROR(__xludf.DUMMYFUNCTION("""COMPUTED_VALUE"""),27217134003)</f>
        <v>27217134003</v>
      </c>
      <c r="D109" s="1" t="str">
        <f ca="1">IFERROR(__xludf.DUMMYFUNCTION("""COMPUTED_VALUE"""),"Trần Dỉnh Khang")</f>
        <v>Trần Dỉnh Khang</v>
      </c>
      <c r="E109" s="4"/>
      <c r="F109" s="1" t="str">
        <f ca="1">IFERROR(__xludf.DUMMYFUNCTION("""COMPUTED_VALUE"""),"K27DLK1")</f>
        <v>K27DLK1</v>
      </c>
      <c r="G109" s="1" t="str">
        <f ca="1">IFERROR(__xludf.DUMMYFUNCTION("""COMPUTED_VALUE"""),"Quản trị Du lịch &amp; Khách sạn")</f>
        <v>Quản trị Du lịch &amp; Khách sạn</v>
      </c>
      <c r="H109" s="1">
        <f ca="1">IFERROR(__xludf.DUMMYFUNCTION("""COMPUTED_VALUE"""),27)</f>
        <v>27</v>
      </c>
      <c r="I109" s="1"/>
      <c r="J109" s="1" t="str">
        <f ca="1">IFERROR(__xludf.DUMMYFUNCTION("""COMPUTED_VALUE"""),"Chuyên đề")</f>
        <v>Chuyên đề</v>
      </c>
      <c r="K109" s="1" t="str">
        <f ca="1">IFERROR(__xludf.DUMMYFUNCTION("""COMPUTED_VALUE"""),"Novotel DaNang Premier Han River")</f>
        <v>Novotel DaNang Premier Han River</v>
      </c>
      <c r="L109" s="1"/>
      <c r="M109" s="1" t="str">
        <f ca="1">IFERROR(__xludf.DUMMYFUNCTION("""COMPUTED_VALUE"""),"36 Bạch Đằng, quận Hải Châu, Thành Phố Đà Nẵng")</f>
        <v>36 Bạch Đằng, quận Hải Châu, Thành Phố Đà Nẵng</v>
      </c>
      <c r="N109" s="1" t="str">
        <f ca="1">IFERROR(__xludf.DUMMYFUNCTION("""COMPUTED_VALUE"""),"Đà Nẵng")</f>
        <v>Đà Nẵng</v>
      </c>
      <c r="O109" s="1" t="str">
        <f ca="1">IFERROR(__xludf.DUMMYFUNCTION("""COMPUTED_VALUE"""),"Buồng phòng")</f>
        <v>Buồng phòng</v>
      </c>
      <c r="P109" s="1"/>
      <c r="Q109" s="1" t="str">
        <f ca="1">IFERROR(__xludf.DUMMYFUNCTION("""COMPUTED_VALUE"""),"04/02/2025")</f>
        <v>04/02/2025</v>
      </c>
      <c r="R109" s="1" t="str">
        <f ca="1">IFERROR(__xludf.DUMMYFUNCTION("""COMPUTED_VALUE"""),"cam kết")</f>
        <v>cam kết</v>
      </c>
      <c r="S109" s="1" t="str">
        <f ca="1">IFERROR(__xludf.DUMMYFUNCTION("""COMPUTED_VALUE"""),"Chuyên đề")</f>
        <v>Chuyên đề</v>
      </c>
      <c r="T109" s="1"/>
      <c r="U109" s="4">
        <f ca="1">IFERROR(__xludf.DUMMYFUNCTION("""COMPUTED_VALUE"""),45698)</f>
        <v>45698</v>
      </c>
      <c r="V109" s="4">
        <f ca="1">IFERROR(__xludf.DUMMYFUNCTION("""COMPUTED_VALUE"""),45787)</f>
        <v>45787</v>
      </c>
      <c r="W109" s="1">
        <f ca="1">IFERROR(__xludf.DUMMYFUNCTION("""COMPUTED_VALUE"""),108)</f>
        <v>108</v>
      </c>
      <c r="X109" s="3">
        <f ca="1">IFERROR(__xludf.DUMMYFUNCTION("""COMPUTED_VALUE"""),45779)</f>
        <v>45779</v>
      </c>
      <c r="Y109" s="1" t="str">
        <f ca="1">IFERROR(__xludf.DUMMYFUNCTION("""COMPUTED_VALUE"""),"DUYỆT")</f>
        <v>DUYỆT</v>
      </c>
      <c r="Z109" s="1" t="str">
        <f ca="1">IFERROR(__xludf.DUMMYFUNCTION("""COMPUTED_VALUE"""),"21/01/2025")</f>
        <v>21/01/2025</v>
      </c>
      <c r="AA109" s="1" t="str">
        <f ca="1">IFERROR(__xludf.DUMMYFUNCTION("""COMPUTED_VALUE"""),"Novotel DaNang Premier Han River")</f>
        <v>Novotel DaNang Premier Han River</v>
      </c>
      <c r="AB109" s="1" t="str">
        <f ca="1">IFERROR(__xludf.DUMMYFUNCTION("""COMPUTED_VALUE"""),"Buồng phòng")</f>
        <v>Buồng phòng</v>
      </c>
      <c r="AC109" s="1"/>
      <c r="AD109" s="1"/>
      <c r="AE109" s="1" t="str">
        <f ca="1">IFERROR(__xludf.DUMMYFUNCTION("""COMPUTED_VALUE"""),"")</f>
        <v/>
      </c>
    </row>
    <row r="110" spans="1:31" x14ac:dyDescent="0.2">
      <c r="A110" s="6">
        <f ca="1">IFERROR(__xludf.DUMMYFUNCTION("""COMPUTED_VALUE"""),45678.6751217013)</f>
        <v>45678.675121701301</v>
      </c>
      <c r="B110" s="1"/>
      <c r="C110" s="1">
        <f ca="1">IFERROR(__xludf.DUMMYFUNCTION("""COMPUTED_VALUE"""),27207140573)</f>
        <v>27207140573</v>
      </c>
      <c r="D110" s="1" t="str">
        <f ca="1">IFERROR(__xludf.DUMMYFUNCTION("""COMPUTED_VALUE"""),"Bùi Thị Phương Nga ")</f>
        <v xml:space="preserve">Bùi Thị Phương Nga </v>
      </c>
      <c r="E110" s="4"/>
      <c r="F110" s="1" t="str">
        <f ca="1">IFERROR(__xludf.DUMMYFUNCTION("""COMPUTED_VALUE"""),"K27DLK4")</f>
        <v>K27DLK4</v>
      </c>
      <c r="G110" s="1" t="str">
        <f ca="1">IFERROR(__xludf.DUMMYFUNCTION("""COMPUTED_VALUE"""),"Quản trị Du lịch &amp; Khách sạn")</f>
        <v>Quản trị Du lịch &amp; Khách sạn</v>
      </c>
      <c r="H110" s="1">
        <f ca="1">IFERROR(__xludf.DUMMYFUNCTION("""COMPUTED_VALUE"""),27)</f>
        <v>27</v>
      </c>
      <c r="I110" s="1"/>
      <c r="J110" s="1" t="str">
        <f ca="1">IFERROR(__xludf.DUMMYFUNCTION("""COMPUTED_VALUE"""),"Chuyên đề")</f>
        <v>Chuyên đề</v>
      </c>
      <c r="K110" s="1" t="str">
        <f ca="1">IFERROR(__xludf.DUMMYFUNCTION("""COMPUTED_VALUE"""),"Vanda Hotel")</f>
        <v>Vanda Hotel</v>
      </c>
      <c r="L110" s="1"/>
      <c r="M110" s="1" t="str">
        <f ca="1">IFERROR(__xludf.DUMMYFUNCTION("""COMPUTED_VALUE"""),"03 Nguyễn Văn Linh")</f>
        <v>03 Nguyễn Văn Linh</v>
      </c>
      <c r="N110" s="1" t="str">
        <f ca="1">IFERROR(__xludf.DUMMYFUNCTION("""COMPUTED_VALUE"""),"Đà Nẵng ")</f>
        <v xml:space="preserve">Đà Nẵng </v>
      </c>
      <c r="O110" s="1" t="str">
        <f ca="1">IFERROR(__xludf.DUMMYFUNCTION("""COMPUTED_VALUE"""),"Tiền sảnh")</f>
        <v>Tiền sảnh</v>
      </c>
      <c r="P110" s="1"/>
      <c r="Q110" s="1" t="str">
        <f ca="1">IFERROR(__xludf.DUMMYFUNCTION("""COMPUTED_VALUE"""),"21/01/2025")</f>
        <v>21/01/2025</v>
      </c>
      <c r="R110" s="1" t="str">
        <f ca="1">IFERROR(__xludf.DUMMYFUNCTION("""COMPUTED_VALUE"""),"cam kết")</f>
        <v>cam kết</v>
      </c>
      <c r="S110" s="1" t="str">
        <f ca="1">IFERROR(__xludf.DUMMYFUNCTION("""COMPUTED_VALUE"""),"Chuyên đề")</f>
        <v>Chuyên đề</v>
      </c>
      <c r="T110" s="1" t="str">
        <f ca="1">IFERROR(__xludf.DUMMYFUNCTION("""COMPUTED_VALUE"""),"Mai Thị Thương")</f>
        <v>Mai Thị Thương</v>
      </c>
      <c r="U110" s="4">
        <f ca="1">IFERROR(__xludf.DUMMYFUNCTION("""COMPUTED_VALUE"""),45698)</f>
        <v>45698</v>
      </c>
      <c r="V110" s="4">
        <f ca="1">IFERROR(__xludf.DUMMYFUNCTION("""COMPUTED_VALUE"""),45787)</f>
        <v>45787</v>
      </c>
      <c r="W110" s="1">
        <f ca="1">IFERROR(__xludf.DUMMYFUNCTION("""COMPUTED_VALUE"""),109)</f>
        <v>109</v>
      </c>
      <c r="X110" s="1" t="str">
        <f ca="1">IFERROR(__xludf.DUMMYFUNCTION("""COMPUTED_VALUE"""),"21/01/2025")</f>
        <v>21/01/2025</v>
      </c>
      <c r="Y110" s="1" t="str">
        <f ca="1">IFERROR(__xludf.DUMMYFUNCTION("""COMPUTED_VALUE"""),"DUYỆT")</f>
        <v>DUYỆT</v>
      </c>
      <c r="Z110" s="1" t="str">
        <f ca="1">IFERROR(__xludf.DUMMYFUNCTION("""COMPUTED_VALUE"""),"21/01/2025")</f>
        <v>21/01/2025</v>
      </c>
      <c r="AA110" s="1" t="str">
        <f ca="1">IFERROR(__xludf.DUMMYFUNCTION("""COMPUTED_VALUE"""),"Vanda Hotel")</f>
        <v>Vanda Hotel</v>
      </c>
      <c r="AB110" s="1" t="str">
        <f ca="1">IFERROR(__xludf.DUMMYFUNCTION("""COMPUTED_VALUE"""),"Tiền sảnh")</f>
        <v>Tiền sảnh</v>
      </c>
      <c r="AC110" s="1"/>
      <c r="AD110" s="1"/>
      <c r="AE110" s="1" t="str">
        <f ca="1">IFERROR(__xludf.DUMMYFUNCTION("""COMPUTED_VALUE"""),"")</f>
        <v/>
      </c>
    </row>
    <row r="111" spans="1:31" x14ac:dyDescent="0.2">
      <c r="A111" s="6">
        <f ca="1">IFERROR(__xludf.DUMMYFUNCTION("""COMPUTED_VALUE"""),45678.7111641898)</f>
        <v>45678.711164189801</v>
      </c>
      <c r="B111" s="1"/>
      <c r="C111" s="1">
        <f ca="1">IFERROR(__xludf.DUMMYFUNCTION("""COMPUTED_VALUE"""),27217146484)</f>
        <v>27217146484</v>
      </c>
      <c r="D111" s="1" t="str">
        <f ca="1">IFERROR(__xludf.DUMMYFUNCTION("""COMPUTED_VALUE"""),"Trần Quốc Đăng")</f>
        <v>Trần Quốc Đăng</v>
      </c>
      <c r="E111" s="4"/>
      <c r="F111" s="1" t="str">
        <f ca="1">IFERROR(__xludf.DUMMYFUNCTION("""COMPUTED_VALUE"""),"K27DLK1")</f>
        <v>K27DLK1</v>
      </c>
      <c r="G111" s="1" t="str">
        <f ca="1">IFERROR(__xludf.DUMMYFUNCTION("""COMPUTED_VALUE"""),"Quản trị Du lịch &amp; Khách sạn")</f>
        <v>Quản trị Du lịch &amp; Khách sạn</v>
      </c>
      <c r="H111" s="1">
        <f ca="1">IFERROR(__xludf.DUMMYFUNCTION("""COMPUTED_VALUE"""),27)</f>
        <v>27</v>
      </c>
      <c r="I111" s="1"/>
      <c r="J111" s="1" t="str">
        <f ca="1">IFERROR(__xludf.DUMMYFUNCTION("""COMPUTED_VALUE"""),"Chuyên đề")</f>
        <v>Chuyên đề</v>
      </c>
      <c r="K111" s="1" t="str">
        <f ca="1">IFERROR(__xludf.DUMMYFUNCTION("""COMPUTED_VALUE"""),"Diamond Sea Hotel")</f>
        <v>Diamond Sea Hotel</v>
      </c>
      <c r="L111" s="1"/>
      <c r="M111" s="1" t="str">
        <f ca="1">IFERROR(__xludf.DUMMYFUNCTION("""COMPUTED_VALUE"""),"232 Võ Nguyên Giáp")</f>
        <v>232 Võ Nguyên Giáp</v>
      </c>
      <c r="N111" s="1" t="str">
        <f ca="1">IFERROR(__xludf.DUMMYFUNCTION("""COMPUTED_VALUE"""),"Đà Nẵng")</f>
        <v>Đà Nẵng</v>
      </c>
      <c r="O111" s="1" t="str">
        <f ca="1">IFERROR(__xludf.DUMMYFUNCTION("""COMPUTED_VALUE"""),"Nhà hàng")</f>
        <v>Nhà hàng</v>
      </c>
      <c r="P111" s="1"/>
      <c r="Q111" s="1" t="str">
        <f ca="1">IFERROR(__xludf.DUMMYFUNCTION("""COMPUTED_VALUE"""),"21/1/2025")</f>
        <v>21/1/2025</v>
      </c>
      <c r="R111" s="1" t="str">
        <f ca="1">IFERROR(__xludf.DUMMYFUNCTION("""COMPUTED_VALUE"""),"cam kết")</f>
        <v>cam kết</v>
      </c>
      <c r="S111" s="1" t="str">
        <f ca="1">IFERROR(__xludf.DUMMYFUNCTION("""COMPUTED_VALUE"""),"Chuyên đề")</f>
        <v>Chuyên đề</v>
      </c>
      <c r="T111" s="1"/>
      <c r="U111" s="4">
        <f ca="1">IFERROR(__xludf.DUMMYFUNCTION("""COMPUTED_VALUE"""),45698)</f>
        <v>45698</v>
      </c>
      <c r="V111" s="4">
        <f ca="1">IFERROR(__xludf.DUMMYFUNCTION("""COMPUTED_VALUE"""),45787)</f>
        <v>45787</v>
      </c>
      <c r="W111" s="1">
        <f ca="1">IFERROR(__xludf.DUMMYFUNCTION("""COMPUTED_VALUE"""),110)</f>
        <v>110</v>
      </c>
      <c r="X111" s="1" t="str">
        <f ca="1">IFERROR(__xludf.DUMMYFUNCTION("""COMPUTED_VALUE"""),"22/01/2025")</f>
        <v>22/01/2025</v>
      </c>
      <c r="Y111" s="1" t="str">
        <f ca="1">IFERROR(__xludf.DUMMYFUNCTION("""COMPUTED_VALUE"""),"DUYỆT")</f>
        <v>DUYỆT</v>
      </c>
      <c r="Z111" s="1" t="str">
        <f ca="1">IFERROR(__xludf.DUMMYFUNCTION("""COMPUTED_VALUE"""),"22/01/2025")</f>
        <v>22/01/2025</v>
      </c>
      <c r="AA111" s="1" t="str">
        <f ca="1">IFERROR(__xludf.DUMMYFUNCTION("""COMPUTED_VALUE"""),"Diamond Sea Hotel")</f>
        <v>Diamond Sea Hotel</v>
      </c>
      <c r="AB111" s="1" t="str">
        <f ca="1">IFERROR(__xludf.DUMMYFUNCTION("""COMPUTED_VALUE"""),"Nhà hàng")</f>
        <v>Nhà hàng</v>
      </c>
      <c r="AC111" s="1"/>
      <c r="AD111" s="1"/>
      <c r="AE111" s="1" t="str">
        <f ca="1">IFERROR(__xludf.DUMMYFUNCTION("""COMPUTED_VALUE"""),"")</f>
        <v/>
      </c>
    </row>
    <row r="112" spans="1:31" x14ac:dyDescent="0.2">
      <c r="A112" s="6">
        <f ca="1">IFERROR(__xludf.DUMMYFUNCTION("""COMPUTED_VALUE"""),45678.7228844675)</f>
        <v>45678.722884467497</v>
      </c>
      <c r="B112" s="1"/>
      <c r="C112" s="1">
        <f ca="1">IFERROR(__xludf.DUMMYFUNCTION("""COMPUTED_VALUE"""),26217140809)</f>
        <v>26217140809</v>
      </c>
      <c r="D112" s="1" t="str">
        <f ca="1">IFERROR(__xludf.DUMMYFUNCTION("""COMPUTED_VALUE"""),"Đoàn Tuấn Minh")</f>
        <v>Đoàn Tuấn Minh</v>
      </c>
      <c r="E112" s="4"/>
      <c r="F112" s="1" t="str">
        <f ca="1">IFERROR(__xludf.DUMMYFUNCTION("""COMPUTED_VALUE"""),"K26dlk4")</f>
        <v>K26dlk4</v>
      </c>
      <c r="G112" s="1" t="str">
        <f ca="1">IFERROR(__xludf.DUMMYFUNCTION("""COMPUTED_VALUE"""),"Quản trị Du lịch &amp; Khách sạn chuẩn PSU")</f>
        <v>Quản trị Du lịch &amp; Khách sạn chuẩn PSU</v>
      </c>
      <c r="H112" s="1">
        <f ca="1">IFERROR(__xludf.DUMMYFUNCTION("""COMPUTED_VALUE"""),26)</f>
        <v>26</v>
      </c>
      <c r="I112" s="1"/>
      <c r="J112" s="1" t="str">
        <f ca="1">IFERROR(__xludf.DUMMYFUNCTION("""COMPUTED_VALUE"""),"Chuyên đề")</f>
        <v>Chuyên đề</v>
      </c>
      <c r="K112" s="1" t="str">
        <f ca="1">IFERROR(__xludf.DUMMYFUNCTION("""COMPUTED_VALUE"""),"Sheraton Grand Danang resort and Convention Center")</f>
        <v>Sheraton Grand Danang resort and Convention Center</v>
      </c>
      <c r="L112" s="1"/>
      <c r="M112" s="1" t="str">
        <f ca="1">IFERROR(__xludf.DUMMYFUNCTION("""COMPUTED_VALUE"""),"35 trường sa ngũ hành sơn đà nẵng")</f>
        <v>35 trường sa ngũ hành sơn đà nẵng</v>
      </c>
      <c r="N112" s="1" t="str">
        <f ca="1">IFERROR(__xludf.DUMMYFUNCTION("""COMPUTED_VALUE"""),"Đà Nẵng")</f>
        <v>Đà Nẵng</v>
      </c>
      <c r="O112" s="1" t="str">
        <f ca="1">IFERROR(__xludf.DUMMYFUNCTION("""COMPUTED_VALUE"""),"Nhà hàng")</f>
        <v>Nhà hàng</v>
      </c>
      <c r="P112" s="1"/>
      <c r="Q112" s="1" t="str">
        <f ca="1">IFERROR(__xludf.DUMMYFUNCTION("""COMPUTED_VALUE"""),"17/1/2025")</f>
        <v>17/1/2025</v>
      </c>
      <c r="R112" s="1" t="str">
        <f ca="1">IFERROR(__xludf.DUMMYFUNCTION("""COMPUTED_VALUE"""),"cam kết")</f>
        <v>cam kết</v>
      </c>
      <c r="S112" s="1" t="str">
        <f ca="1">IFERROR(__xludf.DUMMYFUNCTION("""COMPUTED_VALUE"""),"Chuyên đề")</f>
        <v>Chuyên đề</v>
      </c>
      <c r="T112" s="1"/>
      <c r="U112" s="4">
        <f ca="1">IFERROR(__xludf.DUMMYFUNCTION("""COMPUTED_VALUE"""),45698)</f>
        <v>45698</v>
      </c>
      <c r="V112" s="4">
        <f ca="1">IFERROR(__xludf.DUMMYFUNCTION("""COMPUTED_VALUE"""),45787)</f>
        <v>45787</v>
      </c>
      <c r="W112" s="1">
        <f ca="1">IFERROR(__xludf.DUMMYFUNCTION("""COMPUTED_VALUE"""),111)</f>
        <v>111</v>
      </c>
      <c r="X112" s="1" t="str">
        <f ca="1">IFERROR(__xludf.DUMMYFUNCTION("""COMPUTED_VALUE"""),"22/01/2025")</f>
        <v>22/01/2025</v>
      </c>
      <c r="Y112" s="1" t="str">
        <f ca="1">IFERROR(__xludf.DUMMYFUNCTION("""COMPUTED_VALUE"""),"DUYỆT")</f>
        <v>DUYỆT</v>
      </c>
      <c r="Z112" s="1" t="str">
        <f ca="1">IFERROR(__xludf.DUMMYFUNCTION("""COMPUTED_VALUE"""),"22/01/2025")</f>
        <v>22/01/2025</v>
      </c>
      <c r="AA112" s="1" t="str">
        <f ca="1">IFERROR(__xludf.DUMMYFUNCTION("""COMPUTED_VALUE"""),"Sheraton Grand Danang resort and Convention Center")</f>
        <v>Sheraton Grand Danang resort and Convention Center</v>
      </c>
      <c r="AB112" s="1" t="str">
        <f ca="1">IFERROR(__xludf.DUMMYFUNCTION("""COMPUTED_VALUE"""),"Nhà hàng")</f>
        <v>Nhà hàng</v>
      </c>
      <c r="AC112" s="1" t="str">
        <f ca="1">IFERROR(__xludf.DUMMYFUNCTION("""COMPUTED_VALUE"""),"ĐÃ NỘP")</f>
        <v>ĐÃ NỘP</v>
      </c>
      <c r="AD112" s="1"/>
      <c r="AE112" s="1" t="str">
        <f ca="1">IFERROR(__xludf.DUMMYFUNCTION("""COMPUTED_VALUE"""),"")</f>
        <v/>
      </c>
    </row>
    <row r="113" spans="1:31" x14ac:dyDescent="0.2">
      <c r="A113" s="6">
        <f ca="1">IFERROR(__xludf.DUMMYFUNCTION("""COMPUTED_VALUE"""),45678.7229495601)</f>
        <v>45678.722949560099</v>
      </c>
      <c r="B113" s="1"/>
      <c r="C113" s="1">
        <f ca="1">IFERROR(__xludf.DUMMYFUNCTION("""COMPUTED_VALUE"""),27217133248)</f>
        <v>27217133248</v>
      </c>
      <c r="D113" s="1" t="str">
        <f ca="1">IFERROR(__xludf.DUMMYFUNCTION("""COMPUTED_VALUE"""),"Lê Hoàng Long")</f>
        <v>Lê Hoàng Long</v>
      </c>
      <c r="E113" s="4"/>
      <c r="F113" s="1" t="str">
        <f ca="1">IFERROR(__xludf.DUMMYFUNCTION("""COMPUTED_VALUE"""),"K27DLK6")</f>
        <v>K27DLK6</v>
      </c>
      <c r="G113" s="1" t="str">
        <f ca="1">IFERROR(__xludf.DUMMYFUNCTION("""COMPUTED_VALUE"""),"Quản trị Du lịch &amp; Khách sạn")</f>
        <v>Quản trị Du lịch &amp; Khách sạn</v>
      </c>
      <c r="H113" s="1">
        <f ca="1">IFERROR(__xludf.DUMMYFUNCTION("""COMPUTED_VALUE"""),27)</f>
        <v>27</v>
      </c>
      <c r="I113" s="1"/>
      <c r="J113" s="1" t="str">
        <f ca="1">IFERROR(__xludf.DUMMYFUNCTION("""COMPUTED_VALUE"""),"Chuyên đề")</f>
        <v>Chuyên đề</v>
      </c>
      <c r="K113" s="1" t="str">
        <f ca="1">IFERROR(__xludf.DUMMYFUNCTION("""COMPUTED_VALUE"""),"Grand Tourane Hotel")</f>
        <v>Grand Tourane Hotel</v>
      </c>
      <c r="L113" s="1"/>
      <c r="M113" s="1" t="str">
        <f ca="1">IFERROR(__xludf.DUMMYFUNCTION("""COMPUTED_VALUE"""),"252 Võ Nguyên Giáp. Phường Phước Mỹ. Quận Sơn Trà. TP Đà Nẵng")</f>
        <v>252 Võ Nguyên Giáp. Phường Phước Mỹ. Quận Sơn Trà. TP Đà Nẵng</v>
      </c>
      <c r="N113" s="1" t="str">
        <f ca="1">IFERROR(__xludf.DUMMYFUNCTION("""COMPUTED_VALUE"""),"Đà Nẵng")</f>
        <v>Đà Nẵng</v>
      </c>
      <c r="O113" s="1" t="str">
        <f ca="1">IFERROR(__xludf.DUMMYFUNCTION("""COMPUTED_VALUE"""),"Nhà hàng")</f>
        <v>Nhà hàng</v>
      </c>
      <c r="P113" s="1"/>
      <c r="Q113" s="1" t="str">
        <f ca="1">IFERROR(__xludf.DUMMYFUNCTION("""COMPUTED_VALUE"""),"21/01/2025")</f>
        <v>21/01/2025</v>
      </c>
      <c r="R113" s="1" t="str">
        <f ca="1">IFERROR(__xludf.DUMMYFUNCTION("""COMPUTED_VALUE"""),"cam kết")</f>
        <v>cam kết</v>
      </c>
      <c r="S113" s="1" t="str">
        <f ca="1">IFERROR(__xludf.DUMMYFUNCTION("""COMPUTED_VALUE"""),"Chuyên đề")</f>
        <v>Chuyên đề</v>
      </c>
      <c r="T113" s="1" t="str">
        <f ca="1">IFERROR(__xludf.DUMMYFUNCTION("""COMPUTED_VALUE"""),"Trần Hoàng Anh")</f>
        <v>Trần Hoàng Anh</v>
      </c>
      <c r="U113" s="4">
        <f ca="1">IFERROR(__xludf.DUMMYFUNCTION("""COMPUTED_VALUE"""),45693)</f>
        <v>45693</v>
      </c>
      <c r="V113" s="4">
        <f ca="1">IFERROR(__xludf.DUMMYFUNCTION("""COMPUTED_VALUE"""),45782)</f>
        <v>45782</v>
      </c>
      <c r="W113" s="1">
        <f ca="1">IFERROR(__xludf.DUMMYFUNCTION("""COMPUTED_VALUE"""),112)</f>
        <v>112</v>
      </c>
      <c r="X113" s="1" t="str">
        <f ca="1">IFERROR(__xludf.DUMMYFUNCTION("""COMPUTED_VALUE"""),"22/01/2025")</f>
        <v>22/01/2025</v>
      </c>
      <c r="Y113" s="1" t="str">
        <f ca="1">IFERROR(__xludf.DUMMYFUNCTION("""COMPUTED_VALUE"""),"DUYỆT")</f>
        <v>DUYỆT</v>
      </c>
      <c r="Z113" s="1" t="str">
        <f ca="1">IFERROR(__xludf.DUMMYFUNCTION("""COMPUTED_VALUE"""),"22/01/2025")</f>
        <v>22/01/2025</v>
      </c>
      <c r="AA113" s="1" t="str">
        <f ca="1">IFERROR(__xludf.DUMMYFUNCTION("""COMPUTED_VALUE"""),"Grand Tourane Hotel")</f>
        <v>Grand Tourane Hotel</v>
      </c>
      <c r="AB113" s="1" t="str">
        <f ca="1">IFERROR(__xludf.DUMMYFUNCTION("""COMPUTED_VALUE"""),"Nhà hàng")</f>
        <v>Nhà hàng</v>
      </c>
      <c r="AC113" s="1"/>
      <c r="AD113" s="1"/>
      <c r="AE113" s="1" t="str">
        <f ca="1">IFERROR(__xludf.DUMMYFUNCTION("""COMPUTED_VALUE"""),"")</f>
        <v/>
      </c>
    </row>
    <row r="114" spans="1:31" x14ac:dyDescent="0.2">
      <c r="A114" s="6">
        <f ca="1">IFERROR(__xludf.DUMMYFUNCTION("""COMPUTED_VALUE"""),45692.4030511458)</f>
        <v>45692.403051145797</v>
      </c>
      <c r="B114" s="1"/>
      <c r="C114" s="1">
        <f ca="1">IFERROR(__xludf.DUMMYFUNCTION("""COMPUTED_VALUE"""),27207143366)</f>
        <v>27207143366</v>
      </c>
      <c r="D114" s="1" t="str">
        <f ca="1">IFERROR(__xludf.DUMMYFUNCTION("""COMPUTED_VALUE"""),"Trương Thị Thanh Huyền")</f>
        <v>Trương Thị Thanh Huyền</v>
      </c>
      <c r="E114" s="4"/>
      <c r="F114" s="1" t="str">
        <f ca="1">IFERROR(__xludf.DUMMYFUNCTION("""COMPUTED_VALUE"""),"K27DLK1")</f>
        <v>K27DLK1</v>
      </c>
      <c r="G114" s="1" t="str">
        <f ca="1">IFERROR(__xludf.DUMMYFUNCTION("""COMPUTED_VALUE"""),"Quản trị Du lịch &amp; Khách sạn")</f>
        <v>Quản trị Du lịch &amp; Khách sạn</v>
      </c>
      <c r="H114" s="1">
        <f ca="1">IFERROR(__xludf.DUMMYFUNCTION("""COMPUTED_VALUE"""),27)</f>
        <v>27</v>
      </c>
      <c r="I114" s="1"/>
      <c r="J114" s="1" t="str">
        <f ca="1">IFERROR(__xludf.DUMMYFUNCTION("""COMPUTED_VALUE"""),"Chuyên đề")</f>
        <v>Chuyên đề</v>
      </c>
      <c r="K114" s="1" t="str">
        <f ca="1">IFERROR(__xludf.DUMMYFUNCTION("""COMPUTED_VALUE"""),"Novotel DaNang Premier Han River")</f>
        <v>Novotel DaNang Premier Han River</v>
      </c>
      <c r="L114" s="1"/>
      <c r="M114" s="1" t="str">
        <f ca="1">IFERROR(__xludf.DUMMYFUNCTION("""COMPUTED_VALUE"""),"36 Bạch Đằng")</f>
        <v>36 Bạch Đằng</v>
      </c>
      <c r="N114" s="1" t="str">
        <f ca="1">IFERROR(__xludf.DUMMYFUNCTION("""COMPUTED_VALUE"""),"Đà Nẵng")</f>
        <v>Đà Nẵng</v>
      </c>
      <c r="O114" s="1" t="str">
        <f ca="1">IFERROR(__xludf.DUMMYFUNCTION("""COMPUTED_VALUE"""),"Buồng phòng")</f>
        <v>Buồng phòng</v>
      </c>
      <c r="P114" s="1"/>
      <c r="Q114" s="1" t="str">
        <f ca="1">IFERROR(__xludf.DUMMYFUNCTION("""COMPUTED_VALUE"""),"4/2/2025")</f>
        <v>4/2/2025</v>
      </c>
      <c r="R114" s="1" t="str">
        <f ca="1">IFERROR(__xludf.DUMMYFUNCTION("""COMPUTED_VALUE"""),"cam kết")</f>
        <v>cam kết</v>
      </c>
      <c r="S114" s="1" t="str">
        <f ca="1">IFERROR(__xludf.DUMMYFUNCTION("""COMPUTED_VALUE"""),"Chuyên đề")</f>
        <v>Chuyên đề</v>
      </c>
      <c r="T114" s="1"/>
      <c r="U114" s="4">
        <f ca="1">IFERROR(__xludf.DUMMYFUNCTION("""COMPUTED_VALUE"""),45698)</f>
        <v>45698</v>
      </c>
      <c r="V114" s="4">
        <f ca="1">IFERROR(__xludf.DUMMYFUNCTION("""COMPUTED_VALUE"""),45787)</f>
        <v>45787</v>
      </c>
      <c r="W114" s="1">
        <f ca="1">IFERROR(__xludf.DUMMYFUNCTION("""COMPUTED_VALUE"""),113)</f>
        <v>113</v>
      </c>
      <c r="X114" s="3">
        <f ca="1">IFERROR(__xludf.DUMMYFUNCTION("""COMPUTED_VALUE"""),45779)</f>
        <v>45779</v>
      </c>
      <c r="Y114" s="1" t="str">
        <f ca="1">IFERROR(__xludf.DUMMYFUNCTION("""COMPUTED_VALUE"""),"DUYỆT")</f>
        <v>DUYỆT</v>
      </c>
      <c r="Z114" s="1" t="str">
        <f ca="1">IFERROR(__xludf.DUMMYFUNCTION("""COMPUTED_VALUE"""),"22/01/2025")</f>
        <v>22/01/2025</v>
      </c>
      <c r="AA114" s="1" t="str">
        <f ca="1">IFERROR(__xludf.DUMMYFUNCTION("""COMPUTED_VALUE"""),"Novotel DaNang Premier Han River")</f>
        <v>Novotel DaNang Premier Han River</v>
      </c>
      <c r="AB114" s="1" t="str">
        <f ca="1">IFERROR(__xludf.DUMMYFUNCTION("""COMPUTED_VALUE"""),"Buồng phòng")</f>
        <v>Buồng phòng</v>
      </c>
      <c r="AC114" s="1"/>
      <c r="AD114" s="1"/>
      <c r="AE114" s="1" t="str">
        <f ca="1">IFERROR(__xludf.DUMMYFUNCTION("""COMPUTED_VALUE"""),"")</f>
        <v/>
      </c>
    </row>
    <row r="115" spans="1:31" x14ac:dyDescent="0.2">
      <c r="A115" s="6">
        <f ca="1">IFERROR(__xludf.DUMMYFUNCTION("""COMPUTED_VALUE"""),45678.8089059143)</f>
        <v>45678.808905914302</v>
      </c>
      <c r="B115" s="1"/>
      <c r="C115" s="1">
        <f ca="1">IFERROR(__xludf.DUMMYFUNCTION("""COMPUTED_VALUE"""),27207129929)</f>
        <v>27207129929</v>
      </c>
      <c r="D115" s="1" t="str">
        <f ca="1">IFERROR(__xludf.DUMMYFUNCTION("""COMPUTED_VALUE"""),"Phạm Khánh Linh")</f>
        <v>Phạm Khánh Linh</v>
      </c>
      <c r="E115" s="4"/>
      <c r="F115" s="1" t="str">
        <f ca="1">IFERROR(__xludf.DUMMYFUNCTION("""COMPUTED_VALUE"""),"K27DLK6")</f>
        <v>K27DLK6</v>
      </c>
      <c r="G115" s="1" t="str">
        <f ca="1">IFERROR(__xludf.DUMMYFUNCTION("""COMPUTED_VALUE"""),"Quản trị Du lịch &amp; Khách sạn")</f>
        <v>Quản trị Du lịch &amp; Khách sạn</v>
      </c>
      <c r="H115" s="1">
        <f ca="1">IFERROR(__xludf.DUMMYFUNCTION("""COMPUTED_VALUE"""),27)</f>
        <v>27</v>
      </c>
      <c r="I115" s="1"/>
      <c r="J115" s="1" t="str">
        <f ca="1">IFERROR(__xludf.DUMMYFUNCTION("""COMPUTED_VALUE"""),"Chuyên đề")</f>
        <v>Chuyên đề</v>
      </c>
      <c r="K115" s="1" t="str">
        <f ca="1">IFERROR(__xludf.DUMMYFUNCTION("""COMPUTED_VALUE"""),"Novotel DaNang Premier Han River")</f>
        <v>Novotel DaNang Premier Han River</v>
      </c>
      <c r="L115" s="1"/>
      <c r="M115" s="1" t="str">
        <f ca="1">IFERROR(__xludf.DUMMYFUNCTION("""COMPUTED_VALUE"""),"36 Bạch Đằng, Thạch Thang, Hải Châu, Đà Nẵng")</f>
        <v>36 Bạch Đằng, Thạch Thang, Hải Châu, Đà Nẵng</v>
      </c>
      <c r="N115" s="1" t="str">
        <f ca="1">IFERROR(__xludf.DUMMYFUNCTION("""COMPUTED_VALUE"""),"Đà Nẵng")</f>
        <v>Đà Nẵng</v>
      </c>
      <c r="O115" s="1" t="str">
        <f ca="1">IFERROR(__xludf.DUMMYFUNCTION("""COMPUTED_VALUE"""),"Lễ tân Spa")</f>
        <v>Lễ tân Spa</v>
      </c>
      <c r="P115" s="1" t="str">
        <f ca="1">IFERROR(__xludf.DUMMYFUNCTION("""COMPUTED_VALUE"""),"Lễ tân Spa")</f>
        <v>Lễ tân Spa</v>
      </c>
      <c r="Q115" s="1" t="str">
        <f ca="1">IFERROR(__xludf.DUMMYFUNCTION("""COMPUTED_VALUE"""),"21/01/2025")</f>
        <v>21/01/2025</v>
      </c>
      <c r="R115" s="1" t="str">
        <f ca="1">IFERROR(__xludf.DUMMYFUNCTION("""COMPUTED_VALUE"""),"cam kết")</f>
        <v>cam kết</v>
      </c>
      <c r="S115" s="1" t="str">
        <f ca="1">IFERROR(__xludf.DUMMYFUNCTION("""COMPUTED_VALUE"""),"Chuyên đề")</f>
        <v>Chuyên đề</v>
      </c>
      <c r="T115" s="1"/>
      <c r="U115" s="4">
        <f ca="1">IFERROR(__xludf.DUMMYFUNCTION("""COMPUTED_VALUE"""),45698)</f>
        <v>45698</v>
      </c>
      <c r="V115" s="4">
        <f ca="1">IFERROR(__xludf.DUMMYFUNCTION("""COMPUTED_VALUE"""),45787)</f>
        <v>45787</v>
      </c>
      <c r="W115" s="1">
        <f ca="1">IFERROR(__xludf.DUMMYFUNCTION("""COMPUTED_VALUE"""),114)</f>
        <v>114</v>
      </c>
      <c r="X115" s="1" t="str">
        <f ca="1">IFERROR(__xludf.DUMMYFUNCTION("""COMPUTED_VALUE"""),"22/01/2025")</f>
        <v>22/01/2025</v>
      </c>
      <c r="Y115" s="1" t="str">
        <f ca="1">IFERROR(__xludf.DUMMYFUNCTION("""COMPUTED_VALUE"""),"DUYỆT")</f>
        <v>DUYỆT</v>
      </c>
      <c r="Z115" s="1" t="str">
        <f ca="1">IFERROR(__xludf.DUMMYFUNCTION("""COMPUTED_VALUE"""),"22/01/2025")</f>
        <v>22/01/2025</v>
      </c>
      <c r="AA115" s="1" t="str">
        <f ca="1">IFERROR(__xludf.DUMMYFUNCTION("""COMPUTED_VALUE"""),"Novotel DaNang Premier Han River")</f>
        <v>Novotel DaNang Premier Han River</v>
      </c>
      <c r="AB115" s="1" t="str">
        <f ca="1">IFERROR(__xludf.DUMMYFUNCTION("""COMPUTED_VALUE"""),"Lễ tân Spa")</f>
        <v>Lễ tân Spa</v>
      </c>
      <c r="AC115" s="1"/>
      <c r="AD115" s="1"/>
      <c r="AE115" s="1" t="str">
        <f ca="1">IFERROR(__xludf.DUMMYFUNCTION("""COMPUTED_VALUE"""),"")</f>
        <v/>
      </c>
    </row>
    <row r="116" spans="1:31" x14ac:dyDescent="0.2">
      <c r="A116" s="6">
        <f ca="1">IFERROR(__xludf.DUMMYFUNCTION("""COMPUTED_VALUE"""),45678.8472035532)</f>
        <v>45678.847203553203</v>
      </c>
      <c r="B116" s="1"/>
      <c r="C116" s="1">
        <f ca="1">IFERROR(__xludf.DUMMYFUNCTION("""COMPUTED_VALUE"""),27207101143)</f>
        <v>27207101143</v>
      </c>
      <c r="D116" s="1" t="str">
        <f ca="1">IFERROR(__xludf.DUMMYFUNCTION("""COMPUTED_VALUE"""),"Phan Thị Thanh Uyên")</f>
        <v>Phan Thị Thanh Uyên</v>
      </c>
      <c r="E116" s="4"/>
      <c r="F116" s="1" t="str">
        <f ca="1">IFERROR(__xludf.DUMMYFUNCTION("""COMPUTED_VALUE"""),"K27PSU- DLK1")</f>
        <v>K27PSU- DLK1</v>
      </c>
      <c r="G116" s="1" t="str">
        <f ca="1">IFERROR(__xludf.DUMMYFUNCTION("""COMPUTED_VALUE"""),"Quản trị Du lịch &amp; Khách sạn chuẩn PSU")</f>
        <v>Quản trị Du lịch &amp; Khách sạn chuẩn PSU</v>
      </c>
      <c r="H116" s="1">
        <f ca="1">IFERROR(__xludf.DUMMYFUNCTION("""COMPUTED_VALUE"""),27)</f>
        <v>27</v>
      </c>
      <c r="I116" s="1"/>
      <c r="J116" s="1" t="str">
        <f ca="1">IFERROR(__xludf.DUMMYFUNCTION("""COMPUTED_VALUE"""),"Chuyên đề")</f>
        <v>Chuyên đề</v>
      </c>
      <c r="K116" s="1" t="str">
        <f ca="1">IFERROR(__xludf.DUMMYFUNCTION("""COMPUTED_VALUE"""),"Khách sạn Shilla Monogram Quangnam Danang")</f>
        <v>Khách sạn Shilla Monogram Quangnam Danang</v>
      </c>
      <c r="L116" s="1"/>
      <c r="M116" s="1" t="str">
        <f ca="1">IFERROR(__xludf.DUMMYFUNCTION("""COMPUTED_VALUE"""),"Lạc Long Quân, phường Điện Ngọc, thị xã Điện Bàn, tỉnh Quảng Nam, Việt Nam")</f>
        <v>Lạc Long Quân, phường Điện Ngọc, thị xã Điện Bàn, tỉnh Quảng Nam, Việt Nam</v>
      </c>
      <c r="N116" s="1" t="str">
        <f ca="1">IFERROR(__xludf.DUMMYFUNCTION("""COMPUTED_VALUE"""),"Quảng Nam")</f>
        <v>Quảng Nam</v>
      </c>
      <c r="O116" s="1" t="str">
        <f ca="1">IFERROR(__xludf.DUMMYFUNCTION("""COMPUTED_VALUE"""),"Nhà hàng")</f>
        <v>Nhà hàng</v>
      </c>
      <c r="P116" s="1"/>
      <c r="Q116" s="1" t="str">
        <f ca="1">IFERROR(__xludf.DUMMYFUNCTION("""COMPUTED_VALUE"""),"24/01/2025")</f>
        <v>24/01/2025</v>
      </c>
      <c r="R116" s="1" t="str">
        <f ca="1">IFERROR(__xludf.DUMMYFUNCTION("""COMPUTED_VALUE"""),"cam kết")</f>
        <v>cam kết</v>
      </c>
      <c r="S116" s="1" t="str">
        <f ca="1">IFERROR(__xludf.DUMMYFUNCTION("""COMPUTED_VALUE"""),"Chuyên đề")</f>
        <v>Chuyên đề</v>
      </c>
      <c r="T116" s="1" t="str">
        <f ca="1">IFERROR(__xludf.DUMMYFUNCTION("""COMPUTED_VALUE"""),"Hồ Sử Minh Tài")</f>
        <v>Hồ Sử Minh Tài</v>
      </c>
      <c r="U116" s="4">
        <f ca="1">IFERROR(__xludf.DUMMYFUNCTION("""COMPUTED_VALUE"""),45693)</f>
        <v>45693</v>
      </c>
      <c r="V116" s="4">
        <f ca="1">IFERROR(__xludf.DUMMYFUNCTION("""COMPUTED_VALUE"""),45782)</f>
        <v>45782</v>
      </c>
      <c r="W116" s="1">
        <f ca="1">IFERROR(__xludf.DUMMYFUNCTION("""COMPUTED_VALUE"""),115)</f>
        <v>115</v>
      </c>
      <c r="X116" s="3">
        <f ca="1">IFERROR(__xludf.DUMMYFUNCTION("""COMPUTED_VALUE"""),45779)</f>
        <v>45779</v>
      </c>
      <c r="Y116" s="1" t="str">
        <f ca="1">IFERROR(__xludf.DUMMYFUNCTION("""COMPUTED_VALUE"""),"DUYỆT")</f>
        <v>DUYỆT</v>
      </c>
      <c r="Z116" s="1" t="str">
        <f ca="1">IFERROR(__xludf.DUMMYFUNCTION("""COMPUTED_VALUE"""),"22/01/2025")</f>
        <v>22/01/2025</v>
      </c>
      <c r="AA116" s="1" t="str">
        <f ca="1">IFERROR(__xludf.DUMMYFUNCTION("""COMPUTED_VALUE"""),"Khách sạn Shilla Monogram Quangnam Danang")</f>
        <v>Khách sạn Shilla Monogram Quangnam Danang</v>
      </c>
      <c r="AB116" s="1" t="str">
        <f ca="1">IFERROR(__xludf.DUMMYFUNCTION("""COMPUTED_VALUE"""),"Nhà hàng")</f>
        <v>Nhà hàng</v>
      </c>
      <c r="AC116" s="1"/>
      <c r="AD116" s="1" t="str">
        <f ca="1">IFERROR(__xludf.DUMMYFUNCTION("""COMPUTED_VALUE"""),"sinh viên phải đảm bảo ko quá 5sv/nhà hàng")</f>
        <v>sinh viên phải đảm bảo ko quá 5sv/nhà hàng</v>
      </c>
      <c r="AE116" s="1" t="str">
        <f ca="1">IFERROR(__xludf.DUMMYFUNCTION("""COMPUTED_VALUE"""),"")</f>
        <v/>
      </c>
    </row>
    <row r="117" spans="1:31" x14ac:dyDescent="0.2">
      <c r="A117" s="6">
        <f ca="1">IFERROR(__xludf.DUMMYFUNCTION("""COMPUTED_VALUE"""),45695.0153363888)</f>
        <v>45695.015336388802</v>
      </c>
      <c r="B117" s="1"/>
      <c r="C117" s="1">
        <f ca="1">IFERROR(__xludf.DUMMYFUNCTION("""COMPUTED_VALUE"""),27207142387)</f>
        <v>27207142387</v>
      </c>
      <c r="D117" s="1" t="str">
        <f ca="1">IFERROR(__xludf.DUMMYFUNCTION("""COMPUTED_VALUE"""),"Hoàng Thị Thanh Thảo")</f>
        <v>Hoàng Thị Thanh Thảo</v>
      </c>
      <c r="E117" s="4"/>
      <c r="F117" s="1" t="str">
        <f ca="1">IFERROR(__xludf.DUMMYFUNCTION("""COMPUTED_VALUE"""),"PSUDLK1")</f>
        <v>PSUDLK1</v>
      </c>
      <c r="G117" s="1" t="str">
        <f ca="1">IFERROR(__xludf.DUMMYFUNCTION("""COMPUTED_VALUE"""),"Quản trị Du lịch &amp; Khách sạn chuẩn PSU")</f>
        <v>Quản trị Du lịch &amp; Khách sạn chuẩn PSU</v>
      </c>
      <c r="H117" s="1">
        <f ca="1">IFERROR(__xludf.DUMMYFUNCTION("""COMPUTED_VALUE"""),27)</f>
        <v>27</v>
      </c>
      <c r="I117" s="1"/>
      <c r="J117" s="1" t="str">
        <f ca="1">IFERROR(__xludf.DUMMYFUNCTION("""COMPUTED_VALUE"""),"Chuyên đề")</f>
        <v>Chuyên đề</v>
      </c>
      <c r="K117" s="1" t="str">
        <f ca="1">IFERROR(__xludf.DUMMYFUNCTION("""COMPUTED_VALUE"""),"Khách sạn Shilla Monogram Quangnam Danang")</f>
        <v>Khách sạn Shilla Monogram Quangnam Danang</v>
      </c>
      <c r="L117" s="1"/>
      <c r="M117" s="1" t="str">
        <f ca="1">IFERROR(__xludf.DUMMYFUNCTION("""COMPUTED_VALUE"""),"Lạc Long Quân, Điện Ngọc, Điện Bàn, Quảng Nam")</f>
        <v>Lạc Long Quân, Điện Ngọc, Điện Bàn, Quảng Nam</v>
      </c>
      <c r="N117" s="1" t="str">
        <f ca="1">IFERROR(__xludf.DUMMYFUNCTION("""COMPUTED_VALUE"""),"Quảng Nam")</f>
        <v>Quảng Nam</v>
      </c>
      <c r="O117" s="1" t="str">
        <f ca="1">IFERROR(__xludf.DUMMYFUNCTION("""COMPUTED_VALUE"""),"Nhà hàng")</f>
        <v>Nhà hàng</v>
      </c>
      <c r="P117" s="1"/>
      <c r="Q117" s="1" t="str">
        <f ca="1">IFERROR(__xludf.DUMMYFUNCTION("""COMPUTED_VALUE"""),"24/01/2025")</f>
        <v>24/01/2025</v>
      </c>
      <c r="R117" s="1" t="str">
        <f ca="1">IFERROR(__xludf.DUMMYFUNCTION("""COMPUTED_VALUE"""),"cam kết")</f>
        <v>cam kết</v>
      </c>
      <c r="S117" s="1" t="str">
        <f ca="1">IFERROR(__xludf.DUMMYFUNCTION("""COMPUTED_VALUE"""),"Chuyên đề")</f>
        <v>Chuyên đề</v>
      </c>
      <c r="T117" s="1" t="str">
        <f ca="1">IFERROR(__xludf.DUMMYFUNCTION("""COMPUTED_VALUE"""),"Hồ Sử Minh Tài")</f>
        <v>Hồ Sử Minh Tài</v>
      </c>
      <c r="U117" s="4">
        <f ca="1">IFERROR(__xludf.DUMMYFUNCTION("""COMPUTED_VALUE"""),45693)</f>
        <v>45693</v>
      </c>
      <c r="V117" s="4">
        <f ca="1">IFERROR(__xludf.DUMMYFUNCTION("""COMPUTED_VALUE"""),45782)</f>
        <v>45782</v>
      </c>
      <c r="W117" s="1">
        <f ca="1">IFERROR(__xludf.DUMMYFUNCTION("""COMPUTED_VALUE"""),116)</f>
        <v>116</v>
      </c>
      <c r="X117" s="3">
        <f ca="1">IFERROR(__xludf.DUMMYFUNCTION("""COMPUTED_VALUE"""),45779)</f>
        <v>45779</v>
      </c>
      <c r="Y117" s="1" t="str">
        <f ca="1">IFERROR(__xludf.DUMMYFUNCTION("""COMPUTED_VALUE"""),"DUYỆT")</f>
        <v>DUYỆT</v>
      </c>
      <c r="Z117" s="1" t="str">
        <f ca="1">IFERROR(__xludf.DUMMYFUNCTION("""COMPUTED_VALUE"""),"22/01/2025")</f>
        <v>22/01/2025</v>
      </c>
      <c r="AA117" s="1" t="str">
        <f ca="1">IFERROR(__xludf.DUMMYFUNCTION("""COMPUTED_VALUE"""),"Khách sạn Shilla Monogram Quangnam Danang")</f>
        <v>Khách sạn Shilla Monogram Quangnam Danang</v>
      </c>
      <c r="AB117" s="1" t="str">
        <f ca="1">IFERROR(__xludf.DUMMYFUNCTION("""COMPUTED_VALUE"""),"Nhà hàng")</f>
        <v>Nhà hàng</v>
      </c>
      <c r="AC117" s="1"/>
      <c r="AD117" s="1" t="str">
        <f ca="1">IFERROR(__xludf.DUMMYFUNCTION("""COMPUTED_VALUE"""),"sinh viên phải đảm bảo ko quá 5sv/nhà hàng")</f>
        <v>sinh viên phải đảm bảo ko quá 5sv/nhà hàng</v>
      </c>
      <c r="AE117" s="1" t="str">
        <f ca="1">IFERROR(__xludf.DUMMYFUNCTION("""COMPUTED_VALUE"""),"")</f>
        <v/>
      </c>
    </row>
    <row r="118" spans="1:31" x14ac:dyDescent="0.2">
      <c r="A118" s="6">
        <f ca="1">IFERROR(__xludf.DUMMYFUNCTION("""COMPUTED_VALUE"""),45678.8210344907)</f>
        <v>45678.821034490698</v>
      </c>
      <c r="B118" s="1"/>
      <c r="C118" s="1">
        <f ca="1">IFERROR(__xludf.DUMMYFUNCTION("""COMPUTED_VALUE"""),26217129382)</f>
        <v>26217129382</v>
      </c>
      <c r="D118" s="1" t="str">
        <f ca="1">IFERROR(__xludf.DUMMYFUNCTION("""COMPUTED_VALUE"""),"Nguyễn Hữu Trung Toàn")</f>
        <v>Nguyễn Hữu Trung Toàn</v>
      </c>
      <c r="E118" s="4"/>
      <c r="F118" s="1" t="str">
        <f ca="1">IFERROR(__xludf.DUMMYFUNCTION("""COMPUTED_VALUE"""),"K26PSUDLK1")</f>
        <v>K26PSUDLK1</v>
      </c>
      <c r="G118" s="1" t="str">
        <f ca="1">IFERROR(__xludf.DUMMYFUNCTION("""COMPUTED_VALUE"""),"Quản trị Du lịch &amp; Khách sạn chuẩn PSU")</f>
        <v>Quản trị Du lịch &amp; Khách sạn chuẩn PSU</v>
      </c>
      <c r="H118" s="1">
        <f ca="1">IFERROR(__xludf.DUMMYFUNCTION("""COMPUTED_VALUE"""),26)</f>
        <v>26</v>
      </c>
      <c r="I118" s="1"/>
      <c r="J118" s="1" t="str">
        <f ca="1">IFERROR(__xludf.DUMMYFUNCTION("""COMPUTED_VALUE"""),"Chuyên đề")</f>
        <v>Chuyên đề</v>
      </c>
      <c r="K118" s="1" t="str">
        <f ca="1">IFERROR(__xludf.DUMMYFUNCTION("""COMPUTED_VALUE"""),"Khách sạn Shilla Monogram Quangnam Danang")</f>
        <v>Khách sạn Shilla Monogram Quangnam Danang</v>
      </c>
      <c r="L118" s="1"/>
      <c r="M118" s="1" t="str">
        <f ca="1">IFERROR(__xludf.DUMMYFUNCTION("""COMPUTED_VALUE"""),"Lạc Long Quân, phường Điện Ngọc, xã Điện Bàn, tỉnh Quảng Nam")</f>
        <v>Lạc Long Quân, phường Điện Ngọc, xã Điện Bàn, tỉnh Quảng Nam</v>
      </c>
      <c r="N118" s="1" t="str">
        <f ca="1">IFERROR(__xludf.DUMMYFUNCTION("""COMPUTED_VALUE"""),"Quảng Nam")</f>
        <v>Quảng Nam</v>
      </c>
      <c r="O118" s="1" t="str">
        <f ca="1">IFERROR(__xludf.DUMMYFUNCTION("""COMPUTED_VALUE"""),"Nhà hàng")</f>
        <v>Nhà hàng</v>
      </c>
      <c r="P118" s="1"/>
      <c r="Q118" s="1" t="str">
        <f ca="1">IFERROR(__xludf.DUMMYFUNCTION("""COMPUTED_VALUE"""),"24/1/2025")</f>
        <v>24/1/2025</v>
      </c>
      <c r="R118" s="1" t="str">
        <f ca="1">IFERROR(__xludf.DUMMYFUNCTION("""COMPUTED_VALUE"""),"cam kết")</f>
        <v>cam kết</v>
      </c>
      <c r="S118" s="1" t="str">
        <f ca="1">IFERROR(__xludf.DUMMYFUNCTION("""COMPUTED_VALUE"""),"Chuyên đề")</f>
        <v>Chuyên đề</v>
      </c>
      <c r="T118" s="1" t="str">
        <f ca="1">IFERROR(__xludf.DUMMYFUNCTION("""COMPUTED_VALUE"""),"Hồ Sử Minh Tài")</f>
        <v>Hồ Sử Minh Tài</v>
      </c>
      <c r="U118" s="4">
        <f ca="1">IFERROR(__xludf.DUMMYFUNCTION("""COMPUTED_VALUE"""),45693)</f>
        <v>45693</v>
      </c>
      <c r="V118" s="4">
        <f ca="1">IFERROR(__xludf.DUMMYFUNCTION("""COMPUTED_VALUE"""),45782)</f>
        <v>45782</v>
      </c>
      <c r="W118" s="1">
        <f ca="1">IFERROR(__xludf.DUMMYFUNCTION("""COMPUTED_VALUE"""),117)</f>
        <v>117</v>
      </c>
      <c r="X118" s="3">
        <f ca="1">IFERROR(__xludf.DUMMYFUNCTION("""COMPUTED_VALUE"""),45779)</f>
        <v>45779</v>
      </c>
      <c r="Y118" s="1" t="str">
        <f ca="1">IFERROR(__xludf.DUMMYFUNCTION("""COMPUTED_VALUE"""),"DUYỆT")</f>
        <v>DUYỆT</v>
      </c>
      <c r="Z118" s="1" t="str">
        <f ca="1">IFERROR(__xludf.DUMMYFUNCTION("""COMPUTED_VALUE"""),"22/01/2025")</f>
        <v>22/01/2025</v>
      </c>
      <c r="AA118" s="1" t="str">
        <f ca="1">IFERROR(__xludf.DUMMYFUNCTION("""COMPUTED_VALUE"""),"Khách sạn Shilla Monogram Quangnam Danang")</f>
        <v>Khách sạn Shilla Monogram Quangnam Danang</v>
      </c>
      <c r="AB118" s="1" t="str">
        <f ca="1">IFERROR(__xludf.DUMMYFUNCTION("""COMPUTED_VALUE"""),"Nhà hàng")</f>
        <v>Nhà hàng</v>
      </c>
      <c r="AC118" s="1" t="str">
        <f ca="1">IFERROR(__xludf.DUMMYFUNCTION("""COMPUTED_VALUE"""),"ĐÃ NỘP")</f>
        <v>ĐÃ NỘP</v>
      </c>
      <c r="AD118" s="1" t="str">
        <f ca="1">IFERROR(__xludf.DUMMYFUNCTION("""COMPUTED_VALUE"""),"sinh viên phải đảm bảo ko quá 5sv/nhà hàng")</f>
        <v>sinh viên phải đảm bảo ko quá 5sv/nhà hàng</v>
      </c>
      <c r="AE118" s="1" t="str">
        <f ca="1">IFERROR(__xludf.DUMMYFUNCTION("""COMPUTED_VALUE"""),"")</f>
        <v/>
      </c>
    </row>
    <row r="119" spans="1:31" x14ac:dyDescent="0.2">
      <c r="A119" s="6">
        <f ca="1">IFERROR(__xludf.DUMMYFUNCTION("""COMPUTED_VALUE"""),45678.8177136111)</f>
        <v>45678.817713611097</v>
      </c>
      <c r="B119" s="1"/>
      <c r="C119" s="1">
        <f ca="1">IFERROR(__xludf.DUMMYFUNCTION("""COMPUTED_VALUE"""),26217126206)</f>
        <v>26217126206</v>
      </c>
      <c r="D119" s="1" t="str">
        <f ca="1">IFERROR(__xludf.DUMMYFUNCTION("""COMPUTED_VALUE"""),"Lâm Tuấn Kiệt")</f>
        <v>Lâm Tuấn Kiệt</v>
      </c>
      <c r="E119" s="4"/>
      <c r="F119" s="1" t="str">
        <f ca="1">IFERROR(__xludf.DUMMYFUNCTION("""COMPUTED_VALUE"""),"K26PSUSLK 1")</f>
        <v>K26PSUSLK 1</v>
      </c>
      <c r="G119" s="1" t="str">
        <f ca="1">IFERROR(__xludf.DUMMYFUNCTION("""COMPUTED_VALUE"""),"Quản trị Du lịch &amp; Khách sạn chuẩn PSU")</f>
        <v>Quản trị Du lịch &amp; Khách sạn chuẩn PSU</v>
      </c>
      <c r="H119" s="1">
        <f ca="1">IFERROR(__xludf.DUMMYFUNCTION("""COMPUTED_VALUE"""),26)</f>
        <v>26</v>
      </c>
      <c r="I119" s="1"/>
      <c r="J119" s="1" t="str">
        <f ca="1">IFERROR(__xludf.DUMMYFUNCTION("""COMPUTED_VALUE"""),"Chuyên đề")</f>
        <v>Chuyên đề</v>
      </c>
      <c r="K119" s="1" t="str">
        <f ca="1">IFERROR(__xludf.DUMMYFUNCTION("""COMPUTED_VALUE"""),"Khách sạn Shilla Monogram Quangnam Danang")</f>
        <v>Khách sạn Shilla Monogram Quangnam Danang</v>
      </c>
      <c r="L119" s="1"/>
      <c r="M119" s="1" t="str">
        <f ca="1">IFERROR(__xludf.DUMMYFUNCTION("""COMPUTED_VALUE"""),"Lạc Long Quân, Phường Điện Ngọc, Thị xã Điện Bàn, Tỉnh Quảng Nam")</f>
        <v>Lạc Long Quân, Phường Điện Ngọc, Thị xã Điện Bàn, Tỉnh Quảng Nam</v>
      </c>
      <c r="N119" s="1" t="str">
        <f ca="1">IFERROR(__xludf.DUMMYFUNCTION("""COMPUTED_VALUE"""),"Quảng Nam")</f>
        <v>Quảng Nam</v>
      </c>
      <c r="O119" s="1" t="str">
        <f ca="1">IFERROR(__xludf.DUMMYFUNCTION("""COMPUTED_VALUE"""),"Nhà hàng")</f>
        <v>Nhà hàng</v>
      </c>
      <c r="P119" s="1"/>
      <c r="Q119" s="1" t="str">
        <f ca="1">IFERROR(__xludf.DUMMYFUNCTION("""COMPUTED_VALUE"""),"24/01/2025")</f>
        <v>24/01/2025</v>
      </c>
      <c r="R119" s="1" t="str">
        <f ca="1">IFERROR(__xludf.DUMMYFUNCTION("""COMPUTED_VALUE"""),"cam kết")</f>
        <v>cam kết</v>
      </c>
      <c r="S119" s="1" t="str">
        <f ca="1">IFERROR(__xludf.DUMMYFUNCTION("""COMPUTED_VALUE"""),"Chuyên đề")</f>
        <v>Chuyên đề</v>
      </c>
      <c r="T119" s="1" t="str">
        <f ca="1">IFERROR(__xludf.DUMMYFUNCTION("""COMPUTED_VALUE"""),"Hồ Sử Minh Tài")</f>
        <v>Hồ Sử Minh Tài</v>
      </c>
      <c r="U119" s="4">
        <f ca="1">IFERROR(__xludf.DUMMYFUNCTION("""COMPUTED_VALUE"""),45693)</f>
        <v>45693</v>
      </c>
      <c r="V119" s="4">
        <f ca="1">IFERROR(__xludf.DUMMYFUNCTION("""COMPUTED_VALUE"""),45782)</f>
        <v>45782</v>
      </c>
      <c r="W119" s="1">
        <f ca="1">IFERROR(__xludf.DUMMYFUNCTION("""COMPUTED_VALUE"""),118)</f>
        <v>118</v>
      </c>
      <c r="X119" s="3">
        <f ca="1">IFERROR(__xludf.DUMMYFUNCTION("""COMPUTED_VALUE"""),45779)</f>
        <v>45779</v>
      </c>
      <c r="Y119" s="1" t="str">
        <f ca="1">IFERROR(__xludf.DUMMYFUNCTION("""COMPUTED_VALUE"""),"DUYỆT")</f>
        <v>DUYỆT</v>
      </c>
      <c r="Z119" s="1" t="str">
        <f ca="1">IFERROR(__xludf.DUMMYFUNCTION("""COMPUTED_VALUE"""),"22/01/2025")</f>
        <v>22/01/2025</v>
      </c>
      <c r="AA119" s="1" t="str">
        <f ca="1">IFERROR(__xludf.DUMMYFUNCTION("""COMPUTED_VALUE"""),"Khách sạn Shilla Monogram Quangnam Danang")</f>
        <v>Khách sạn Shilla Monogram Quangnam Danang</v>
      </c>
      <c r="AB119" s="1" t="str">
        <f ca="1">IFERROR(__xludf.DUMMYFUNCTION("""COMPUTED_VALUE"""),"Nhà hàng")</f>
        <v>Nhà hàng</v>
      </c>
      <c r="AC119" s="1" t="str">
        <f ca="1">IFERROR(__xludf.DUMMYFUNCTION("""COMPUTED_VALUE"""),"ĐÃ NỘP")</f>
        <v>ĐÃ NỘP</v>
      </c>
      <c r="AD119" s="1" t="str">
        <f ca="1">IFERROR(__xludf.DUMMYFUNCTION("""COMPUTED_VALUE"""),"sinh viên phải đảm bảo ko quá 5sv/nhà hàng")</f>
        <v>sinh viên phải đảm bảo ko quá 5sv/nhà hàng</v>
      </c>
      <c r="AE119" s="1" t="str">
        <f ca="1">IFERROR(__xludf.DUMMYFUNCTION("""COMPUTED_VALUE"""),"")</f>
        <v/>
      </c>
    </row>
    <row r="120" spans="1:31" x14ac:dyDescent="0.2">
      <c r="A120" s="6">
        <f ca="1">IFERROR(__xludf.DUMMYFUNCTION("""COMPUTED_VALUE"""),45678.8464338888)</f>
        <v>45678.846433888801</v>
      </c>
      <c r="B120" s="1"/>
      <c r="C120" s="1">
        <f ca="1">IFERROR(__xludf.DUMMYFUNCTION("""COMPUTED_VALUE"""),26217133260)</f>
        <v>26217133260</v>
      </c>
      <c r="D120" s="1" t="str">
        <f ca="1">IFERROR(__xludf.DUMMYFUNCTION("""COMPUTED_VALUE"""),"Hồ Chí Lý")</f>
        <v>Hồ Chí Lý</v>
      </c>
      <c r="E120" s="4"/>
      <c r="F120" s="1" t="str">
        <f ca="1">IFERROR(__xludf.DUMMYFUNCTION("""COMPUTED_VALUE"""),"K26PSU-DLK1")</f>
        <v>K26PSU-DLK1</v>
      </c>
      <c r="G120" s="1" t="str">
        <f ca="1">IFERROR(__xludf.DUMMYFUNCTION("""COMPUTED_VALUE"""),"Quản trị Du lịch &amp; Khách sạn chuẩn PSU")</f>
        <v>Quản trị Du lịch &amp; Khách sạn chuẩn PSU</v>
      </c>
      <c r="H120" s="1">
        <f ca="1">IFERROR(__xludf.DUMMYFUNCTION("""COMPUTED_VALUE"""),26)</f>
        <v>26</v>
      </c>
      <c r="I120" s="1"/>
      <c r="J120" s="1" t="str">
        <f ca="1">IFERROR(__xludf.DUMMYFUNCTION("""COMPUTED_VALUE"""),"Chuyên đề")</f>
        <v>Chuyên đề</v>
      </c>
      <c r="K120" s="1" t="str">
        <f ca="1">IFERROR(__xludf.DUMMYFUNCTION("""COMPUTED_VALUE"""),"Khách sạn Shilla Monogram Quangnam Danang")</f>
        <v>Khách sạn Shilla Monogram Quangnam Danang</v>
      </c>
      <c r="L120" s="1"/>
      <c r="M120" s="1" t="str">
        <f ca="1">IFERROR(__xludf.DUMMYFUNCTION("""COMPUTED_VALUE"""),"Lạc Long Quân, phường Điện Ngọc, thị xã Điện Bàn, tỉnh Quảng Nam, Việt Nam")</f>
        <v>Lạc Long Quân, phường Điện Ngọc, thị xã Điện Bàn, tỉnh Quảng Nam, Việt Nam</v>
      </c>
      <c r="N120" s="1" t="str">
        <f ca="1">IFERROR(__xludf.DUMMYFUNCTION("""COMPUTED_VALUE"""),"Quảng Nam")</f>
        <v>Quảng Nam</v>
      </c>
      <c r="O120" s="1" t="str">
        <f ca="1">IFERROR(__xludf.DUMMYFUNCTION("""COMPUTED_VALUE"""),"Nhà hàng")</f>
        <v>Nhà hàng</v>
      </c>
      <c r="P120" s="1"/>
      <c r="Q120" s="1" t="str">
        <f ca="1">IFERROR(__xludf.DUMMYFUNCTION("""COMPUTED_VALUE"""),"24/01/2025")</f>
        <v>24/01/2025</v>
      </c>
      <c r="R120" s="1" t="str">
        <f ca="1">IFERROR(__xludf.DUMMYFUNCTION("""COMPUTED_VALUE"""),"cam kết")</f>
        <v>cam kết</v>
      </c>
      <c r="S120" s="1" t="str">
        <f ca="1">IFERROR(__xludf.DUMMYFUNCTION("""COMPUTED_VALUE"""),"Chuyên đề")</f>
        <v>Chuyên đề</v>
      </c>
      <c r="T120" s="1" t="str">
        <f ca="1">IFERROR(__xludf.DUMMYFUNCTION("""COMPUTED_VALUE"""),"Hồ Sử Minh Tài")</f>
        <v>Hồ Sử Minh Tài</v>
      </c>
      <c r="U120" s="4">
        <f ca="1">IFERROR(__xludf.DUMMYFUNCTION("""COMPUTED_VALUE"""),45693)</f>
        <v>45693</v>
      </c>
      <c r="V120" s="4">
        <f ca="1">IFERROR(__xludf.DUMMYFUNCTION("""COMPUTED_VALUE"""),45782)</f>
        <v>45782</v>
      </c>
      <c r="W120" s="1">
        <f ca="1">IFERROR(__xludf.DUMMYFUNCTION("""COMPUTED_VALUE"""),119)</f>
        <v>119</v>
      </c>
      <c r="X120" s="3">
        <f ca="1">IFERROR(__xludf.DUMMYFUNCTION("""COMPUTED_VALUE"""),45779)</f>
        <v>45779</v>
      </c>
      <c r="Y120" s="1" t="str">
        <f ca="1">IFERROR(__xludf.DUMMYFUNCTION("""COMPUTED_VALUE"""),"DUYỆT")</f>
        <v>DUYỆT</v>
      </c>
      <c r="Z120" s="1" t="str">
        <f ca="1">IFERROR(__xludf.DUMMYFUNCTION("""COMPUTED_VALUE"""),"22/01/2025")</f>
        <v>22/01/2025</v>
      </c>
      <c r="AA120" s="1" t="str">
        <f ca="1">IFERROR(__xludf.DUMMYFUNCTION("""COMPUTED_VALUE"""),"Khách sạn Shilla Monogram Quangnam Danang")</f>
        <v>Khách sạn Shilla Monogram Quangnam Danang</v>
      </c>
      <c r="AB120" s="1" t="str">
        <f ca="1">IFERROR(__xludf.DUMMYFUNCTION("""COMPUTED_VALUE"""),"Nhà hàng")</f>
        <v>Nhà hàng</v>
      </c>
      <c r="AC120" s="1" t="str">
        <f ca="1">IFERROR(__xludf.DUMMYFUNCTION("""COMPUTED_VALUE"""),"ĐÃ NỘP")</f>
        <v>ĐÃ NỘP</v>
      </c>
      <c r="AD120" s="1" t="str">
        <f ca="1">IFERROR(__xludf.DUMMYFUNCTION("""COMPUTED_VALUE"""),"sinh viên phải đảm bảo ko quá 5sv/nhà hàng")</f>
        <v>sinh viên phải đảm bảo ko quá 5sv/nhà hàng</v>
      </c>
      <c r="AE120" s="1" t="str">
        <f ca="1">IFERROR(__xludf.DUMMYFUNCTION("""COMPUTED_VALUE"""),"")</f>
        <v/>
      </c>
    </row>
    <row r="121" spans="1:31" x14ac:dyDescent="0.2">
      <c r="A121" s="6">
        <f ca="1">IFERROR(__xludf.DUMMYFUNCTION("""COMPUTED_VALUE"""),45678.8680590856)</f>
        <v>45678.868059085602</v>
      </c>
      <c r="B121" s="1"/>
      <c r="C121" s="1">
        <f ca="1">IFERROR(__xludf.DUMMYFUNCTION("""COMPUTED_VALUE"""),27217140939)</f>
        <v>27217140939</v>
      </c>
      <c r="D121" s="1" t="str">
        <f ca="1">IFERROR(__xludf.DUMMYFUNCTION("""COMPUTED_VALUE"""),"Lê Tấn Huy")</f>
        <v>Lê Tấn Huy</v>
      </c>
      <c r="E121" s="4"/>
      <c r="F121" s="1" t="str">
        <f ca="1">IFERROR(__xludf.DUMMYFUNCTION("""COMPUTED_VALUE"""),"K27DLK 6")</f>
        <v>K27DLK 6</v>
      </c>
      <c r="G121" s="1" t="str">
        <f ca="1">IFERROR(__xludf.DUMMYFUNCTION("""COMPUTED_VALUE"""),"Quản trị Du lịch &amp; Khách sạn")</f>
        <v>Quản trị Du lịch &amp; Khách sạn</v>
      </c>
      <c r="H121" s="1">
        <f ca="1">IFERROR(__xludf.DUMMYFUNCTION("""COMPUTED_VALUE"""),27)</f>
        <v>27</v>
      </c>
      <c r="I121" s="1"/>
      <c r="J121" s="1" t="str">
        <f ca="1">IFERROR(__xludf.DUMMYFUNCTION("""COMPUTED_VALUE"""),"Chuyên đề")</f>
        <v>Chuyên đề</v>
      </c>
      <c r="K121" s="1" t="str">
        <f ca="1">IFERROR(__xludf.DUMMYFUNCTION("""COMPUTED_VALUE"""),"Vanda Hotel")</f>
        <v>Vanda Hotel</v>
      </c>
      <c r="L121" s="1"/>
      <c r="M121" s="1" t="str">
        <f ca="1">IFERROR(__xludf.DUMMYFUNCTION("""COMPUTED_VALUE"""),"03 Nguyễn Văn Linh")</f>
        <v>03 Nguyễn Văn Linh</v>
      </c>
      <c r="N121" s="1" t="str">
        <f ca="1">IFERROR(__xludf.DUMMYFUNCTION("""COMPUTED_VALUE"""),"Đà Nẵng ")</f>
        <v xml:space="preserve">Đà Nẵng </v>
      </c>
      <c r="O121" s="1" t="str">
        <f ca="1">IFERROR(__xludf.DUMMYFUNCTION("""COMPUTED_VALUE"""),"Nhà hàng")</f>
        <v>Nhà hàng</v>
      </c>
      <c r="P121" s="1"/>
      <c r="Q121" s="1" t="str">
        <f ca="1">IFERROR(__xludf.DUMMYFUNCTION("""COMPUTED_VALUE"""),"18/02/2025")</f>
        <v>18/02/2025</v>
      </c>
      <c r="R121" s="1" t="str">
        <f ca="1">IFERROR(__xludf.DUMMYFUNCTION("""COMPUTED_VALUE"""),"cam kết")</f>
        <v>cam kết</v>
      </c>
      <c r="S121" s="1" t="str">
        <f ca="1">IFERROR(__xludf.DUMMYFUNCTION("""COMPUTED_VALUE"""),"Chuyên đề")</f>
        <v>Chuyên đề</v>
      </c>
      <c r="T121" s="1"/>
      <c r="U121" s="4">
        <f ca="1">IFERROR(__xludf.DUMMYFUNCTION("""COMPUTED_VALUE"""),45698)</f>
        <v>45698</v>
      </c>
      <c r="V121" s="4">
        <f ca="1">IFERROR(__xludf.DUMMYFUNCTION("""COMPUTED_VALUE"""),45787)</f>
        <v>45787</v>
      </c>
      <c r="W121" s="1">
        <f ca="1">IFERROR(__xludf.DUMMYFUNCTION("""COMPUTED_VALUE"""),120)</f>
        <v>120</v>
      </c>
      <c r="X121" s="1" t="str">
        <f ca="1">IFERROR(__xludf.DUMMYFUNCTION("""COMPUTED_VALUE"""),"22/01/2025")</f>
        <v>22/01/2025</v>
      </c>
      <c r="Y121" s="1" t="str">
        <f ca="1">IFERROR(__xludf.DUMMYFUNCTION("""COMPUTED_VALUE"""),"DUYỆT")</f>
        <v>DUYỆT</v>
      </c>
      <c r="Z121" s="1" t="str">
        <f ca="1">IFERROR(__xludf.DUMMYFUNCTION("""COMPUTED_VALUE"""),"22/01/2025")</f>
        <v>22/01/2025</v>
      </c>
      <c r="AA121" s="1" t="str">
        <f ca="1">IFERROR(__xludf.DUMMYFUNCTION("""COMPUTED_VALUE"""),"Vanda Hotel")</f>
        <v>Vanda Hotel</v>
      </c>
      <c r="AB121" s="1" t="str">
        <f ca="1">IFERROR(__xludf.DUMMYFUNCTION("""COMPUTED_VALUE"""),"Nhà hàng")</f>
        <v>Nhà hàng</v>
      </c>
      <c r="AC121" s="1"/>
      <c r="AD121" s="1"/>
      <c r="AE121" s="1" t="str">
        <f ca="1">IFERROR(__xludf.DUMMYFUNCTION("""COMPUTED_VALUE"""),"")</f>
        <v/>
      </c>
    </row>
    <row r="122" spans="1:31" x14ac:dyDescent="0.2">
      <c r="A122" s="6">
        <f ca="1">IFERROR(__xludf.DUMMYFUNCTION("""COMPUTED_VALUE"""),45678.9451415046)</f>
        <v>45678.945141504599</v>
      </c>
      <c r="B122" s="1"/>
      <c r="C122" s="1">
        <f ca="1">IFERROR(__xludf.DUMMYFUNCTION("""COMPUTED_VALUE"""),27207130473)</f>
        <v>27207130473</v>
      </c>
      <c r="D122" s="1" t="str">
        <f ca="1">IFERROR(__xludf.DUMMYFUNCTION("""COMPUTED_VALUE"""),"Nguyễn Thị Kim Nguyên")</f>
        <v>Nguyễn Thị Kim Nguyên</v>
      </c>
      <c r="E122" s="4"/>
      <c r="F122" s="1" t="str">
        <f ca="1">IFERROR(__xludf.DUMMYFUNCTION("""COMPUTED_VALUE"""),"K27DLK3")</f>
        <v>K27DLK3</v>
      </c>
      <c r="G122" s="1" t="str">
        <f ca="1">IFERROR(__xludf.DUMMYFUNCTION("""COMPUTED_VALUE"""),"Quản trị Du lịch &amp; Khách sạn")</f>
        <v>Quản trị Du lịch &amp; Khách sạn</v>
      </c>
      <c r="H122" s="1">
        <f ca="1">IFERROR(__xludf.DUMMYFUNCTION("""COMPUTED_VALUE"""),27)</f>
        <v>27</v>
      </c>
      <c r="I122" s="1"/>
      <c r="J122" s="1" t="str">
        <f ca="1">IFERROR(__xludf.DUMMYFUNCTION("""COMPUTED_VALUE"""),"Chuyên đề")</f>
        <v>Chuyên đề</v>
      </c>
      <c r="K122" s="1" t="str">
        <f ca="1">IFERROR(__xludf.DUMMYFUNCTION("""COMPUTED_VALUE"""),"Avatar Hotel ")</f>
        <v xml:space="preserve">Avatar Hotel </v>
      </c>
      <c r="L122" s="1" t="str">
        <f ca="1">IFERROR(__xludf.DUMMYFUNCTION("""COMPUTED_VALUE"""),"Avatar Danang Hotel")</f>
        <v>Avatar Danang Hotel</v>
      </c>
      <c r="M122" s="1" t="str">
        <f ca="1">IFERROR(__xludf.DUMMYFUNCTION("""COMPUTED_VALUE"""),"104 Hoàng Kế Viêm")</f>
        <v>104 Hoàng Kế Viêm</v>
      </c>
      <c r="N122" s="1" t="str">
        <f ca="1">IFERROR(__xludf.DUMMYFUNCTION("""COMPUTED_VALUE"""),"Đà Nẵng")</f>
        <v>Đà Nẵng</v>
      </c>
      <c r="O122" s="1" t="str">
        <f ca="1">IFERROR(__xludf.DUMMYFUNCTION("""COMPUTED_VALUE"""),"Buồng phòng")</f>
        <v>Buồng phòng</v>
      </c>
      <c r="P122" s="1"/>
      <c r="Q122" s="1" t="str">
        <f ca="1">IFERROR(__xludf.DUMMYFUNCTION("""COMPUTED_VALUE"""),"20/01/2025")</f>
        <v>20/01/2025</v>
      </c>
      <c r="R122" s="1" t="str">
        <f ca="1">IFERROR(__xludf.DUMMYFUNCTION("""COMPUTED_VALUE"""),"cam kết")</f>
        <v>cam kết</v>
      </c>
      <c r="S122" s="1" t="str">
        <f ca="1">IFERROR(__xludf.DUMMYFUNCTION("""COMPUTED_VALUE"""),"Chuyên đề")</f>
        <v>Chuyên đề</v>
      </c>
      <c r="T122" s="1" t="str">
        <f ca="1">IFERROR(__xludf.DUMMYFUNCTION("""COMPUTED_VALUE"""),"Mai Thị Thương")</f>
        <v>Mai Thị Thương</v>
      </c>
      <c r="U122" s="4">
        <f ca="1">IFERROR(__xludf.DUMMYFUNCTION("""COMPUTED_VALUE"""),45670)</f>
        <v>45670</v>
      </c>
      <c r="V122" s="4">
        <f ca="1">IFERROR(__xludf.DUMMYFUNCTION("""COMPUTED_VALUE"""),45768)</f>
        <v>45768</v>
      </c>
      <c r="W122" s="1">
        <f ca="1">IFERROR(__xludf.DUMMYFUNCTION("""COMPUTED_VALUE"""),121)</f>
        <v>121</v>
      </c>
      <c r="X122" s="1" t="str">
        <f ca="1">IFERROR(__xludf.DUMMYFUNCTION("""COMPUTED_VALUE"""),"23/01/2025")</f>
        <v>23/01/2025</v>
      </c>
      <c r="Y122" s="1" t="str">
        <f ca="1">IFERROR(__xludf.DUMMYFUNCTION("""COMPUTED_VALUE"""),"DUYỆT")</f>
        <v>DUYỆT</v>
      </c>
      <c r="Z122" s="1" t="str">
        <f ca="1">IFERROR(__xludf.DUMMYFUNCTION("""COMPUTED_VALUE"""),"22/01/2025")</f>
        <v>22/01/2025</v>
      </c>
      <c r="AA122" s="1" t="str">
        <f ca="1">IFERROR(__xludf.DUMMYFUNCTION("""COMPUTED_VALUE"""),"Avatar Hotel ")</f>
        <v xml:space="preserve">Avatar Hotel </v>
      </c>
      <c r="AB122" s="1" t="str">
        <f ca="1">IFERROR(__xludf.DUMMYFUNCTION("""COMPUTED_VALUE"""),"Buồng phòng")</f>
        <v>Buồng phòng</v>
      </c>
      <c r="AC122" s="1"/>
      <c r="AD122" s="1"/>
      <c r="AE122" s="1" t="str">
        <f ca="1">IFERROR(__xludf.DUMMYFUNCTION("""COMPUTED_VALUE"""),"")</f>
        <v/>
      </c>
    </row>
    <row r="123" spans="1:31" x14ac:dyDescent="0.2">
      <c r="A123" s="6">
        <f ca="1">IFERROR(__xludf.DUMMYFUNCTION("""COMPUTED_VALUE"""),45678.9580763194)</f>
        <v>45678.958076319403</v>
      </c>
      <c r="B123" s="1"/>
      <c r="C123" s="1">
        <f ca="1">IFERROR(__xludf.DUMMYFUNCTION("""COMPUTED_VALUE"""),27217146062)</f>
        <v>27217146062</v>
      </c>
      <c r="D123" s="1" t="str">
        <f ca="1">IFERROR(__xludf.DUMMYFUNCTION("""COMPUTED_VALUE"""),"Lê Quốc Anh")</f>
        <v>Lê Quốc Anh</v>
      </c>
      <c r="E123" s="4"/>
      <c r="F123" s="1" t="str">
        <f ca="1">IFERROR(__xludf.DUMMYFUNCTION("""COMPUTED_VALUE"""),"K27DLK7")</f>
        <v>K27DLK7</v>
      </c>
      <c r="G123" s="1" t="str">
        <f ca="1">IFERROR(__xludf.DUMMYFUNCTION("""COMPUTED_VALUE"""),"Quản trị Du lịch &amp; Khách sạn")</f>
        <v>Quản trị Du lịch &amp; Khách sạn</v>
      </c>
      <c r="H123" s="1">
        <f ca="1">IFERROR(__xludf.DUMMYFUNCTION("""COMPUTED_VALUE"""),27)</f>
        <v>27</v>
      </c>
      <c r="I123" s="1"/>
      <c r="J123" s="1" t="str">
        <f ca="1">IFERROR(__xludf.DUMMYFUNCTION("""COMPUTED_VALUE"""),"Chuyên đề")</f>
        <v>Chuyên đề</v>
      </c>
      <c r="K123" s="1" t="str">
        <f ca="1">IFERROR(__xludf.DUMMYFUNCTION("""COMPUTED_VALUE"""),"Grand Mercure Đà Nẵng")</f>
        <v>Grand Mercure Đà Nẵng</v>
      </c>
      <c r="L123" s="1"/>
      <c r="M123" s="1" t="str">
        <f ca="1">IFERROR(__xludf.DUMMYFUNCTION("""COMPUTED_VALUE"""),"Lô A1, Khu biệt thự Đảo Xanh, Phường Hòa Cường Bắc, Quận Hải Châu, Thành phố Đà Nẵng")</f>
        <v>Lô A1, Khu biệt thự Đảo Xanh, Phường Hòa Cường Bắc, Quận Hải Châu, Thành phố Đà Nẵng</v>
      </c>
      <c r="N123" s="1" t="str">
        <f ca="1">IFERROR(__xludf.DUMMYFUNCTION("""COMPUTED_VALUE"""),"Đà Nẵng")</f>
        <v>Đà Nẵng</v>
      </c>
      <c r="O123" s="1" t="str">
        <f ca="1">IFERROR(__xludf.DUMMYFUNCTION("""COMPUTED_VALUE"""),"Nhà hàng")</f>
        <v>Nhà hàng</v>
      </c>
      <c r="P123" s="1"/>
      <c r="Q123" s="1" t="str">
        <f ca="1">IFERROR(__xludf.DUMMYFUNCTION("""COMPUTED_VALUE"""),"21/01/2025")</f>
        <v>21/01/2025</v>
      </c>
      <c r="R123" s="1" t="str">
        <f ca="1">IFERROR(__xludf.DUMMYFUNCTION("""COMPUTED_VALUE"""),"cam kết")</f>
        <v>cam kết</v>
      </c>
      <c r="S123" s="1" t="str">
        <f ca="1">IFERROR(__xludf.DUMMYFUNCTION("""COMPUTED_VALUE"""),"Chuyên đề")</f>
        <v>Chuyên đề</v>
      </c>
      <c r="T123" s="1" t="str">
        <f ca="1">IFERROR(__xludf.DUMMYFUNCTION("""COMPUTED_VALUE"""),"Dương Thị Xuân Diệu")</f>
        <v>Dương Thị Xuân Diệu</v>
      </c>
      <c r="U123" s="4">
        <f ca="1">IFERROR(__xludf.DUMMYFUNCTION("""COMPUTED_VALUE"""),45694)</f>
        <v>45694</v>
      </c>
      <c r="V123" s="4">
        <f ca="1">IFERROR(__xludf.DUMMYFUNCTION("""COMPUTED_VALUE"""),45783)</f>
        <v>45783</v>
      </c>
      <c r="W123" s="1">
        <f ca="1">IFERROR(__xludf.DUMMYFUNCTION("""COMPUTED_VALUE"""),122)</f>
        <v>122</v>
      </c>
      <c r="X123" s="1" t="str">
        <f ca="1">IFERROR(__xludf.DUMMYFUNCTION("""COMPUTED_VALUE"""),"22/01/2025")</f>
        <v>22/01/2025</v>
      </c>
      <c r="Y123" s="1" t="str">
        <f ca="1">IFERROR(__xludf.DUMMYFUNCTION("""COMPUTED_VALUE"""),"DUYỆT")</f>
        <v>DUYỆT</v>
      </c>
      <c r="Z123" s="1" t="str">
        <f ca="1">IFERROR(__xludf.DUMMYFUNCTION("""COMPUTED_VALUE"""),"22/01/2025")</f>
        <v>22/01/2025</v>
      </c>
      <c r="AA123" s="1" t="str">
        <f ca="1">IFERROR(__xludf.DUMMYFUNCTION("""COMPUTED_VALUE"""),"Grand Mercure Đà Nẵng")</f>
        <v>Grand Mercure Đà Nẵng</v>
      </c>
      <c r="AB123" s="1" t="str">
        <f ca="1">IFERROR(__xludf.DUMMYFUNCTION("""COMPUTED_VALUE"""),"Nhà hàng")</f>
        <v>Nhà hàng</v>
      </c>
      <c r="AC123" s="1"/>
      <c r="AD123" s="1"/>
      <c r="AE123" s="1" t="str">
        <f ca="1">IFERROR(__xludf.DUMMYFUNCTION("""COMPUTED_VALUE"""),"")</f>
        <v/>
      </c>
    </row>
    <row r="124" spans="1:31" x14ac:dyDescent="0.2">
      <c r="A124" s="6">
        <f ca="1">IFERROR(__xludf.DUMMYFUNCTION("""COMPUTED_VALUE"""),45679.0118543865)</f>
        <v>45679.011854386503</v>
      </c>
      <c r="B124" s="1"/>
      <c r="C124" s="1">
        <f ca="1">IFERROR(__xludf.DUMMYFUNCTION("""COMPUTED_VALUE"""),27207142513)</f>
        <v>27207142513</v>
      </c>
      <c r="D124" s="1" t="str">
        <f ca="1">IFERROR(__xludf.DUMMYFUNCTION("""COMPUTED_VALUE"""),"Hồ Thị Diễm")</f>
        <v>Hồ Thị Diễm</v>
      </c>
      <c r="E124" s="4"/>
      <c r="F124" s="1" t="str">
        <f ca="1">IFERROR(__xludf.DUMMYFUNCTION("""COMPUTED_VALUE"""),"K27DLK5")</f>
        <v>K27DLK5</v>
      </c>
      <c r="G124" s="1" t="str">
        <f ca="1">IFERROR(__xludf.DUMMYFUNCTION("""COMPUTED_VALUE"""),"Quản trị Du lịch &amp; Khách sạn")</f>
        <v>Quản trị Du lịch &amp; Khách sạn</v>
      </c>
      <c r="H124" s="1">
        <f ca="1">IFERROR(__xludf.DUMMYFUNCTION("""COMPUTED_VALUE"""),27)</f>
        <v>27</v>
      </c>
      <c r="I124" s="1"/>
      <c r="J124" s="1" t="str">
        <f ca="1">IFERROR(__xludf.DUMMYFUNCTION("""COMPUTED_VALUE"""),"Chuyên đề")</f>
        <v>Chuyên đề</v>
      </c>
      <c r="K124" s="1" t="str">
        <f ca="1">IFERROR(__xludf.DUMMYFUNCTION("""COMPUTED_VALUE"""),"Satya Danang Hotel")</f>
        <v>Satya Danang Hotel</v>
      </c>
      <c r="L124" s="1"/>
      <c r="M124" s="1" t="str">
        <f ca="1">IFERROR(__xludf.DUMMYFUNCTION("""COMPUTED_VALUE"""),"155 Tran Phu, Hải Châu, Đà nẵng")</f>
        <v>155 Tran Phu, Hải Châu, Đà nẵng</v>
      </c>
      <c r="N124" s="1" t="str">
        <f ca="1">IFERROR(__xludf.DUMMYFUNCTION("""COMPUTED_VALUE"""),"Đà Nẵng")</f>
        <v>Đà Nẵng</v>
      </c>
      <c r="O124" s="1" t="str">
        <f ca="1">IFERROR(__xludf.DUMMYFUNCTION("""COMPUTED_VALUE"""),"Nhà hàng")</f>
        <v>Nhà hàng</v>
      </c>
      <c r="P124" s="1"/>
      <c r="Q124" s="1" t="str">
        <f ca="1">IFERROR(__xludf.DUMMYFUNCTION("""COMPUTED_VALUE"""),"22/01/2025")</f>
        <v>22/01/2025</v>
      </c>
      <c r="R124" s="1" t="str">
        <f ca="1">IFERROR(__xludf.DUMMYFUNCTION("""COMPUTED_VALUE"""),"cam kết")</f>
        <v>cam kết</v>
      </c>
      <c r="S124" s="1" t="str">
        <f ca="1">IFERROR(__xludf.DUMMYFUNCTION("""COMPUTED_VALUE"""),"Chuyên đề")</f>
        <v>Chuyên đề</v>
      </c>
      <c r="T124" s="1"/>
      <c r="U124" s="4">
        <f ca="1">IFERROR(__xludf.DUMMYFUNCTION("""COMPUTED_VALUE"""),45698)</f>
        <v>45698</v>
      </c>
      <c r="V124" s="4">
        <f ca="1">IFERROR(__xludf.DUMMYFUNCTION("""COMPUTED_VALUE"""),45787)</f>
        <v>45787</v>
      </c>
      <c r="W124" s="1">
        <f ca="1">IFERROR(__xludf.DUMMYFUNCTION("""COMPUTED_VALUE"""),123)</f>
        <v>123</v>
      </c>
      <c r="X124" s="1" t="str">
        <f ca="1">IFERROR(__xludf.DUMMYFUNCTION("""COMPUTED_VALUE"""),"22/01/2025")</f>
        <v>22/01/2025</v>
      </c>
      <c r="Y124" s="1" t="str">
        <f ca="1">IFERROR(__xludf.DUMMYFUNCTION("""COMPUTED_VALUE"""),"DUYỆT")</f>
        <v>DUYỆT</v>
      </c>
      <c r="Z124" s="1" t="str">
        <f ca="1">IFERROR(__xludf.DUMMYFUNCTION("""COMPUTED_VALUE"""),"22/01/2025")</f>
        <v>22/01/2025</v>
      </c>
      <c r="AA124" s="1" t="str">
        <f ca="1">IFERROR(__xludf.DUMMYFUNCTION("""COMPUTED_VALUE"""),"Satya Danang Hotel")</f>
        <v>Satya Danang Hotel</v>
      </c>
      <c r="AB124" s="1" t="str">
        <f ca="1">IFERROR(__xludf.DUMMYFUNCTION("""COMPUTED_VALUE"""),"Nhà hàng")</f>
        <v>Nhà hàng</v>
      </c>
      <c r="AC124" s="1"/>
      <c r="AD124" s="1"/>
      <c r="AE124" s="1" t="str">
        <f ca="1">IFERROR(__xludf.DUMMYFUNCTION("""COMPUTED_VALUE"""),"")</f>
        <v/>
      </c>
    </row>
    <row r="125" spans="1:31" x14ac:dyDescent="0.2">
      <c r="A125" s="6">
        <f ca="1">IFERROR(__xludf.DUMMYFUNCTION("""COMPUTED_VALUE"""),45679.069299699)</f>
        <v>45679.069299698996</v>
      </c>
      <c r="B125" s="1"/>
      <c r="C125" s="1">
        <f ca="1">IFERROR(__xludf.DUMMYFUNCTION("""COMPUTED_VALUE"""),27217125794)</f>
        <v>27217125794</v>
      </c>
      <c r="D125" s="1" t="str">
        <f ca="1">IFERROR(__xludf.DUMMYFUNCTION("""COMPUTED_VALUE"""),"Phạm Trần Quí Dương")</f>
        <v>Phạm Trần Quí Dương</v>
      </c>
      <c r="E125" s="4"/>
      <c r="F125" s="1" t="str">
        <f ca="1">IFERROR(__xludf.DUMMYFUNCTION("""COMPUTED_VALUE"""),"K27DLK 1")</f>
        <v>K27DLK 1</v>
      </c>
      <c r="G125" s="1" t="str">
        <f ca="1">IFERROR(__xludf.DUMMYFUNCTION("""COMPUTED_VALUE"""),"Quản trị Du lịch &amp; Khách sạn")</f>
        <v>Quản trị Du lịch &amp; Khách sạn</v>
      </c>
      <c r="H125" s="1">
        <f ca="1">IFERROR(__xludf.DUMMYFUNCTION("""COMPUTED_VALUE"""),27)</f>
        <v>27</v>
      </c>
      <c r="I125" s="1"/>
      <c r="J125" s="1" t="str">
        <f ca="1">IFERROR(__xludf.DUMMYFUNCTION("""COMPUTED_VALUE"""),"Chuyên đề")</f>
        <v>Chuyên đề</v>
      </c>
      <c r="K125" s="1" t="str">
        <f ca="1">IFERROR(__xludf.DUMMYFUNCTION("""COMPUTED_VALUE"""),"Grand Mercure Đà Nẵng")</f>
        <v>Grand Mercure Đà Nẵng</v>
      </c>
      <c r="L125" s="1"/>
      <c r="M125" s="1" t="str">
        <f ca="1">IFERROR(__xludf.DUMMYFUNCTION("""COMPUTED_VALUE"""),"01 đảo xanh")</f>
        <v>01 đảo xanh</v>
      </c>
      <c r="N125" s="1" t="str">
        <f ca="1">IFERROR(__xludf.DUMMYFUNCTION("""COMPUTED_VALUE"""),"Đà nẵng ")</f>
        <v xml:space="preserve">Đà nẵng </v>
      </c>
      <c r="O125" s="1" t="str">
        <f ca="1">IFERROR(__xludf.DUMMYFUNCTION("""COMPUTED_VALUE"""),"Buồng phòng")</f>
        <v>Buồng phòng</v>
      </c>
      <c r="P125" s="1"/>
      <c r="Q125" s="1" t="str">
        <f ca="1">IFERROR(__xludf.DUMMYFUNCTION("""COMPUTED_VALUE"""),"22/1")</f>
        <v>22/1</v>
      </c>
      <c r="R125" s="1" t="str">
        <f ca="1">IFERROR(__xludf.DUMMYFUNCTION("""COMPUTED_VALUE"""),"cam kết")</f>
        <v>cam kết</v>
      </c>
      <c r="S125" s="1" t="str">
        <f ca="1">IFERROR(__xludf.DUMMYFUNCTION("""COMPUTED_VALUE"""),"Chuyên đề")</f>
        <v>Chuyên đề</v>
      </c>
      <c r="T125" s="1"/>
      <c r="U125" s="4">
        <f ca="1">IFERROR(__xludf.DUMMYFUNCTION("""COMPUTED_VALUE"""),45698)</f>
        <v>45698</v>
      </c>
      <c r="V125" s="4">
        <f ca="1">IFERROR(__xludf.DUMMYFUNCTION("""COMPUTED_VALUE"""),45786)</f>
        <v>45786</v>
      </c>
      <c r="W125" s="1">
        <f ca="1">IFERROR(__xludf.DUMMYFUNCTION("""COMPUTED_VALUE"""),124)</f>
        <v>124</v>
      </c>
      <c r="X125" s="1" t="str">
        <f ca="1">IFERROR(__xludf.DUMMYFUNCTION("""COMPUTED_VALUE"""),"22/01/2025")</f>
        <v>22/01/2025</v>
      </c>
      <c r="Y125" s="1" t="str">
        <f ca="1">IFERROR(__xludf.DUMMYFUNCTION("""COMPUTED_VALUE"""),"DUYỆT")</f>
        <v>DUYỆT</v>
      </c>
      <c r="Z125" s="1" t="str">
        <f ca="1">IFERROR(__xludf.DUMMYFUNCTION("""COMPUTED_VALUE"""),"22/01/2025")</f>
        <v>22/01/2025</v>
      </c>
      <c r="AA125" s="1" t="str">
        <f ca="1">IFERROR(__xludf.DUMMYFUNCTION("""COMPUTED_VALUE"""),"Grand Mercure Đà Nẵng")</f>
        <v>Grand Mercure Đà Nẵng</v>
      </c>
      <c r="AB125" s="1" t="str">
        <f ca="1">IFERROR(__xludf.DUMMYFUNCTION("""COMPUTED_VALUE"""),"Buồng phòng")</f>
        <v>Buồng phòng</v>
      </c>
      <c r="AC125" s="1"/>
      <c r="AD125" s="1"/>
      <c r="AE125" s="1" t="str">
        <f ca="1">IFERROR(__xludf.DUMMYFUNCTION("""COMPUTED_VALUE"""),"")</f>
        <v/>
      </c>
    </row>
    <row r="126" spans="1:31" x14ac:dyDescent="0.2">
      <c r="A126" s="6">
        <f ca="1">IFERROR(__xludf.DUMMYFUNCTION("""COMPUTED_VALUE"""),45679.4234215856)</f>
        <v>45679.423421585598</v>
      </c>
      <c r="B126" s="1"/>
      <c r="C126" s="1">
        <f ca="1">IFERROR(__xludf.DUMMYFUNCTION("""COMPUTED_VALUE"""),27217140277)</f>
        <v>27217140277</v>
      </c>
      <c r="D126" s="1" t="str">
        <f ca="1">IFERROR(__xludf.DUMMYFUNCTION("""COMPUTED_VALUE"""),"Phùng Văn Thọ")</f>
        <v>Phùng Văn Thọ</v>
      </c>
      <c r="E126" s="4"/>
      <c r="F126" s="1" t="str">
        <f ca="1">IFERROR(__xludf.DUMMYFUNCTION("""COMPUTED_VALUE"""),"K27DLK5")</f>
        <v>K27DLK5</v>
      </c>
      <c r="G126" s="1" t="str">
        <f ca="1">IFERROR(__xludf.DUMMYFUNCTION("""COMPUTED_VALUE"""),"Quản trị Du lịch &amp; Khách sạn")</f>
        <v>Quản trị Du lịch &amp; Khách sạn</v>
      </c>
      <c r="H126" s="1">
        <f ca="1">IFERROR(__xludf.DUMMYFUNCTION("""COMPUTED_VALUE"""),27)</f>
        <v>27</v>
      </c>
      <c r="I126" s="1"/>
      <c r="J126" s="1" t="str">
        <f ca="1">IFERROR(__xludf.DUMMYFUNCTION("""COMPUTED_VALUE"""),"Chuyên đề")</f>
        <v>Chuyên đề</v>
      </c>
      <c r="K126" s="1" t="str">
        <f ca="1">IFERROR(__xludf.DUMMYFUNCTION("""COMPUTED_VALUE"""),"Balcona Hotel &amp; Spa")</f>
        <v>Balcona Hotel &amp; Spa</v>
      </c>
      <c r="L126" s="1"/>
      <c r="M126" s="1" t="str">
        <f ca="1">IFERROR(__xludf.DUMMYFUNCTION("""COMPUTED_VALUE"""),"288 Võ Nguyên Giáp")</f>
        <v>288 Võ Nguyên Giáp</v>
      </c>
      <c r="N126" s="1" t="str">
        <f ca="1">IFERROR(__xludf.DUMMYFUNCTION("""COMPUTED_VALUE"""),"Đà Nẵng")</f>
        <v>Đà Nẵng</v>
      </c>
      <c r="O126" s="1" t="str">
        <f ca="1">IFERROR(__xludf.DUMMYFUNCTION("""COMPUTED_VALUE"""),"Nhà hàng")</f>
        <v>Nhà hàng</v>
      </c>
      <c r="P126" s="1"/>
      <c r="Q126" s="1" t="str">
        <f ca="1">IFERROR(__xludf.DUMMYFUNCTION("""COMPUTED_VALUE"""),"22/01/2025")</f>
        <v>22/01/2025</v>
      </c>
      <c r="R126" s="1" t="str">
        <f ca="1">IFERROR(__xludf.DUMMYFUNCTION("""COMPUTED_VALUE"""),"cam kết")</f>
        <v>cam kết</v>
      </c>
      <c r="S126" s="1" t="str">
        <f ca="1">IFERROR(__xludf.DUMMYFUNCTION("""COMPUTED_VALUE"""),"Chuyên đề")</f>
        <v>Chuyên đề</v>
      </c>
      <c r="T126" s="1"/>
      <c r="U126" s="4">
        <f ca="1">IFERROR(__xludf.DUMMYFUNCTION("""COMPUTED_VALUE"""),45698)</f>
        <v>45698</v>
      </c>
      <c r="V126" s="4">
        <f ca="1">IFERROR(__xludf.DUMMYFUNCTION("""COMPUTED_VALUE"""),45787)</f>
        <v>45787</v>
      </c>
      <c r="W126" s="1">
        <f ca="1">IFERROR(__xludf.DUMMYFUNCTION("""COMPUTED_VALUE"""),125)</f>
        <v>125</v>
      </c>
      <c r="X126" s="1" t="str">
        <f ca="1">IFERROR(__xludf.DUMMYFUNCTION("""COMPUTED_VALUE"""),"22/01/2025")</f>
        <v>22/01/2025</v>
      </c>
      <c r="Y126" s="1" t="str">
        <f ca="1">IFERROR(__xludf.DUMMYFUNCTION("""COMPUTED_VALUE"""),"DUYỆT")</f>
        <v>DUYỆT</v>
      </c>
      <c r="Z126" s="1" t="str">
        <f ca="1">IFERROR(__xludf.DUMMYFUNCTION("""COMPUTED_VALUE"""),"22/01/2025")</f>
        <v>22/01/2025</v>
      </c>
      <c r="AA126" s="1" t="str">
        <f ca="1">IFERROR(__xludf.DUMMYFUNCTION("""COMPUTED_VALUE"""),"Balcona Hotel &amp; Spa")</f>
        <v>Balcona Hotel &amp; Spa</v>
      </c>
      <c r="AB126" s="1" t="str">
        <f ca="1">IFERROR(__xludf.DUMMYFUNCTION("""COMPUTED_VALUE"""),"Nhà hàng")</f>
        <v>Nhà hàng</v>
      </c>
      <c r="AC126" s="1"/>
      <c r="AD126" s="1"/>
      <c r="AE126" s="1" t="str">
        <f ca="1">IFERROR(__xludf.DUMMYFUNCTION("""COMPUTED_VALUE"""),"")</f>
        <v/>
      </c>
    </row>
    <row r="127" spans="1:31" x14ac:dyDescent="0.2">
      <c r="A127" s="6">
        <f ca="1">IFERROR(__xludf.DUMMYFUNCTION("""COMPUTED_VALUE"""),45679.4307978125)</f>
        <v>45679.4307978125</v>
      </c>
      <c r="B127" s="1"/>
      <c r="C127" s="1">
        <f ca="1">IFERROR(__xludf.DUMMYFUNCTION("""COMPUTED_VALUE"""),27217128480)</f>
        <v>27217128480</v>
      </c>
      <c r="D127" s="1" t="str">
        <f ca="1">IFERROR(__xludf.DUMMYFUNCTION("""COMPUTED_VALUE"""),"Y Tâm Hwing")</f>
        <v>Y Tâm Hwing</v>
      </c>
      <c r="E127" s="4"/>
      <c r="F127" s="1" t="str">
        <f ca="1">IFERROR(__xludf.DUMMYFUNCTION("""COMPUTED_VALUE"""),"K27DLK 6")</f>
        <v>K27DLK 6</v>
      </c>
      <c r="G127" s="1" t="str">
        <f ca="1">IFERROR(__xludf.DUMMYFUNCTION("""COMPUTED_VALUE"""),"Quản trị Du lịch &amp; Khách sạn")</f>
        <v>Quản trị Du lịch &amp; Khách sạn</v>
      </c>
      <c r="H127" s="1">
        <f ca="1">IFERROR(__xludf.DUMMYFUNCTION("""COMPUTED_VALUE"""),27)</f>
        <v>27</v>
      </c>
      <c r="I127" s="1"/>
      <c r="J127" s="1" t="str">
        <f ca="1">IFERROR(__xludf.DUMMYFUNCTION("""COMPUTED_VALUE"""),"Chuyên đề")</f>
        <v>Chuyên đề</v>
      </c>
      <c r="K127" s="1" t="str">
        <f ca="1">IFERROR(__xludf.DUMMYFUNCTION("""COMPUTED_VALUE"""),"Vanda Hotel")</f>
        <v>Vanda Hotel</v>
      </c>
      <c r="L127" s="1"/>
      <c r="M127" s="1" t="str">
        <f ca="1">IFERROR(__xludf.DUMMYFUNCTION("""COMPUTED_VALUE"""),"03 Nguyễn Văn Linh-Hải Châu-Đà Nẵng")</f>
        <v>03 Nguyễn Văn Linh-Hải Châu-Đà Nẵng</v>
      </c>
      <c r="N127" s="1" t="str">
        <f ca="1">IFERROR(__xludf.DUMMYFUNCTION("""COMPUTED_VALUE"""),"Đà Nẵng")</f>
        <v>Đà Nẵng</v>
      </c>
      <c r="O127" s="1" t="str">
        <f ca="1">IFERROR(__xludf.DUMMYFUNCTION("""COMPUTED_VALUE"""),"Nhà hàng")</f>
        <v>Nhà hàng</v>
      </c>
      <c r="P127" s="1"/>
      <c r="Q127" s="1" t="str">
        <f ca="1">IFERROR(__xludf.DUMMYFUNCTION("""COMPUTED_VALUE"""),"22/1/2025")</f>
        <v>22/1/2025</v>
      </c>
      <c r="R127" s="1" t="str">
        <f ca="1">IFERROR(__xludf.DUMMYFUNCTION("""COMPUTED_VALUE"""),"cam kết")</f>
        <v>cam kết</v>
      </c>
      <c r="S127" s="1" t="str">
        <f ca="1">IFERROR(__xludf.DUMMYFUNCTION("""COMPUTED_VALUE"""),"Chuyên đề")</f>
        <v>Chuyên đề</v>
      </c>
      <c r="T127" s="1"/>
      <c r="U127" s="4">
        <f ca="1">IFERROR(__xludf.DUMMYFUNCTION("""COMPUTED_VALUE"""),45697)</f>
        <v>45697</v>
      </c>
      <c r="V127" s="4">
        <f ca="1">IFERROR(__xludf.DUMMYFUNCTION("""COMPUTED_VALUE"""),45787)</f>
        <v>45787</v>
      </c>
      <c r="W127" s="1">
        <f ca="1">IFERROR(__xludf.DUMMYFUNCTION("""COMPUTED_VALUE"""),126)</f>
        <v>126</v>
      </c>
      <c r="X127" s="1" t="str">
        <f ca="1">IFERROR(__xludf.DUMMYFUNCTION("""COMPUTED_VALUE"""),"22/01/2025")</f>
        <v>22/01/2025</v>
      </c>
      <c r="Y127" s="1" t="str">
        <f ca="1">IFERROR(__xludf.DUMMYFUNCTION("""COMPUTED_VALUE"""),"DUYỆT")</f>
        <v>DUYỆT</v>
      </c>
      <c r="Z127" s="1" t="str">
        <f ca="1">IFERROR(__xludf.DUMMYFUNCTION("""COMPUTED_VALUE"""),"22/01/2025")</f>
        <v>22/01/2025</v>
      </c>
      <c r="AA127" s="1" t="str">
        <f ca="1">IFERROR(__xludf.DUMMYFUNCTION("""COMPUTED_VALUE"""),"Vanda Hotel")</f>
        <v>Vanda Hotel</v>
      </c>
      <c r="AB127" s="1" t="str">
        <f ca="1">IFERROR(__xludf.DUMMYFUNCTION("""COMPUTED_VALUE"""),"Nhà hàng")</f>
        <v>Nhà hàng</v>
      </c>
      <c r="AC127" s="1"/>
      <c r="AD127" s="1"/>
      <c r="AE127" s="1" t="str">
        <f ca="1">IFERROR(__xludf.DUMMYFUNCTION("""COMPUTED_VALUE"""),"")</f>
        <v/>
      </c>
    </row>
    <row r="128" spans="1:31" x14ac:dyDescent="0.2">
      <c r="A128" s="6">
        <f ca="1">IFERROR(__xludf.DUMMYFUNCTION("""COMPUTED_VALUE"""),45679.4607353356)</f>
        <v>45679.460735335597</v>
      </c>
      <c r="B128" s="1"/>
      <c r="C128" s="1">
        <f ca="1">IFERROR(__xludf.DUMMYFUNCTION("""COMPUTED_VALUE"""),27207140629)</f>
        <v>27207140629</v>
      </c>
      <c r="D128" s="1" t="str">
        <f ca="1">IFERROR(__xludf.DUMMYFUNCTION("""COMPUTED_VALUE"""),"Trần Thị Hương")</f>
        <v>Trần Thị Hương</v>
      </c>
      <c r="E128" s="4"/>
      <c r="F128" s="1" t="str">
        <f ca="1">IFERROR(__xludf.DUMMYFUNCTION("""COMPUTED_VALUE"""),"K27DLK5")</f>
        <v>K27DLK5</v>
      </c>
      <c r="G128" s="1" t="str">
        <f ca="1">IFERROR(__xludf.DUMMYFUNCTION("""COMPUTED_VALUE"""),"Quản trị Du lịch &amp; Khách sạn")</f>
        <v>Quản trị Du lịch &amp; Khách sạn</v>
      </c>
      <c r="H128" s="1">
        <f ca="1">IFERROR(__xludf.DUMMYFUNCTION("""COMPUTED_VALUE"""),27)</f>
        <v>27</v>
      </c>
      <c r="I128" s="1"/>
      <c r="J128" s="1" t="str">
        <f ca="1">IFERROR(__xludf.DUMMYFUNCTION("""COMPUTED_VALUE"""),"Chuyên đề")</f>
        <v>Chuyên đề</v>
      </c>
      <c r="K128" s="1" t="str">
        <f ca="1">IFERROR(__xludf.DUMMYFUNCTION("""COMPUTED_VALUE"""),"Meliá Danang Beach Resort")</f>
        <v>Meliá Danang Beach Resort</v>
      </c>
      <c r="L128" s="1" t="str">
        <f ca="1">IFERROR(__xludf.DUMMYFUNCTION("""COMPUTED_VALUE"""),"Melia Danang Beach &amp; Resort")</f>
        <v>Melia Danang Beach &amp; Resort</v>
      </c>
      <c r="M128" s="1" t="str">
        <f ca="1">IFERROR(__xludf.DUMMYFUNCTION("""COMPUTED_VALUE"""),"19 Trường Sa, Hoà Hải, Ngũ Hành Sơn")</f>
        <v>19 Trường Sa, Hoà Hải, Ngũ Hành Sơn</v>
      </c>
      <c r="N128" s="1" t="str">
        <f ca="1">IFERROR(__xludf.DUMMYFUNCTION("""COMPUTED_VALUE"""),"Đà Nẵng")</f>
        <v>Đà Nẵng</v>
      </c>
      <c r="O128" s="1" t="str">
        <f ca="1">IFERROR(__xludf.DUMMYFUNCTION("""COMPUTED_VALUE"""),"Tiền sảnh")</f>
        <v>Tiền sảnh</v>
      </c>
      <c r="P128" s="1"/>
      <c r="Q128" s="1" t="str">
        <f ca="1">IFERROR(__xludf.DUMMYFUNCTION("""COMPUTED_VALUE"""),"22/01/2025")</f>
        <v>22/01/2025</v>
      </c>
      <c r="R128" s="1" t="str">
        <f ca="1">IFERROR(__xludf.DUMMYFUNCTION("""COMPUTED_VALUE"""),"cam kết")</f>
        <v>cam kết</v>
      </c>
      <c r="S128" s="1" t="str">
        <f ca="1">IFERROR(__xludf.DUMMYFUNCTION("""COMPUTED_VALUE"""),"Chuyên đề")</f>
        <v>Chuyên đề</v>
      </c>
      <c r="T128" s="1"/>
      <c r="U128" s="4">
        <f ca="1">IFERROR(__xludf.DUMMYFUNCTION("""COMPUTED_VALUE"""),45691)</f>
        <v>45691</v>
      </c>
      <c r="V128" s="4">
        <f ca="1">IFERROR(__xludf.DUMMYFUNCTION("""COMPUTED_VALUE"""),45049)</f>
        <v>45049</v>
      </c>
      <c r="W128" s="1">
        <f ca="1">IFERROR(__xludf.DUMMYFUNCTION("""COMPUTED_VALUE"""),127)</f>
        <v>127</v>
      </c>
      <c r="X128" s="1" t="str">
        <f ca="1">IFERROR(__xludf.DUMMYFUNCTION("""COMPUTED_VALUE"""),"22/01/2025")</f>
        <v>22/01/2025</v>
      </c>
      <c r="Y128" s="1" t="str">
        <f ca="1">IFERROR(__xludf.DUMMYFUNCTION("""COMPUTED_VALUE"""),"DUYỆT")</f>
        <v>DUYỆT</v>
      </c>
      <c r="Z128" s="1" t="str">
        <f ca="1">IFERROR(__xludf.DUMMYFUNCTION("""COMPUTED_VALUE"""),"22/01/2025")</f>
        <v>22/01/2025</v>
      </c>
      <c r="AA128" s="1" t="str">
        <f ca="1">IFERROR(__xludf.DUMMYFUNCTION("""COMPUTED_VALUE"""),"Meliá Danang Beach Resort")</f>
        <v>Meliá Danang Beach Resort</v>
      </c>
      <c r="AB128" s="1" t="str">
        <f ca="1">IFERROR(__xludf.DUMMYFUNCTION("""COMPUTED_VALUE"""),"Tiền sảnh")</f>
        <v>Tiền sảnh</v>
      </c>
      <c r="AC128" s="1"/>
      <c r="AD128" s="1"/>
      <c r="AE128" s="1" t="str">
        <f ca="1">IFERROR(__xludf.DUMMYFUNCTION("""COMPUTED_VALUE"""),"")</f>
        <v/>
      </c>
    </row>
    <row r="129" spans="1:31" x14ac:dyDescent="0.2">
      <c r="A129" s="6">
        <f ca="1">IFERROR(__xludf.DUMMYFUNCTION("""COMPUTED_VALUE"""),45679.4999032291)</f>
        <v>45679.499903229102</v>
      </c>
      <c r="B129" s="1"/>
      <c r="C129" s="1">
        <f ca="1">IFERROR(__xludf.DUMMYFUNCTION("""COMPUTED_VALUE"""),27217100262)</f>
        <v>27217100262</v>
      </c>
      <c r="D129" s="1" t="str">
        <f ca="1">IFERROR(__xludf.DUMMYFUNCTION("""COMPUTED_VALUE"""),"Huỳnh Đức Quý ")</f>
        <v xml:space="preserve">Huỳnh Đức Quý </v>
      </c>
      <c r="E129" s="4"/>
      <c r="F129" s="1" t="str">
        <f ca="1">IFERROR(__xludf.DUMMYFUNCTION("""COMPUTED_VALUE"""),"K27DLK4")</f>
        <v>K27DLK4</v>
      </c>
      <c r="G129" s="1" t="str">
        <f ca="1">IFERROR(__xludf.DUMMYFUNCTION("""COMPUTED_VALUE"""),"Quản trị Du lịch &amp; Khách sạn")</f>
        <v>Quản trị Du lịch &amp; Khách sạn</v>
      </c>
      <c r="H129" s="1">
        <f ca="1">IFERROR(__xludf.DUMMYFUNCTION("""COMPUTED_VALUE"""),27)</f>
        <v>27</v>
      </c>
      <c r="I129" s="1"/>
      <c r="J129" s="1" t="str">
        <f ca="1">IFERROR(__xludf.DUMMYFUNCTION("""COMPUTED_VALUE"""),"Chuyên đề")</f>
        <v>Chuyên đề</v>
      </c>
      <c r="K129" s="1" t="str">
        <f ca="1">IFERROR(__xludf.DUMMYFUNCTION("""COMPUTED_VALUE"""),"Balcona Hotel &amp; Spa")</f>
        <v>Balcona Hotel &amp; Spa</v>
      </c>
      <c r="L129" s="1"/>
      <c r="M129" s="1" t="str">
        <f ca="1">IFERROR(__xludf.DUMMYFUNCTION("""COMPUTED_VALUE"""),"288 Võ Nguyên Giáp ")</f>
        <v xml:space="preserve">288 Võ Nguyên Giáp </v>
      </c>
      <c r="N129" s="1" t="str">
        <f ca="1">IFERROR(__xludf.DUMMYFUNCTION("""COMPUTED_VALUE"""),"Đà Nẵng")</f>
        <v>Đà Nẵng</v>
      </c>
      <c r="O129" s="1" t="str">
        <f ca="1">IFERROR(__xludf.DUMMYFUNCTION("""COMPUTED_VALUE"""),"Nhà hàng")</f>
        <v>Nhà hàng</v>
      </c>
      <c r="P129" s="1"/>
      <c r="Q129" s="1" t="str">
        <f ca="1">IFERROR(__xludf.DUMMYFUNCTION("""COMPUTED_VALUE"""),"22/01/2025")</f>
        <v>22/01/2025</v>
      </c>
      <c r="R129" s="1" t="str">
        <f ca="1">IFERROR(__xludf.DUMMYFUNCTION("""COMPUTED_VALUE"""),"cam kết")</f>
        <v>cam kết</v>
      </c>
      <c r="S129" s="1" t="str">
        <f ca="1">IFERROR(__xludf.DUMMYFUNCTION("""COMPUTED_VALUE"""),"Chuyên đề")</f>
        <v>Chuyên đề</v>
      </c>
      <c r="T129" s="1"/>
      <c r="U129" s="4">
        <f ca="1">IFERROR(__xludf.DUMMYFUNCTION("""COMPUTED_VALUE"""),45698)</f>
        <v>45698</v>
      </c>
      <c r="V129" s="4">
        <f ca="1">IFERROR(__xludf.DUMMYFUNCTION("""COMPUTED_VALUE"""),45787)</f>
        <v>45787</v>
      </c>
      <c r="W129" s="1">
        <f ca="1">IFERROR(__xludf.DUMMYFUNCTION("""COMPUTED_VALUE"""),128)</f>
        <v>128</v>
      </c>
      <c r="X129" s="1" t="str">
        <f ca="1">IFERROR(__xludf.DUMMYFUNCTION("""COMPUTED_VALUE"""),"22/01/2025")</f>
        <v>22/01/2025</v>
      </c>
      <c r="Y129" s="1" t="str">
        <f ca="1">IFERROR(__xludf.DUMMYFUNCTION("""COMPUTED_VALUE"""),"DUYỆT")</f>
        <v>DUYỆT</v>
      </c>
      <c r="Z129" s="1" t="str">
        <f ca="1">IFERROR(__xludf.DUMMYFUNCTION("""COMPUTED_VALUE"""),"22/01/2025")</f>
        <v>22/01/2025</v>
      </c>
      <c r="AA129" s="1" t="str">
        <f ca="1">IFERROR(__xludf.DUMMYFUNCTION("""COMPUTED_VALUE"""),"Balcona Hotel &amp; Spa")</f>
        <v>Balcona Hotel &amp; Spa</v>
      </c>
      <c r="AB129" s="1" t="str">
        <f ca="1">IFERROR(__xludf.DUMMYFUNCTION("""COMPUTED_VALUE"""),"Nhà hàng")</f>
        <v>Nhà hàng</v>
      </c>
      <c r="AC129" s="1"/>
      <c r="AD129" s="1"/>
      <c r="AE129" s="1" t="str">
        <f ca="1">IFERROR(__xludf.DUMMYFUNCTION("""COMPUTED_VALUE"""),"")</f>
        <v/>
      </c>
    </row>
    <row r="130" spans="1:31" x14ac:dyDescent="0.2">
      <c r="A130" s="6">
        <f ca="1">IFERROR(__xludf.DUMMYFUNCTION("""COMPUTED_VALUE"""),45679.5878289467)</f>
        <v>45679.5878289467</v>
      </c>
      <c r="B130" s="1"/>
      <c r="C130" s="1">
        <f ca="1">IFERROR(__xludf.DUMMYFUNCTION("""COMPUTED_VALUE"""),26207124697)</f>
        <v>26207124697</v>
      </c>
      <c r="D130" s="1" t="str">
        <f ca="1">IFERROR(__xludf.DUMMYFUNCTION("""COMPUTED_VALUE"""),"Ông Thị Huyền Vân")</f>
        <v>Ông Thị Huyền Vân</v>
      </c>
      <c r="E130" s="4"/>
      <c r="F130" s="1" t="str">
        <f ca="1">IFERROR(__xludf.DUMMYFUNCTION("""COMPUTED_VALUE"""),"K26DLK16")</f>
        <v>K26DLK16</v>
      </c>
      <c r="G130" s="1" t="str">
        <f ca="1">IFERROR(__xludf.DUMMYFUNCTION("""COMPUTED_VALUE"""),"Quản trị Du lịch &amp; Khách sạn")</f>
        <v>Quản trị Du lịch &amp; Khách sạn</v>
      </c>
      <c r="H130" s="1">
        <f ca="1">IFERROR(__xludf.DUMMYFUNCTION("""COMPUTED_VALUE"""),26)</f>
        <v>26</v>
      </c>
      <c r="I130" s="1"/>
      <c r="J130" s="1" t="str">
        <f ca="1">IFERROR(__xludf.DUMMYFUNCTION("""COMPUTED_VALUE"""),"Chuyên đề")</f>
        <v>Chuyên đề</v>
      </c>
      <c r="K130" s="1" t="str">
        <f ca="1">IFERROR(__xludf.DUMMYFUNCTION("""COMPUTED_VALUE"""),"Sala Danang Beach Hotel")</f>
        <v>Sala Danang Beach Hotel</v>
      </c>
      <c r="L130" s="1"/>
      <c r="M130" s="1" t="str">
        <f ca="1">IFERROR(__xludf.DUMMYFUNCTION("""COMPUTED_VALUE"""),"36-38 Lâm Hoành,Sơn Trà,Đà Nẵng")</f>
        <v>36-38 Lâm Hoành,Sơn Trà,Đà Nẵng</v>
      </c>
      <c r="N130" s="1" t="str">
        <f ca="1">IFERROR(__xludf.DUMMYFUNCTION("""COMPUTED_VALUE"""),"Đà Nắng")</f>
        <v>Đà Nắng</v>
      </c>
      <c r="O130" s="1" t="str">
        <f ca="1">IFERROR(__xludf.DUMMYFUNCTION("""COMPUTED_VALUE"""),"Nhà hàng")</f>
        <v>Nhà hàng</v>
      </c>
      <c r="P130" s="1"/>
      <c r="Q130" s="1" t="str">
        <f ca="1">IFERROR(__xludf.DUMMYFUNCTION("""COMPUTED_VALUE"""),"22/01/2025")</f>
        <v>22/01/2025</v>
      </c>
      <c r="R130" s="1" t="str">
        <f ca="1">IFERROR(__xludf.DUMMYFUNCTION("""COMPUTED_VALUE"""),"cam kết")</f>
        <v>cam kết</v>
      </c>
      <c r="S130" s="1" t="str">
        <f ca="1">IFERROR(__xludf.DUMMYFUNCTION("""COMPUTED_VALUE"""),"Chuyên đề")</f>
        <v>Chuyên đề</v>
      </c>
      <c r="T130" s="1" t="str">
        <f ca="1">IFERROR(__xludf.DUMMYFUNCTION("""COMPUTED_VALUE"""),"Trần Hoàng Anh")</f>
        <v>Trần Hoàng Anh</v>
      </c>
      <c r="U130" s="4">
        <f ca="1">IFERROR(__xludf.DUMMYFUNCTION("""COMPUTED_VALUE"""),45663)</f>
        <v>45663</v>
      </c>
      <c r="V130" s="4">
        <f ca="1">IFERROR(__xludf.DUMMYFUNCTION("""COMPUTED_VALUE"""),45753)</f>
        <v>45753</v>
      </c>
      <c r="W130" s="1">
        <f ca="1">IFERROR(__xludf.DUMMYFUNCTION("""COMPUTED_VALUE"""),129)</f>
        <v>129</v>
      </c>
      <c r="X130" s="1" t="str">
        <f ca="1">IFERROR(__xludf.DUMMYFUNCTION("""COMPUTED_VALUE"""),"22/01/2025")</f>
        <v>22/01/2025</v>
      </c>
      <c r="Y130" s="1" t="str">
        <f ca="1">IFERROR(__xludf.DUMMYFUNCTION("""COMPUTED_VALUE"""),"DUYỆT")</f>
        <v>DUYỆT</v>
      </c>
      <c r="Z130" s="1" t="str">
        <f ca="1">IFERROR(__xludf.DUMMYFUNCTION("""COMPUTED_VALUE"""),"22/01/2025")</f>
        <v>22/01/2025</v>
      </c>
      <c r="AA130" s="1" t="str">
        <f ca="1">IFERROR(__xludf.DUMMYFUNCTION("""COMPUTED_VALUE"""),"Sala Danang Beach Hotel")</f>
        <v>Sala Danang Beach Hotel</v>
      </c>
      <c r="AB130" s="1" t="str">
        <f ca="1">IFERROR(__xludf.DUMMYFUNCTION("""COMPUTED_VALUE"""),"Nhà hàng")</f>
        <v>Nhà hàng</v>
      </c>
      <c r="AC130" s="1" t="str">
        <f ca="1">IFERROR(__xludf.DUMMYFUNCTION("""COMPUTED_VALUE"""),"ĐÃ NỘP")</f>
        <v>ĐÃ NỘP</v>
      </c>
      <c r="AD130" s="1"/>
      <c r="AE130" s="1" t="str">
        <f ca="1">IFERROR(__xludf.DUMMYFUNCTION("""COMPUTED_VALUE"""),"")</f>
        <v/>
      </c>
    </row>
    <row r="131" spans="1:31" x14ac:dyDescent="0.2">
      <c r="A131" s="6">
        <f ca="1">IFERROR(__xludf.DUMMYFUNCTION("""COMPUTED_VALUE"""),45679.6091424074)</f>
        <v>45679.609142407397</v>
      </c>
      <c r="B131" s="1"/>
      <c r="C131" s="1">
        <f ca="1">IFERROR(__xludf.DUMMYFUNCTION("""COMPUTED_VALUE"""),26217135634)</f>
        <v>26217135634</v>
      </c>
      <c r="D131" s="1" t="str">
        <f ca="1">IFERROR(__xludf.DUMMYFUNCTION("""COMPUTED_VALUE"""),"Nguyễn Đức Hậu")</f>
        <v>Nguyễn Đức Hậu</v>
      </c>
      <c r="E131" s="4"/>
      <c r="F131" s="1" t="str">
        <f ca="1">IFERROR(__xludf.DUMMYFUNCTION("""COMPUTED_VALUE"""),"K26DLK2")</f>
        <v>K26DLK2</v>
      </c>
      <c r="G131" s="1" t="str">
        <f ca="1">IFERROR(__xludf.DUMMYFUNCTION("""COMPUTED_VALUE"""),"Quản trị Du lịch &amp; Khách sạn")</f>
        <v>Quản trị Du lịch &amp; Khách sạn</v>
      </c>
      <c r="H131" s="1">
        <f ca="1">IFERROR(__xludf.DUMMYFUNCTION("""COMPUTED_VALUE"""),26)</f>
        <v>26</v>
      </c>
      <c r="I131" s="1"/>
      <c r="J131" s="1" t="str">
        <f ca="1">IFERROR(__xludf.DUMMYFUNCTION("""COMPUTED_VALUE"""),"Chuyên đề")</f>
        <v>Chuyên đề</v>
      </c>
      <c r="K131" s="1" t="str">
        <f ca="1">IFERROR(__xludf.DUMMYFUNCTION("""COMPUTED_VALUE"""),"Hilton Garden Inn Danang")</f>
        <v>Hilton Garden Inn Danang</v>
      </c>
      <c r="L131" s="1" t="str">
        <f ca="1">IFERROR(__xludf.DUMMYFUNCTION("""COMPUTED_VALUE"""),"Hilton Garden Inn")</f>
        <v>Hilton Garden Inn</v>
      </c>
      <c r="M131" s="1" t="str">
        <f ca="1">IFERROR(__xludf.DUMMYFUNCTION("""COMPUTED_VALUE"""),"96 Võ Nguyên Giáp, Mân Thái, Sơn Trà, Đà Nẵng")</f>
        <v>96 Võ Nguyên Giáp, Mân Thái, Sơn Trà, Đà Nẵng</v>
      </c>
      <c r="N131" s="1" t="str">
        <f ca="1">IFERROR(__xludf.DUMMYFUNCTION("""COMPUTED_VALUE"""),"Đà Nẵng")</f>
        <v>Đà Nẵng</v>
      </c>
      <c r="O131" s="1" t="str">
        <f ca="1">IFERROR(__xludf.DUMMYFUNCTION("""COMPUTED_VALUE"""),"Buồng phòng")</f>
        <v>Buồng phòng</v>
      </c>
      <c r="P131" s="1"/>
      <c r="Q131" s="1" t="str">
        <f ca="1">IFERROR(__xludf.DUMMYFUNCTION("""COMPUTED_VALUE"""),"24/01/2025")</f>
        <v>24/01/2025</v>
      </c>
      <c r="R131" s="1" t="str">
        <f ca="1">IFERROR(__xludf.DUMMYFUNCTION("""COMPUTED_VALUE"""),"cam kết")</f>
        <v>cam kết</v>
      </c>
      <c r="S131" s="1" t="str">
        <f ca="1">IFERROR(__xludf.DUMMYFUNCTION("""COMPUTED_VALUE"""),"Chuyên đề")</f>
        <v>Chuyên đề</v>
      </c>
      <c r="T131" s="1"/>
      <c r="U131" s="4">
        <f ca="1">IFERROR(__xludf.DUMMYFUNCTION("""COMPUTED_VALUE"""),45698)</f>
        <v>45698</v>
      </c>
      <c r="V131" s="4">
        <f ca="1">IFERROR(__xludf.DUMMYFUNCTION("""COMPUTED_VALUE"""),45787)</f>
        <v>45787</v>
      </c>
      <c r="W131" s="1">
        <f ca="1">IFERROR(__xludf.DUMMYFUNCTION("""COMPUTED_VALUE"""),130)</f>
        <v>130</v>
      </c>
      <c r="X131" s="1" t="str">
        <f ca="1">IFERROR(__xludf.DUMMYFUNCTION("""COMPUTED_VALUE"""),"24/01/2025")</f>
        <v>24/01/2025</v>
      </c>
      <c r="Y131" s="1" t="str">
        <f ca="1">IFERROR(__xludf.DUMMYFUNCTION("""COMPUTED_VALUE"""),"DUYỆT")</f>
        <v>DUYỆT</v>
      </c>
      <c r="Z131" s="1" t="str">
        <f ca="1">IFERROR(__xludf.DUMMYFUNCTION("""COMPUTED_VALUE"""),"22/01/2025")</f>
        <v>22/01/2025</v>
      </c>
      <c r="AA131" s="1" t="str">
        <f ca="1">IFERROR(__xludf.DUMMYFUNCTION("""COMPUTED_VALUE"""),"Hilton Garden Inn Danang")</f>
        <v>Hilton Garden Inn Danang</v>
      </c>
      <c r="AB131" s="1" t="str">
        <f ca="1">IFERROR(__xludf.DUMMYFUNCTION("""COMPUTED_VALUE"""),"Buồng phòng")</f>
        <v>Buồng phòng</v>
      </c>
      <c r="AC131" s="1" t="str">
        <f ca="1">IFERROR(__xludf.DUMMYFUNCTION("""COMPUTED_VALUE"""),"ĐÃ NỘP")</f>
        <v>ĐÃ NỘP</v>
      </c>
      <c r="AD131" s="1"/>
      <c r="AE131" s="1" t="str">
        <f ca="1">IFERROR(__xludf.DUMMYFUNCTION("""COMPUTED_VALUE"""),"")</f>
        <v/>
      </c>
    </row>
    <row r="132" spans="1:31" x14ac:dyDescent="0.2">
      <c r="A132" s="6">
        <f ca="1">IFERROR(__xludf.DUMMYFUNCTION("""COMPUTED_VALUE"""),45679.6183814004)</f>
        <v>45679.618381400403</v>
      </c>
      <c r="B132" s="1"/>
      <c r="C132" s="1">
        <f ca="1">IFERROR(__xludf.DUMMYFUNCTION("""COMPUTED_VALUE"""),27207128961)</f>
        <v>27207128961</v>
      </c>
      <c r="D132" s="1" t="str">
        <f ca="1">IFERROR(__xludf.DUMMYFUNCTION("""COMPUTED_VALUE"""),"Nguyễn Thị Tường Vi ")</f>
        <v xml:space="preserve">Nguyễn Thị Tường Vi </v>
      </c>
      <c r="E132" s="4"/>
      <c r="F132" s="1" t="str">
        <f ca="1">IFERROR(__xludf.DUMMYFUNCTION("""COMPUTED_VALUE"""),"K27 psu DLk2")</f>
        <v>K27 psu DLk2</v>
      </c>
      <c r="G132" s="1" t="str">
        <f ca="1">IFERROR(__xludf.DUMMYFUNCTION("""COMPUTED_VALUE"""),"Quản trị Du lịch &amp; Khách sạn chuẩn PSU")</f>
        <v>Quản trị Du lịch &amp; Khách sạn chuẩn PSU</v>
      </c>
      <c r="H132" s="1">
        <f ca="1">IFERROR(__xludf.DUMMYFUNCTION("""COMPUTED_VALUE"""),27)</f>
        <v>27</v>
      </c>
      <c r="I132" s="1"/>
      <c r="J132" s="1" t="str">
        <f ca="1">IFERROR(__xludf.DUMMYFUNCTION("""COMPUTED_VALUE"""),"Chuyên đề")</f>
        <v>Chuyên đề</v>
      </c>
      <c r="K132" s="1" t="str">
        <f ca="1">IFERROR(__xludf.DUMMYFUNCTION("""COMPUTED_VALUE"""),"Premier Village Danang Resort")</f>
        <v>Premier Village Danang Resort</v>
      </c>
      <c r="L132" s="1"/>
      <c r="M132" s="1" t="str">
        <f ca="1">IFERROR(__xludf.DUMMYFUNCTION("""COMPUTED_VALUE"""),"99 võ Nguyên Giáp , p . Mỹ An , Q . Ngũ Hành Sơn , tp Đà Nẵng ")</f>
        <v xml:space="preserve">99 võ Nguyên Giáp , p . Mỹ An , Q . Ngũ Hành Sơn , tp Đà Nẵng </v>
      </c>
      <c r="N132" s="1" t="str">
        <f ca="1">IFERROR(__xludf.DUMMYFUNCTION("""COMPUTED_VALUE"""),"Đà Nẵng")</f>
        <v>Đà Nẵng</v>
      </c>
      <c r="O132" s="1" t="str">
        <f ca="1">IFERROR(__xludf.DUMMYFUNCTION("""COMPUTED_VALUE"""),"Nhà hàng")</f>
        <v>Nhà hàng</v>
      </c>
      <c r="P132" s="1"/>
      <c r="Q132" s="1" t="str">
        <f ca="1">IFERROR(__xludf.DUMMYFUNCTION("""COMPUTED_VALUE"""),"22/1/2025")</f>
        <v>22/1/2025</v>
      </c>
      <c r="R132" s="1" t="str">
        <f ca="1">IFERROR(__xludf.DUMMYFUNCTION("""COMPUTED_VALUE"""),"cam kết")</f>
        <v>cam kết</v>
      </c>
      <c r="S132" s="1" t="str">
        <f ca="1">IFERROR(__xludf.DUMMYFUNCTION("""COMPUTED_VALUE"""),"Chuyên đề")</f>
        <v>Chuyên đề</v>
      </c>
      <c r="T132" s="1" t="str">
        <f ca="1">IFERROR(__xludf.DUMMYFUNCTION("""COMPUTED_VALUE"""),"Hồ Sử Minh Tài")</f>
        <v>Hồ Sử Minh Tài</v>
      </c>
      <c r="U132" s="4">
        <f ca="1">IFERROR(__xludf.DUMMYFUNCTION("""COMPUTED_VALUE"""),45677)</f>
        <v>45677</v>
      </c>
      <c r="V132" s="4">
        <f ca="1">IFERROR(__xludf.DUMMYFUNCTION("""COMPUTED_VALUE"""),45767)</f>
        <v>45767</v>
      </c>
      <c r="W132" s="1">
        <f ca="1">IFERROR(__xludf.DUMMYFUNCTION("""COMPUTED_VALUE"""),131)</f>
        <v>131</v>
      </c>
      <c r="X132" s="1" t="str">
        <f ca="1">IFERROR(__xludf.DUMMYFUNCTION("""COMPUTED_VALUE"""),"22/01/2025")</f>
        <v>22/01/2025</v>
      </c>
      <c r="Y132" s="1" t="str">
        <f ca="1">IFERROR(__xludf.DUMMYFUNCTION("""COMPUTED_VALUE"""),"DUYỆT")</f>
        <v>DUYỆT</v>
      </c>
      <c r="Z132" s="1" t="str">
        <f ca="1">IFERROR(__xludf.DUMMYFUNCTION("""COMPUTED_VALUE"""),"22/01/2025")</f>
        <v>22/01/2025</v>
      </c>
      <c r="AA132" s="1" t="str">
        <f ca="1">IFERROR(__xludf.DUMMYFUNCTION("""COMPUTED_VALUE"""),"Premier Village Danang Resort")</f>
        <v>Premier Village Danang Resort</v>
      </c>
      <c r="AB132" s="1" t="str">
        <f ca="1">IFERROR(__xludf.DUMMYFUNCTION("""COMPUTED_VALUE"""),"Nhà hàng")</f>
        <v>Nhà hàng</v>
      </c>
      <c r="AC132" s="1"/>
      <c r="AD132" s="1"/>
      <c r="AE132" s="1" t="str">
        <f ca="1">IFERROR(__xludf.DUMMYFUNCTION("""COMPUTED_VALUE"""),"")</f>
        <v/>
      </c>
    </row>
    <row r="133" spans="1:31" x14ac:dyDescent="0.2">
      <c r="A133" s="6">
        <f ca="1">IFERROR(__xludf.DUMMYFUNCTION("""COMPUTED_VALUE"""),45679.6185864699)</f>
        <v>45679.6185864699</v>
      </c>
      <c r="B133" s="1"/>
      <c r="C133" s="1">
        <f ca="1">IFERROR(__xludf.DUMMYFUNCTION("""COMPUTED_VALUE"""),27217132620)</f>
        <v>27217132620</v>
      </c>
      <c r="D133" s="1" t="str">
        <f ca="1">IFERROR(__xludf.DUMMYFUNCTION("""COMPUTED_VALUE"""),"Nguyễn Minh Hoà")</f>
        <v>Nguyễn Minh Hoà</v>
      </c>
      <c r="E133" s="4"/>
      <c r="F133" s="1" t="str">
        <f ca="1">IFERROR(__xludf.DUMMYFUNCTION("""COMPUTED_VALUE"""),"K27 PSU DLK2")</f>
        <v>K27 PSU DLK2</v>
      </c>
      <c r="G133" s="1" t="str">
        <f ca="1">IFERROR(__xludf.DUMMYFUNCTION("""COMPUTED_VALUE"""),"Quản trị Du lịch &amp; Khách sạn chuẩn PSU")</f>
        <v>Quản trị Du lịch &amp; Khách sạn chuẩn PSU</v>
      </c>
      <c r="H133" s="1">
        <f ca="1">IFERROR(__xludf.DUMMYFUNCTION("""COMPUTED_VALUE"""),27)</f>
        <v>27</v>
      </c>
      <c r="I133" s="1"/>
      <c r="J133" s="1" t="str">
        <f ca="1">IFERROR(__xludf.DUMMYFUNCTION("""COMPUTED_VALUE"""),"Chuyên đề")</f>
        <v>Chuyên đề</v>
      </c>
      <c r="K133" s="1" t="str">
        <f ca="1">IFERROR(__xludf.DUMMYFUNCTION("""COMPUTED_VALUE"""),"Premier Village Danang Resort")</f>
        <v>Premier Village Danang Resort</v>
      </c>
      <c r="L133" s="1"/>
      <c r="M133" s="1" t="str">
        <f ca="1">IFERROR(__xludf.DUMMYFUNCTION("""COMPUTED_VALUE"""),"99 Võ Nguyên Giáp, Mỹ An, Ngũ Hành Sơn, Đà Nẵng")</f>
        <v>99 Võ Nguyên Giáp, Mỹ An, Ngũ Hành Sơn, Đà Nẵng</v>
      </c>
      <c r="N133" s="1" t="str">
        <f ca="1">IFERROR(__xludf.DUMMYFUNCTION("""COMPUTED_VALUE"""),"Đà Nẵng")</f>
        <v>Đà Nẵng</v>
      </c>
      <c r="O133" s="1" t="str">
        <f ca="1">IFERROR(__xludf.DUMMYFUNCTION("""COMPUTED_VALUE"""),"Nhà hàng")</f>
        <v>Nhà hàng</v>
      </c>
      <c r="P133" s="1"/>
      <c r="Q133" s="1" t="str">
        <f ca="1">IFERROR(__xludf.DUMMYFUNCTION("""COMPUTED_VALUE"""),"22/01/2025")</f>
        <v>22/01/2025</v>
      </c>
      <c r="R133" s="1" t="str">
        <f ca="1">IFERROR(__xludf.DUMMYFUNCTION("""COMPUTED_VALUE"""),"cam kết")</f>
        <v>cam kết</v>
      </c>
      <c r="S133" s="1" t="str">
        <f ca="1">IFERROR(__xludf.DUMMYFUNCTION("""COMPUTED_VALUE"""),"Chuyên đề")</f>
        <v>Chuyên đề</v>
      </c>
      <c r="T133" s="1" t="str">
        <f ca="1">IFERROR(__xludf.DUMMYFUNCTION("""COMPUTED_VALUE"""),"Hồ Sử Minh Tài")</f>
        <v>Hồ Sử Minh Tài</v>
      </c>
      <c r="U133" s="4">
        <f ca="1">IFERROR(__xludf.DUMMYFUNCTION("""COMPUTED_VALUE"""),45677)</f>
        <v>45677</v>
      </c>
      <c r="V133" s="4">
        <f ca="1">IFERROR(__xludf.DUMMYFUNCTION("""COMPUTED_VALUE"""),45767)</f>
        <v>45767</v>
      </c>
      <c r="W133" s="1">
        <f ca="1">IFERROR(__xludf.DUMMYFUNCTION("""COMPUTED_VALUE"""),132)</f>
        <v>132</v>
      </c>
      <c r="X133" s="1" t="str">
        <f ca="1">IFERROR(__xludf.DUMMYFUNCTION("""COMPUTED_VALUE"""),"22/01/2025")</f>
        <v>22/01/2025</v>
      </c>
      <c r="Y133" s="1" t="str">
        <f ca="1">IFERROR(__xludf.DUMMYFUNCTION("""COMPUTED_VALUE"""),"DUYỆT")</f>
        <v>DUYỆT</v>
      </c>
      <c r="Z133" s="1" t="str">
        <f ca="1">IFERROR(__xludf.DUMMYFUNCTION("""COMPUTED_VALUE"""),"22/01/2025")</f>
        <v>22/01/2025</v>
      </c>
      <c r="AA133" s="1" t="str">
        <f ca="1">IFERROR(__xludf.DUMMYFUNCTION("""COMPUTED_VALUE"""),"Premier Village Danang Resort")</f>
        <v>Premier Village Danang Resort</v>
      </c>
      <c r="AB133" s="1" t="str">
        <f ca="1">IFERROR(__xludf.DUMMYFUNCTION("""COMPUTED_VALUE"""),"Nhà hàng")</f>
        <v>Nhà hàng</v>
      </c>
      <c r="AC133" s="1"/>
      <c r="AD133" s="1"/>
      <c r="AE133" s="1" t="str">
        <f ca="1">IFERROR(__xludf.DUMMYFUNCTION("""COMPUTED_VALUE"""),"")</f>
        <v/>
      </c>
    </row>
    <row r="134" spans="1:31" x14ac:dyDescent="0.2">
      <c r="A134" s="6">
        <f ca="1">IFERROR(__xludf.DUMMYFUNCTION("""COMPUTED_VALUE"""),45679.6254289583)</f>
        <v>45679.625428958301</v>
      </c>
      <c r="B134" s="1"/>
      <c r="C134" s="1">
        <f ca="1">IFERROR(__xludf.DUMMYFUNCTION("""COMPUTED_VALUE"""),27207142571)</f>
        <v>27207142571</v>
      </c>
      <c r="D134" s="1" t="str">
        <f ca="1">IFERROR(__xludf.DUMMYFUNCTION("""COMPUTED_VALUE"""),"Nông Thị Thu Hoài")</f>
        <v>Nông Thị Thu Hoài</v>
      </c>
      <c r="E134" s="4"/>
      <c r="F134" s="1" t="str">
        <f ca="1">IFERROR(__xludf.DUMMYFUNCTION("""COMPUTED_VALUE"""),"K27DLK1")</f>
        <v>K27DLK1</v>
      </c>
      <c r="G134" s="1" t="str">
        <f ca="1">IFERROR(__xludf.DUMMYFUNCTION("""COMPUTED_VALUE"""),"Quản trị Du lịch &amp; Khách sạn")</f>
        <v>Quản trị Du lịch &amp; Khách sạn</v>
      </c>
      <c r="H134" s="1">
        <f ca="1">IFERROR(__xludf.DUMMYFUNCTION("""COMPUTED_VALUE"""),27)</f>
        <v>27</v>
      </c>
      <c r="I134" s="1"/>
      <c r="J134" s="1" t="str">
        <f ca="1">IFERROR(__xludf.DUMMYFUNCTION("""COMPUTED_VALUE"""),"Chuyên đề")</f>
        <v>Chuyên đề</v>
      </c>
      <c r="K134" s="1" t="str">
        <f ca="1">IFERROR(__xludf.DUMMYFUNCTION("""COMPUTED_VALUE"""),"Le Sands Oceanfront Da Nang Hotel")</f>
        <v>Le Sands Oceanfront Da Nang Hotel</v>
      </c>
      <c r="L134" s="1"/>
      <c r="M134" s="1" t="str">
        <f ca="1">IFERROR(__xludf.DUMMYFUNCTION("""COMPUTED_VALUE"""),"28 Võ Nguyễn Giáp, Mân Thái , Sơn Trà , Đà Nẵng")</f>
        <v>28 Võ Nguyễn Giáp, Mân Thái , Sơn Trà , Đà Nẵng</v>
      </c>
      <c r="N134" s="1" t="str">
        <f ca="1">IFERROR(__xludf.DUMMYFUNCTION("""COMPUTED_VALUE"""),"Đà Nẵng")</f>
        <v>Đà Nẵng</v>
      </c>
      <c r="O134" s="1" t="str">
        <f ca="1">IFERROR(__xludf.DUMMYFUNCTION("""COMPUTED_VALUE"""),"Nhà hàng")</f>
        <v>Nhà hàng</v>
      </c>
      <c r="P134" s="1"/>
      <c r="Q134" s="1" t="str">
        <f ca="1">IFERROR(__xludf.DUMMYFUNCTION("""COMPUTED_VALUE"""),"22/01/2025")</f>
        <v>22/01/2025</v>
      </c>
      <c r="R134" s="1" t="str">
        <f ca="1">IFERROR(__xludf.DUMMYFUNCTION("""COMPUTED_VALUE"""),"cam kết")</f>
        <v>cam kết</v>
      </c>
      <c r="S134" s="1" t="str">
        <f ca="1">IFERROR(__xludf.DUMMYFUNCTION("""COMPUTED_VALUE"""),"Chuyên đề")</f>
        <v>Chuyên đề</v>
      </c>
      <c r="T134" s="1"/>
      <c r="U134" s="4">
        <f ca="1">IFERROR(__xludf.DUMMYFUNCTION("""COMPUTED_VALUE"""),45698)</f>
        <v>45698</v>
      </c>
      <c r="V134" s="4">
        <f ca="1">IFERROR(__xludf.DUMMYFUNCTION("""COMPUTED_VALUE"""),45787)</f>
        <v>45787</v>
      </c>
      <c r="W134" s="1">
        <f ca="1">IFERROR(__xludf.DUMMYFUNCTION("""COMPUTED_VALUE"""),133)</f>
        <v>133</v>
      </c>
      <c r="X134" s="1" t="str">
        <f ca="1">IFERROR(__xludf.DUMMYFUNCTION("""COMPUTED_VALUE"""),"22/01/2025")</f>
        <v>22/01/2025</v>
      </c>
      <c r="Y134" s="1" t="str">
        <f ca="1">IFERROR(__xludf.DUMMYFUNCTION("""COMPUTED_VALUE"""),"DUYỆT")</f>
        <v>DUYỆT</v>
      </c>
      <c r="Z134" s="1" t="str">
        <f ca="1">IFERROR(__xludf.DUMMYFUNCTION("""COMPUTED_VALUE"""),"22/01/2025")</f>
        <v>22/01/2025</v>
      </c>
      <c r="AA134" s="1" t="str">
        <f ca="1">IFERROR(__xludf.DUMMYFUNCTION("""COMPUTED_VALUE"""),"Le Sands Oceanfront Da Nang Hotel")</f>
        <v>Le Sands Oceanfront Da Nang Hotel</v>
      </c>
      <c r="AB134" s="1" t="str">
        <f ca="1">IFERROR(__xludf.DUMMYFUNCTION("""COMPUTED_VALUE"""),"Nhà hàng")</f>
        <v>Nhà hàng</v>
      </c>
      <c r="AC134" s="1"/>
      <c r="AD134" s="1"/>
      <c r="AE134" s="1" t="str">
        <f ca="1">IFERROR(__xludf.DUMMYFUNCTION("""COMPUTED_VALUE"""),"")</f>
        <v/>
      </c>
    </row>
    <row r="135" spans="1:31" x14ac:dyDescent="0.2">
      <c r="A135" s="6">
        <f ca="1">IFERROR(__xludf.DUMMYFUNCTION("""COMPUTED_VALUE"""),45697.6591820833)</f>
        <v>45697.659182083298</v>
      </c>
      <c r="B135" s="1"/>
      <c r="C135" s="1">
        <f ca="1">IFERROR(__xludf.DUMMYFUNCTION("""COMPUTED_VALUE"""),27207101733)</f>
        <v>27207101733</v>
      </c>
      <c r="D135" s="1" t="str">
        <f ca="1">IFERROR(__xludf.DUMMYFUNCTION("""COMPUTED_VALUE"""),"Nguyễn Thị Bảo Ngọc")</f>
        <v>Nguyễn Thị Bảo Ngọc</v>
      </c>
      <c r="E135" s="4"/>
      <c r="F135" s="1" t="str">
        <f ca="1">IFERROR(__xludf.DUMMYFUNCTION("""COMPUTED_VALUE"""),"K27DLK 7")</f>
        <v>K27DLK 7</v>
      </c>
      <c r="G135" s="1" t="str">
        <f ca="1">IFERROR(__xludf.DUMMYFUNCTION("""COMPUTED_VALUE"""),"Quản trị Du lịch &amp; Khách sạn")</f>
        <v>Quản trị Du lịch &amp; Khách sạn</v>
      </c>
      <c r="H135" s="1">
        <f ca="1">IFERROR(__xludf.DUMMYFUNCTION("""COMPUTED_VALUE"""),27)</f>
        <v>27</v>
      </c>
      <c r="I135" s="1"/>
      <c r="J135" s="1" t="str">
        <f ca="1">IFERROR(__xludf.DUMMYFUNCTION("""COMPUTED_VALUE"""),"Chuyên đề")</f>
        <v>Chuyên đề</v>
      </c>
      <c r="K135" s="1" t="str">
        <f ca="1">IFERROR(__xludf.DUMMYFUNCTION("""COMPUTED_VALUE"""),"DaNang Marriott Resort &amp; Spa, Non Nuoc Beach Villas")</f>
        <v>DaNang Marriott Resort &amp; Spa, Non Nuoc Beach Villas</v>
      </c>
      <c r="L135" s="1" t="str">
        <f ca="1">IFERROR(__xludf.DUMMYFUNCTION("""COMPUTED_VALUE"""),"DaNang Marriott Resort &amp; Spa, Non Nuoc Beach Villas")</f>
        <v>DaNang Marriott Resort &amp; Spa, Non Nuoc Beach Villas</v>
      </c>
      <c r="M135" s="1" t="str">
        <f ca="1">IFERROR(__xludf.DUMMYFUNCTION("""COMPUTED_VALUE"""),"23 Trường Sa, Ngũ Hành Sơn, Đà Nẵng")</f>
        <v>23 Trường Sa, Ngũ Hành Sơn, Đà Nẵng</v>
      </c>
      <c r="N135" s="1" t="str">
        <f ca="1">IFERROR(__xludf.DUMMYFUNCTION("""COMPUTED_VALUE"""),"Thành phố Đà Nẵng")</f>
        <v>Thành phố Đà Nẵng</v>
      </c>
      <c r="O135" s="1" t="str">
        <f ca="1">IFERROR(__xludf.DUMMYFUNCTION("""COMPUTED_VALUE"""),"Nhà hàng")</f>
        <v>Nhà hàng</v>
      </c>
      <c r="P135" s="1"/>
      <c r="Q135" s="1" t="str">
        <f ca="1">IFERROR(__xludf.DUMMYFUNCTION("""COMPUTED_VALUE"""),"22/01/2025")</f>
        <v>22/01/2025</v>
      </c>
      <c r="R135" s="1" t="str">
        <f ca="1">IFERROR(__xludf.DUMMYFUNCTION("""COMPUTED_VALUE"""),"cam kết")</f>
        <v>cam kết</v>
      </c>
      <c r="S135" s="1" t="str">
        <f ca="1">IFERROR(__xludf.DUMMYFUNCTION("""COMPUTED_VALUE"""),"Chuyên đề")</f>
        <v>Chuyên đề</v>
      </c>
      <c r="T135" s="1"/>
      <c r="U135" s="4">
        <f ca="1">IFERROR(__xludf.DUMMYFUNCTION("""COMPUTED_VALUE"""),45698)</f>
        <v>45698</v>
      </c>
      <c r="V135" s="4">
        <f ca="1">IFERROR(__xludf.DUMMYFUNCTION("""COMPUTED_VALUE"""),45786)</f>
        <v>45786</v>
      </c>
      <c r="W135" s="1">
        <f ca="1">IFERROR(__xludf.DUMMYFUNCTION("""COMPUTED_VALUE"""),134)</f>
        <v>134</v>
      </c>
      <c r="X135" s="1" t="str">
        <f ca="1">IFERROR(__xludf.DUMMYFUNCTION("""COMPUTED_VALUE"""),"22/01/2025")</f>
        <v>22/01/2025</v>
      </c>
      <c r="Y135" s="1" t="str">
        <f ca="1">IFERROR(__xludf.DUMMYFUNCTION("""COMPUTED_VALUE"""),"DUYỆT")</f>
        <v>DUYỆT</v>
      </c>
      <c r="Z135" s="1" t="str">
        <f ca="1">IFERROR(__xludf.DUMMYFUNCTION("""COMPUTED_VALUE"""),"22/01/2025")</f>
        <v>22/01/2025</v>
      </c>
      <c r="AA135" s="1" t="str">
        <f ca="1">IFERROR(__xludf.DUMMYFUNCTION("""COMPUTED_VALUE"""),"DaNang Marriott Resort &amp; Spa, Non Nuoc Beach Villas")</f>
        <v>DaNang Marriott Resort &amp; Spa, Non Nuoc Beach Villas</v>
      </c>
      <c r="AB135" s="1" t="str">
        <f ca="1">IFERROR(__xludf.DUMMYFUNCTION("""COMPUTED_VALUE"""),"Nhà hàng")</f>
        <v>Nhà hàng</v>
      </c>
      <c r="AC135" s="1"/>
      <c r="AD135" s="1"/>
      <c r="AE135" s="1" t="str">
        <f ca="1">IFERROR(__xludf.DUMMYFUNCTION("""COMPUTED_VALUE"""),"")</f>
        <v/>
      </c>
    </row>
    <row r="136" spans="1:31" x14ac:dyDescent="0.2">
      <c r="A136" s="6">
        <f ca="1">IFERROR(__xludf.DUMMYFUNCTION("""COMPUTED_VALUE"""),45679.6432368865)</f>
        <v>45679.643236886499</v>
      </c>
      <c r="B136" s="1"/>
      <c r="C136" s="1">
        <f ca="1">IFERROR(__xludf.DUMMYFUNCTION("""COMPUTED_VALUE"""),27207133010)</f>
        <v>27207133010</v>
      </c>
      <c r="D136" s="1" t="str">
        <f ca="1">IFERROR(__xludf.DUMMYFUNCTION("""COMPUTED_VALUE"""),"Nguyễn Thị Kim Yến")</f>
        <v>Nguyễn Thị Kim Yến</v>
      </c>
      <c r="E136" s="4"/>
      <c r="F136" s="1" t="str">
        <f ca="1">IFERROR(__xludf.DUMMYFUNCTION("""COMPUTED_VALUE"""),"K27DLK2")</f>
        <v>K27DLK2</v>
      </c>
      <c r="G136" s="1" t="str">
        <f ca="1">IFERROR(__xludf.DUMMYFUNCTION("""COMPUTED_VALUE"""),"Quản trị Du lịch &amp; Khách sạn")</f>
        <v>Quản trị Du lịch &amp; Khách sạn</v>
      </c>
      <c r="H136" s="1">
        <f ca="1">IFERROR(__xludf.DUMMYFUNCTION("""COMPUTED_VALUE"""),27)</f>
        <v>27</v>
      </c>
      <c r="I136" s="1"/>
      <c r="J136" s="1" t="str">
        <f ca="1">IFERROR(__xludf.DUMMYFUNCTION("""COMPUTED_VALUE"""),"Chuyên đề")</f>
        <v>Chuyên đề</v>
      </c>
      <c r="K136" s="1" t="str">
        <f ca="1">IFERROR(__xludf.DUMMYFUNCTION("""COMPUTED_VALUE"""),"Vanda Hotel")</f>
        <v>Vanda Hotel</v>
      </c>
      <c r="L136" s="1"/>
      <c r="M136" s="1" t="str">
        <f ca="1">IFERROR(__xludf.DUMMYFUNCTION("""COMPUTED_VALUE"""),"03 Nguyễn Văn Linh, Hải Châu, Đà Nẵng")</f>
        <v>03 Nguyễn Văn Linh, Hải Châu, Đà Nẵng</v>
      </c>
      <c r="N136" s="1" t="str">
        <f ca="1">IFERROR(__xludf.DUMMYFUNCTION("""COMPUTED_VALUE"""),"Đà Nẵng")</f>
        <v>Đà Nẵng</v>
      </c>
      <c r="O136" s="1" t="str">
        <f ca="1">IFERROR(__xludf.DUMMYFUNCTION("""COMPUTED_VALUE"""),"Buồng phòng")</f>
        <v>Buồng phòng</v>
      </c>
      <c r="P136" s="1"/>
      <c r="Q136" s="1" t="str">
        <f ca="1">IFERROR(__xludf.DUMMYFUNCTION("""COMPUTED_VALUE"""),"22/01/2025")</f>
        <v>22/01/2025</v>
      </c>
      <c r="R136" s="1" t="str">
        <f ca="1">IFERROR(__xludf.DUMMYFUNCTION("""COMPUTED_VALUE"""),"cam kết")</f>
        <v>cam kết</v>
      </c>
      <c r="S136" s="1" t="str">
        <f ca="1">IFERROR(__xludf.DUMMYFUNCTION("""COMPUTED_VALUE"""),"Chuyên đề")</f>
        <v>Chuyên đề</v>
      </c>
      <c r="T136" s="1"/>
      <c r="U136" s="4">
        <f ca="1">IFERROR(__xludf.DUMMYFUNCTION("""COMPUTED_VALUE"""),45698)</f>
        <v>45698</v>
      </c>
      <c r="V136" s="4">
        <f ca="1">IFERROR(__xludf.DUMMYFUNCTION("""COMPUTED_VALUE"""),45787)</f>
        <v>45787</v>
      </c>
      <c r="W136" s="1">
        <f ca="1">IFERROR(__xludf.DUMMYFUNCTION("""COMPUTED_VALUE"""),135)</f>
        <v>135</v>
      </c>
      <c r="X136" s="1"/>
      <c r="Y136" s="1" t="str">
        <f ca="1">IFERROR(__xludf.DUMMYFUNCTION("""COMPUTED_VALUE"""),"DUYỆT")</f>
        <v>DUYỆT</v>
      </c>
      <c r="Z136" s="1" t="str">
        <f ca="1">IFERROR(__xludf.DUMMYFUNCTION("""COMPUTED_VALUE"""),"22/01/2025")</f>
        <v>22/01/2025</v>
      </c>
      <c r="AA136" s="1" t="str">
        <f ca="1">IFERROR(__xludf.DUMMYFUNCTION("""COMPUTED_VALUE"""),"Vanda Hotel")</f>
        <v>Vanda Hotel</v>
      </c>
      <c r="AB136" s="1" t="str">
        <f ca="1">IFERROR(__xludf.DUMMYFUNCTION("""COMPUTED_VALUE"""),"Buồng phòng")</f>
        <v>Buồng phòng</v>
      </c>
      <c r="AC136" s="1"/>
      <c r="AD136" s="1"/>
      <c r="AE136" s="1" t="str">
        <f ca="1">IFERROR(__xludf.DUMMYFUNCTION("""COMPUTED_VALUE"""),"")</f>
        <v/>
      </c>
    </row>
    <row r="137" spans="1:31" x14ac:dyDescent="0.2">
      <c r="A137" s="6">
        <f ca="1">IFERROR(__xludf.DUMMYFUNCTION("""COMPUTED_VALUE"""),45695.6347390046)</f>
        <v>45695.634739004599</v>
      </c>
      <c r="B137" s="1"/>
      <c r="C137" s="1">
        <f ca="1">IFERROR(__xludf.DUMMYFUNCTION("""COMPUTED_VALUE"""),24207105293)</f>
        <v>24207105293</v>
      </c>
      <c r="D137" s="1" t="str">
        <f ca="1">IFERROR(__xludf.DUMMYFUNCTION("""COMPUTED_VALUE"""),"H GUIN Ê BAN")</f>
        <v>H GUIN Ê BAN</v>
      </c>
      <c r="E137" s="4"/>
      <c r="F137" s="1" t="str">
        <f ca="1">IFERROR(__xludf.DUMMYFUNCTION("""COMPUTED_VALUE"""),"K24DLK12")</f>
        <v>K24DLK12</v>
      </c>
      <c r="G137" s="1" t="str">
        <f ca="1">IFERROR(__xludf.DUMMYFUNCTION("""COMPUTED_VALUE"""),"Quản trị Du lịch &amp; Khách sạn")</f>
        <v>Quản trị Du lịch &amp; Khách sạn</v>
      </c>
      <c r="H137" s="1">
        <f ca="1">IFERROR(__xludf.DUMMYFUNCTION("""COMPUTED_VALUE"""),24)</f>
        <v>24</v>
      </c>
      <c r="I137" s="1"/>
      <c r="J137" s="1" t="str">
        <f ca="1">IFERROR(__xludf.DUMMYFUNCTION("""COMPUTED_VALUE"""),"Chuyên đề")</f>
        <v>Chuyên đề</v>
      </c>
      <c r="K137" s="1" t="str">
        <f ca="1">IFERROR(__xludf.DUMMYFUNCTION("""COMPUTED_VALUE"""),"Diamond sea hotel")</f>
        <v>Diamond sea hotel</v>
      </c>
      <c r="L137" s="1" t="str">
        <f ca="1">IFERROR(__xludf.DUMMYFUNCTION("""COMPUTED_VALUE"""),"Diamond sea hotel")</f>
        <v>Diamond sea hotel</v>
      </c>
      <c r="M137" s="1" t="str">
        <f ca="1">IFERROR(__xludf.DUMMYFUNCTION("""COMPUTED_VALUE"""),"232 Võ Nguyên Giáp, Phước Mỹ, Sơn Trà, Đà Nẵng")</f>
        <v>232 Võ Nguyên Giáp, Phước Mỹ, Sơn Trà, Đà Nẵng</v>
      </c>
      <c r="N137" s="1" t="str">
        <f ca="1">IFERROR(__xludf.DUMMYFUNCTION("""COMPUTED_VALUE"""),"Đà Nẵng")</f>
        <v>Đà Nẵng</v>
      </c>
      <c r="O137" s="1" t="str">
        <f ca="1">IFERROR(__xludf.DUMMYFUNCTION("""COMPUTED_VALUE"""),"Nhà hàng")</f>
        <v>Nhà hàng</v>
      </c>
      <c r="P137" s="1"/>
      <c r="Q137" s="1" t="str">
        <f ca="1">IFERROR(__xludf.DUMMYFUNCTION("""COMPUTED_VALUE"""),"7/2/2025")</f>
        <v>7/2/2025</v>
      </c>
      <c r="R137" s="1" t="str">
        <f ca="1">IFERROR(__xludf.DUMMYFUNCTION("""COMPUTED_VALUE"""),"cam kết")</f>
        <v>cam kết</v>
      </c>
      <c r="S137" s="1" t="str">
        <f ca="1">IFERROR(__xludf.DUMMYFUNCTION("""COMPUTED_VALUE"""),"Chuyên đề")</f>
        <v>Chuyên đề</v>
      </c>
      <c r="T137" s="1"/>
      <c r="U137" s="4">
        <f ca="1">IFERROR(__xludf.DUMMYFUNCTION("""COMPUTED_VALUE"""),45698)</f>
        <v>45698</v>
      </c>
      <c r="V137" s="4">
        <f ca="1">IFERROR(__xludf.DUMMYFUNCTION("""COMPUTED_VALUE"""),45787)</f>
        <v>45787</v>
      </c>
      <c r="W137" s="1">
        <f ca="1">IFERROR(__xludf.DUMMYFUNCTION("""COMPUTED_VALUE"""),136)</f>
        <v>136</v>
      </c>
      <c r="X137" s="3">
        <f ca="1">IFERROR(__xludf.DUMMYFUNCTION("""COMPUTED_VALUE"""),45932)</f>
        <v>45932</v>
      </c>
      <c r="Y137" s="1" t="str">
        <f ca="1">IFERROR(__xludf.DUMMYFUNCTION("""COMPUTED_VALUE"""),"DUYỆT")</f>
        <v>DUYỆT</v>
      </c>
      <c r="Z137" s="1" t="str">
        <f ca="1">IFERROR(__xludf.DUMMYFUNCTION("""COMPUTED_VALUE"""),"22/01/2025")</f>
        <v>22/01/2025</v>
      </c>
      <c r="AA137" s="1" t="str">
        <f ca="1">IFERROR(__xludf.DUMMYFUNCTION("""COMPUTED_VALUE"""),"Diamond sea hotel")</f>
        <v>Diamond sea hotel</v>
      </c>
      <c r="AB137" s="1" t="str">
        <f ca="1">IFERROR(__xludf.DUMMYFUNCTION("""COMPUTED_VALUE"""),"Nhà hàng")</f>
        <v>Nhà hàng</v>
      </c>
      <c r="AC137" s="1" t="str">
        <f ca="1">IFERROR(__xludf.DUMMYFUNCTION("""COMPUTED_VALUE"""),"ĐÃ NỘP")</f>
        <v>ĐÃ NỘP</v>
      </c>
      <c r="AD137" s="1"/>
      <c r="AE137" s="1" t="str">
        <f ca="1">IFERROR(__xludf.DUMMYFUNCTION("""COMPUTED_VALUE"""),"")</f>
        <v/>
      </c>
    </row>
    <row r="138" spans="1:31" x14ac:dyDescent="0.2">
      <c r="A138" s="6">
        <f ca="1">IFERROR(__xludf.DUMMYFUNCTION("""COMPUTED_VALUE"""),45679.6763952662)</f>
        <v>45679.6763952662</v>
      </c>
      <c r="B138" s="1"/>
      <c r="C138" s="1">
        <f ca="1">IFERROR(__xludf.DUMMYFUNCTION("""COMPUTED_VALUE"""),25217202931)</f>
        <v>25217202931</v>
      </c>
      <c r="D138" s="1" t="str">
        <f ca="1">IFERROR(__xludf.DUMMYFUNCTION("""COMPUTED_VALUE"""),"Trần Xuân Thái")</f>
        <v>Trần Xuân Thái</v>
      </c>
      <c r="E138" s="4"/>
      <c r="F138" s="1" t="str">
        <f ca="1">IFERROR(__xludf.DUMMYFUNCTION("""COMPUTED_VALUE"""),"K25DLK23")</f>
        <v>K25DLK23</v>
      </c>
      <c r="G138" s="1" t="str">
        <f ca="1">IFERROR(__xludf.DUMMYFUNCTION("""COMPUTED_VALUE"""),"Quản trị Du lịch &amp; Khách sạn")</f>
        <v>Quản trị Du lịch &amp; Khách sạn</v>
      </c>
      <c r="H138" s="1">
        <f ca="1">IFERROR(__xludf.DUMMYFUNCTION("""COMPUTED_VALUE"""),25)</f>
        <v>25</v>
      </c>
      <c r="I138" s="1"/>
      <c r="J138" s="1" t="str">
        <f ca="1">IFERROR(__xludf.DUMMYFUNCTION("""COMPUTED_VALUE"""),"Chuyên đề")</f>
        <v>Chuyên đề</v>
      </c>
      <c r="K138" s="1" t="str">
        <f ca="1">IFERROR(__xludf.DUMMYFUNCTION("""COMPUTED_VALUE"""),"Phú Long Tam Kỳ Hotel &amp; Restaurant")</f>
        <v>Phú Long Tam Kỳ Hotel &amp; Restaurant</v>
      </c>
      <c r="L138" s="1" t="str">
        <f ca="1">IFERROR(__xludf.DUMMYFUNCTION("""COMPUTED_VALUE"""),"Phú Long Tam Kỳ Hotel &amp; Restaurant")</f>
        <v>Phú Long Tam Kỳ Hotel &amp; Restaurant</v>
      </c>
      <c r="M138" s="1" t="str">
        <f ca="1">IFERROR(__xludf.DUMMYFUNCTION("""COMPUTED_VALUE"""),"495 Phan Châu Trinh, phường Hoà Hương, Tam Kỳ, Quảng Nam")</f>
        <v>495 Phan Châu Trinh, phường Hoà Hương, Tam Kỳ, Quảng Nam</v>
      </c>
      <c r="N138" s="1" t="str">
        <f ca="1">IFERROR(__xludf.DUMMYFUNCTION("""COMPUTED_VALUE"""),"Tam kỳ")</f>
        <v>Tam kỳ</v>
      </c>
      <c r="O138" s="1" t="str">
        <f ca="1">IFERROR(__xludf.DUMMYFUNCTION("""COMPUTED_VALUE"""),"Tiền sảnh")</f>
        <v>Tiền sảnh</v>
      </c>
      <c r="P138" s="1" t="str">
        <f ca="1">IFERROR(__xludf.DUMMYFUNCTION("""COMPUTED_VALUE"""),"Không có ")</f>
        <v xml:space="preserve">Không có </v>
      </c>
      <c r="Q138" s="1" t="str">
        <f ca="1">IFERROR(__xludf.DUMMYFUNCTION("""COMPUTED_VALUE"""),"10/2")</f>
        <v>10/2</v>
      </c>
      <c r="R138" s="1" t="str">
        <f ca="1">IFERROR(__xludf.DUMMYFUNCTION("""COMPUTED_VALUE"""),"cam kết")</f>
        <v>cam kết</v>
      </c>
      <c r="S138" s="1" t="str">
        <f ca="1">IFERROR(__xludf.DUMMYFUNCTION("""COMPUTED_VALUE"""),"Chuyên đề")</f>
        <v>Chuyên đề</v>
      </c>
      <c r="T138" s="1" t="str">
        <f ca="1">IFERROR(__xludf.DUMMYFUNCTION("""COMPUTED_VALUE"""),"Phạm Thị Thu Thủy")</f>
        <v>Phạm Thị Thu Thủy</v>
      </c>
      <c r="U138" s="4">
        <f ca="1">IFERROR(__xludf.DUMMYFUNCTION("""COMPUTED_VALUE"""),45698)</f>
        <v>45698</v>
      </c>
      <c r="V138" s="4">
        <f ca="1">IFERROR(__xludf.DUMMYFUNCTION("""COMPUTED_VALUE"""),45787)</f>
        <v>45787</v>
      </c>
      <c r="W138" s="1">
        <f ca="1">IFERROR(__xludf.DUMMYFUNCTION("""COMPUTED_VALUE"""),137)</f>
        <v>137</v>
      </c>
      <c r="X138" s="3">
        <f ca="1">IFERROR(__xludf.DUMMYFUNCTION("""COMPUTED_VALUE"""),45963)</f>
        <v>45963</v>
      </c>
      <c r="Y138" s="1" t="str">
        <f ca="1">IFERROR(__xludf.DUMMYFUNCTION("""COMPUTED_VALUE"""),"DUYỆT")</f>
        <v>DUYỆT</v>
      </c>
      <c r="Z138" s="1" t="str">
        <f ca="1">IFERROR(__xludf.DUMMYFUNCTION("""COMPUTED_VALUE"""),"23/01/2025")</f>
        <v>23/01/2025</v>
      </c>
      <c r="AA138" s="1" t="str">
        <f ca="1">IFERROR(__xludf.DUMMYFUNCTION("""COMPUTED_VALUE"""),"Phú Long Tam Kỳ Hotel &amp; Restaurant")</f>
        <v>Phú Long Tam Kỳ Hotel &amp; Restaurant</v>
      </c>
      <c r="AB138" s="1" t="str">
        <f ca="1">IFERROR(__xludf.DUMMYFUNCTION("""COMPUTED_VALUE"""),"Tiền sảnh")</f>
        <v>Tiền sảnh</v>
      </c>
      <c r="AC138" s="1" t="str">
        <f ca="1">IFERROR(__xludf.DUMMYFUNCTION("""COMPUTED_VALUE"""),"ĐÃ NỘP")</f>
        <v>ĐÃ NỘP</v>
      </c>
      <c r="AD138" s="1"/>
      <c r="AE138" s="1" t="str">
        <f ca="1">IFERROR(__xludf.DUMMYFUNCTION("""COMPUTED_VALUE"""),"")</f>
        <v/>
      </c>
    </row>
    <row r="139" spans="1:31" x14ac:dyDescent="0.2">
      <c r="A139" s="6">
        <f ca="1">IFERROR(__xludf.DUMMYFUNCTION("""COMPUTED_VALUE"""),45679.6944443171)</f>
        <v>45679.694444317101</v>
      </c>
      <c r="B139" s="1"/>
      <c r="C139" s="1">
        <f ca="1">IFERROR(__xludf.DUMMYFUNCTION("""COMPUTED_VALUE"""),27217125270)</f>
        <v>27217125270</v>
      </c>
      <c r="D139" s="1" t="str">
        <f ca="1">IFERROR(__xludf.DUMMYFUNCTION("""COMPUTED_VALUE"""),"Nguyễn Đức Tiến")</f>
        <v>Nguyễn Đức Tiến</v>
      </c>
      <c r="E139" s="4"/>
      <c r="F139" s="1" t="str">
        <f ca="1">IFERROR(__xludf.DUMMYFUNCTION("""COMPUTED_VALUE"""),"K27DLK5")</f>
        <v>K27DLK5</v>
      </c>
      <c r="G139" s="1" t="str">
        <f ca="1">IFERROR(__xludf.DUMMYFUNCTION("""COMPUTED_VALUE"""),"Quản trị Du lịch &amp; Khách sạn")</f>
        <v>Quản trị Du lịch &amp; Khách sạn</v>
      </c>
      <c r="H139" s="1">
        <f ca="1">IFERROR(__xludf.DUMMYFUNCTION("""COMPUTED_VALUE"""),27)</f>
        <v>27</v>
      </c>
      <c r="I139" s="1"/>
      <c r="J139" s="1" t="str">
        <f ca="1">IFERROR(__xludf.DUMMYFUNCTION("""COMPUTED_VALUE"""),"Chuyên đề")</f>
        <v>Chuyên đề</v>
      </c>
      <c r="K139" s="1" t="str">
        <f ca="1">IFERROR(__xludf.DUMMYFUNCTION("""COMPUTED_VALUE"""),"DaNang Marriott Resort &amp; Spa, Non Nuoc Beach Villas")</f>
        <v>DaNang Marriott Resort &amp; Spa, Non Nuoc Beach Villas</v>
      </c>
      <c r="L139" s="1" t="str">
        <f ca="1">IFERROR(__xludf.DUMMYFUNCTION("""COMPUTED_VALUE"""),"DaNang Marriott Resort &amp; Spa, Non Nuoc Beach Villas")</f>
        <v>DaNang Marriott Resort &amp; Spa, Non Nuoc Beach Villas</v>
      </c>
      <c r="M139" s="1" t="str">
        <f ca="1">IFERROR(__xludf.DUMMYFUNCTION("""COMPUTED_VALUE"""),"23 Trường Sa")</f>
        <v>23 Trường Sa</v>
      </c>
      <c r="N139" s="1" t="str">
        <f ca="1">IFERROR(__xludf.DUMMYFUNCTION("""COMPUTED_VALUE"""),"Thành Phố Đà Nẵng")</f>
        <v>Thành Phố Đà Nẵng</v>
      </c>
      <c r="O139" s="1" t="str">
        <f ca="1">IFERROR(__xludf.DUMMYFUNCTION("""COMPUTED_VALUE"""),"Nhà hàng")</f>
        <v>Nhà hàng</v>
      </c>
      <c r="P139" s="1"/>
      <c r="Q139" s="1" t="str">
        <f ca="1">IFERROR(__xludf.DUMMYFUNCTION("""COMPUTED_VALUE"""),"22/1/2025")</f>
        <v>22/1/2025</v>
      </c>
      <c r="R139" s="1" t="str">
        <f ca="1">IFERROR(__xludf.DUMMYFUNCTION("""COMPUTED_VALUE"""),"cam kết")</f>
        <v>cam kết</v>
      </c>
      <c r="S139" s="1" t="str">
        <f ca="1">IFERROR(__xludf.DUMMYFUNCTION("""COMPUTED_VALUE"""),"Chuyên đề")</f>
        <v>Chuyên đề</v>
      </c>
      <c r="T139" s="1" t="str">
        <f ca="1">IFERROR(__xludf.DUMMYFUNCTION("""COMPUTED_VALUE"""),"Mai Thị Thương")</f>
        <v>Mai Thị Thương</v>
      </c>
      <c r="U139" s="4">
        <f ca="1">IFERROR(__xludf.DUMMYFUNCTION("""COMPUTED_VALUE"""),45698)</f>
        <v>45698</v>
      </c>
      <c r="V139" s="4">
        <f ca="1">IFERROR(__xludf.DUMMYFUNCTION("""COMPUTED_VALUE"""),45786)</f>
        <v>45786</v>
      </c>
      <c r="W139" s="1">
        <f ca="1">IFERROR(__xludf.DUMMYFUNCTION("""COMPUTED_VALUE"""),138)</f>
        <v>138</v>
      </c>
      <c r="X139" s="1" t="str">
        <f ca="1">IFERROR(__xludf.DUMMYFUNCTION("""COMPUTED_VALUE"""),"22/01/2025")</f>
        <v>22/01/2025</v>
      </c>
      <c r="Y139" s="1" t="str">
        <f ca="1">IFERROR(__xludf.DUMMYFUNCTION("""COMPUTED_VALUE"""),"DUYỆT")</f>
        <v>DUYỆT</v>
      </c>
      <c r="Z139" s="1" t="str">
        <f ca="1">IFERROR(__xludf.DUMMYFUNCTION("""COMPUTED_VALUE"""),"22/01/2025")</f>
        <v>22/01/2025</v>
      </c>
      <c r="AA139" s="1" t="str">
        <f ca="1">IFERROR(__xludf.DUMMYFUNCTION("""COMPUTED_VALUE"""),"DaNang Marriott Resort &amp; Spa, Non Nuoc Beach Villas")</f>
        <v>DaNang Marriott Resort &amp; Spa, Non Nuoc Beach Villas</v>
      </c>
      <c r="AB139" s="1" t="str">
        <f ca="1">IFERROR(__xludf.DUMMYFUNCTION("""COMPUTED_VALUE"""),"Nhà hàng")</f>
        <v>Nhà hàng</v>
      </c>
      <c r="AC139" s="1"/>
      <c r="AD139" s="1"/>
      <c r="AE139" s="1" t="str">
        <f ca="1">IFERROR(__xludf.DUMMYFUNCTION("""COMPUTED_VALUE"""),"")</f>
        <v/>
      </c>
    </row>
    <row r="140" spans="1:31" x14ac:dyDescent="0.2">
      <c r="A140" s="6">
        <f ca="1">IFERROR(__xludf.DUMMYFUNCTION("""COMPUTED_VALUE"""),45695.7278277083)</f>
        <v>45695.727827708302</v>
      </c>
      <c r="B140" s="1"/>
      <c r="C140" s="1">
        <f ca="1">IFERROR(__xludf.DUMMYFUNCTION("""COMPUTED_VALUE"""),27202237832)</f>
        <v>27202237832</v>
      </c>
      <c r="D140" s="1" t="str">
        <f ca="1">IFERROR(__xludf.DUMMYFUNCTION("""COMPUTED_VALUE"""),"Võ Minh Nguyệt")</f>
        <v>Võ Minh Nguyệt</v>
      </c>
      <c r="E140" s="4"/>
      <c r="F140" s="1" t="str">
        <f ca="1">IFERROR(__xludf.DUMMYFUNCTION("""COMPUTED_VALUE"""),"K27DLK7")</f>
        <v>K27DLK7</v>
      </c>
      <c r="G140" s="1" t="str">
        <f ca="1">IFERROR(__xludf.DUMMYFUNCTION("""COMPUTED_VALUE"""),"Quản trị Du lịch &amp; Khách sạn")</f>
        <v>Quản trị Du lịch &amp; Khách sạn</v>
      </c>
      <c r="H140" s="1">
        <f ca="1">IFERROR(__xludf.DUMMYFUNCTION("""COMPUTED_VALUE"""),27)</f>
        <v>27</v>
      </c>
      <c r="I140" s="1"/>
      <c r="J140" s="1" t="str">
        <f ca="1">IFERROR(__xludf.DUMMYFUNCTION("""COMPUTED_VALUE"""),"Khóa luận")</f>
        <v>Khóa luận</v>
      </c>
      <c r="K140" s="1" t="str">
        <f ca="1">IFERROR(__xludf.DUMMYFUNCTION("""COMPUTED_VALUE"""),"khách sạn khác")</f>
        <v>khách sạn khác</v>
      </c>
      <c r="L140" s="1" t="str">
        <f ca="1">IFERROR(__xludf.DUMMYFUNCTION("""COMPUTED_VALUE"""),"Danang Marriott Resort &amp; Spa, Non Nuoc Beach Villas.")</f>
        <v>Danang Marriott Resort &amp; Spa, Non Nuoc Beach Villas.</v>
      </c>
      <c r="M140" s="1" t="str">
        <f ca="1">IFERROR(__xludf.DUMMYFUNCTION("""COMPUTED_VALUE"""),"23 Trường Sa")</f>
        <v>23 Trường Sa</v>
      </c>
      <c r="N140" s="1" t="str">
        <f ca="1">IFERROR(__xludf.DUMMYFUNCTION("""COMPUTED_VALUE"""),"Đà Nẵng")</f>
        <v>Đà Nẵng</v>
      </c>
      <c r="O140" s="1" t="str">
        <f ca="1">IFERROR(__xludf.DUMMYFUNCTION("""COMPUTED_VALUE"""),"Nhà hàng")</f>
        <v>Nhà hàng</v>
      </c>
      <c r="P140" s="1"/>
      <c r="Q140" s="1" t="str">
        <f ca="1">IFERROR(__xludf.DUMMYFUNCTION("""COMPUTED_VALUE"""),"22/1/2025")</f>
        <v>22/1/2025</v>
      </c>
      <c r="R140" s="1" t="str">
        <f ca="1">IFERROR(__xludf.DUMMYFUNCTION("""COMPUTED_VALUE"""),"cam kết")</f>
        <v>cam kết</v>
      </c>
      <c r="S140" s="1" t="str">
        <f ca="1">IFERROR(__xludf.DUMMYFUNCTION("""COMPUTED_VALUE"""),"Khóa luận")</f>
        <v>Khóa luận</v>
      </c>
      <c r="T140" s="1" t="str">
        <f ca="1">IFERROR(__xludf.DUMMYFUNCTION("""COMPUTED_VALUE"""),"Mai Thị Thương")</f>
        <v>Mai Thị Thương</v>
      </c>
      <c r="U140" s="4">
        <f ca="1">IFERROR(__xludf.DUMMYFUNCTION("""COMPUTED_VALUE"""),45698)</f>
        <v>45698</v>
      </c>
      <c r="V140" s="4">
        <f ca="1">IFERROR(__xludf.DUMMYFUNCTION("""COMPUTED_VALUE"""),45786)</f>
        <v>45786</v>
      </c>
      <c r="W140" s="1">
        <f ca="1">IFERROR(__xludf.DUMMYFUNCTION("""COMPUTED_VALUE"""),139)</f>
        <v>139</v>
      </c>
      <c r="X140" s="1" t="str">
        <f ca="1">IFERROR(__xludf.DUMMYFUNCTION("""COMPUTED_VALUE"""),"22/01/2025")</f>
        <v>22/01/2025</v>
      </c>
      <c r="Y140" s="1" t="str">
        <f ca="1">IFERROR(__xludf.DUMMYFUNCTION("""COMPUTED_VALUE"""),"DUYỆT")</f>
        <v>DUYỆT</v>
      </c>
      <c r="Z140" s="1" t="str">
        <f ca="1">IFERROR(__xludf.DUMMYFUNCTION("""COMPUTED_VALUE"""),"22/01/2025")</f>
        <v>22/01/2025</v>
      </c>
      <c r="AA140" s="1" t="str">
        <f ca="1">IFERROR(__xludf.DUMMYFUNCTION("""COMPUTED_VALUE"""),"DaNang Marriott Resort &amp; Spa, Non Nuoc Beach Villas")</f>
        <v>DaNang Marriott Resort &amp; Spa, Non Nuoc Beach Villas</v>
      </c>
      <c r="AB140" s="1" t="str">
        <f ca="1">IFERROR(__xludf.DUMMYFUNCTION("""COMPUTED_VALUE"""),"Nhà hàng")</f>
        <v>Nhà hàng</v>
      </c>
      <c r="AC140" s="1"/>
      <c r="AD140" s="1"/>
      <c r="AE140" s="1" t="str">
        <f ca="1">IFERROR(__xludf.DUMMYFUNCTION("""COMPUTED_VALUE"""),"")</f>
        <v/>
      </c>
    </row>
    <row r="141" spans="1:31" x14ac:dyDescent="0.2">
      <c r="A141" s="6">
        <f ca="1">IFERROR(__xludf.DUMMYFUNCTION("""COMPUTED_VALUE"""),45679.7418282523)</f>
        <v>45679.741828252299</v>
      </c>
      <c r="B141" s="1"/>
      <c r="C141" s="1">
        <f ca="1">IFERROR(__xludf.DUMMYFUNCTION("""COMPUTED_VALUE"""),27207102070)</f>
        <v>27207102070</v>
      </c>
      <c r="D141" s="1" t="str">
        <f ca="1">IFERROR(__xludf.DUMMYFUNCTION("""COMPUTED_VALUE"""),"Mai Thị Kim Ngọc")</f>
        <v>Mai Thị Kim Ngọc</v>
      </c>
      <c r="E141" s="4"/>
      <c r="F141" s="1" t="str">
        <f ca="1">IFERROR(__xludf.DUMMYFUNCTION("""COMPUTED_VALUE"""),"K27DLK7")</f>
        <v>K27DLK7</v>
      </c>
      <c r="G141" s="1" t="str">
        <f ca="1">IFERROR(__xludf.DUMMYFUNCTION("""COMPUTED_VALUE"""),"Quản trị Du lịch &amp; Khách sạn")</f>
        <v>Quản trị Du lịch &amp; Khách sạn</v>
      </c>
      <c r="H141" s="1">
        <f ca="1">IFERROR(__xludf.DUMMYFUNCTION("""COMPUTED_VALUE"""),27)</f>
        <v>27</v>
      </c>
      <c r="I141" s="1"/>
      <c r="J141" s="1" t="str">
        <f ca="1">IFERROR(__xludf.DUMMYFUNCTION("""COMPUTED_VALUE"""),"Khóa luận")</f>
        <v>Khóa luận</v>
      </c>
      <c r="K141" s="1" t="str">
        <f ca="1">IFERROR(__xludf.DUMMYFUNCTION("""COMPUTED_VALUE"""),"DaNang Marriott Resort &amp; Spa, Non Nuoc Beach Villas")</f>
        <v>DaNang Marriott Resort &amp; Spa, Non Nuoc Beach Villas</v>
      </c>
      <c r="L141" s="1" t="str">
        <f ca="1">IFERROR(__xludf.DUMMYFUNCTION("""COMPUTED_VALUE"""),"DaNang Marriott Resort &amp; Spa, Non Nuoc Beach Villas")</f>
        <v>DaNang Marriott Resort &amp; Spa, Non Nuoc Beach Villas</v>
      </c>
      <c r="M141" s="1" t="str">
        <f ca="1">IFERROR(__xludf.DUMMYFUNCTION("""COMPUTED_VALUE"""),"23 Trường Sa")</f>
        <v>23 Trường Sa</v>
      </c>
      <c r="N141" s="1" t="str">
        <f ca="1">IFERROR(__xludf.DUMMYFUNCTION("""COMPUTED_VALUE"""),"Đà Nẵng")</f>
        <v>Đà Nẵng</v>
      </c>
      <c r="O141" s="1" t="str">
        <f ca="1">IFERROR(__xludf.DUMMYFUNCTION("""COMPUTED_VALUE"""),"Nhà hàng")</f>
        <v>Nhà hàng</v>
      </c>
      <c r="P141" s="1"/>
      <c r="Q141" s="1" t="str">
        <f ca="1">IFERROR(__xludf.DUMMYFUNCTION("""COMPUTED_VALUE"""),"22/1/2025")</f>
        <v>22/1/2025</v>
      </c>
      <c r="R141" s="1" t="str">
        <f ca="1">IFERROR(__xludf.DUMMYFUNCTION("""COMPUTED_VALUE"""),"cam kết")</f>
        <v>cam kết</v>
      </c>
      <c r="S141" s="1" t="str">
        <f ca="1">IFERROR(__xludf.DUMMYFUNCTION("""COMPUTED_VALUE"""),"Khóa luận")</f>
        <v>Khóa luận</v>
      </c>
      <c r="T141" s="1" t="str">
        <f ca="1">IFERROR(__xludf.DUMMYFUNCTION("""COMPUTED_VALUE"""),"Mai Thị Thương")</f>
        <v>Mai Thị Thương</v>
      </c>
      <c r="U141" s="4">
        <f ca="1">IFERROR(__xludf.DUMMYFUNCTION("""COMPUTED_VALUE"""),45698)</f>
        <v>45698</v>
      </c>
      <c r="V141" s="4">
        <f ca="1">IFERROR(__xludf.DUMMYFUNCTION("""COMPUTED_VALUE"""),45786)</f>
        <v>45786</v>
      </c>
      <c r="W141" s="1">
        <f ca="1">IFERROR(__xludf.DUMMYFUNCTION("""COMPUTED_VALUE"""),140)</f>
        <v>140</v>
      </c>
      <c r="X141" s="1" t="str">
        <f ca="1">IFERROR(__xludf.DUMMYFUNCTION("""COMPUTED_VALUE"""),"22/01/2025")</f>
        <v>22/01/2025</v>
      </c>
      <c r="Y141" s="1" t="str">
        <f ca="1">IFERROR(__xludf.DUMMYFUNCTION("""COMPUTED_VALUE"""),"DUYỆT")</f>
        <v>DUYỆT</v>
      </c>
      <c r="Z141" s="1" t="str">
        <f ca="1">IFERROR(__xludf.DUMMYFUNCTION("""COMPUTED_VALUE"""),"22/01/2025")</f>
        <v>22/01/2025</v>
      </c>
      <c r="AA141" s="1" t="str">
        <f ca="1">IFERROR(__xludf.DUMMYFUNCTION("""COMPUTED_VALUE"""),"DaNang Marriott Resort &amp; Spa, Non Nuoc Beach Villas")</f>
        <v>DaNang Marriott Resort &amp; Spa, Non Nuoc Beach Villas</v>
      </c>
      <c r="AB141" s="1" t="str">
        <f ca="1">IFERROR(__xludf.DUMMYFUNCTION("""COMPUTED_VALUE"""),"Nhà hàng")</f>
        <v>Nhà hàng</v>
      </c>
      <c r="AC141" s="1"/>
      <c r="AD141" s="1"/>
      <c r="AE141" s="1" t="str">
        <f ca="1">IFERROR(__xludf.DUMMYFUNCTION("""COMPUTED_VALUE"""),"")</f>
        <v/>
      </c>
    </row>
    <row r="142" spans="1:31" x14ac:dyDescent="0.2">
      <c r="A142" s="6">
        <f ca="1">IFERROR(__xludf.DUMMYFUNCTION("""COMPUTED_VALUE"""),45679.7224823148)</f>
        <v>45679.722482314799</v>
      </c>
      <c r="B142" s="1"/>
      <c r="C142" s="1">
        <f ca="1">IFERROR(__xludf.DUMMYFUNCTION("""COMPUTED_VALUE"""),27207100842)</f>
        <v>27207100842</v>
      </c>
      <c r="D142" s="1" t="str">
        <f ca="1">IFERROR(__xludf.DUMMYFUNCTION("""COMPUTED_VALUE"""),"Lương Huỳnh Yến Nhi")</f>
        <v>Lương Huỳnh Yến Nhi</v>
      </c>
      <c r="E142" s="4"/>
      <c r="F142" s="1" t="str">
        <f ca="1">IFERROR(__xludf.DUMMYFUNCTION("""COMPUTED_VALUE"""),"K27DLK2")</f>
        <v>K27DLK2</v>
      </c>
      <c r="G142" s="1" t="str">
        <f ca="1">IFERROR(__xludf.DUMMYFUNCTION("""COMPUTED_VALUE"""),"Quản trị Du lịch &amp; Khách sạn")</f>
        <v>Quản trị Du lịch &amp; Khách sạn</v>
      </c>
      <c r="H142" s="1">
        <f ca="1">IFERROR(__xludf.DUMMYFUNCTION("""COMPUTED_VALUE"""),27)</f>
        <v>27</v>
      </c>
      <c r="I142" s="1"/>
      <c r="J142" s="1" t="str">
        <f ca="1">IFERROR(__xludf.DUMMYFUNCTION("""COMPUTED_VALUE"""),"Chuyên đề")</f>
        <v>Chuyên đề</v>
      </c>
      <c r="K142" s="1" t="str">
        <f ca="1">IFERROR(__xludf.DUMMYFUNCTION("""COMPUTED_VALUE"""),"Meliá Danang Beach Resort")</f>
        <v>Meliá Danang Beach Resort</v>
      </c>
      <c r="L142" s="1" t="str">
        <f ca="1">IFERROR(__xludf.DUMMYFUNCTION("""COMPUTED_VALUE"""),"Meliá Danang Beach Resort")</f>
        <v>Meliá Danang Beach Resort</v>
      </c>
      <c r="M142" s="1" t="str">
        <f ca="1">IFERROR(__xludf.DUMMYFUNCTION("""COMPUTED_VALUE"""),"Số 19, Đường Trường Sa, Phường Hòa Hải, Quận Ngũ Hành Sơn, Thành phố Đà Nẵng, Việt Nam. Da Nang")</f>
        <v>Số 19, Đường Trường Sa, Phường Hòa Hải, Quận Ngũ Hành Sơn, Thành phố Đà Nẵng, Việt Nam. Da Nang</v>
      </c>
      <c r="N142" s="1" t="str">
        <f ca="1">IFERROR(__xludf.DUMMYFUNCTION("""COMPUTED_VALUE"""),"Thành phố Đà Nẵng")</f>
        <v>Thành phố Đà Nẵng</v>
      </c>
      <c r="O142" s="1" t="str">
        <f ca="1">IFERROR(__xludf.DUMMYFUNCTION("""COMPUTED_VALUE"""),"Tiền sảnh")</f>
        <v>Tiền sảnh</v>
      </c>
      <c r="P142" s="1"/>
      <c r="Q142" s="1" t="str">
        <f ca="1">IFERROR(__xludf.DUMMYFUNCTION("""COMPUTED_VALUE"""),"22/01/2025")</f>
        <v>22/01/2025</v>
      </c>
      <c r="R142" s="1" t="str">
        <f ca="1">IFERROR(__xludf.DUMMYFUNCTION("""COMPUTED_VALUE"""),"cam kết")</f>
        <v>cam kết</v>
      </c>
      <c r="S142" s="1" t="str">
        <f ca="1">IFERROR(__xludf.DUMMYFUNCTION("""COMPUTED_VALUE"""),"Chuyên đề")</f>
        <v>Chuyên đề</v>
      </c>
      <c r="T142" s="1" t="str">
        <f ca="1">IFERROR(__xludf.DUMMYFUNCTION("""COMPUTED_VALUE"""),"Mai Thị Thương")</f>
        <v>Mai Thị Thương</v>
      </c>
      <c r="U142" s="4">
        <f ca="1">IFERROR(__xludf.DUMMYFUNCTION("""COMPUTED_VALUE"""),45698)</f>
        <v>45698</v>
      </c>
      <c r="V142" s="4">
        <f ca="1">IFERROR(__xludf.DUMMYFUNCTION("""COMPUTED_VALUE"""),45787)</f>
        <v>45787</v>
      </c>
      <c r="W142" s="1">
        <f ca="1">IFERROR(__xludf.DUMMYFUNCTION("""COMPUTED_VALUE"""),141)</f>
        <v>141</v>
      </c>
      <c r="X142" s="1" t="str">
        <f ca="1">IFERROR(__xludf.DUMMYFUNCTION("""COMPUTED_VALUE"""),"23/01/2025")</f>
        <v>23/01/2025</v>
      </c>
      <c r="Y142" s="1" t="str">
        <f ca="1">IFERROR(__xludf.DUMMYFUNCTION("""COMPUTED_VALUE"""),"DUYỆT")</f>
        <v>DUYỆT</v>
      </c>
      <c r="Z142" s="1" t="str">
        <f ca="1">IFERROR(__xludf.DUMMYFUNCTION("""COMPUTED_VALUE"""),"23/01/2025")</f>
        <v>23/01/2025</v>
      </c>
      <c r="AA142" s="1" t="str">
        <f ca="1">IFERROR(__xludf.DUMMYFUNCTION("""COMPUTED_VALUE"""),"Meliá Danang Beach Resort")</f>
        <v>Meliá Danang Beach Resort</v>
      </c>
      <c r="AB142" s="1" t="str">
        <f ca="1">IFERROR(__xludf.DUMMYFUNCTION("""COMPUTED_VALUE"""),"Tiền sảnh")</f>
        <v>Tiền sảnh</v>
      </c>
      <c r="AC142" s="1"/>
      <c r="AD142" s="1"/>
      <c r="AE142" s="1" t="str">
        <f ca="1">IFERROR(__xludf.DUMMYFUNCTION("""COMPUTED_VALUE"""),"")</f>
        <v/>
      </c>
    </row>
    <row r="143" spans="1:31" x14ac:dyDescent="0.2">
      <c r="A143" s="6">
        <f ca="1">IFERROR(__xludf.DUMMYFUNCTION("""COMPUTED_VALUE"""),45679.8542478935)</f>
        <v>45679.854247893498</v>
      </c>
      <c r="B143" s="1"/>
      <c r="C143" s="1">
        <f ca="1">IFERROR(__xludf.DUMMYFUNCTION("""COMPUTED_VALUE"""),26217241667)</f>
        <v>26217241667</v>
      </c>
      <c r="D143" s="1" t="str">
        <f ca="1">IFERROR(__xludf.DUMMYFUNCTION("""COMPUTED_VALUE"""),"Nguyễn Phúc")</f>
        <v>Nguyễn Phúc</v>
      </c>
      <c r="E143" s="4"/>
      <c r="F143" s="1" t="str">
        <f ca="1">IFERROR(__xludf.DUMMYFUNCTION("""COMPUTED_VALUE"""),"K27DLK6")</f>
        <v>K27DLK6</v>
      </c>
      <c r="G143" s="1" t="str">
        <f ca="1">IFERROR(__xludf.DUMMYFUNCTION("""COMPUTED_VALUE"""),"Quản trị Du lịch &amp; Khách sạn")</f>
        <v>Quản trị Du lịch &amp; Khách sạn</v>
      </c>
      <c r="H143" s="1">
        <f ca="1">IFERROR(__xludf.DUMMYFUNCTION("""COMPUTED_VALUE"""),27)</f>
        <v>27</v>
      </c>
      <c r="I143" s="1"/>
      <c r="J143" s="1" t="str">
        <f ca="1">IFERROR(__xludf.DUMMYFUNCTION("""COMPUTED_VALUE"""),"Chuyên đề")</f>
        <v>Chuyên đề</v>
      </c>
      <c r="K143" s="1" t="str">
        <f ca="1">IFERROR(__xludf.DUMMYFUNCTION("""COMPUTED_VALUE"""),"Hyatt regency DaNang Resort")</f>
        <v>Hyatt regency DaNang Resort</v>
      </c>
      <c r="L143" s="1"/>
      <c r="M143" s="1" t="str">
        <f ca="1">IFERROR(__xludf.DUMMYFUNCTION("""COMPUTED_VALUE"""),"5 Trường Sa, Hoà Hải, Ngũ Hành Sơn, Đà Nẵng")</f>
        <v>5 Trường Sa, Hoà Hải, Ngũ Hành Sơn, Đà Nẵng</v>
      </c>
      <c r="N143" s="1" t="str">
        <f ca="1">IFERROR(__xludf.DUMMYFUNCTION("""COMPUTED_VALUE"""),"Đà Nẵng")</f>
        <v>Đà Nẵng</v>
      </c>
      <c r="O143" s="1" t="str">
        <f ca="1">IFERROR(__xludf.DUMMYFUNCTION("""COMPUTED_VALUE"""),"Nhà hàng")</f>
        <v>Nhà hàng</v>
      </c>
      <c r="P143" s="1"/>
      <c r="Q143" s="1" t="str">
        <f ca="1">IFERROR(__xludf.DUMMYFUNCTION("""COMPUTED_VALUE"""),"22/1/2025")</f>
        <v>22/1/2025</v>
      </c>
      <c r="R143" s="1" t="str">
        <f ca="1">IFERROR(__xludf.DUMMYFUNCTION("""COMPUTED_VALUE"""),"cam kết")</f>
        <v>cam kết</v>
      </c>
      <c r="S143" s="1" t="str">
        <f ca="1">IFERROR(__xludf.DUMMYFUNCTION("""COMPUTED_VALUE"""),"Chuyên đề")</f>
        <v>Chuyên đề</v>
      </c>
      <c r="T143" s="1" t="str">
        <f ca="1">IFERROR(__xludf.DUMMYFUNCTION("""COMPUTED_VALUE"""),"Phạm Thị Thu Thủy")</f>
        <v>Phạm Thị Thu Thủy</v>
      </c>
      <c r="U143" s="4">
        <f ca="1">IFERROR(__xludf.DUMMYFUNCTION("""COMPUTED_VALUE"""),45677)</f>
        <v>45677</v>
      </c>
      <c r="V143" s="4">
        <f ca="1">IFERROR(__xludf.DUMMYFUNCTION("""COMPUTED_VALUE"""),45767)</f>
        <v>45767</v>
      </c>
      <c r="W143" s="1">
        <f ca="1">IFERROR(__xludf.DUMMYFUNCTION("""COMPUTED_VALUE"""),142)</f>
        <v>142</v>
      </c>
      <c r="X143" s="1" t="str">
        <f ca="1">IFERROR(__xludf.DUMMYFUNCTION("""COMPUTED_VALUE"""),"23/01/2025")</f>
        <v>23/01/2025</v>
      </c>
      <c r="Y143" s="1" t="str">
        <f ca="1">IFERROR(__xludf.DUMMYFUNCTION("""COMPUTED_VALUE"""),"DUYỆT")</f>
        <v>DUYỆT</v>
      </c>
      <c r="Z143" s="1" t="str">
        <f ca="1">IFERROR(__xludf.DUMMYFUNCTION("""COMPUTED_VALUE"""),"23/01/2025")</f>
        <v>23/01/2025</v>
      </c>
      <c r="AA143" s="1" t="str">
        <f ca="1">IFERROR(__xludf.DUMMYFUNCTION("""COMPUTED_VALUE"""),"Hyatt regency DaNang Resort")</f>
        <v>Hyatt regency DaNang Resort</v>
      </c>
      <c r="AB143" s="1" t="str">
        <f ca="1">IFERROR(__xludf.DUMMYFUNCTION("""COMPUTED_VALUE"""),"Nhà hàng")</f>
        <v>Nhà hàng</v>
      </c>
      <c r="AC143" s="1"/>
      <c r="AD143" s="1" t="str">
        <f ca="1">IFERROR(__xludf.DUMMYFUNCTION("""COMPUTED_VALUE"""),"SV phải đảm bảo không thực tập quá 5sv/nhà hàng")</f>
        <v>SV phải đảm bảo không thực tập quá 5sv/nhà hàng</v>
      </c>
      <c r="AE143" s="1" t="str">
        <f ca="1">IFERROR(__xludf.DUMMYFUNCTION("""COMPUTED_VALUE"""),"")</f>
        <v/>
      </c>
    </row>
    <row r="144" spans="1:31" x14ac:dyDescent="0.2">
      <c r="A144" s="6">
        <f ca="1">IFERROR(__xludf.DUMMYFUNCTION("""COMPUTED_VALUE"""),45679.9034646643)</f>
        <v>45679.903464664298</v>
      </c>
      <c r="B144" s="1"/>
      <c r="C144" s="1">
        <f ca="1">IFERROR(__xludf.DUMMYFUNCTION("""COMPUTED_VALUE"""),27207143440)</f>
        <v>27207143440</v>
      </c>
      <c r="D144" s="1" t="str">
        <f ca="1">IFERROR(__xludf.DUMMYFUNCTION("""COMPUTED_VALUE"""),"Nguyễn Thị Tuyết Trâm")</f>
        <v>Nguyễn Thị Tuyết Trâm</v>
      </c>
      <c r="E144" s="4"/>
      <c r="F144" s="1" t="str">
        <f ca="1">IFERROR(__xludf.DUMMYFUNCTION("""COMPUTED_VALUE"""),"K27DLK5")</f>
        <v>K27DLK5</v>
      </c>
      <c r="G144" s="1" t="str">
        <f ca="1">IFERROR(__xludf.DUMMYFUNCTION("""COMPUTED_VALUE"""),"Quản trị Du lịch &amp; Khách sạn")</f>
        <v>Quản trị Du lịch &amp; Khách sạn</v>
      </c>
      <c r="H144" s="1">
        <f ca="1">IFERROR(__xludf.DUMMYFUNCTION("""COMPUTED_VALUE"""),27)</f>
        <v>27</v>
      </c>
      <c r="I144" s="1"/>
      <c r="J144" s="1" t="str">
        <f ca="1">IFERROR(__xludf.DUMMYFUNCTION("""COMPUTED_VALUE"""),"Chuyên đề")</f>
        <v>Chuyên đề</v>
      </c>
      <c r="K144" s="1" t="str">
        <f ca="1">IFERROR(__xludf.DUMMYFUNCTION("""COMPUTED_VALUE"""),"Mandila Beach Hotel ")</f>
        <v xml:space="preserve">Mandila Beach Hotel </v>
      </c>
      <c r="L144" s="1" t="str">
        <f ca="1">IFERROR(__xludf.DUMMYFUNCTION("""COMPUTED_VALUE"""),"Mandila Beach Hotel ")</f>
        <v xml:space="preserve">Mandila Beach Hotel </v>
      </c>
      <c r="M144" s="1" t="str">
        <f ca="1">IFERROR(__xludf.DUMMYFUNCTION("""COMPUTED_VALUE"""),"218 Võ Nguyên Giáp, Phước Mỹ, Sơn Trà, Đà Nẵng")</f>
        <v>218 Võ Nguyên Giáp, Phước Mỹ, Sơn Trà, Đà Nẵng</v>
      </c>
      <c r="N144" s="1" t="str">
        <f ca="1">IFERROR(__xludf.DUMMYFUNCTION("""COMPUTED_VALUE"""),"Đà Nẵng")</f>
        <v>Đà Nẵng</v>
      </c>
      <c r="O144" s="1" t="str">
        <f ca="1">IFERROR(__xludf.DUMMYFUNCTION("""COMPUTED_VALUE"""),"Nhà hàng")</f>
        <v>Nhà hàng</v>
      </c>
      <c r="P144" s="1"/>
      <c r="Q144" s="1" t="str">
        <f ca="1">IFERROR(__xludf.DUMMYFUNCTION("""COMPUTED_VALUE"""),"23/01/2025")</f>
        <v>23/01/2025</v>
      </c>
      <c r="R144" s="1" t="str">
        <f ca="1">IFERROR(__xludf.DUMMYFUNCTION("""COMPUTED_VALUE"""),"cam kết")</f>
        <v>cam kết</v>
      </c>
      <c r="S144" s="1" t="str">
        <f ca="1">IFERROR(__xludf.DUMMYFUNCTION("""COMPUTED_VALUE"""),"Chuyên đề")</f>
        <v>Chuyên đề</v>
      </c>
      <c r="T144" s="1" t="str">
        <f ca="1">IFERROR(__xludf.DUMMYFUNCTION("""COMPUTED_VALUE"""),"Phạm Thị Thu Thủy")</f>
        <v>Phạm Thị Thu Thủy</v>
      </c>
      <c r="U144" s="4">
        <f ca="1">IFERROR(__xludf.DUMMYFUNCTION("""COMPUTED_VALUE"""),45698)</f>
        <v>45698</v>
      </c>
      <c r="V144" s="4">
        <f ca="1">IFERROR(__xludf.DUMMYFUNCTION("""COMPUTED_VALUE"""),45787)</f>
        <v>45787</v>
      </c>
      <c r="W144" s="1">
        <f ca="1">IFERROR(__xludf.DUMMYFUNCTION("""COMPUTED_VALUE"""),143)</f>
        <v>143</v>
      </c>
      <c r="X144" s="3">
        <f ca="1">IFERROR(__xludf.DUMMYFUNCTION("""COMPUTED_VALUE"""),45963)</f>
        <v>45963</v>
      </c>
      <c r="Y144" s="1" t="str">
        <f ca="1">IFERROR(__xludf.DUMMYFUNCTION("""COMPUTED_VALUE"""),"DUYỆT")</f>
        <v>DUYỆT</v>
      </c>
      <c r="Z144" s="1" t="str">
        <f ca="1">IFERROR(__xludf.DUMMYFUNCTION("""COMPUTED_VALUE"""),"23/01/2025")</f>
        <v>23/01/2025</v>
      </c>
      <c r="AA144" s="1" t="str">
        <f ca="1">IFERROR(__xludf.DUMMYFUNCTION("""COMPUTED_VALUE"""),"Mandila Beach Hotel ")</f>
        <v xml:space="preserve">Mandila Beach Hotel </v>
      </c>
      <c r="AB144" s="1" t="str">
        <f ca="1">IFERROR(__xludf.DUMMYFUNCTION("""COMPUTED_VALUE"""),"Nhà hàng")</f>
        <v>Nhà hàng</v>
      </c>
      <c r="AC144" s="1"/>
      <c r="AD144" s="1"/>
      <c r="AE144" s="1" t="str">
        <f ca="1">IFERROR(__xludf.DUMMYFUNCTION("""COMPUTED_VALUE"""),"")</f>
        <v/>
      </c>
    </row>
    <row r="145" spans="1:31" x14ac:dyDescent="0.2">
      <c r="A145" s="6">
        <f ca="1">IFERROR(__xludf.DUMMYFUNCTION("""COMPUTED_VALUE"""),45679.9038987499)</f>
        <v>45679.903898749901</v>
      </c>
      <c r="B145" s="1"/>
      <c r="C145" s="1">
        <f ca="1">IFERROR(__xludf.DUMMYFUNCTION("""COMPUTED_VALUE"""),27217132880)</f>
        <v>27217132880</v>
      </c>
      <c r="D145" s="1" t="str">
        <f ca="1">IFERROR(__xludf.DUMMYFUNCTION("""COMPUTED_VALUE"""),"Trương Văn Tùng")</f>
        <v>Trương Văn Tùng</v>
      </c>
      <c r="E145" s="4"/>
      <c r="F145" s="1" t="str">
        <f ca="1">IFERROR(__xludf.DUMMYFUNCTION("""COMPUTED_VALUE"""),"K27DLK4")</f>
        <v>K27DLK4</v>
      </c>
      <c r="G145" s="1" t="str">
        <f ca="1">IFERROR(__xludf.DUMMYFUNCTION("""COMPUTED_VALUE"""),"Quản trị Du lịch &amp; Khách sạn")</f>
        <v>Quản trị Du lịch &amp; Khách sạn</v>
      </c>
      <c r="H145" s="1">
        <f ca="1">IFERROR(__xludf.DUMMYFUNCTION("""COMPUTED_VALUE"""),27)</f>
        <v>27</v>
      </c>
      <c r="I145" s="1"/>
      <c r="J145" s="1" t="str">
        <f ca="1">IFERROR(__xludf.DUMMYFUNCTION("""COMPUTED_VALUE"""),"Chuyên đề")</f>
        <v>Chuyên đề</v>
      </c>
      <c r="K145" s="1" t="str">
        <f ca="1">IFERROR(__xludf.DUMMYFUNCTION("""COMPUTED_VALUE"""),"Wyndham DaNang Golden Bay")</f>
        <v>Wyndham DaNang Golden Bay</v>
      </c>
      <c r="L145" s="1"/>
      <c r="M145" s="1" t="str">
        <f ca="1">IFERROR(__xludf.DUMMYFUNCTION("""COMPUTED_VALUE"""),"01 Lê Văn Duyệt, Nại Hiên Đông, Sơn Trà, Đà Nẵng")</f>
        <v>01 Lê Văn Duyệt, Nại Hiên Đông, Sơn Trà, Đà Nẵng</v>
      </c>
      <c r="N145" s="1" t="str">
        <f ca="1">IFERROR(__xludf.DUMMYFUNCTION("""COMPUTED_VALUE"""),"Thành Phố Đà Nẵng")</f>
        <v>Thành Phố Đà Nẵng</v>
      </c>
      <c r="O145" s="1" t="str">
        <f ca="1">IFERROR(__xludf.DUMMYFUNCTION("""COMPUTED_VALUE"""),"Nhà hàng")</f>
        <v>Nhà hàng</v>
      </c>
      <c r="P145" s="1"/>
      <c r="Q145" s="1" t="str">
        <f ca="1">IFERROR(__xludf.DUMMYFUNCTION("""COMPUTED_VALUE"""),"07/01/2025")</f>
        <v>07/01/2025</v>
      </c>
      <c r="R145" s="1" t="str">
        <f ca="1">IFERROR(__xludf.DUMMYFUNCTION("""COMPUTED_VALUE"""),"cam kết")</f>
        <v>cam kết</v>
      </c>
      <c r="S145" s="1" t="str">
        <f ca="1">IFERROR(__xludf.DUMMYFUNCTION("""COMPUTED_VALUE"""),"Chuyên đề")</f>
        <v>Chuyên đề</v>
      </c>
      <c r="T145" s="1" t="str">
        <f ca="1">IFERROR(__xludf.DUMMYFUNCTION("""COMPUTED_VALUE"""),"Mai Thị Thương")</f>
        <v>Mai Thị Thương</v>
      </c>
      <c r="U145" s="4">
        <f ca="1">IFERROR(__xludf.DUMMYFUNCTION("""COMPUTED_VALUE"""),45698)</f>
        <v>45698</v>
      </c>
      <c r="V145" s="4">
        <f ca="1">IFERROR(__xludf.DUMMYFUNCTION("""COMPUTED_VALUE"""),45787)</f>
        <v>45787</v>
      </c>
      <c r="W145" s="1">
        <f ca="1">IFERROR(__xludf.DUMMYFUNCTION("""COMPUTED_VALUE"""),144)</f>
        <v>144</v>
      </c>
      <c r="X145" s="1" t="str">
        <f ca="1">IFERROR(__xludf.DUMMYFUNCTION("""COMPUTED_VALUE"""),"23/01/2025")</f>
        <v>23/01/2025</v>
      </c>
      <c r="Y145" s="1" t="str">
        <f ca="1">IFERROR(__xludf.DUMMYFUNCTION("""COMPUTED_VALUE"""),"DUYỆT")</f>
        <v>DUYỆT</v>
      </c>
      <c r="Z145" s="1" t="str">
        <f ca="1">IFERROR(__xludf.DUMMYFUNCTION("""COMPUTED_VALUE"""),"23/01/2025")</f>
        <v>23/01/2025</v>
      </c>
      <c r="AA145" s="1" t="str">
        <f ca="1">IFERROR(__xludf.DUMMYFUNCTION("""COMPUTED_VALUE"""),"Wyndham DaNang Golden Bay")</f>
        <v>Wyndham DaNang Golden Bay</v>
      </c>
      <c r="AB145" s="1" t="str">
        <f ca="1">IFERROR(__xludf.DUMMYFUNCTION("""COMPUTED_VALUE"""),"Nhà hàng")</f>
        <v>Nhà hàng</v>
      </c>
      <c r="AC145" s="1"/>
      <c r="AD145" s="1" t="str">
        <f ca="1">IFERROR(__xludf.DUMMYFUNCTION("""COMPUTED_VALUE"""),"sv phải đám bảo ko quá 5sv/nhà hàng")</f>
        <v>sv phải đám bảo ko quá 5sv/nhà hàng</v>
      </c>
      <c r="AE145" s="1" t="str">
        <f ca="1">IFERROR(__xludf.DUMMYFUNCTION("""COMPUTED_VALUE"""),"")</f>
        <v/>
      </c>
    </row>
    <row r="146" spans="1:31" x14ac:dyDescent="0.2">
      <c r="A146" s="6">
        <f ca="1">IFERROR(__xludf.DUMMYFUNCTION("""COMPUTED_VALUE"""),45679.9071917245)</f>
        <v>45679.907191724502</v>
      </c>
      <c r="B146" s="1"/>
      <c r="C146" s="1">
        <f ca="1">IFERROR(__xludf.DUMMYFUNCTION("""COMPUTED_VALUE"""),27217130749)</f>
        <v>27217130749</v>
      </c>
      <c r="D146" s="1" t="str">
        <f ca="1">IFERROR(__xludf.DUMMYFUNCTION("""COMPUTED_VALUE"""),"Vương Khánh Duy Anh")</f>
        <v>Vương Khánh Duy Anh</v>
      </c>
      <c r="E146" s="4"/>
      <c r="F146" s="1" t="str">
        <f ca="1">IFERROR(__xludf.DUMMYFUNCTION("""COMPUTED_VALUE"""),"K27DLK3")</f>
        <v>K27DLK3</v>
      </c>
      <c r="G146" s="1" t="str">
        <f ca="1">IFERROR(__xludf.DUMMYFUNCTION("""COMPUTED_VALUE"""),"Quản trị Du lịch &amp; Khách sạn")</f>
        <v>Quản trị Du lịch &amp; Khách sạn</v>
      </c>
      <c r="H146" s="1">
        <f ca="1">IFERROR(__xludf.DUMMYFUNCTION("""COMPUTED_VALUE"""),27)</f>
        <v>27</v>
      </c>
      <c r="I146" s="1"/>
      <c r="J146" s="1" t="str">
        <f ca="1">IFERROR(__xludf.DUMMYFUNCTION("""COMPUTED_VALUE"""),"Chuyên đề")</f>
        <v>Chuyên đề</v>
      </c>
      <c r="K146" s="1" t="str">
        <f ca="1">IFERROR(__xludf.DUMMYFUNCTION("""COMPUTED_VALUE"""),"Khách sạn Mandila Beach Đà Nẵng")</f>
        <v>Khách sạn Mandila Beach Đà Nẵng</v>
      </c>
      <c r="L146" s="1"/>
      <c r="M146" s="1" t="str">
        <f ca="1">IFERROR(__xludf.DUMMYFUNCTION("""COMPUTED_VALUE"""),"218 Võ Nguyên Giáp, Phước Mỹ, Sơn Trà, Đà Nẵng")</f>
        <v>218 Võ Nguyên Giáp, Phước Mỹ, Sơn Trà, Đà Nẵng</v>
      </c>
      <c r="N146" s="1" t="str">
        <f ca="1">IFERROR(__xludf.DUMMYFUNCTION("""COMPUTED_VALUE"""),"Đà Nẵng")</f>
        <v>Đà Nẵng</v>
      </c>
      <c r="O146" s="1" t="str">
        <f ca="1">IFERROR(__xludf.DUMMYFUNCTION("""COMPUTED_VALUE"""),"Tiền sảnh")</f>
        <v>Tiền sảnh</v>
      </c>
      <c r="P146" s="1"/>
      <c r="Q146" s="1" t="str">
        <f ca="1">IFERROR(__xludf.DUMMYFUNCTION("""COMPUTED_VALUE"""),"09/02/2025")</f>
        <v>09/02/2025</v>
      </c>
      <c r="R146" s="1" t="str">
        <f ca="1">IFERROR(__xludf.DUMMYFUNCTION("""COMPUTED_VALUE"""),"cam kết")</f>
        <v>cam kết</v>
      </c>
      <c r="S146" s="1" t="str">
        <f ca="1">IFERROR(__xludf.DUMMYFUNCTION("""COMPUTED_VALUE"""),"Chuyên đề")</f>
        <v>Chuyên đề</v>
      </c>
      <c r="T146" s="1"/>
      <c r="U146" s="4">
        <f ca="1">IFERROR(__xludf.DUMMYFUNCTION("""COMPUTED_VALUE"""),45696)</f>
        <v>45696</v>
      </c>
      <c r="V146" s="4">
        <f ca="1">IFERROR(__xludf.DUMMYFUNCTION("""COMPUTED_VALUE"""),45785)</f>
        <v>45785</v>
      </c>
      <c r="W146" s="1">
        <f ca="1">IFERROR(__xludf.DUMMYFUNCTION("""COMPUTED_VALUE"""),145)</f>
        <v>145</v>
      </c>
      <c r="X146" s="3">
        <f ca="1">IFERROR(__xludf.DUMMYFUNCTION("""COMPUTED_VALUE"""),45963)</f>
        <v>45963</v>
      </c>
      <c r="Y146" s="1" t="str">
        <f ca="1">IFERROR(__xludf.DUMMYFUNCTION("""COMPUTED_VALUE"""),"DUYỆT")</f>
        <v>DUYỆT</v>
      </c>
      <c r="Z146" s="1" t="str">
        <f ca="1">IFERROR(__xludf.DUMMYFUNCTION("""COMPUTED_VALUE"""),"23/01/2025")</f>
        <v>23/01/2025</v>
      </c>
      <c r="AA146" s="1" t="str">
        <f ca="1">IFERROR(__xludf.DUMMYFUNCTION("""COMPUTED_VALUE"""),"Khách sạn Mandila Beach Đà Nẵng")</f>
        <v>Khách sạn Mandila Beach Đà Nẵng</v>
      </c>
      <c r="AB146" s="1" t="str">
        <f ca="1">IFERROR(__xludf.DUMMYFUNCTION("""COMPUTED_VALUE"""),"Tiền sảnh")</f>
        <v>Tiền sảnh</v>
      </c>
      <c r="AC146" s="1"/>
      <c r="AD146" s="1"/>
      <c r="AE146" s="1" t="str">
        <f ca="1">IFERROR(__xludf.DUMMYFUNCTION("""COMPUTED_VALUE"""),"")</f>
        <v/>
      </c>
    </row>
    <row r="147" spans="1:31" x14ac:dyDescent="0.2">
      <c r="A147" s="6">
        <f ca="1">IFERROR(__xludf.DUMMYFUNCTION("""COMPUTED_VALUE"""),45679.9262495833)</f>
        <v>45679.926249583303</v>
      </c>
      <c r="B147" s="1"/>
      <c r="C147" s="1">
        <f ca="1">IFERROR(__xludf.DUMMYFUNCTION("""COMPUTED_VALUE"""),26207131837)</f>
        <v>26207131837</v>
      </c>
      <c r="D147" s="1" t="str">
        <f ca="1">IFERROR(__xludf.DUMMYFUNCTION("""COMPUTED_VALUE"""),"Nguyễn Thị Minh Phương")</f>
        <v>Nguyễn Thị Minh Phương</v>
      </c>
      <c r="E147" s="4"/>
      <c r="F147" s="1" t="str">
        <f ca="1">IFERROR(__xludf.DUMMYFUNCTION("""COMPUTED_VALUE"""),"K26DLK9")</f>
        <v>K26DLK9</v>
      </c>
      <c r="G147" s="1" t="str">
        <f ca="1">IFERROR(__xludf.DUMMYFUNCTION("""COMPUTED_VALUE"""),"Quản trị Du lịch &amp; Khách sạn")</f>
        <v>Quản trị Du lịch &amp; Khách sạn</v>
      </c>
      <c r="H147" s="1">
        <f ca="1">IFERROR(__xludf.DUMMYFUNCTION("""COMPUTED_VALUE"""),26)</f>
        <v>26</v>
      </c>
      <c r="I147" s="1"/>
      <c r="J147" s="1" t="str">
        <f ca="1">IFERROR(__xludf.DUMMYFUNCTION("""COMPUTED_VALUE"""),"Chuyên đề")</f>
        <v>Chuyên đề</v>
      </c>
      <c r="K147" s="1" t="str">
        <f ca="1">IFERROR(__xludf.DUMMYFUNCTION("""COMPUTED_VALUE"""),"Satya Danang Hotel")</f>
        <v>Satya Danang Hotel</v>
      </c>
      <c r="L147" s="1"/>
      <c r="M147" s="1" t="str">
        <f ca="1">IFERROR(__xludf.DUMMYFUNCTION("""COMPUTED_VALUE"""),"155 Trần Phú")</f>
        <v>155 Trần Phú</v>
      </c>
      <c r="N147" s="1" t="str">
        <f ca="1">IFERROR(__xludf.DUMMYFUNCTION("""COMPUTED_VALUE"""),"Đà Nẵng")</f>
        <v>Đà Nẵng</v>
      </c>
      <c r="O147" s="1" t="str">
        <f ca="1">IFERROR(__xludf.DUMMYFUNCTION("""COMPUTED_VALUE"""),"Nhà hàng")</f>
        <v>Nhà hàng</v>
      </c>
      <c r="P147" s="1"/>
      <c r="Q147" s="1" t="str">
        <f ca="1">IFERROR(__xludf.DUMMYFUNCTION("""COMPUTED_VALUE"""),"22/01/2025")</f>
        <v>22/01/2025</v>
      </c>
      <c r="R147" s="1" t="str">
        <f ca="1">IFERROR(__xludf.DUMMYFUNCTION("""COMPUTED_VALUE"""),"cam kết")</f>
        <v>cam kết</v>
      </c>
      <c r="S147" s="1" t="str">
        <f ca="1">IFERROR(__xludf.DUMMYFUNCTION("""COMPUTED_VALUE"""),"Chuyên đề")</f>
        <v>Chuyên đề</v>
      </c>
      <c r="T147" s="1" t="str">
        <f ca="1">IFERROR(__xludf.DUMMYFUNCTION("""COMPUTED_VALUE"""),"Hồ Sử Minh Tài")</f>
        <v>Hồ Sử Minh Tài</v>
      </c>
      <c r="U147" s="4">
        <f ca="1">IFERROR(__xludf.DUMMYFUNCTION("""COMPUTED_VALUE"""),45698)</f>
        <v>45698</v>
      </c>
      <c r="V147" s="4">
        <f ca="1">IFERROR(__xludf.DUMMYFUNCTION("""COMPUTED_VALUE"""),45787)</f>
        <v>45787</v>
      </c>
      <c r="W147" s="1">
        <f ca="1">IFERROR(__xludf.DUMMYFUNCTION("""COMPUTED_VALUE"""),146)</f>
        <v>146</v>
      </c>
      <c r="X147" s="1" t="str">
        <f ca="1">IFERROR(__xludf.DUMMYFUNCTION("""COMPUTED_VALUE"""),"23/01/2025")</f>
        <v>23/01/2025</v>
      </c>
      <c r="Y147" s="1" t="str">
        <f ca="1">IFERROR(__xludf.DUMMYFUNCTION("""COMPUTED_VALUE"""),"DUYỆT")</f>
        <v>DUYỆT</v>
      </c>
      <c r="Z147" s="1" t="str">
        <f ca="1">IFERROR(__xludf.DUMMYFUNCTION("""COMPUTED_VALUE"""),"23/01/2025")</f>
        <v>23/01/2025</v>
      </c>
      <c r="AA147" s="1" t="str">
        <f ca="1">IFERROR(__xludf.DUMMYFUNCTION("""COMPUTED_VALUE"""),"Satya Danang Hotel")</f>
        <v>Satya Danang Hotel</v>
      </c>
      <c r="AB147" s="1" t="str">
        <f ca="1">IFERROR(__xludf.DUMMYFUNCTION("""COMPUTED_VALUE"""),"Nhà hàng")</f>
        <v>Nhà hàng</v>
      </c>
      <c r="AC147" s="1" t="str">
        <f ca="1">IFERROR(__xludf.DUMMYFUNCTION("""COMPUTED_VALUE"""),"ĐÃ NỘP")</f>
        <v>ĐÃ NỘP</v>
      </c>
      <c r="AD147" s="1"/>
      <c r="AE147" s="1" t="str">
        <f ca="1">IFERROR(__xludf.DUMMYFUNCTION("""COMPUTED_VALUE"""),"")</f>
        <v/>
      </c>
    </row>
    <row r="148" spans="1:31" x14ac:dyDescent="0.2">
      <c r="A148" s="6">
        <f ca="1">IFERROR(__xludf.DUMMYFUNCTION("""COMPUTED_VALUE"""),45680.5339857638)</f>
        <v>45680.533985763803</v>
      </c>
      <c r="B148" s="1"/>
      <c r="C148" s="1">
        <f ca="1">IFERROR(__xludf.DUMMYFUNCTION("""COMPUTED_VALUE"""),27207147294)</f>
        <v>27207147294</v>
      </c>
      <c r="D148" s="1" t="str">
        <f ca="1">IFERROR(__xludf.DUMMYFUNCTION("""COMPUTED_VALUE"""),"Đỗ Như Tuyết Nhi")</f>
        <v>Đỗ Như Tuyết Nhi</v>
      </c>
      <c r="E148" s="4"/>
      <c r="F148" s="1" t="str">
        <f ca="1">IFERROR(__xludf.DUMMYFUNCTION("""COMPUTED_VALUE"""),"K27DLK7")</f>
        <v>K27DLK7</v>
      </c>
      <c r="G148" s="1" t="str">
        <f ca="1">IFERROR(__xludf.DUMMYFUNCTION("""COMPUTED_VALUE"""),"Quản trị Du lịch &amp; Khách sạn")</f>
        <v>Quản trị Du lịch &amp; Khách sạn</v>
      </c>
      <c r="H148" s="1">
        <f ca="1">IFERROR(__xludf.DUMMYFUNCTION("""COMPUTED_VALUE"""),27)</f>
        <v>27</v>
      </c>
      <c r="I148" s="1"/>
      <c r="J148" s="1" t="str">
        <f ca="1">IFERROR(__xludf.DUMMYFUNCTION("""COMPUTED_VALUE"""),"Chuyên đề")</f>
        <v>Chuyên đề</v>
      </c>
      <c r="K148" s="1" t="str">
        <f ca="1">IFERROR(__xludf.DUMMYFUNCTION("""COMPUTED_VALUE"""),"Four Points by Sheraton Danang")</f>
        <v>Four Points by Sheraton Danang</v>
      </c>
      <c r="L148" s="1"/>
      <c r="M148" s="1" t="str">
        <f ca="1">IFERROR(__xludf.DUMMYFUNCTION("""COMPUTED_VALUE"""),"118-120 Võ Nguyên Giáp, Phước Mỹ, Sơn Trà, Đà Nẵng")</f>
        <v>118-120 Võ Nguyên Giáp, Phước Mỹ, Sơn Trà, Đà Nẵng</v>
      </c>
      <c r="N148" s="1" t="str">
        <f ca="1">IFERROR(__xludf.DUMMYFUNCTION("""COMPUTED_VALUE"""),"Đà Nẵng")</f>
        <v>Đà Nẵng</v>
      </c>
      <c r="O148" s="1" t="str">
        <f ca="1">IFERROR(__xludf.DUMMYFUNCTION("""COMPUTED_VALUE"""),"Buồng phòng")</f>
        <v>Buồng phòng</v>
      </c>
      <c r="P148" s="1"/>
      <c r="Q148" s="1" t="str">
        <f ca="1">IFERROR(__xludf.DUMMYFUNCTION("""COMPUTED_VALUE"""),"05/02/2025")</f>
        <v>05/02/2025</v>
      </c>
      <c r="R148" s="1" t="str">
        <f ca="1">IFERROR(__xludf.DUMMYFUNCTION("""COMPUTED_VALUE"""),"cam kết")</f>
        <v>cam kết</v>
      </c>
      <c r="S148" s="1" t="str">
        <f ca="1">IFERROR(__xludf.DUMMYFUNCTION("""COMPUTED_VALUE"""),"Chuyên đề")</f>
        <v>Chuyên đề</v>
      </c>
      <c r="T148" s="1"/>
      <c r="U148" s="4">
        <f ca="1">IFERROR(__xludf.DUMMYFUNCTION("""COMPUTED_VALUE"""),45698)</f>
        <v>45698</v>
      </c>
      <c r="V148" s="4">
        <f ca="1">IFERROR(__xludf.DUMMYFUNCTION("""COMPUTED_VALUE"""),45787)</f>
        <v>45787</v>
      </c>
      <c r="W148" s="1">
        <f ca="1">IFERROR(__xludf.DUMMYFUNCTION("""COMPUTED_VALUE"""),147)</f>
        <v>147</v>
      </c>
      <c r="X148" s="3">
        <f ca="1">IFERROR(__xludf.DUMMYFUNCTION("""COMPUTED_VALUE"""),45810)</f>
        <v>45810</v>
      </c>
      <c r="Y148" s="1" t="str">
        <f ca="1">IFERROR(__xludf.DUMMYFUNCTION("""COMPUTED_VALUE"""),"DUYỆT")</f>
        <v>DUYỆT</v>
      </c>
      <c r="Z148" s="1" t="str">
        <f ca="1">IFERROR(__xludf.DUMMYFUNCTION("""COMPUTED_VALUE"""),"24/01/2025")</f>
        <v>24/01/2025</v>
      </c>
      <c r="AA148" s="1" t="str">
        <f ca="1">IFERROR(__xludf.DUMMYFUNCTION("""COMPUTED_VALUE"""),"Four Points by Sheraton Danang")</f>
        <v>Four Points by Sheraton Danang</v>
      </c>
      <c r="AB148" s="1" t="str">
        <f ca="1">IFERROR(__xludf.DUMMYFUNCTION("""COMPUTED_VALUE"""),"Buồng phòng")</f>
        <v>Buồng phòng</v>
      </c>
      <c r="AC148" s="1"/>
      <c r="AD148" s="1"/>
      <c r="AE148" s="1" t="str">
        <f ca="1">IFERROR(__xludf.DUMMYFUNCTION("""COMPUTED_VALUE"""),"")</f>
        <v/>
      </c>
    </row>
    <row r="149" spans="1:31" x14ac:dyDescent="0.2">
      <c r="A149" s="6">
        <f ca="1">IFERROR(__xludf.DUMMYFUNCTION("""COMPUTED_VALUE"""),45680.6101350578)</f>
        <v>45680.610135057803</v>
      </c>
      <c r="B149" s="1"/>
      <c r="C149" s="1">
        <f ca="1">IFERROR(__xludf.DUMMYFUNCTION("""COMPUTED_VALUE"""),27207153285)</f>
        <v>27207153285</v>
      </c>
      <c r="D149" s="1" t="str">
        <f ca="1">IFERROR(__xludf.DUMMYFUNCTION("""COMPUTED_VALUE"""),"Ngô Thị Hồng Nhung")</f>
        <v>Ngô Thị Hồng Nhung</v>
      </c>
      <c r="E149" s="4"/>
      <c r="F149" s="1" t="str">
        <f ca="1">IFERROR(__xludf.DUMMYFUNCTION("""COMPUTED_VALUE"""),"K27PSU-DLH")</f>
        <v>K27PSU-DLH</v>
      </c>
      <c r="G149" s="1" t="str">
        <f ca="1">IFERROR(__xludf.DUMMYFUNCTION("""COMPUTED_VALUE"""),"Quản trị Du lịch &amp; Nhà hàng chuẩn PSU")</f>
        <v>Quản trị Du lịch &amp; Nhà hàng chuẩn PSU</v>
      </c>
      <c r="H149" s="1">
        <f ca="1">IFERROR(__xludf.DUMMYFUNCTION("""COMPUTED_VALUE"""),27)</f>
        <v>27</v>
      </c>
      <c r="I149" s="1"/>
      <c r="J149" s="1" t="str">
        <f ca="1">IFERROR(__xludf.DUMMYFUNCTION("""COMPUTED_VALUE"""),"Khóa luận")</f>
        <v>Khóa luận</v>
      </c>
      <c r="K149" s="1" t="str">
        <f ca="1">IFERROR(__xludf.DUMMYFUNCTION("""COMPUTED_VALUE"""),"Premier Village Danang Resort")</f>
        <v>Premier Village Danang Resort</v>
      </c>
      <c r="L149" s="1"/>
      <c r="M149" s="1" t="str">
        <f ca="1">IFERROR(__xludf.DUMMYFUNCTION("""COMPUTED_VALUE"""),"99 Võ Nguyên Giáp, Mỹ An, Ngũ Hành Sơn, Đà Nẵng")</f>
        <v>99 Võ Nguyên Giáp, Mỹ An, Ngũ Hành Sơn, Đà Nẵng</v>
      </c>
      <c r="N149" s="1" t="str">
        <f ca="1">IFERROR(__xludf.DUMMYFUNCTION("""COMPUTED_VALUE"""),"Đà Nẵng")</f>
        <v>Đà Nẵng</v>
      </c>
      <c r="O149" s="1" t="str">
        <f ca="1">IFERROR(__xludf.DUMMYFUNCTION("""COMPUTED_VALUE"""),"Nhà hàng")</f>
        <v>Nhà hàng</v>
      </c>
      <c r="P149" s="1"/>
      <c r="Q149" s="1" t="str">
        <f ca="1">IFERROR(__xludf.DUMMYFUNCTION("""COMPUTED_VALUE"""),"23/01/2025")</f>
        <v>23/01/2025</v>
      </c>
      <c r="R149" s="1" t="str">
        <f ca="1">IFERROR(__xludf.DUMMYFUNCTION("""COMPUTED_VALUE"""),"cam kết")</f>
        <v>cam kết</v>
      </c>
      <c r="S149" s="1" t="str">
        <f ca="1">IFERROR(__xludf.DUMMYFUNCTION("""COMPUTED_VALUE"""),"Khóa luận")</f>
        <v>Khóa luận</v>
      </c>
      <c r="T149" s="1" t="str">
        <f ca="1">IFERROR(__xludf.DUMMYFUNCTION("""COMPUTED_VALUE"""),"Mai Thị Thương")</f>
        <v>Mai Thị Thương</v>
      </c>
      <c r="U149" s="4">
        <f ca="1">IFERROR(__xludf.DUMMYFUNCTION("""COMPUTED_VALUE"""),45677)</f>
        <v>45677</v>
      </c>
      <c r="V149" s="4">
        <f ca="1">IFERROR(__xludf.DUMMYFUNCTION("""COMPUTED_VALUE"""),45767)</f>
        <v>45767</v>
      </c>
      <c r="W149" s="1">
        <f ca="1">IFERROR(__xludf.DUMMYFUNCTION("""COMPUTED_VALUE"""),148)</f>
        <v>148</v>
      </c>
      <c r="X149" s="1" t="str">
        <f ca="1">IFERROR(__xludf.DUMMYFUNCTION("""COMPUTED_VALUE"""),"24/01/2025")</f>
        <v>24/01/2025</v>
      </c>
      <c r="Y149" s="1" t="str">
        <f ca="1">IFERROR(__xludf.DUMMYFUNCTION("""COMPUTED_VALUE"""),"DUYỆT")</f>
        <v>DUYỆT</v>
      </c>
      <c r="Z149" s="1" t="str">
        <f ca="1">IFERROR(__xludf.DUMMYFUNCTION("""COMPUTED_VALUE"""),"24/01/2025")</f>
        <v>24/01/2025</v>
      </c>
      <c r="AA149" s="1" t="str">
        <f ca="1">IFERROR(__xludf.DUMMYFUNCTION("""COMPUTED_VALUE"""),"Premier Village Danang Resort")</f>
        <v>Premier Village Danang Resort</v>
      </c>
      <c r="AB149" s="1" t="str">
        <f ca="1">IFERROR(__xludf.DUMMYFUNCTION("""COMPUTED_VALUE"""),"Nhà hàng")</f>
        <v>Nhà hàng</v>
      </c>
      <c r="AC149" s="1"/>
      <c r="AD149" s="1"/>
      <c r="AE149" s="1" t="str">
        <f ca="1">IFERROR(__xludf.DUMMYFUNCTION("""COMPUTED_VALUE"""),"")</f>
        <v/>
      </c>
    </row>
    <row r="150" spans="1:31" x14ac:dyDescent="0.2">
      <c r="A150" s="6">
        <f ca="1">IFERROR(__xludf.DUMMYFUNCTION("""COMPUTED_VALUE"""),45680.6416004513)</f>
        <v>45680.641600451301</v>
      </c>
      <c r="B150" s="1"/>
      <c r="C150" s="1">
        <f ca="1">IFERROR(__xludf.DUMMYFUNCTION("""COMPUTED_VALUE"""),26207129998)</f>
        <v>26207129998</v>
      </c>
      <c r="D150" s="1" t="str">
        <f ca="1">IFERROR(__xludf.DUMMYFUNCTION("""COMPUTED_VALUE"""),"Võ Lê Bích Trâm")</f>
        <v>Võ Lê Bích Trâm</v>
      </c>
      <c r="E150" s="4"/>
      <c r="F150" s="1" t="str">
        <f ca="1">IFERROR(__xludf.DUMMYFUNCTION("""COMPUTED_VALUE"""),"k26dlk10")</f>
        <v>k26dlk10</v>
      </c>
      <c r="G150" s="1" t="str">
        <f ca="1">IFERROR(__xludf.DUMMYFUNCTION("""COMPUTED_VALUE"""),"Quản trị Du lịch &amp; Khách sạn")</f>
        <v>Quản trị Du lịch &amp; Khách sạn</v>
      </c>
      <c r="H150" s="1">
        <f ca="1">IFERROR(__xludf.DUMMYFUNCTION("""COMPUTED_VALUE"""),26)</f>
        <v>26</v>
      </c>
      <c r="I150" s="1"/>
      <c r="J150" s="1" t="str">
        <f ca="1">IFERROR(__xludf.DUMMYFUNCTION("""COMPUTED_VALUE"""),"Chuyên đề")</f>
        <v>Chuyên đề</v>
      </c>
      <c r="K150" s="1" t="str">
        <f ca="1">IFERROR(__xludf.DUMMYFUNCTION("""COMPUTED_VALUE"""),"Grand Mercure Đà Nẵng")</f>
        <v>Grand Mercure Đà Nẵng</v>
      </c>
      <c r="L150" s="1"/>
      <c r="M150" s="1" t="str">
        <f ca="1">IFERROR(__xludf.DUMMYFUNCTION("""COMPUTED_VALUE"""),"lô a01 khu biệt thự đảo xanh đà nẵng")</f>
        <v>lô a01 khu biệt thự đảo xanh đà nẵng</v>
      </c>
      <c r="N150" s="1" t="str">
        <f ca="1">IFERROR(__xludf.DUMMYFUNCTION("""COMPUTED_VALUE"""),"đà nẵng")</f>
        <v>đà nẵng</v>
      </c>
      <c r="O150" s="1" t="str">
        <f ca="1">IFERROR(__xludf.DUMMYFUNCTION("""COMPUTED_VALUE"""),"Buồng phòng")</f>
        <v>Buồng phòng</v>
      </c>
      <c r="P150" s="1"/>
      <c r="Q150" s="1" t="str">
        <f ca="1">IFERROR(__xludf.DUMMYFUNCTION("""COMPUTED_VALUE"""),"20/01/2025")</f>
        <v>20/01/2025</v>
      </c>
      <c r="R150" s="1" t="str">
        <f ca="1">IFERROR(__xludf.DUMMYFUNCTION("""COMPUTED_VALUE"""),"cam kết")</f>
        <v>cam kết</v>
      </c>
      <c r="S150" s="1" t="str">
        <f ca="1">IFERROR(__xludf.DUMMYFUNCTION("""COMPUTED_VALUE"""),"Chuyên đề")</f>
        <v>Chuyên đề</v>
      </c>
      <c r="T150" s="1" t="str">
        <f ca="1">IFERROR(__xludf.DUMMYFUNCTION("""COMPUTED_VALUE"""),"Phạm Thị Hoàng Dung")</f>
        <v>Phạm Thị Hoàng Dung</v>
      </c>
      <c r="U150" s="4">
        <f ca="1">IFERROR(__xludf.DUMMYFUNCTION("""COMPUTED_VALUE"""),45698)</f>
        <v>45698</v>
      </c>
      <c r="V150" s="4">
        <f ca="1">IFERROR(__xludf.DUMMYFUNCTION("""COMPUTED_VALUE"""),45787)</f>
        <v>45787</v>
      </c>
      <c r="W150" s="1">
        <f ca="1">IFERROR(__xludf.DUMMYFUNCTION("""COMPUTED_VALUE"""),149)</f>
        <v>149</v>
      </c>
      <c r="X150" s="3">
        <f ca="1">IFERROR(__xludf.DUMMYFUNCTION("""COMPUTED_VALUE"""),45749)</f>
        <v>45749</v>
      </c>
      <c r="Y150" s="1" t="str">
        <f ca="1">IFERROR(__xludf.DUMMYFUNCTION("""COMPUTED_VALUE"""),"DUYỆT")</f>
        <v>DUYỆT</v>
      </c>
      <c r="Z150" s="1" t="str">
        <f ca="1">IFERROR(__xludf.DUMMYFUNCTION("""COMPUTED_VALUE"""),"24/01/2025")</f>
        <v>24/01/2025</v>
      </c>
      <c r="AA150" s="1" t="str">
        <f ca="1">IFERROR(__xludf.DUMMYFUNCTION("""COMPUTED_VALUE"""),"Grand Mercure Đà Nẵng")</f>
        <v>Grand Mercure Đà Nẵng</v>
      </c>
      <c r="AB150" s="1" t="str">
        <f ca="1">IFERROR(__xludf.DUMMYFUNCTION("""COMPUTED_VALUE"""),"Buồng phòng")</f>
        <v>Buồng phòng</v>
      </c>
      <c r="AC150" s="1" t="str">
        <f ca="1">IFERROR(__xludf.DUMMYFUNCTION("""COMPUTED_VALUE"""),"ĐÃ NỘP")</f>
        <v>ĐÃ NỘP</v>
      </c>
      <c r="AD150" s="1"/>
      <c r="AE150" s="1" t="str">
        <f ca="1">IFERROR(__xludf.DUMMYFUNCTION("""COMPUTED_VALUE"""),"")</f>
        <v/>
      </c>
    </row>
    <row r="151" spans="1:31" x14ac:dyDescent="0.2">
      <c r="A151" s="6">
        <f ca="1">IFERROR(__xludf.DUMMYFUNCTION("""COMPUTED_VALUE"""),45693.5020500463)</f>
        <v>45693.5020500463</v>
      </c>
      <c r="B151" s="1"/>
      <c r="C151" s="1">
        <f ca="1">IFERROR(__xludf.DUMMYFUNCTION("""COMPUTED_VALUE"""),26217134576)</f>
        <v>26217134576</v>
      </c>
      <c r="D151" s="1" t="str">
        <f ca="1">IFERROR(__xludf.DUMMYFUNCTION("""COMPUTED_VALUE"""),"Trần Kim Anh Tú")</f>
        <v>Trần Kim Anh Tú</v>
      </c>
      <c r="E151" s="4"/>
      <c r="F151" s="1" t="str">
        <f ca="1">IFERROR(__xludf.DUMMYFUNCTION("""COMPUTED_VALUE"""),"K26 DLK2")</f>
        <v>K26 DLK2</v>
      </c>
      <c r="G151" s="1" t="str">
        <f ca="1">IFERROR(__xludf.DUMMYFUNCTION("""COMPUTED_VALUE"""),"Quản trị Du lịch &amp; Khách sạn chuẩn PSU")</f>
        <v>Quản trị Du lịch &amp; Khách sạn chuẩn PSU</v>
      </c>
      <c r="H151" s="1">
        <f ca="1">IFERROR(__xludf.DUMMYFUNCTION("""COMPUTED_VALUE"""),26)</f>
        <v>26</v>
      </c>
      <c r="I151" s="1"/>
      <c r="J151" s="1" t="str">
        <f ca="1">IFERROR(__xludf.DUMMYFUNCTION("""COMPUTED_VALUE"""),"Chuyên đề")</f>
        <v>Chuyên đề</v>
      </c>
      <c r="K151" s="1" t="str">
        <f ca="1">IFERROR(__xludf.DUMMYFUNCTION("""COMPUTED_VALUE"""),"Khách sạn Shilla Monogram Quangnam Danang")</f>
        <v>Khách sạn Shilla Monogram Quangnam Danang</v>
      </c>
      <c r="L151" s="1"/>
      <c r="M151" s="1" t="str">
        <f ca="1">IFERROR(__xludf.DUMMYFUNCTION("""COMPUTED_VALUE"""),"Lạc Long Quân, Điện Ngọc, Điện Bàn, Quảng Nam")</f>
        <v>Lạc Long Quân, Điện Ngọc, Điện Bàn, Quảng Nam</v>
      </c>
      <c r="N151" s="1" t="str">
        <f ca="1">IFERROR(__xludf.DUMMYFUNCTION("""COMPUTED_VALUE"""),"Đà Nẵng")</f>
        <v>Đà Nẵng</v>
      </c>
      <c r="O151" s="1" t="str">
        <f ca="1">IFERROR(__xludf.DUMMYFUNCTION("""COMPUTED_VALUE"""),"Nhà hàng")</f>
        <v>Nhà hàng</v>
      </c>
      <c r="P151" s="1"/>
      <c r="Q151" s="1" t="str">
        <f ca="1">IFERROR(__xludf.DUMMYFUNCTION("""COMPUTED_VALUE"""),"5/02/2025")</f>
        <v>5/02/2025</v>
      </c>
      <c r="R151" s="1" t="str">
        <f ca="1">IFERROR(__xludf.DUMMYFUNCTION("""COMPUTED_VALUE"""),"cam kết")</f>
        <v>cam kết</v>
      </c>
      <c r="S151" s="1" t="str">
        <f ca="1">IFERROR(__xludf.DUMMYFUNCTION("""COMPUTED_VALUE"""),"Chuyên đề")</f>
        <v>Chuyên đề</v>
      </c>
      <c r="T151" s="1" t="str">
        <f ca="1">IFERROR(__xludf.DUMMYFUNCTION("""COMPUTED_VALUE"""),"Hồ Sử Minh Tài")</f>
        <v>Hồ Sử Minh Tài</v>
      </c>
      <c r="U151" s="4">
        <f ca="1">IFERROR(__xludf.DUMMYFUNCTION("""COMPUTED_VALUE"""),45693)</f>
        <v>45693</v>
      </c>
      <c r="V151" s="4">
        <f ca="1">IFERROR(__xludf.DUMMYFUNCTION("""COMPUTED_VALUE"""),45782)</f>
        <v>45782</v>
      </c>
      <c r="W151" s="1">
        <f ca="1">IFERROR(__xludf.DUMMYFUNCTION("""COMPUTED_VALUE"""),150)</f>
        <v>150</v>
      </c>
      <c r="X151" s="3">
        <f ca="1">IFERROR(__xludf.DUMMYFUNCTION("""COMPUTED_VALUE"""),45963)</f>
        <v>45963</v>
      </c>
      <c r="Y151" s="1" t="str">
        <f ca="1">IFERROR(__xludf.DUMMYFUNCTION("""COMPUTED_VALUE"""),"DUYỆT")</f>
        <v>DUYỆT</v>
      </c>
      <c r="Z151" s="3">
        <f ca="1">IFERROR(__xludf.DUMMYFUNCTION("""COMPUTED_VALUE"""),45779)</f>
        <v>45779</v>
      </c>
      <c r="AA151" s="1" t="str">
        <f ca="1">IFERROR(__xludf.DUMMYFUNCTION("""COMPUTED_VALUE"""),"Khách sạn Shilla Monogram Quangnam Danang")</f>
        <v>Khách sạn Shilla Monogram Quangnam Danang</v>
      </c>
      <c r="AB151" s="1" t="str">
        <f ca="1">IFERROR(__xludf.DUMMYFUNCTION("""COMPUTED_VALUE"""),"Nhà hàng")</f>
        <v>Nhà hàng</v>
      </c>
      <c r="AC151" s="1" t="str">
        <f ca="1">IFERROR(__xludf.DUMMYFUNCTION("""COMPUTED_VALUE"""),"ĐÃ NỘP")</f>
        <v>ĐÃ NỘP</v>
      </c>
      <c r="AD151" s="1" t="str">
        <f ca="1">IFERROR(__xludf.DUMMYFUNCTION("""COMPUTED_VALUE"""),"sinh viên phải đảm bảo ko quá 5sv/nhà hàng")</f>
        <v>sinh viên phải đảm bảo ko quá 5sv/nhà hàng</v>
      </c>
      <c r="AE151" s="1" t="str">
        <f ca="1">IFERROR(__xludf.DUMMYFUNCTION("""COMPUTED_VALUE"""),"")</f>
        <v/>
      </c>
    </row>
    <row r="152" spans="1:31" x14ac:dyDescent="0.2">
      <c r="A152" s="6">
        <f ca="1">IFERROR(__xludf.DUMMYFUNCTION("""COMPUTED_VALUE"""),45680.927942824)</f>
        <v>45680.927942823997</v>
      </c>
      <c r="B152" s="1"/>
      <c r="C152" s="1">
        <f ca="1">IFERROR(__xludf.DUMMYFUNCTION("""COMPUTED_VALUE"""),26217142007)</f>
        <v>26217142007</v>
      </c>
      <c r="D152" s="1" t="str">
        <f ca="1">IFERROR(__xludf.DUMMYFUNCTION("""COMPUTED_VALUE"""),"Trần Nguyên Huy")</f>
        <v>Trần Nguyên Huy</v>
      </c>
      <c r="E152" s="4"/>
      <c r="F152" s="1" t="str">
        <f ca="1">IFERROR(__xludf.DUMMYFUNCTION("""COMPUTED_VALUE"""),"K26PSUDLK 3")</f>
        <v>K26PSUDLK 3</v>
      </c>
      <c r="G152" s="1" t="str">
        <f ca="1">IFERROR(__xludf.DUMMYFUNCTION("""COMPUTED_VALUE"""),"Quản trị Du lịch &amp; Khách sạn chuẩn PSU")</f>
        <v>Quản trị Du lịch &amp; Khách sạn chuẩn PSU</v>
      </c>
      <c r="H152" s="1">
        <f ca="1">IFERROR(__xludf.DUMMYFUNCTION("""COMPUTED_VALUE"""),26)</f>
        <v>26</v>
      </c>
      <c r="I152" s="1"/>
      <c r="J152" s="1" t="str">
        <f ca="1">IFERROR(__xludf.DUMMYFUNCTION("""COMPUTED_VALUE"""),"Chuyên đề")</f>
        <v>Chuyên đề</v>
      </c>
      <c r="K152" s="1" t="str">
        <f ca="1">IFERROR(__xludf.DUMMYFUNCTION("""COMPUTED_VALUE"""),"Four Points by Sheraton Danang")</f>
        <v>Four Points by Sheraton Danang</v>
      </c>
      <c r="L152" s="1"/>
      <c r="M152" s="1" t="str">
        <f ca="1">IFERROR(__xludf.DUMMYFUNCTION("""COMPUTED_VALUE"""),"118-120 Võ Nguyên Giáp, Phước Mỹ, Sơn Trà, Đà Nẵng")</f>
        <v>118-120 Võ Nguyên Giáp, Phước Mỹ, Sơn Trà, Đà Nẵng</v>
      </c>
      <c r="N152" s="1" t="str">
        <f ca="1">IFERROR(__xludf.DUMMYFUNCTION("""COMPUTED_VALUE"""),"Đà Nẵng")</f>
        <v>Đà Nẵng</v>
      </c>
      <c r="O152" s="1" t="str">
        <f ca="1">IFERROR(__xludf.DUMMYFUNCTION("""COMPUTED_VALUE"""),"Buồng phòng")</f>
        <v>Buồng phòng</v>
      </c>
      <c r="P152" s="1"/>
      <c r="Q152" s="1" t="str">
        <f ca="1">IFERROR(__xludf.DUMMYFUNCTION("""COMPUTED_VALUE"""),"09/02/2025")</f>
        <v>09/02/2025</v>
      </c>
      <c r="R152" s="1" t="str">
        <f ca="1">IFERROR(__xludf.DUMMYFUNCTION("""COMPUTED_VALUE"""),"cam kết")</f>
        <v>cam kết</v>
      </c>
      <c r="S152" s="1" t="str">
        <f ca="1">IFERROR(__xludf.DUMMYFUNCTION("""COMPUTED_VALUE"""),"Chuyên đề")</f>
        <v>Chuyên đề</v>
      </c>
      <c r="T152" s="1"/>
      <c r="U152" s="4">
        <f ca="1">IFERROR(__xludf.DUMMYFUNCTION("""COMPUTED_VALUE"""),45558)</f>
        <v>45558</v>
      </c>
      <c r="V152" s="4">
        <f ca="1">IFERROR(__xludf.DUMMYFUNCTION("""COMPUTED_VALUE"""),45648)</f>
        <v>45648</v>
      </c>
      <c r="W152" s="1">
        <f ca="1">IFERROR(__xludf.DUMMYFUNCTION("""COMPUTED_VALUE"""),151)</f>
        <v>151</v>
      </c>
      <c r="X152" s="3">
        <f ca="1">IFERROR(__xludf.DUMMYFUNCTION("""COMPUTED_VALUE"""),45871)</f>
        <v>45871</v>
      </c>
      <c r="Y152" s="1" t="str">
        <f ca="1">IFERROR(__xludf.DUMMYFUNCTION("""COMPUTED_VALUE"""),"DUYỆT")</f>
        <v>DUYỆT</v>
      </c>
      <c r="Z152" s="3">
        <f ca="1">IFERROR(__xludf.DUMMYFUNCTION("""COMPUTED_VALUE"""),45871)</f>
        <v>45871</v>
      </c>
      <c r="AA152" s="1" t="str">
        <f ca="1">IFERROR(__xludf.DUMMYFUNCTION("""COMPUTED_VALUE"""),"Four Points by Sheraton Danang")</f>
        <v>Four Points by Sheraton Danang</v>
      </c>
      <c r="AB152" s="1" t="str">
        <f ca="1">IFERROR(__xludf.DUMMYFUNCTION("""COMPUTED_VALUE"""),"Buồng phòng")</f>
        <v>Buồng phòng</v>
      </c>
      <c r="AC152" s="1" t="str">
        <f ca="1">IFERROR(__xludf.DUMMYFUNCTION("""COMPUTED_VALUE"""),"ĐÃ NỘP")</f>
        <v>ĐÃ NỘP</v>
      </c>
      <c r="AD152" s="1" t="str">
        <f ca="1">IFERROR(__xludf.DUMMYFUNCTION("""COMPUTED_VALUE"""),"trưởng khoa đã duyệt đơn
SV đến văn phòng khoa nhận lại giấy xác nhận thực tập và nhận xét của DN")</f>
        <v>trưởng khoa đã duyệt đơn
SV đến văn phòng khoa nhận lại giấy xác nhận thực tập và nhận xét của DN</v>
      </c>
      <c r="AE152" s="1" t="str">
        <f ca="1">IFERROR(__xludf.DUMMYFUNCTION("""COMPUTED_VALUE"""),"")</f>
        <v/>
      </c>
    </row>
    <row r="153" spans="1:31" x14ac:dyDescent="0.2">
      <c r="A153" s="6">
        <f ca="1">IFERROR(__xludf.DUMMYFUNCTION("""COMPUTED_VALUE"""),45680.9768361805)</f>
        <v>45680.976836180504</v>
      </c>
      <c r="B153" s="1"/>
      <c r="C153" s="1">
        <f ca="1">IFERROR(__xludf.DUMMYFUNCTION("""COMPUTED_VALUE"""),27207131271)</f>
        <v>27207131271</v>
      </c>
      <c r="D153" s="1" t="str">
        <f ca="1">IFERROR(__xludf.DUMMYFUNCTION("""COMPUTED_VALUE"""),"HỒ THỊ QUÝ")</f>
        <v>HỒ THỊ QUÝ</v>
      </c>
      <c r="E153" s="4"/>
      <c r="F153" s="1" t="str">
        <f ca="1">IFERROR(__xludf.DUMMYFUNCTION("""COMPUTED_VALUE"""),"K27DLK 3")</f>
        <v>K27DLK 3</v>
      </c>
      <c r="G153" s="1" t="str">
        <f ca="1">IFERROR(__xludf.DUMMYFUNCTION("""COMPUTED_VALUE"""),"Quản trị Du lịch &amp; Khách sạn")</f>
        <v>Quản trị Du lịch &amp; Khách sạn</v>
      </c>
      <c r="H153" s="1">
        <f ca="1">IFERROR(__xludf.DUMMYFUNCTION("""COMPUTED_VALUE"""),27)</f>
        <v>27</v>
      </c>
      <c r="I153" s="1"/>
      <c r="J153" s="1" t="str">
        <f ca="1">IFERROR(__xludf.DUMMYFUNCTION("""COMPUTED_VALUE"""),"Chuyên đề")</f>
        <v>Chuyên đề</v>
      </c>
      <c r="K153" s="1" t="str">
        <f ca="1">IFERROR(__xludf.DUMMYFUNCTION("""COMPUTED_VALUE"""),"Da Nang Mikazuki Japanese Resorts &amp; Spa")</f>
        <v>Da Nang Mikazuki Japanese Resorts &amp; Spa</v>
      </c>
      <c r="L153" s="1"/>
      <c r="M153" s="1" t="str">
        <f ca="1">IFERROR(__xludf.DUMMYFUNCTION("""COMPUTED_VALUE"""),"Khu du lịch Xuân Thiều, đường Nguyễn Tất Thành, P. Hoà Hiệp Nam, Q. Liên Chiểu, TP Đà Nẵng")</f>
        <v>Khu du lịch Xuân Thiều, đường Nguyễn Tất Thành, P. Hoà Hiệp Nam, Q. Liên Chiểu, TP Đà Nẵng</v>
      </c>
      <c r="N153" s="1" t="str">
        <f ca="1">IFERROR(__xludf.DUMMYFUNCTION("""COMPUTED_VALUE"""),"Đà Nẵng")</f>
        <v>Đà Nẵng</v>
      </c>
      <c r="O153" s="1" t="str">
        <f ca="1">IFERROR(__xludf.DUMMYFUNCTION("""COMPUTED_VALUE"""),"Nhà hàng")</f>
        <v>Nhà hàng</v>
      </c>
      <c r="P153" s="1"/>
      <c r="Q153" s="1" t="str">
        <f ca="1">IFERROR(__xludf.DUMMYFUNCTION("""COMPUTED_VALUE"""),"22/01/2025")</f>
        <v>22/01/2025</v>
      </c>
      <c r="R153" s="1" t="str">
        <f ca="1">IFERROR(__xludf.DUMMYFUNCTION("""COMPUTED_VALUE"""),"cam kết")</f>
        <v>cam kết</v>
      </c>
      <c r="S153" s="1" t="str">
        <f ca="1">IFERROR(__xludf.DUMMYFUNCTION("""COMPUTED_VALUE"""),"Chuyên đề")</f>
        <v>Chuyên đề</v>
      </c>
      <c r="T153" s="1" t="str">
        <f ca="1">IFERROR(__xludf.DUMMYFUNCTION("""COMPUTED_VALUE"""),"Dương Thị Xuân Diệu")</f>
        <v>Dương Thị Xuân Diệu</v>
      </c>
      <c r="U153" s="4">
        <f ca="1">IFERROR(__xludf.DUMMYFUNCTION("""COMPUTED_VALUE"""),45649)</f>
        <v>45649</v>
      </c>
      <c r="V153" s="4">
        <f ca="1">IFERROR(__xludf.DUMMYFUNCTION("""COMPUTED_VALUE"""),45739)</f>
        <v>45739</v>
      </c>
      <c r="W153" s="1">
        <f ca="1">IFERROR(__xludf.DUMMYFUNCTION("""COMPUTED_VALUE"""),152)</f>
        <v>152</v>
      </c>
      <c r="X153" s="3">
        <f ca="1">IFERROR(__xludf.DUMMYFUNCTION("""COMPUTED_VALUE"""),45749)</f>
        <v>45749</v>
      </c>
      <c r="Y153" s="1" t="str">
        <f ca="1">IFERROR(__xludf.DUMMYFUNCTION("""COMPUTED_VALUE"""),"DUYỆT")</f>
        <v>DUYỆT</v>
      </c>
      <c r="Z153" s="1" t="str">
        <f ca="1">IFERROR(__xludf.DUMMYFUNCTION("""COMPUTED_VALUE"""),"24/01/2025")</f>
        <v>24/01/2025</v>
      </c>
      <c r="AA153" s="1" t="str">
        <f ca="1">IFERROR(__xludf.DUMMYFUNCTION("""COMPUTED_VALUE"""),"Da Nang Mikazuki Japanese Resorts &amp; Spa")</f>
        <v>Da Nang Mikazuki Japanese Resorts &amp; Spa</v>
      </c>
      <c r="AB153" s="1" t="str">
        <f ca="1">IFERROR(__xludf.DUMMYFUNCTION("""COMPUTED_VALUE"""),"Nhà hàng")</f>
        <v>Nhà hàng</v>
      </c>
      <c r="AC153" s="1"/>
      <c r="AD153" s="1"/>
      <c r="AE153" s="1" t="str">
        <f ca="1">IFERROR(__xludf.DUMMYFUNCTION("""COMPUTED_VALUE"""),"")</f>
        <v/>
      </c>
    </row>
    <row r="154" spans="1:31" x14ac:dyDescent="0.2">
      <c r="A154" s="6">
        <f ca="1">IFERROR(__xludf.DUMMYFUNCTION("""COMPUTED_VALUE"""),45681.8280834953)</f>
        <v>45681.828083495297</v>
      </c>
      <c r="B154" s="1"/>
      <c r="C154" s="1">
        <f ca="1">IFERROR(__xludf.DUMMYFUNCTION("""COMPUTED_VALUE"""),27217130618)</f>
        <v>27217130618</v>
      </c>
      <c r="D154" s="1" t="str">
        <f ca="1">IFERROR(__xludf.DUMMYFUNCTION("""COMPUTED_VALUE"""),"Đặng Thị Tố Nữ")</f>
        <v>Đặng Thị Tố Nữ</v>
      </c>
      <c r="E154" s="4"/>
      <c r="F154" s="1" t="str">
        <f ca="1">IFERROR(__xludf.DUMMYFUNCTION("""COMPUTED_VALUE"""),"K27DLK7")</f>
        <v>K27DLK7</v>
      </c>
      <c r="G154" s="1" t="str">
        <f ca="1">IFERROR(__xludf.DUMMYFUNCTION("""COMPUTED_VALUE"""),"Quản trị Du lịch &amp; Khách sạn")</f>
        <v>Quản trị Du lịch &amp; Khách sạn</v>
      </c>
      <c r="H154" s="1">
        <f ca="1">IFERROR(__xludf.DUMMYFUNCTION("""COMPUTED_VALUE"""),27)</f>
        <v>27</v>
      </c>
      <c r="I154" s="1"/>
      <c r="J154" s="1" t="str">
        <f ca="1">IFERROR(__xludf.DUMMYFUNCTION("""COMPUTED_VALUE"""),"Chuyên đề")</f>
        <v>Chuyên đề</v>
      </c>
      <c r="K154" s="1" t="str">
        <f ca="1">IFERROR(__xludf.DUMMYFUNCTION("""COMPUTED_VALUE"""),"Hyatt regency DaNang Resort")</f>
        <v>Hyatt regency DaNang Resort</v>
      </c>
      <c r="L154" s="1"/>
      <c r="M154" s="1" t="str">
        <f ca="1">IFERROR(__xludf.DUMMYFUNCTION("""COMPUTED_VALUE"""),"05 Trường Sa, phường Hòa Hải, quận Ngũ Hành Sơn, Đà Nẵng")</f>
        <v>05 Trường Sa, phường Hòa Hải, quận Ngũ Hành Sơn, Đà Nẵng</v>
      </c>
      <c r="N154" s="1" t="str">
        <f ca="1">IFERROR(__xludf.DUMMYFUNCTION("""COMPUTED_VALUE"""),"Đà Nẵng")</f>
        <v>Đà Nẵng</v>
      </c>
      <c r="O154" s="1" t="str">
        <f ca="1">IFERROR(__xludf.DUMMYFUNCTION("""COMPUTED_VALUE"""),"Nhà hàng")</f>
        <v>Nhà hàng</v>
      </c>
      <c r="P154" s="1"/>
      <c r="Q154" s="1" t="str">
        <f ca="1">IFERROR(__xludf.DUMMYFUNCTION("""COMPUTED_VALUE"""),"22/1/2025")</f>
        <v>22/1/2025</v>
      </c>
      <c r="R154" s="1" t="str">
        <f ca="1">IFERROR(__xludf.DUMMYFUNCTION("""COMPUTED_VALUE"""),"cam kết")</f>
        <v>cam kết</v>
      </c>
      <c r="S154" s="1" t="str">
        <f ca="1">IFERROR(__xludf.DUMMYFUNCTION("""COMPUTED_VALUE"""),"Chuyên đề")</f>
        <v>Chuyên đề</v>
      </c>
      <c r="T154" s="1" t="str">
        <f ca="1">IFERROR(__xludf.DUMMYFUNCTION("""COMPUTED_VALUE"""),"Dương Thị Xuân Diệu")</f>
        <v>Dương Thị Xuân Diệu</v>
      </c>
      <c r="U154" s="4">
        <f ca="1">IFERROR(__xludf.DUMMYFUNCTION("""COMPUTED_VALUE"""),45698)</f>
        <v>45698</v>
      </c>
      <c r="V154" s="4">
        <f ca="1">IFERROR(__xludf.DUMMYFUNCTION("""COMPUTED_VALUE"""),45787)</f>
        <v>45787</v>
      </c>
      <c r="W154" s="1">
        <f ca="1">IFERROR(__xludf.DUMMYFUNCTION("""COMPUTED_VALUE"""),153)</f>
        <v>153</v>
      </c>
      <c r="X154" s="3">
        <f ca="1">IFERROR(__xludf.DUMMYFUNCTION("""COMPUTED_VALUE"""),45749)</f>
        <v>45749</v>
      </c>
      <c r="Y154" s="1" t="str">
        <f ca="1">IFERROR(__xludf.DUMMYFUNCTION("""COMPUTED_VALUE"""),"DUYỆT")</f>
        <v>DUYỆT</v>
      </c>
      <c r="Z154" s="3">
        <f ca="1">IFERROR(__xludf.DUMMYFUNCTION("""COMPUTED_VALUE"""),45718)</f>
        <v>45718</v>
      </c>
      <c r="AA154" s="1" t="str">
        <f ca="1">IFERROR(__xludf.DUMMYFUNCTION("""COMPUTED_VALUE"""),"Hyatt regency DaNang Resort")</f>
        <v>Hyatt regency DaNang Resort</v>
      </c>
      <c r="AB154" s="1" t="str">
        <f ca="1">IFERROR(__xludf.DUMMYFUNCTION("""COMPUTED_VALUE"""),"Nhà hàng")</f>
        <v>Nhà hàng</v>
      </c>
      <c r="AC154" s="1"/>
      <c r="AD154" s="1"/>
      <c r="AE154" s="1" t="str">
        <f ca="1">IFERROR(__xludf.DUMMYFUNCTION("""COMPUTED_VALUE"""),"")</f>
        <v/>
      </c>
    </row>
    <row r="155" spans="1:31" x14ac:dyDescent="0.2">
      <c r="A155" s="6">
        <f ca="1">IFERROR(__xludf.DUMMYFUNCTION("""COMPUTED_VALUE"""),45682.0009734606)</f>
        <v>45682.000973460599</v>
      </c>
      <c r="B155" s="1"/>
      <c r="C155" s="1">
        <f ca="1">IFERROR(__xludf.DUMMYFUNCTION("""COMPUTED_VALUE"""),27207134678)</f>
        <v>27207134678</v>
      </c>
      <c r="D155" s="1" t="str">
        <f ca="1">IFERROR(__xludf.DUMMYFUNCTION("""COMPUTED_VALUE"""),"Thân Thị Phương Thảo")</f>
        <v>Thân Thị Phương Thảo</v>
      </c>
      <c r="E155" s="4"/>
      <c r="F155" s="1" t="str">
        <f ca="1">IFERROR(__xludf.DUMMYFUNCTION("""COMPUTED_VALUE"""),"K27DLK2")</f>
        <v>K27DLK2</v>
      </c>
      <c r="G155" s="1" t="str">
        <f ca="1">IFERROR(__xludf.DUMMYFUNCTION("""COMPUTED_VALUE"""),"Quản trị Du lịch &amp; Khách sạn")</f>
        <v>Quản trị Du lịch &amp; Khách sạn</v>
      </c>
      <c r="H155" s="1">
        <f ca="1">IFERROR(__xludf.DUMMYFUNCTION("""COMPUTED_VALUE"""),27)</f>
        <v>27</v>
      </c>
      <c r="I155" s="1"/>
      <c r="J155" s="1" t="str">
        <f ca="1">IFERROR(__xludf.DUMMYFUNCTION("""COMPUTED_VALUE"""),"Chuyên đề")</f>
        <v>Chuyên đề</v>
      </c>
      <c r="K155" s="1" t="str">
        <f ca="1">IFERROR(__xludf.DUMMYFUNCTION("""COMPUTED_VALUE"""),"Paracel Danang Hotel")</f>
        <v>Paracel Danang Hotel</v>
      </c>
      <c r="L155" s="1"/>
      <c r="M155" s="1" t="str">
        <f ca="1">IFERROR(__xludf.DUMMYFUNCTION("""COMPUTED_VALUE"""),"204 Võ Nguyên Gíap")</f>
        <v>204 Võ Nguyên Gíap</v>
      </c>
      <c r="N155" s="1" t="str">
        <f ca="1">IFERROR(__xludf.DUMMYFUNCTION("""COMPUTED_VALUE"""),"Đà Nẵng")</f>
        <v>Đà Nẵng</v>
      </c>
      <c r="O155" s="1" t="str">
        <f ca="1">IFERROR(__xludf.DUMMYFUNCTION("""COMPUTED_VALUE"""),"Nhà hàng")</f>
        <v>Nhà hàng</v>
      </c>
      <c r="P155" s="1"/>
      <c r="Q155" s="1" t="str">
        <f ca="1">IFERROR(__xludf.DUMMYFUNCTION("""COMPUTED_VALUE"""),"23/01/2025")</f>
        <v>23/01/2025</v>
      </c>
      <c r="R155" s="1" t="str">
        <f ca="1">IFERROR(__xludf.DUMMYFUNCTION("""COMPUTED_VALUE"""),"cam kết")</f>
        <v>cam kết</v>
      </c>
      <c r="S155" s="1" t="str">
        <f ca="1">IFERROR(__xludf.DUMMYFUNCTION("""COMPUTED_VALUE"""),"Chuyên đề")</f>
        <v>Chuyên đề</v>
      </c>
      <c r="T155" s="1"/>
      <c r="U155" s="4">
        <f ca="1">IFERROR(__xludf.DUMMYFUNCTION("""COMPUTED_VALUE"""),45698)</f>
        <v>45698</v>
      </c>
      <c r="V155" s="4">
        <f ca="1">IFERROR(__xludf.DUMMYFUNCTION("""COMPUTED_VALUE"""),45787)</f>
        <v>45787</v>
      </c>
      <c r="W155" s="1">
        <f ca="1">IFERROR(__xludf.DUMMYFUNCTION("""COMPUTED_VALUE"""),154)</f>
        <v>154</v>
      </c>
      <c r="X155" s="3">
        <f ca="1">IFERROR(__xludf.DUMMYFUNCTION("""COMPUTED_VALUE"""),45749)</f>
        <v>45749</v>
      </c>
      <c r="Y155" s="1" t="str">
        <f ca="1">IFERROR(__xludf.DUMMYFUNCTION("""COMPUTED_VALUE"""),"DUYỆT")</f>
        <v>DUYỆT</v>
      </c>
      <c r="Z155" s="3">
        <f ca="1">IFERROR(__xludf.DUMMYFUNCTION("""COMPUTED_VALUE"""),45718)</f>
        <v>45718</v>
      </c>
      <c r="AA155" s="1" t="str">
        <f ca="1">IFERROR(__xludf.DUMMYFUNCTION("""COMPUTED_VALUE"""),"Paracel Danang Hotel")</f>
        <v>Paracel Danang Hotel</v>
      </c>
      <c r="AB155" s="1" t="str">
        <f ca="1">IFERROR(__xludf.DUMMYFUNCTION("""COMPUTED_VALUE"""),"Nhà hàng")</f>
        <v>Nhà hàng</v>
      </c>
      <c r="AC155" s="1"/>
      <c r="AD155" s="1"/>
      <c r="AE155" s="1" t="str">
        <f ca="1">IFERROR(__xludf.DUMMYFUNCTION("""COMPUTED_VALUE"""),"")</f>
        <v/>
      </c>
    </row>
    <row r="156" spans="1:31" x14ac:dyDescent="0.2">
      <c r="A156" s="6">
        <f ca="1">IFERROR(__xludf.DUMMYFUNCTION("""COMPUTED_VALUE"""),45682.6974259143)</f>
        <v>45682.697425914303</v>
      </c>
      <c r="B156" s="1"/>
      <c r="C156" s="1">
        <f ca="1">IFERROR(__xludf.DUMMYFUNCTION("""COMPUTED_VALUE"""),27202124339)</f>
        <v>27202124339</v>
      </c>
      <c r="D156" s="1" t="str">
        <f ca="1">IFERROR(__xludf.DUMMYFUNCTION("""COMPUTED_VALUE"""),"ĐẶNG THỊ TUYẾT TRINH")</f>
        <v>ĐẶNG THỊ TUYẾT TRINH</v>
      </c>
      <c r="E156" s="4"/>
      <c r="F156" s="1" t="str">
        <f ca="1">IFERROR(__xludf.DUMMYFUNCTION("""COMPUTED_VALUE"""),"K27DLK7")</f>
        <v>K27DLK7</v>
      </c>
      <c r="G156" s="1" t="str">
        <f ca="1">IFERROR(__xludf.DUMMYFUNCTION("""COMPUTED_VALUE"""),"Quản trị Du lịch &amp; Khách sạn")</f>
        <v>Quản trị Du lịch &amp; Khách sạn</v>
      </c>
      <c r="H156" s="1">
        <f ca="1">IFERROR(__xludf.DUMMYFUNCTION("""COMPUTED_VALUE"""),27)</f>
        <v>27</v>
      </c>
      <c r="I156" s="1"/>
      <c r="J156" s="1" t="str">
        <f ca="1">IFERROR(__xludf.DUMMYFUNCTION("""COMPUTED_VALUE"""),"Chuyên đề")</f>
        <v>Chuyên đề</v>
      </c>
      <c r="K156" s="1" t="str">
        <f ca="1">IFERROR(__xludf.DUMMYFUNCTION("""COMPUTED_VALUE"""),"Khách sạn Avatar Đà Nẵng")</f>
        <v>Khách sạn Avatar Đà Nẵng</v>
      </c>
      <c r="L156" s="1" t="str">
        <f ca="1">IFERROR(__xludf.DUMMYFUNCTION("""COMPUTED_VALUE"""),"Khách sạn Avatar Đà Nẵng")</f>
        <v>Khách sạn Avatar Đà Nẵng</v>
      </c>
      <c r="M156" s="1" t="str">
        <f ca="1">IFERROR(__xludf.DUMMYFUNCTION("""COMPUTED_VALUE"""),"104 Hoàng Kế Viêm,P.Mỹ An, Q.Ngũ Hành Sơn,TP.Đà Nẵng")</f>
        <v>104 Hoàng Kế Viêm,P.Mỹ An, Q.Ngũ Hành Sơn,TP.Đà Nẵng</v>
      </c>
      <c r="N156" s="1" t="str">
        <f ca="1">IFERROR(__xludf.DUMMYFUNCTION("""COMPUTED_VALUE"""),"Thành phố Đà Nẵng")</f>
        <v>Thành phố Đà Nẵng</v>
      </c>
      <c r="O156" s="1" t="str">
        <f ca="1">IFERROR(__xludf.DUMMYFUNCTION("""COMPUTED_VALUE"""),"Buồng phòng")</f>
        <v>Buồng phòng</v>
      </c>
      <c r="P156" s="1"/>
      <c r="Q156" s="1" t="str">
        <f ca="1">IFERROR(__xludf.DUMMYFUNCTION("""COMPUTED_VALUE"""),"25/01/2025")</f>
        <v>25/01/2025</v>
      </c>
      <c r="R156" s="1" t="str">
        <f ca="1">IFERROR(__xludf.DUMMYFUNCTION("""COMPUTED_VALUE"""),"cam kết")</f>
        <v>cam kết</v>
      </c>
      <c r="S156" s="1" t="str">
        <f ca="1">IFERROR(__xludf.DUMMYFUNCTION("""COMPUTED_VALUE"""),"Chuyên đề")</f>
        <v>Chuyên đề</v>
      </c>
      <c r="T156" s="1"/>
      <c r="U156" s="4">
        <f ca="1">IFERROR(__xludf.DUMMYFUNCTION("""COMPUTED_VALUE"""),45678)</f>
        <v>45678</v>
      </c>
      <c r="V156" s="4">
        <f ca="1">IFERROR(__xludf.DUMMYFUNCTION("""COMPUTED_VALUE"""),45768)</f>
        <v>45768</v>
      </c>
      <c r="W156" s="1">
        <f ca="1">IFERROR(__xludf.DUMMYFUNCTION("""COMPUTED_VALUE"""),155)</f>
        <v>155</v>
      </c>
      <c r="X156" s="3">
        <f ca="1">IFERROR(__xludf.DUMMYFUNCTION("""COMPUTED_VALUE"""),45749)</f>
        <v>45749</v>
      </c>
      <c r="Y156" s="1" t="str">
        <f ca="1">IFERROR(__xludf.DUMMYFUNCTION("""COMPUTED_VALUE"""),"DUYỆT")</f>
        <v>DUYỆT</v>
      </c>
      <c r="Z156" s="3">
        <f ca="1">IFERROR(__xludf.DUMMYFUNCTION("""COMPUTED_VALUE"""),45718)</f>
        <v>45718</v>
      </c>
      <c r="AA156" s="1" t="str">
        <f ca="1">IFERROR(__xludf.DUMMYFUNCTION("""COMPUTED_VALUE"""),"Khách sạn Avatar Đà Nẵng")</f>
        <v>Khách sạn Avatar Đà Nẵng</v>
      </c>
      <c r="AB156" s="1" t="str">
        <f ca="1">IFERROR(__xludf.DUMMYFUNCTION("""COMPUTED_VALUE"""),"Buồng phòng")</f>
        <v>Buồng phòng</v>
      </c>
      <c r="AC156" s="1"/>
      <c r="AD156" s="1"/>
      <c r="AE156" s="1" t="str">
        <f ca="1">IFERROR(__xludf.DUMMYFUNCTION("""COMPUTED_VALUE"""),"")</f>
        <v/>
      </c>
    </row>
    <row r="157" spans="1:31" x14ac:dyDescent="0.2">
      <c r="A157" s="6">
        <f ca="1">IFERROR(__xludf.DUMMYFUNCTION("""COMPUTED_VALUE"""),45692.419721875)</f>
        <v>45692.419721874998</v>
      </c>
      <c r="B157" s="1"/>
      <c r="C157" s="1">
        <f ca="1">IFERROR(__xludf.DUMMYFUNCTION("""COMPUTED_VALUE"""),27207141615)</f>
        <v>27207141615</v>
      </c>
      <c r="D157" s="1" t="str">
        <f ca="1">IFERROR(__xludf.DUMMYFUNCTION("""COMPUTED_VALUE"""),"Lê Thị Thuỷ Tiên")</f>
        <v>Lê Thị Thuỷ Tiên</v>
      </c>
      <c r="E157" s="4"/>
      <c r="F157" s="1" t="str">
        <f ca="1">IFERROR(__xludf.DUMMYFUNCTION("""COMPUTED_VALUE"""),"K27DLK2")</f>
        <v>K27DLK2</v>
      </c>
      <c r="G157" s="1" t="str">
        <f ca="1">IFERROR(__xludf.DUMMYFUNCTION("""COMPUTED_VALUE"""),"Quản trị Du lịch &amp; Khách sạn")</f>
        <v>Quản trị Du lịch &amp; Khách sạn</v>
      </c>
      <c r="H157" s="1">
        <f ca="1">IFERROR(__xludf.DUMMYFUNCTION("""COMPUTED_VALUE"""),27)</f>
        <v>27</v>
      </c>
      <c r="I157" s="1"/>
      <c r="J157" s="1" t="str">
        <f ca="1">IFERROR(__xludf.DUMMYFUNCTION("""COMPUTED_VALUE"""),"Chuyên đề")</f>
        <v>Chuyên đề</v>
      </c>
      <c r="K157" s="1" t="str">
        <f ca="1">IFERROR(__xludf.DUMMYFUNCTION("""COMPUTED_VALUE"""),"Satya Danang Hotel")</f>
        <v>Satya Danang Hotel</v>
      </c>
      <c r="L157" s="1"/>
      <c r="M157" s="1" t="str">
        <f ca="1">IFERROR(__xludf.DUMMYFUNCTION("""COMPUTED_VALUE"""),"155 Trần Phú, Hải Châu, Đà Nẵng")</f>
        <v>155 Trần Phú, Hải Châu, Đà Nẵng</v>
      </c>
      <c r="N157" s="1" t="str">
        <f ca="1">IFERROR(__xludf.DUMMYFUNCTION("""COMPUTED_VALUE"""),"Đà Nẵng")</f>
        <v>Đà Nẵng</v>
      </c>
      <c r="O157" s="1" t="str">
        <f ca="1">IFERROR(__xludf.DUMMYFUNCTION("""COMPUTED_VALUE"""),"Buồng phòng")</f>
        <v>Buồng phòng</v>
      </c>
      <c r="P157" s="1"/>
      <c r="Q157" s="1" t="str">
        <f ca="1">IFERROR(__xludf.DUMMYFUNCTION("""COMPUTED_VALUE"""),"04/02/2025")</f>
        <v>04/02/2025</v>
      </c>
      <c r="R157" s="1" t="str">
        <f ca="1">IFERROR(__xludf.DUMMYFUNCTION("""COMPUTED_VALUE"""),"cam kết")</f>
        <v>cam kết</v>
      </c>
      <c r="S157" s="1" t="str">
        <f ca="1">IFERROR(__xludf.DUMMYFUNCTION("""COMPUTED_VALUE"""),"Chuyên đề")</f>
        <v>Chuyên đề</v>
      </c>
      <c r="T157" s="1"/>
      <c r="U157" s="4">
        <f ca="1">IFERROR(__xludf.DUMMYFUNCTION("""COMPUTED_VALUE"""),45698)</f>
        <v>45698</v>
      </c>
      <c r="V157" s="4">
        <f ca="1">IFERROR(__xludf.DUMMYFUNCTION("""COMPUTED_VALUE"""),45787)</f>
        <v>45787</v>
      </c>
      <c r="W157" s="1">
        <f ca="1">IFERROR(__xludf.DUMMYFUNCTION("""COMPUTED_VALUE"""),156)</f>
        <v>156</v>
      </c>
      <c r="X157" s="3">
        <f ca="1">IFERROR(__xludf.DUMMYFUNCTION("""COMPUTED_VALUE"""),45779)</f>
        <v>45779</v>
      </c>
      <c r="Y157" s="1" t="str">
        <f ca="1">IFERROR(__xludf.DUMMYFUNCTION("""COMPUTED_VALUE"""),"DUYỆT")</f>
        <v>DUYỆT</v>
      </c>
      <c r="Z157" s="3">
        <f ca="1">IFERROR(__xludf.DUMMYFUNCTION("""COMPUTED_VALUE"""),45718)</f>
        <v>45718</v>
      </c>
      <c r="AA157" s="1" t="str">
        <f ca="1">IFERROR(__xludf.DUMMYFUNCTION("""COMPUTED_VALUE"""),"Satya Danang Hotel")</f>
        <v>Satya Danang Hotel</v>
      </c>
      <c r="AB157" s="1" t="str">
        <f ca="1">IFERROR(__xludf.DUMMYFUNCTION("""COMPUTED_VALUE"""),"Buồng phòng")</f>
        <v>Buồng phòng</v>
      </c>
      <c r="AC157" s="1"/>
      <c r="AD157" s="1"/>
      <c r="AE157" s="1" t="str">
        <f ca="1">IFERROR(__xludf.DUMMYFUNCTION("""COMPUTED_VALUE"""),"")</f>
        <v/>
      </c>
    </row>
    <row r="158" spans="1:31" x14ac:dyDescent="0.2">
      <c r="A158" s="6">
        <f ca="1">IFERROR(__xludf.DUMMYFUNCTION("""COMPUTED_VALUE"""),45688.7062203588)</f>
        <v>45688.706220358799</v>
      </c>
      <c r="B158" s="1"/>
      <c r="C158" s="1">
        <f ca="1">IFERROR(__xludf.DUMMYFUNCTION("""COMPUTED_VALUE"""),27217132965)</f>
        <v>27217132965</v>
      </c>
      <c r="D158" s="1" t="str">
        <f ca="1">IFERROR(__xludf.DUMMYFUNCTION("""COMPUTED_VALUE"""),"Nguyễn Kim Thanh Trúc")</f>
        <v>Nguyễn Kim Thanh Trúc</v>
      </c>
      <c r="E158" s="4"/>
      <c r="F158" s="1" t="str">
        <f ca="1">IFERROR(__xludf.DUMMYFUNCTION("""COMPUTED_VALUE"""),"K27PSU-DLK2")</f>
        <v>K27PSU-DLK2</v>
      </c>
      <c r="G158" s="1" t="str">
        <f ca="1">IFERROR(__xludf.DUMMYFUNCTION("""COMPUTED_VALUE"""),"Quản trị Du lịch &amp; Khách sạn chuẩn PSU")</f>
        <v>Quản trị Du lịch &amp; Khách sạn chuẩn PSU</v>
      </c>
      <c r="H158" s="1">
        <f ca="1">IFERROR(__xludf.DUMMYFUNCTION("""COMPUTED_VALUE"""),27)</f>
        <v>27</v>
      </c>
      <c r="I158" s="1"/>
      <c r="J158" s="1" t="str">
        <f ca="1">IFERROR(__xludf.DUMMYFUNCTION("""COMPUTED_VALUE"""),"Chuyên đề")</f>
        <v>Chuyên đề</v>
      </c>
      <c r="K158" s="1" t="str">
        <f ca="1">IFERROR(__xludf.DUMMYFUNCTION("""COMPUTED_VALUE"""),"Meliá Danang Beach Resort")</f>
        <v>Meliá Danang Beach Resort</v>
      </c>
      <c r="L158" s="1" t="str">
        <f ca="1">IFERROR(__xludf.DUMMYFUNCTION("""COMPUTED_VALUE"""),"Meliá DaNang Beach Resort")</f>
        <v>Meliá DaNang Beach Resort</v>
      </c>
      <c r="M158" s="1" t="str">
        <f ca="1">IFERROR(__xludf.DUMMYFUNCTION("""COMPUTED_VALUE"""),"19 Trường Sa, Hoà Hải, Ngũ Hành Sơn, Đà Nẵng")</f>
        <v>19 Trường Sa, Hoà Hải, Ngũ Hành Sơn, Đà Nẵng</v>
      </c>
      <c r="N158" s="1" t="str">
        <f ca="1">IFERROR(__xludf.DUMMYFUNCTION("""COMPUTED_VALUE"""),"Đà Nẵng")</f>
        <v>Đà Nẵng</v>
      </c>
      <c r="O158" s="1" t="str">
        <f ca="1">IFERROR(__xludf.DUMMYFUNCTION("""COMPUTED_VALUE"""),"Tiền sảnh")</f>
        <v>Tiền sảnh</v>
      </c>
      <c r="P158" s="1" t="str">
        <f ca="1">IFERROR(__xludf.DUMMYFUNCTION("""COMPUTED_VALUE"""),"Lễ Tân")</f>
        <v>Lễ Tân</v>
      </c>
      <c r="Q158" s="1" t="str">
        <f ca="1">IFERROR(__xludf.DUMMYFUNCTION("""COMPUTED_VALUE"""),"05/02/2025")</f>
        <v>05/02/2025</v>
      </c>
      <c r="R158" s="1" t="str">
        <f ca="1">IFERROR(__xludf.DUMMYFUNCTION("""COMPUTED_VALUE"""),"cam kết")</f>
        <v>cam kết</v>
      </c>
      <c r="S158" s="1" t="str">
        <f ca="1">IFERROR(__xludf.DUMMYFUNCTION("""COMPUTED_VALUE"""),"Chuyên đề")</f>
        <v>Chuyên đề</v>
      </c>
      <c r="T158" s="1" t="str">
        <f ca="1">IFERROR(__xludf.DUMMYFUNCTION("""COMPUTED_VALUE"""),"Hồ Sử Minh Tài")</f>
        <v>Hồ Sử Minh Tài</v>
      </c>
      <c r="U158" s="4">
        <f ca="1">IFERROR(__xludf.DUMMYFUNCTION("""COMPUTED_VALUE"""),45698)</f>
        <v>45698</v>
      </c>
      <c r="V158" s="4">
        <f ca="1">IFERROR(__xludf.DUMMYFUNCTION("""COMPUTED_VALUE"""),45787)</f>
        <v>45787</v>
      </c>
      <c r="W158" s="1">
        <f ca="1">IFERROR(__xludf.DUMMYFUNCTION("""COMPUTED_VALUE"""),157)</f>
        <v>157</v>
      </c>
      <c r="X158" s="3">
        <f ca="1">IFERROR(__xludf.DUMMYFUNCTION("""COMPUTED_VALUE"""),45779)</f>
        <v>45779</v>
      </c>
      <c r="Y158" s="1" t="str">
        <f ca="1">IFERROR(__xludf.DUMMYFUNCTION("""COMPUTED_VALUE"""),"DUYỆT")</f>
        <v>DUYỆT</v>
      </c>
      <c r="Z158" s="3">
        <f ca="1">IFERROR(__xludf.DUMMYFUNCTION("""COMPUTED_VALUE"""),45718)</f>
        <v>45718</v>
      </c>
      <c r="AA158" s="1" t="str">
        <f ca="1">IFERROR(__xludf.DUMMYFUNCTION("""COMPUTED_VALUE"""),"Meliá Danang Beach Resort")</f>
        <v>Meliá Danang Beach Resort</v>
      </c>
      <c r="AB158" s="1" t="str">
        <f ca="1">IFERROR(__xludf.DUMMYFUNCTION("""COMPUTED_VALUE"""),"Tiền sảnh")</f>
        <v>Tiền sảnh</v>
      </c>
      <c r="AC158" s="1"/>
      <c r="AD158" s="1"/>
      <c r="AE158" s="1" t="str">
        <f ca="1">IFERROR(__xludf.DUMMYFUNCTION("""COMPUTED_VALUE"""),"")</f>
        <v/>
      </c>
    </row>
    <row r="159" spans="1:31" x14ac:dyDescent="0.2">
      <c r="A159" s="6">
        <f ca="1">IFERROR(__xludf.DUMMYFUNCTION("""COMPUTED_VALUE"""),45691.6710916203)</f>
        <v>45691.671091620301</v>
      </c>
      <c r="B159" s="1"/>
      <c r="C159" s="1">
        <f ca="1">IFERROR(__xludf.DUMMYFUNCTION("""COMPUTED_VALUE"""),26207135165)</f>
        <v>26207135165</v>
      </c>
      <c r="D159" s="1" t="str">
        <f ca="1">IFERROR(__xludf.DUMMYFUNCTION("""COMPUTED_VALUE"""),"Võ Thị Hiếu Thảo ")</f>
        <v xml:space="preserve">Võ Thị Hiếu Thảo </v>
      </c>
      <c r="E159" s="4"/>
      <c r="F159" s="1" t="str">
        <f ca="1">IFERROR(__xludf.DUMMYFUNCTION("""COMPUTED_VALUE"""),"K26DLK 14")</f>
        <v>K26DLK 14</v>
      </c>
      <c r="G159" s="1" t="str">
        <f ca="1">IFERROR(__xludf.DUMMYFUNCTION("""COMPUTED_VALUE"""),"Quản trị Du lịch &amp; Khách sạn")</f>
        <v>Quản trị Du lịch &amp; Khách sạn</v>
      </c>
      <c r="H159" s="1">
        <f ca="1">IFERROR(__xludf.DUMMYFUNCTION("""COMPUTED_VALUE"""),26)</f>
        <v>26</v>
      </c>
      <c r="I159" s="1"/>
      <c r="J159" s="1" t="str">
        <f ca="1">IFERROR(__xludf.DUMMYFUNCTION("""COMPUTED_VALUE"""),"Chuyên đề")</f>
        <v>Chuyên đề</v>
      </c>
      <c r="K159" s="1" t="str">
        <f ca="1">IFERROR(__xludf.DUMMYFUNCTION("""COMPUTED_VALUE"""),"Avatar Hotel ")</f>
        <v xml:space="preserve">Avatar Hotel </v>
      </c>
      <c r="L159" s="1" t="str">
        <f ca="1">IFERROR(__xludf.DUMMYFUNCTION("""COMPUTED_VALUE"""),"Avatar Hotel ")</f>
        <v xml:space="preserve">Avatar Hotel </v>
      </c>
      <c r="M159" s="1" t="str">
        <f ca="1">IFERROR(__xludf.DUMMYFUNCTION("""COMPUTED_VALUE"""),"104 Hoàng Kế Viêm, Bắc Mỹ Phú, Ngũ Hành Sơn, Đà Nẵng ")</f>
        <v xml:space="preserve">104 Hoàng Kế Viêm, Bắc Mỹ Phú, Ngũ Hành Sơn, Đà Nẵng </v>
      </c>
      <c r="N159" s="1" t="str">
        <f ca="1">IFERROR(__xludf.DUMMYFUNCTION("""COMPUTED_VALUE"""),"Đà Nẵng ")</f>
        <v xml:space="preserve">Đà Nẵng </v>
      </c>
      <c r="O159" s="1" t="str">
        <f ca="1">IFERROR(__xludf.DUMMYFUNCTION("""COMPUTED_VALUE"""),"Nhà hàng")</f>
        <v>Nhà hàng</v>
      </c>
      <c r="P159" s="1"/>
      <c r="Q159" s="1" t="str">
        <f ca="1">IFERROR(__xludf.DUMMYFUNCTION("""COMPUTED_VALUE"""),"03/02/2025")</f>
        <v>03/02/2025</v>
      </c>
      <c r="R159" s="1" t="str">
        <f ca="1">IFERROR(__xludf.DUMMYFUNCTION("""COMPUTED_VALUE"""),"cam kết")</f>
        <v>cam kết</v>
      </c>
      <c r="S159" s="1" t="str">
        <f ca="1">IFERROR(__xludf.DUMMYFUNCTION("""COMPUTED_VALUE"""),"Chuyên đề")</f>
        <v>Chuyên đề</v>
      </c>
      <c r="T159" s="1" t="str">
        <f ca="1">IFERROR(__xludf.DUMMYFUNCTION("""COMPUTED_VALUE"""),"Phạm Thị Thu Thủy")</f>
        <v>Phạm Thị Thu Thủy</v>
      </c>
      <c r="U159" s="4">
        <f ca="1">IFERROR(__xludf.DUMMYFUNCTION("""COMPUTED_VALUE"""),45698)</f>
        <v>45698</v>
      </c>
      <c r="V159" s="4">
        <f ca="1">IFERROR(__xludf.DUMMYFUNCTION("""COMPUTED_VALUE"""),45787)</f>
        <v>45787</v>
      </c>
      <c r="W159" s="1">
        <f ca="1">IFERROR(__xludf.DUMMYFUNCTION("""COMPUTED_VALUE"""),158)</f>
        <v>158</v>
      </c>
      <c r="X159" s="3">
        <f ca="1">IFERROR(__xludf.DUMMYFUNCTION("""COMPUTED_VALUE"""),45779)</f>
        <v>45779</v>
      </c>
      <c r="Y159" s="1" t="str">
        <f ca="1">IFERROR(__xludf.DUMMYFUNCTION("""COMPUTED_VALUE"""),"DUYỆT")</f>
        <v>DUYỆT</v>
      </c>
      <c r="Z159" s="3">
        <f ca="1">IFERROR(__xludf.DUMMYFUNCTION("""COMPUTED_VALUE"""),45718)</f>
        <v>45718</v>
      </c>
      <c r="AA159" s="1" t="str">
        <f ca="1">IFERROR(__xludf.DUMMYFUNCTION("""COMPUTED_VALUE"""),"Avatar Hotel ")</f>
        <v xml:space="preserve">Avatar Hotel </v>
      </c>
      <c r="AB159" s="1" t="str">
        <f ca="1">IFERROR(__xludf.DUMMYFUNCTION("""COMPUTED_VALUE"""),"Nhà hàng")</f>
        <v>Nhà hàng</v>
      </c>
      <c r="AC159" s="1" t="str">
        <f ca="1">IFERROR(__xludf.DUMMYFUNCTION("""COMPUTED_VALUE"""),"ĐÃ NỘP")</f>
        <v>ĐÃ NỘP</v>
      </c>
      <c r="AD159" s="1"/>
      <c r="AE159" s="1" t="str">
        <f ca="1">IFERROR(__xludf.DUMMYFUNCTION("""COMPUTED_VALUE"""),"")</f>
        <v/>
      </c>
    </row>
    <row r="160" spans="1:31" x14ac:dyDescent="0.2">
      <c r="A160" s="6">
        <f ca="1">IFERROR(__xludf.DUMMYFUNCTION("""COMPUTED_VALUE"""),45691.7220824768)</f>
        <v>45691.722082476801</v>
      </c>
      <c r="B160" s="1"/>
      <c r="C160" s="1">
        <f ca="1">IFERROR(__xludf.DUMMYFUNCTION("""COMPUTED_VALUE"""),25217203161)</f>
        <v>25217203161</v>
      </c>
      <c r="D160" s="1" t="str">
        <f ca="1">IFERROR(__xludf.DUMMYFUNCTION("""COMPUTED_VALUE"""),"Trần Văn Liêm")</f>
        <v>Trần Văn Liêm</v>
      </c>
      <c r="E160" s="4"/>
      <c r="F160" s="1" t="str">
        <f ca="1">IFERROR(__xludf.DUMMYFUNCTION("""COMPUTED_VALUE"""),"K25DLK 19")</f>
        <v>K25DLK 19</v>
      </c>
      <c r="G160" s="1" t="str">
        <f ca="1">IFERROR(__xludf.DUMMYFUNCTION("""COMPUTED_VALUE"""),"Quản trị Du lịch &amp; Khách sạn")</f>
        <v>Quản trị Du lịch &amp; Khách sạn</v>
      </c>
      <c r="H160" s="1">
        <f ca="1">IFERROR(__xludf.DUMMYFUNCTION("""COMPUTED_VALUE"""),25)</f>
        <v>25</v>
      </c>
      <c r="I160" s="1"/>
      <c r="J160" s="1" t="str">
        <f ca="1">IFERROR(__xludf.DUMMYFUNCTION("""COMPUTED_VALUE"""),"Chuyên đề")</f>
        <v>Chuyên đề</v>
      </c>
      <c r="K160" s="1" t="str">
        <f ca="1">IFERROR(__xludf.DUMMYFUNCTION("""COMPUTED_VALUE"""),"Diamond Sea Hotel")</f>
        <v>Diamond Sea Hotel</v>
      </c>
      <c r="L160" s="1"/>
      <c r="M160" s="1" t="str">
        <f ca="1">IFERROR(__xludf.DUMMYFUNCTION("""COMPUTED_VALUE"""),"232 Võ Nguyên Giáp, phường Phước Mỹ, quận Sơn Trà, TP Đà Nẵng")</f>
        <v>232 Võ Nguyên Giáp, phường Phước Mỹ, quận Sơn Trà, TP Đà Nẵng</v>
      </c>
      <c r="N160" s="1" t="str">
        <f ca="1">IFERROR(__xludf.DUMMYFUNCTION("""COMPUTED_VALUE"""),"Đà Nẵng")</f>
        <v>Đà Nẵng</v>
      </c>
      <c r="O160" s="1" t="str">
        <f ca="1">IFERROR(__xludf.DUMMYFUNCTION("""COMPUTED_VALUE"""),"Tiền sảnh")</f>
        <v>Tiền sảnh</v>
      </c>
      <c r="P160" s="1"/>
      <c r="Q160" s="1" t="str">
        <f ca="1">IFERROR(__xludf.DUMMYFUNCTION("""COMPUTED_VALUE"""),"10/02/2025")</f>
        <v>10/02/2025</v>
      </c>
      <c r="R160" s="1" t="str">
        <f ca="1">IFERROR(__xludf.DUMMYFUNCTION("""COMPUTED_VALUE"""),"cam kết")</f>
        <v>cam kết</v>
      </c>
      <c r="S160" s="1" t="str">
        <f ca="1">IFERROR(__xludf.DUMMYFUNCTION("""COMPUTED_VALUE"""),"Chuyên đề")</f>
        <v>Chuyên đề</v>
      </c>
      <c r="T160" s="1"/>
      <c r="U160" s="4">
        <f ca="1">IFERROR(__xludf.DUMMYFUNCTION("""COMPUTED_VALUE"""),45698)</f>
        <v>45698</v>
      </c>
      <c r="V160" s="4">
        <f ca="1">IFERROR(__xludf.DUMMYFUNCTION("""COMPUTED_VALUE"""),45787)</f>
        <v>45787</v>
      </c>
      <c r="W160" s="1">
        <f ca="1">IFERROR(__xludf.DUMMYFUNCTION("""COMPUTED_VALUE"""),159)</f>
        <v>159</v>
      </c>
      <c r="X160" s="3">
        <f ca="1">IFERROR(__xludf.DUMMYFUNCTION("""COMPUTED_VALUE"""),45963)</f>
        <v>45963</v>
      </c>
      <c r="Y160" s="1" t="str">
        <f ca="1">IFERROR(__xludf.DUMMYFUNCTION("""COMPUTED_VALUE"""),"DUYỆT")</f>
        <v>DUYỆT</v>
      </c>
      <c r="Z160" s="3">
        <f ca="1">IFERROR(__xludf.DUMMYFUNCTION("""COMPUTED_VALUE"""),45749)</f>
        <v>45749</v>
      </c>
      <c r="AA160" s="1" t="str">
        <f ca="1">IFERROR(__xludf.DUMMYFUNCTION("""COMPUTED_VALUE"""),"Diamond Sea Hotel")</f>
        <v>Diamond Sea Hotel</v>
      </c>
      <c r="AB160" s="1" t="str">
        <f ca="1">IFERROR(__xludf.DUMMYFUNCTION("""COMPUTED_VALUE"""),"Tiền sảnh")</f>
        <v>Tiền sảnh</v>
      </c>
      <c r="AC160" s="1" t="str">
        <f ca="1">IFERROR(__xludf.DUMMYFUNCTION("""COMPUTED_VALUE"""),"ĐÃ NỘP")</f>
        <v>ĐÃ NỘP</v>
      </c>
      <c r="AD160" s="1"/>
      <c r="AE160" s="1" t="str">
        <f ca="1">IFERROR(__xludf.DUMMYFUNCTION("""COMPUTED_VALUE"""),"")</f>
        <v/>
      </c>
    </row>
    <row r="161" spans="1:31" x14ac:dyDescent="0.2">
      <c r="A161" s="6">
        <f ca="1">IFERROR(__xludf.DUMMYFUNCTION("""COMPUTED_VALUE"""),45691.7936120138)</f>
        <v>45691.793612013797</v>
      </c>
      <c r="B161" s="1"/>
      <c r="C161" s="1">
        <f ca="1">IFERROR(__xludf.DUMMYFUNCTION("""COMPUTED_VALUE"""),27207140631)</f>
        <v>27207140631</v>
      </c>
      <c r="D161" s="1" t="str">
        <f ca="1">IFERROR(__xludf.DUMMYFUNCTION("""COMPUTED_VALUE"""),"Nguyễn Tạ Thanh Trúc")</f>
        <v>Nguyễn Tạ Thanh Trúc</v>
      </c>
      <c r="E161" s="4"/>
      <c r="F161" s="1" t="str">
        <f ca="1">IFERROR(__xludf.DUMMYFUNCTION("""COMPUTED_VALUE"""),"K27PSUDLK2")</f>
        <v>K27PSUDLK2</v>
      </c>
      <c r="G161" s="1" t="str">
        <f ca="1">IFERROR(__xludf.DUMMYFUNCTION("""COMPUTED_VALUE"""),"Quản trị Du lịch &amp; Khách sạn chuẩn PSU")</f>
        <v>Quản trị Du lịch &amp; Khách sạn chuẩn PSU</v>
      </c>
      <c r="H161" s="1">
        <f ca="1">IFERROR(__xludf.DUMMYFUNCTION("""COMPUTED_VALUE"""),27)</f>
        <v>27</v>
      </c>
      <c r="I161" s="1"/>
      <c r="J161" s="1" t="str">
        <f ca="1">IFERROR(__xludf.DUMMYFUNCTION("""COMPUTED_VALUE"""),"Chuyên đề")</f>
        <v>Chuyên đề</v>
      </c>
      <c r="K161" s="1" t="str">
        <f ca="1">IFERROR(__xludf.DUMMYFUNCTION("""COMPUTED_VALUE"""),"Premier Village Danang Resort")</f>
        <v>Premier Village Danang Resort</v>
      </c>
      <c r="L161" s="1"/>
      <c r="M161" s="1" t="str">
        <f ca="1">IFERROR(__xludf.DUMMYFUNCTION("""COMPUTED_VALUE"""),"Số 99 Võ Nguyên Giáp, Bắc Mỹ An, Ngũ Hành Sơn, Đà Nẵng")</f>
        <v>Số 99 Võ Nguyên Giáp, Bắc Mỹ An, Ngũ Hành Sơn, Đà Nẵng</v>
      </c>
      <c r="N161" s="1" t="str">
        <f ca="1">IFERROR(__xludf.DUMMYFUNCTION("""COMPUTED_VALUE"""),"Đà Nẵng")</f>
        <v>Đà Nẵng</v>
      </c>
      <c r="O161" s="1" t="str">
        <f ca="1">IFERROR(__xludf.DUMMYFUNCTION("""COMPUTED_VALUE"""),"Nhà hàng")</f>
        <v>Nhà hàng</v>
      </c>
      <c r="P161" s="1"/>
      <c r="Q161" s="1" t="str">
        <f ca="1">IFERROR(__xludf.DUMMYFUNCTION("""COMPUTED_VALUE"""),"7/2/2025")</f>
        <v>7/2/2025</v>
      </c>
      <c r="R161" s="1" t="str">
        <f ca="1">IFERROR(__xludf.DUMMYFUNCTION("""COMPUTED_VALUE"""),"cam kết")</f>
        <v>cam kết</v>
      </c>
      <c r="S161" s="1" t="str">
        <f ca="1">IFERROR(__xludf.DUMMYFUNCTION("""COMPUTED_VALUE"""),"Chuyên đề")</f>
        <v>Chuyên đề</v>
      </c>
      <c r="T161" s="1" t="str">
        <f ca="1">IFERROR(__xludf.DUMMYFUNCTION("""COMPUTED_VALUE"""),"Hồ Sử Minh Tài")</f>
        <v>Hồ Sử Minh Tài</v>
      </c>
      <c r="U161" s="4">
        <f ca="1">IFERROR(__xludf.DUMMYFUNCTION("""COMPUTED_VALUE"""),45695)</f>
        <v>45695</v>
      </c>
      <c r="V161" s="4">
        <f ca="1">IFERROR(__xludf.DUMMYFUNCTION("""COMPUTED_VALUE"""),45786)</f>
        <v>45786</v>
      </c>
      <c r="W161" s="1">
        <f ca="1">IFERROR(__xludf.DUMMYFUNCTION("""COMPUTED_VALUE"""),160)</f>
        <v>160</v>
      </c>
      <c r="X161" s="3">
        <f ca="1">IFERROR(__xludf.DUMMYFUNCTION("""COMPUTED_VALUE"""),45840)</f>
        <v>45840</v>
      </c>
      <c r="Y161" s="1" t="str">
        <f ca="1">IFERROR(__xludf.DUMMYFUNCTION("""COMPUTED_VALUE"""),"DUYỆT")</f>
        <v>DUYỆT</v>
      </c>
      <c r="Z161" s="3">
        <f ca="1">IFERROR(__xludf.DUMMYFUNCTION("""COMPUTED_VALUE"""),45749)</f>
        <v>45749</v>
      </c>
      <c r="AA161" s="1" t="str">
        <f ca="1">IFERROR(__xludf.DUMMYFUNCTION("""COMPUTED_VALUE"""),"Premier Village Danang Resort")</f>
        <v>Premier Village Danang Resort</v>
      </c>
      <c r="AB161" s="1" t="str">
        <f ca="1">IFERROR(__xludf.DUMMYFUNCTION("""COMPUTED_VALUE"""),"Nhà hàng")</f>
        <v>Nhà hàng</v>
      </c>
      <c r="AC161" s="1"/>
      <c r="AD161" s="1" t="str">
        <f ca="1">IFERROR(__xludf.DUMMYFUNCTION("""COMPUTED_VALUE"""),"Phiếu tiếp nhận chưa ghi thông tin người hướng dẫn tại ks, SV phải đảm bảo không thực tập quá 5sv/nhà hàng")</f>
        <v>Phiếu tiếp nhận chưa ghi thông tin người hướng dẫn tại ks, SV phải đảm bảo không thực tập quá 5sv/nhà hàng</v>
      </c>
      <c r="AE161" s="1" t="str">
        <f ca="1">IFERROR(__xludf.DUMMYFUNCTION("""COMPUTED_VALUE"""),"")</f>
        <v/>
      </c>
    </row>
    <row r="162" spans="1:31" x14ac:dyDescent="0.2">
      <c r="A162" s="6">
        <f ca="1">IFERROR(__xludf.DUMMYFUNCTION("""COMPUTED_VALUE"""),45692.9494215162)</f>
        <v>45692.949421516198</v>
      </c>
      <c r="B162" s="1"/>
      <c r="C162" s="1">
        <f ca="1">IFERROR(__xludf.DUMMYFUNCTION("""COMPUTED_VALUE"""),25217110499)</f>
        <v>25217110499</v>
      </c>
      <c r="D162" s="1" t="str">
        <f ca="1">IFERROR(__xludf.DUMMYFUNCTION("""COMPUTED_VALUE"""),"Nguyễn Công Hậu ")</f>
        <v xml:space="preserve">Nguyễn Công Hậu </v>
      </c>
      <c r="E162" s="4"/>
      <c r="F162" s="1" t="str">
        <f ca="1">IFERROR(__xludf.DUMMYFUNCTION("""COMPUTED_VALUE"""),"k25DLK24")</f>
        <v>k25DLK24</v>
      </c>
      <c r="G162" s="1" t="str">
        <f ca="1">IFERROR(__xludf.DUMMYFUNCTION("""COMPUTED_VALUE"""),"Quản trị Du lịch &amp; Khách sạn")</f>
        <v>Quản trị Du lịch &amp; Khách sạn</v>
      </c>
      <c r="H162" s="1">
        <f ca="1">IFERROR(__xludf.DUMMYFUNCTION("""COMPUTED_VALUE"""),25)</f>
        <v>25</v>
      </c>
      <c r="I162" s="1"/>
      <c r="J162" s="1" t="str">
        <f ca="1">IFERROR(__xludf.DUMMYFUNCTION("""COMPUTED_VALUE"""),"Chuyên đề")</f>
        <v>Chuyên đề</v>
      </c>
      <c r="K162" s="1" t="str">
        <f ca="1">IFERROR(__xludf.DUMMYFUNCTION("""COMPUTED_VALUE"""),"Diamond Sea Hotel")</f>
        <v>Diamond Sea Hotel</v>
      </c>
      <c r="L162" s="1"/>
      <c r="M162" s="1" t="str">
        <f ca="1">IFERROR(__xludf.DUMMYFUNCTION("""COMPUTED_VALUE"""),"232 Võ Nguyên Giáp")</f>
        <v>232 Võ Nguyên Giáp</v>
      </c>
      <c r="N162" s="1" t="str">
        <f ca="1">IFERROR(__xludf.DUMMYFUNCTION("""COMPUTED_VALUE"""),"Đà Nẵng")</f>
        <v>Đà Nẵng</v>
      </c>
      <c r="O162" s="1" t="str">
        <f ca="1">IFERROR(__xludf.DUMMYFUNCTION("""COMPUTED_VALUE"""),"Nhà hàng")</f>
        <v>Nhà hàng</v>
      </c>
      <c r="P162" s="1"/>
      <c r="Q162" s="1" t="str">
        <f ca="1">IFERROR(__xludf.DUMMYFUNCTION("""COMPUTED_VALUE"""),"06/02/2025")</f>
        <v>06/02/2025</v>
      </c>
      <c r="R162" s="1" t="str">
        <f ca="1">IFERROR(__xludf.DUMMYFUNCTION("""COMPUTED_VALUE"""),"cam kết")</f>
        <v>cam kết</v>
      </c>
      <c r="S162" s="1" t="str">
        <f ca="1">IFERROR(__xludf.DUMMYFUNCTION("""COMPUTED_VALUE"""),"Chuyên đề")</f>
        <v>Chuyên đề</v>
      </c>
      <c r="T162" s="1"/>
      <c r="U162" s="4">
        <f ca="1">IFERROR(__xludf.DUMMYFUNCTION("""COMPUTED_VALUE"""),45698)</f>
        <v>45698</v>
      </c>
      <c r="V162" s="4">
        <f ca="1">IFERROR(__xludf.DUMMYFUNCTION("""COMPUTED_VALUE"""),45787)</f>
        <v>45787</v>
      </c>
      <c r="W162" s="1">
        <f ca="1">IFERROR(__xludf.DUMMYFUNCTION("""COMPUTED_VALUE"""),161)</f>
        <v>161</v>
      </c>
      <c r="X162" s="3">
        <f ca="1">IFERROR(__xludf.DUMMYFUNCTION("""COMPUTED_VALUE"""),45932)</f>
        <v>45932</v>
      </c>
      <c r="Y162" s="1" t="str">
        <f ca="1">IFERROR(__xludf.DUMMYFUNCTION("""COMPUTED_VALUE"""),"DUYỆT")</f>
        <v>DUYỆT</v>
      </c>
      <c r="Z162" s="3">
        <f ca="1">IFERROR(__xludf.DUMMYFUNCTION("""COMPUTED_VALUE"""),45749)</f>
        <v>45749</v>
      </c>
      <c r="AA162" s="1" t="str">
        <f ca="1">IFERROR(__xludf.DUMMYFUNCTION("""COMPUTED_VALUE"""),"Diamond Sea Hotel")</f>
        <v>Diamond Sea Hotel</v>
      </c>
      <c r="AB162" s="1" t="str">
        <f ca="1">IFERROR(__xludf.DUMMYFUNCTION("""COMPUTED_VALUE"""),"Nhà hàng")</f>
        <v>Nhà hàng</v>
      </c>
      <c r="AC162" s="1" t="str">
        <f ca="1">IFERROR(__xludf.DUMMYFUNCTION("""COMPUTED_VALUE"""),"ĐÃ NỘP")</f>
        <v>ĐÃ NỘP</v>
      </c>
      <c r="AD162" s="1"/>
      <c r="AE162" s="1" t="str">
        <f ca="1">IFERROR(__xludf.DUMMYFUNCTION("""COMPUTED_VALUE"""),"")</f>
        <v/>
      </c>
    </row>
    <row r="163" spans="1:31" x14ac:dyDescent="0.2">
      <c r="A163" s="6">
        <f ca="1">IFERROR(__xludf.DUMMYFUNCTION("""COMPUTED_VALUE"""),45691.9832134027)</f>
        <v>45691.983213402702</v>
      </c>
      <c r="B163" s="1"/>
      <c r="C163" s="1">
        <f ca="1">IFERROR(__xludf.DUMMYFUNCTION("""COMPUTED_VALUE"""),27207122197)</f>
        <v>27207122197</v>
      </c>
      <c r="D163" s="1" t="str">
        <f ca="1">IFERROR(__xludf.DUMMYFUNCTION("""COMPUTED_VALUE"""),"Nguyễn Thị Ngọc Tứ")</f>
        <v>Nguyễn Thị Ngọc Tứ</v>
      </c>
      <c r="E163" s="4"/>
      <c r="F163" s="1" t="str">
        <f ca="1">IFERROR(__xludf.DUMMYFUNCTION("""COMPUTED_VALUE"""),"K27DLK3")</f>
        <v>K27DLK3</v>
      </c>
      <c r="G163" s="1" t="str">
        <f ca="1">IFERROR(__xludf.DUMMYFUNCTION("""COMPUTED_VALUE"""),"Quản trị Du lịch &amp; Khách sạn")</f>
        <v>Quản trị Du lịch &amp; Khách sạn</v>
      </c>
      <c r="H163" s="1">
        <f ca="1">IFERROR(__xludf.DUMMYFUNCTION("""COMPUTED_VALUE"""),27)</f>
        <v>27</v>
      </c>
      <c r="I163" s="1"/>
      <c r="J163" s="1" t="str">
        <f ca="1">IFERROR(__xludf.DUMMYFUNCTION("""COMPUTED_VALUE"""),"Chuyên đề")</f>
        <v>Chuyên đề</v>
      </c>
      <c r="K163" s="1" t="str">
        <f ca="1">IFERROR(__xludf.DUMMYFUNCTION("""COMPUTED_VALUE"""),"Khách sạn Shilla Monogram Quangnam Danang")</f>
        <v>Khách sạn Shilla Monogram Quangnam Danang</v>
      </c>
      <c r="L163" s="1"/>
      <c r="M163" s="1" t="str">
        <f ca="1">IFERROR(__xludf.DUMMYFUNCTION("""COMPUTED_VALUE"""),"Lạc Long Quân, phường Điện Nam Đông, thị xã Điện Bàn, tỉnh Quảng Nam")</f>
        <v>Lạc Long Quân, phường Điện Nam Đông, thị xã Điện Bàn, tỉnh Quảng Nam</v>
      </c>
      <c r="N163" s="1" t="str">
        <f ca="1">IFERROR(__xludf.DUMMYFUNCTION("""COMPUTED_VALUE"""),"Quảng Nam")</f>
        <v>Quảng Nam</v>
      </c>
      <c r="O163" s="1" t="str">
        <f ca="1">IFERROR(__xludf.DUMMYFUNCTION("""COMPUTED_VALUE"""),"Tiền sảnh")</f>
        <v>Tiền sảnh</v>
      </c>
      <c r="P163" s="1"/>
      <c r="Q163" s="1" t="str">
        <f ca="1">IFERROR(__xludf.DUMMYFUNCTION("""COMPUTED_VALUE"""),"22/01/2025")</f>
        <v>22/01/2025</v>
      </c>
      <c r="R163" s="1" t="str">
        <f ca="1">IFERROR(__xludf.DUMMYFUNCTION("""COMPUTED_VALUE"""),"cam kết")</f>
        <v>cam kết</v>
      </c>
      <c r="S163" s="1" t="str">
        <f ca="1">IFERROR(__xludf.DUMMYFUNCTION("""COMPUTED_VALUE"""),"Chuyên đề")</f>
        <v>Chuyên đề</v>
      </c>
      <c r="T163" s="1"/>
      <c r="U163" s="4">
        <f ca="1">IFERROR(__xludf.DUMMYFUNCTION("""COMPUTED_VALUE"""),45698)</f>
        <v>45698</v>
      </c>
      <c r="V163" s="4">
        <f ca="1">IFERROR(__xludf.DUMMYFUNCTION("""COMPUTED_VALUE"""),45787)</f>
        <v>45787</v>
      </c>
      <c r="W163" s="1">
        <f ca="1">IFERROR(__xludf.DUMMYFUNCTION("""COMPUTED_VALUE"""),162)</f>
        <v>162</v>
      </c>
      <c r="X163" s="3">
        <f ca="1">IFERROR(__xludf.DUMMYFUNCTION("""COMPUTED_VALUE"""),45749)</f>
        <v>45749</v>
      </c>
      <c r="Y163" s="1" t="str">
        <f ca="1">IFERROR(__xludf.DUMMYFUNCTION("""COMPUTED_VALUE"""),"DUYỆT")</f>
        <v>DUYỆT</v>
      </c>
      <c r="Z163" s="3">
        <f ca="1">IFERROR(__xludf.DUMMYFUNCTION("""COMPUTED_VALUE"""),45749)</f>
        <v>45749</v>
      </c>
      <c r="AA163" s="1" t="str">
        <f ca="1">IFERROR(__xludf.DUMMYFUNCTION("""COMPUTED_VALUE"""),"Khách sạn Shilla Monogram Quangnam Danang")</f>
        <v>Khách sạn Shilla Monogram Quangnam Danang</v>
      </c>
      <c r="AB163" s="1" t="str">
        <f ca="1">IFERROR(__xludf.DUMMYFUNCTION("""COMPUTED_VALUE"""),"Tiền sảnh")</f>
        <v>Tiền sảnh</v>
      </c>
      <c r="AC163" s="1"/>
      <c r="AD163" s="1"/>
      <c r="AE163" s="1" t="str">
        <f ca="1">IFERROR(__xludf.DUMMYFUNCTION("""COMPUTED_VALUE"""),"")</f>
        <v/>
      </c>
    </row>
    <row r="164" spans="1:31" x14ac:dyDescent="0.2">
      <c r="A164" s="6">
        <f ca="1">IFERROR(__xludf.DUMMYFUNCTION("""COMPUTED_VALUE"""),45692.9617793402)</f>
        <v>45692.961779340199</v>
      </c>
      <c r="B164" s="1"/>
      <c r="C164" s="1">
        <f ca="1">IFERROR(__xludf.DUMMYFUNCTION("""COMPUTED_VALUE"""),27207137064)</f>
        <v>27207137064</v>
      </c>
      <c r="D164" s="1" t="str">
        <f ca="1">IFERROR(__xludf.DUMMYFUNCTION("""COMPUTED_VALUE"""),"Văn Thị Thanh Thảo")</f>
        <v>Văn Thị Thanh Thảo</v>
      </c>
      <c r="E164" s="4"/>
      <c r="F164" s="1" t="str">
        <f ca="1">IFERROR(__xludf.DUMMYFUNCTION("""COMPUTED_VALUE"""),"K27DLK3")</f>
        <v>K27DLK3</v>
      </c>
      <c r="G164" s="1" t="str">
        <f ca="1">IFERROR(__xludf.DUMMYFUNCTION("""COMPUTED_VALUE"""),"Quản trị Du lịch &amp; Khách sạn")</f>
        <v>Quản trị Du lịch &amp; Khách sạn</v>
      </c>
      <c r="H164" s="1">
        <f ca="1">IFERROR(__xludf.DUMMYFUNCTION("""COMPUTED_VALUE"""),27)</f>
        <v>27</v>
      </c>
      <c r="I164" s="1"/>
      <c r="J164" s="1" t="str">
        <f ca="1">IFERROR(__xludf.DUMMYFUNCTION("""COMPUTED_VALUE"""),"Chuyên đề")</f>
        <v>Chuyên đề</v>
      </c>
      <c r="K164" s="1" t="str">
        <f ca="1">IFERROR(__xludf.DUMMYFUNCTION("""COMPUTED_VALUE"""),"Khách sạn Shilla Monogram Quangnam Danang")</f>
        <v>Khách sạn Shilla Monogram Quangnam Danang</v>
      </c>
      <c r="L164" s="1"/>
      <c r="M164" s="1" t="str">
        <f ca="1">IFERROR(__xludf.DUMMYFUNCTION("""COMPUTED_VALUE"""),"Lạc Long Quân P. Điện Nam Đông TX. Điện Bàn Quảng Nam Việt Nam")</f>
        <v>Lạc Long Quân P. Điện Nam Đông TX. Điện Bàn Quảng Nam Việt Nam</v>
      </c>
      <c r="N164" s="1" t="str">
        <f ca="1">IFERROR(__xludf.DUMMYFUNCTION("""COMPUTED_VALUE"""),"Đà Nẵng")</f>
        <v>Đà Nẵng</v>
      </c>
      <c r="O164" s="1" t="str">
        <f ca="1">IFERROR(__xludf.DUMMYFUNCTION("""COMPUTED_VALUE"""),"Nhà hàng")</f>
        <v>Nhà hàng</v>
      </c>
      <c r="P164" s="1"/>
      <c r="Q164" s="1" t="str">
        <f ca="1">IFERROR(__xludf.DUMMYFUNCTION("""COMPUTED_VALUE"""),"22/1/2025")</f>
        <v>22/1/2025</v>
      </c>
      <c r="R164" s="1" t="str">
        <f ca="1">IFERROR(__xludf.DUMMYFUNCTION("""COMPUTED_VALUE"""),"cam kết")</f>
        <v>cam kết</v>
      </c>
      <c r="S164" s="1" t="str">
        <f ca="1">IFERROR(__xludf.DUMMYFUNCTION("""COMPUTED_VALUE"""),"Chuyên đề")</f>
        <v>Chuyên đề</v>
      </c>
      <c r="T164" s="1" t="str">
        <f ca="1">IFERROR(__xludf.DUMMYFUNCTION("""COMPUTED_VALUE"""),"Mai Thị Thương")</f>
        <v>Mai Thị Thương</v>
      </c>
      <c r="U164" s="4">
        <f ca="1">IFERROR(__xludf.DUMMYFUNCTION("""COMPUTED_VALUE"""),45693)</f>
        <v>45693</v>
      </c>
      <c r="V164" s="4">
        <f ca="1">IFERROR(__xludf.DUMMYFUNCTION("""COMPUTED_VALUE"""),45782)</f>
        <v>45782</v>
      </c>
      <c r="W164" s="1">
        <f ca="1">IFERROR(__xludf.DUMMYFUNCTION("""COMPUTED_VALUE"""),163)</f>
        <v>163</v>
      </c>
      <c r="X164" s="3">
        <f ca="1">IFERROR(__xludf.DUMMYFUNCTION("""COMPUTED_VALUE"""),45749)</f>
        <v>45749</v>
      </c>
      <c r="Y164" s="1" t="str">
        <f ca="1">IFERROR(__xludf.DUMMYFUNCTION("""COMPUTED_VALUE"""),"DUYỆT")</f>
        <v>DUYỆT</v>
      </c>
      <c r="Z164" s="3">
        <f ca="1">IFERROR(__xludf.DUMMYFUNCTION("""COMPUTED_VALUE"""),45749)</f>
        <v>45749</v>
      </c>
      <c r="AA164" s="1" t="str">
        <f ca="1">IFERROR(__xludf.DUMMYFUNCTION("""COMPUTED_VALUE"""),"Khách sạn Shilla Monogram Quangnam Danang")</f>
        <v>Khách sạn Shilla Monogram Quangnam Danang</v>
      </c>
      <c r="AB164" s="1" t="str">
        <f ca="1">IFERROR(__xludf.DUMMYFUNCTION("""COMPUTED_VALUE"""),"Nhà hàng")</f>
        <v>Nhà hàng</v>
      </c>
      <c r="AC164" s="1"/>
      <c r="AD164" s="1" t="str">
        <f ca="1">IFERROR(__xludf.DUMMYFUNCTION("""COMPUTED_VALUE"""),"sinh viên phải đảm bảo ko quá 5sv/nhà hàng")</f>
        <v>sinh viên phải đảm bảo ko quá 5sv/nhà hàng</v>
      </c>
      <c r="AE164" s="1" t="str">
        <f ca="1">IFERROR(__xludf.DUMMYFUNCTION("""COMPUTED_VALUE"""),"")</f>
        <v/>
      </c>
    </row>
    <row r="165" spans="1:31" x14ac:dyDescent="0.2">
      <c r="A165" s="6">
        <f ca="1">IFERROR(__xludf.DUMMYFUNCTION("""COMPUTED_VALUE"""),45694.4648478125)</f>
        <v>45694.464847812502</v>
      </c>
      <c r="B165" s="1"/>
      <c r="C165" s="1">
        <f ca="1">IFERROR(__xludf.DUMMYFUNCTION("""COMPUTED_VALUE"""),27207100874)</f>
        <v>27207100874</v>
      </c>
      <c r="D165" s="1" t="str">
        <f ca="1">IFERROR(__xludf.DUMMYFUNCTION("""COMPUTED_VALUE"""),"Nguyễn Thị Quỳnh Như")</f>
        <v>Nguyễn Thị Quỳnh Như</v>
      </c>
      <c r="E165" s="4"/>
      <c r="F165" s="1" t="str">
        <f ca="1">IFERROR(__xludf.DUMMYFUNCTION("""COMPUTED_VALUE"""),"K27DLK4")</f>
        <v>K27DLK4</v>
      </c>
      <c r="G165" s="1" t="str">
        <f ca="1">IFERROR(__xludf.DUMMYFUNCTION("""COMPUTED_VALUE"""),"Quản trị Du lịch &amp; Khách sạn")</f>
        <v>Quản trị Du lịch &amp; Khách sạn</v>
      </c>
      <c r="H165" s="1">
        <f ca="1">IFERROR(__xludf.DUMMYFUNCTION("""COMPUTED_VALUE"""),27)</f>
        <v>27</v>
      </c>
      <c r="I165" s="1"/>
      <c r="J165" s="1" t="str">
        <f ca="1">IFERROR(__xludf.DUMMYFUNCTION("""COMPUTED_VALUE"""),"Chuyên đề")</f>
        <v>Chuyên đề</v>
      </c>
      <c r="K165" s="1" t="str">
        <f ca="1">IFERROR(__xludf.DUMMYFUNCTION("""COMPUTED_VALUE"""),"Chicland Hotel")</f>
        <v>Chicland Hotel</v>
      </c>
      <c r="L165" s="1"/>
      <c r="M165" s="1" t="str">
        <f ca="1">IFERROR(__xludf.DUMMYFUNCTION("""COMPUTED_VALUE"""),"210 Võ Nguyên Giáp, Phước Mỹ, Sơn Trà")</f>
        <v>210 Võ Nguyên Giáp, Phước Mỹ, Sơn Trà</v>
      </c>
      <c r="N165" s="1" t="str">
        <f ca="1">IFERROR(__xludf.DUMMYFUNCTION("""COMPUTED_VALUE"""),"Đà Nẵng")</f>
        <v>Đà Nẵng</v>
      </c>
      <c r="O165" s="1" t="str">
        <f ca="1">IFERROR(__xludf.DUMMYFUNCTION("""COMPUTED_VALUE"""),"Nhà hàng")</f>
        <v>Nhà hàng</v>
      </c>
      <c r="P165" s="1"/>
      <c r="Q165" s="1" t="str">
        <f ca="1">IFERROR(__xludf.DUMMYFUNCTION("""COMPUTED_VALUE"""),"4/2/2025")</f>
        <v>4/2/2025</v>
      </c>
      <c r="R165" s="1" t="str">
        <f ca="1">IFERROR(__xludf.DUMMYFUNCTION("""COMPUTED_VALUE"""),"cam kết")</f>
        <v>cam kết</v>
      </c>
      <c r="S165" s="1" t="str">
        <f ca="1">IFERROR(__xludf.DUMMYFUNCTION("""COMPUTED_VALUE"""),"Chuyên đề")</f>
        <v>Chuyên đề</v>
      </c>
      <c r="T165" s="1" t="str">
        <f ca="1">IFERROR(__xludf.DUMMYFUNCTION("""COMPUTED_VALUE"""),"Dương Thị Xuân Diệu")</f>
        <v>Dương Thị Xuân Diệu</v>
      </c>
      <c r="U165" s="4">
        <f ca="1">IFERROR(__xludf.DUMMYFUNCTION("""COMPUTED_VALUE"""),45698)</f>
        <v>45698</v>
      </c>
      <c r="V165" s="4">
        <f ca="1">IFERROR(__xludf.DUMMYFUNCTION("""COMPUTED_VALUE"""),45787)</f>
        <v>45787</v>
      </c>
      <c r="W165" s="1">
        <f ca="1">IFERROR(__xludf.DUMMYFUNCTION("""COMPUTED_VALUE"""),164)</f>
        <v>164</v>
      </c>
      <c r="X165" s="3">
        <f ca="1">IFERROR(__xludf.DUMMYFUNCTION("""COMPUTED_VALUE"""),45810)</f>
        <v>45810</v>
      </c>
      <c r="Y165" s="1" t="str">
        <f ca="1">IFERROR(__xludf.DUMMYFUNCTION("""COMPUTED_VALUE"""),"DUYỆT")</f>
        <v>DUYỆT</v>
      </c>
      <c r="Z165" s="3">
        <f ca="1">IFERROR(__xludf.DUMMYFUNCTION("""COMPUTED_VALUE"""),45749)</f>
        <v>45749</v>
      </c>
      <c r="AA165" s="1" t="str">
        <f ca="1">IFERROR(__xludf.DUMMYFUNCTION("""COMPUTED_VALUE"""),"Chicland Hotel")</f>
        <v>Chicland Hotel</v>
      </c>
      <c r="AB165" s="1" t="str">
        <f ca="1">IFERROR(__xludf.DUMMYFUNCTION("""COMPUTED_VALUE"""),"Nhà hàng")</f>
        <v>Nhà hàng</v>
      </c>
      <c r="AC165" s="1"/>
      <c r="AD165" s="1"/>
      <c r="AE165" s="1" t="str">
        <f ca="1">IFERROR(__xludf.DUMMYFUNCTION("""COMPUTED_VALUE"""),"")</f>
        <v/>
      </c>
    </row>
    <row r="166" spans="1:31" x14ac:dyDescent="0.2">
      <c r="A166" s="6">
        <f ca="1">IFERROR(__xludf.DUMMYFUNCTION("""COMPUTED_VALUE"""),45692.6402435416)</f>
        <v>45692.640243541602</v>
      </c>
      <c r="B166" s="1"/>
      <c r="C166" s="1">
        <f ca="1">IFERROR(__xludf.DUMMYFUNCTION("""COMPUTED_VALUE"""),27207237015)</f>
        <v>27207237015</v>
      </c>
      <c r="D166" s="1" t="str">
        <f ca="1">IFERROR(__xludf.DUMMYFUNCTION("""COMPUTED_VALUE"""),"Dương Khánh Vy")</f>
        <v>Dương Khánh Vy</v>
      </c>
      <c r="E166" s="4"/>
      <c r="F166" s="1" t="str">
        <f ca="1">IFERROR(__xludf.DUMMYFUNCTION("""COMPUTED_VALUE"""),"K27DLK1")</f>
        <v>K27DLK1</v>
      </c>
      <c r="G166" s="1" t="str">
        <f ca="1">IFERROR(__xludf.DUMMYFUNCTION("""COMPUTED_VALUE"""),"Quản trị Du lịch &amp; Khách sạn")</f>
        <v>Quản trị Du lịch &amp; Khách sạn</v>
      </c>
      <c r="H166" s="1">
        <f ca="1">IFERROR(__xludf.DUMMYFUNCTION("""COMPUTED_VALUE"""),27)</f>
        <v>27</v>
      </c>
      <c r="I166" s="1"/>
      <c r="J166" s="1" t="str">
        <f ca="1">IFERROR(__xludf.DUMMYFUNCTION("""COMPUTED_VALUE"""),"Chuyên đề")</f>
        <v>Chuyên đề</v>
      </c>
      <c r="K166" s="1" t="str">
        <f ca="1">IFERROR(__xludf.DUMMYFUNCTION("""COMPUTED_VALUE"""),"Grand Mercure Đà Nẵng")</f>
        <v>Grand Mercure Đà Nẵng</v>
      </c>
      <c r="L166" s="1"/>
      <c r="M166" s="1" t="str">
        <f ca="1">IFERROR(__xludf.DUMMYFUNCTION("""COMPUTED_VALUE"""),"Lô A1, Khụ biệt thự Đảo Xanh, Phường Hòa Cường Bắc, Quận Hải Châu, Thành phố Đà Nẵng")</f>
        <v>Lô A1, Khụ biệt thự Đảo Xanh, Phường Hòa Cường Bắc, Quận Hải Châu, Thành phố Đà Nẵng</v>
      </c>
      <c r="N166" s="1" t="str">
        <f ca="1">IFERROR(__xludf.DUMMYFUNCTION("""COMPUTED_VALUE"""),"Đà Nẵng ")</f>
        <v xml:space="preserve">Đà Nẵng </v>
      </c>
      <c r="O166" s="1" t="str">
        <f ca="1">IFERROR(__xludf.DUMMYFUNCTION("""COMPUTED_VALUE"""),"Nhà hàng")</f>
        <v>Nhà hàng</v>
      </c>
      <c r="P166" s="1"/>
      <c r="Q166" s="1" t="str">
        <f ca="1">IFERROR(__xludf.DUMMYFUNCTION("""COMPUTED_VALUE"""),"5/2/2025")</f>
        <v>5/2/2025</v>
      </c>
      <c r="R166" s="1" t="str">
        <f ca="1">IFERROR(__xludf.DUMMYFUNCTION("""COMPUTED_VALUE"""),"cam kết")</f>
        <v>cam kết</v>
      </c>
      <c r="S166" s="1" t="str">
        <f ca="1">IFERROR(__xludf.DUMMYFUNCTION("""COMPUTED_VALUE"""),"Chuyên đề")</f>
        <v>Chuyên đề</v>
      </c>
      <c r="T166" s="1"/>
      <c r="U166" s="4">
        <f ca="1">IFERROR(__xludf.DUMMYFUNCTION("""COMPUTED_VALUE"""),45698)</f>
        <v>45698</v>
      </c>
      <c r="V166" s="4">
        <f ca="1">IFERROR(__xludf.DUMMYFUNCTION("""COMPUTED_VALUE"""),45787)</f>
        <v>45787</v>
      </c>
      <c r="W166" s="1">
        <f ca="1">IFERROR(__xludf.DUMMYFUNCTION("""COMPUTED_VALUE"""),165)</f>
        <v>165</v>
      </c>
      <c r="X166" s="3">
        <f ca="1">IFERROR(__xludf.DUMMYFUNCTION("""COMPUTED_VALUE"""),45810)</f>
        <v>45810</v>
      </c>
      <c r="Y166" s="1" t="str">
        <f ca="1">IFERROR(__xludf.DUMMYFUNCTION("""COMPUTED_VALUE"""),"DUYỆT")</f>
        <v>DUYỆT</v>
      </c>
      <c r="Z166" s="3">
        <f ca="1">IFERROR(__xludf.DUMMYFUNCTION("""COMPUTED_VALUE"""),45779)</f>
        <v>45779</v>
      </c>
      <c r="AA166" s="1" t="str">
        <f ca="1">IFERROR(__xludf.DUMMYFUNCTION("""COMPUTED_VALUE"""),"Grand Mercure Đà Nẵng")</f>
        <v>Grand Mercure Đà Nẵng</v>
      </c>
      <c r="AB166" s="1" t="str">
        <f ca="1">IFERROR(__xludf.DUMMYFUNCTION("""COMPUTED_VALUE"""),"Nhà hàng")</f>
        <v>Nhà hàng</v>
      </c>
      <c r="AC166" s="1"/>
      <c r="AD166" s="1" t="str">
        <f ca="1">IFERROR(__xludf.DUMMYFUNCTION("""COMPUTED_VALUE"""),"SV đến VP khoa nhận lại Thỏa thuận thực tập")</f>
        <v>SV đến VP khoa nhận lại Thỏa thuận thực tập</v>
      </c>
      <c r="AE166" s="1" t="str">
        <f ca="1">IFERROR(__xludf.DUMMYFUNCTION("""COMPUTED_VALUE"""),"")</f>
        <v/>
      </c>
    </row>
    <row r="167" spans="1:31" x14ac:dyDescent="0.2">
      <c r="A167" s="6">
        <f ca="1">IFERROR(__xludf.DUMMYFUNCTION("""COMPUTED_VALUE"""),45692.6402781828)</f>
        <v>45692.6402781828</v>
      </c>
      <c r="B167" s="1"/>
      <c r="C167" s="1">
        <f ca="1">IFERROR(__xludf.DUMMYFUNCTION("""COMPUTED_VALUE"""),27217143497)</f>
        <v>27217143497</v>
      </c>
      <c r="D167" s="1" t="str">
        <f ca="1">IFERROR(__xludf.DUMMYFUNCTION("""COMPUTED_VALUE"""),"Đinh Hoàng Mơ")</f>
        <v>Đinh Hoàng Mơ</v>
      </c>
      <c r="E167" s="4"/>
      <c r="F167" s="1" t="str">
        <f ca="1">IFERROR(__xludf.DUMMYFUNCTION("""COMPUTED_VALUE"""),"K27DLK1")</f>
        <v>K27DLK1</v>
      </c>
      <c r="G167" s="1" t="str">
        <f ca="1">IFERROR(__xludf.DUMMYFUNCTION("""COMPUTED_VALUE"""),"Quản trị Du lịch &amp; Khách sạn")</f>
        <v>Quản trị Du lịch &amp; Khách sạn</v>
      </c>
      <c r="H167" s="1">
        <f ca="1">IFERROR(__xludf.DUMMYFUNCTION("""COMPUTED_VALUE"""),27)</f>
        <v>27</v>
      </c>
      <c r="I167" s="1"/>
      <c r="J167" s="1" t="str">
        <f ca="1">IFERROR(__xludf.DUMMYFUNCTION("""COMPUTED_VALUE"""),"Chuyên đề")</f>
        <v>Chuyên đề</v>
      </c>
      <c r="K167" s="1" t="str">
        <f ca="1">IFERROR(__xludf.DUMMYFUNCTION("""COMPUTED_VALUE"""),"Sala Danang Beach Hotel")</f>
        <v>Sala Danang Beach Hotel</v>
      </c>
      <c r="L167" s="1"/>
      <c r="M167" s="1" t="str">
        <f ca="1">IFERROR(__xludf.DUMMYFUNCTION("""COMPUTED_VALUE"""),"36-38 Đ. Lâm Hoành, Phước Mỹ, Sơn Trà, Đà Nẵng ")</f>
        <v xml:space="preserve">36-38 Đ. Lâm Hoành, Phước Mỹ, Sơn Trà, Đà Nẵng </v>
      </c>
      <c r="N167" s="1" t="str">
        <f ca="1">IFERROR(__xludf.DUMMYFUNCTION("""COMPUTED_VALUE"""),"Đà Nẵng")</f>
        <v>Đà Nẵng</v>
      </c>
      <c r="O167" s="1" t="str">
        <f ca="1">IFERROR(__xludf.DUMMYFUNCTION("""COMPUTED_VALUE"""),"Nhà hàng")</f>
        <v>Nhà hàng</v>
      </c>
      <c r="P167" s="1"/>
      <c r="Q167" s="1" t="str">
        <f ca="1">IFERROR(__xludf.DUMMYFUNCTION("""COMPUTED_VALUE"""),"5/2/2025")</f>
        <v>5/2/2025</v>
      </c>
      <c r="R167" s="1" t="str">
        <f ca="1">IFERROR(__xludf.DUMMYFUNCTION("""COMPUTED_VALUE"""),"cam kết")</f>
        <v>cam kết</v>
      </c>
      <c r="S167" s="1" t="str">
        <f ca="1">IFERROR(__xludf.DUMMYFUNCTION("""COMPUTED_VALUE"""),"Chuyên đề")</f>
        <v>Chuyên đề</v>
      </c>
      <c r="T167" s="1"/>
      <c r="U167" s="4">
        <f ca="1">IFERROR(__xludf.DUMMYFUNCTION("""COMPUTED_VALUE"""),45663)</f>
        <v>45663</v>
      </c>
      <c r="V167" s="4">
        <f ca="1">IFERROR(__xludf.DUMMYFUNCTION("""COMPUTED_VALUE"""),45753)</f>
        <v>45753</v>
      </c>
      <c r="W167" s="1">
        <f ca="1">IFERROR(__xludf.DUMMYFUNCTION("""COMPUTED_VALUE"""),166)</f>
        <v>166</v>
      </c>
      <c r="X167" s="3">
        <f ca="1">IFERROR(__xludf.DUMMYFUNCTION("""COMPUTED_VALUE"""),45810)</f>
        <v>45810</v>
      </c>
      <c r="Y167" s="1" t="str">
        <f ca="1">IFERROR(__xludf.DUMMYFUNCTION("""COMPUTED_VALUE"""),"DUYỆT")</f>
        <v>DUYỆT</v>
      </c>
      <c r="Z167" s="3">
        <f ca="1">IFERROR(__xludf.DUMMYFUNCTION("""COMPUTED_VALUE"""),45779)</f>
        <v>45779</v>
      </c>
      <c r="AA167" s="1" t="str">
        <f ca="1">IFERROR(__xludf.DUMMYFUNCTION("""COMPUTED_VALUE"""),"Sala Danang Beach Hotel")</f>
        <v>Sala Danang Beach Hotel</v>
      </c>
      <c r="AB167" s="1" t="str">
        <f ca="1">IFERROR(__xludf.DUMMYFUNCTION("""COMPUTED_VALUE"""),"Nhà hàng")</f>
        <v>Nhà hàng</v>
      </c>
      <c r="AC167" s="1"/>
      <c r="AD167" s="1"/>
      <c r="AE167" s="1" t="str">
        <f ca="1">IFERROR(__xludf.DUMMYFUNCTION("""COMPUTED_VALUE"""),"")</f>
        <v/>
      </c>
    </row>
    <row r="168" spans="1:31" x14ac:dyDescent="0.2">
      <c r="A168" s="6">
        <f ca="1">IFERROR(__xludf.DUMMYFUNCTION("""COMPUTED_VALUE"""),45692.9770360416)</f>
        <v>45692.977036041601</v>
      </c>
      <c r="B168" s="1"/>
      <c r="C168" s="1">
        <f ca="1">IFERROR(__xludf.DUMMYFUNCTION("""COMPUTED_VALUE"""),27207100654)</f>
        <v>27207100654</v>
      </c>
      <c r="D168" s="1" t="str">
        <f ca="1">IFERROR(__xludf.DUMMYFUNCTION("""COMPUTED_VALUE"""),"Hồ Yến Nhi")</f>
        <v>Hồ Yến Nhi</v>
      </c>
      <c r="E168" s="4"/>
      <c r="F168" s="1" t="str">
        <f ca="1">IFERROR(__xludf.DUMMYFUNCTION("""COMPUTED_VALUE"""),"K27PSUDLK1")</f>
        <v>K27PSUDLK1</v>
      </c>
      <c r="G168" s="1" t="str">
        <f ca="1">IFERROR(__xludf.DUMMYFUNCTION("""COMPUTED_VALUE"""),"Quản trị Du lịch &amp; Khách sạn chuẩn PSU")</f>
        <v>Quản trị Du lịch &amp; Khách sạn chuẩn PSU</v>
      </c>
      <c r="H168" s="1">
        <f ca="1">IFERROR(__xludf.DUMMYFUNCTION("""COMPUTED_VALUE"""),27)</f>
        <v>27</v>
      </c>
      <c r="I168" s="1"/>
      <c r="J168" s="1" t="str">
        <f ca="1">IFERROR(__xludf.DUMMYFUNCTION("""COMPUTED_VALUE"""),"Chuyên đề")</f>
        <v>Chuyên đề</v>
      </c>
      <c r="K168" s="1" t="str">
        <f ca="1">IFERROR(__xludf.DUMMYFUNCTION("""COMPUTED_VALUE"""),"Pullman Danang Beach Resort")</f>
        <v>Pullman Danang Beach Resort</v>
      </c>
      <c r="L168" s="1"/>
      <c r="M168" s="1" t="str">
        <f ca="1">IFERROR(__xludf.DUMMYFUNCTION("""COMPUTED_VALUE"""),"101 Võ Nguyên Giáp, Ngũ Hành Sơn, Đà Nẵng")</f>
        <v>101 Võ Nguyên Giáp, Ngũ Hành Sơn, Đà Nẵng</v>
      </c>
      <c r="N168" s="1" t="str">
        <f ca="1">IFERROR(__xludf.DUMMYFUNCTION("""COMPUTED_VALUE"""),"Đà Nẵng")</f>
        <v>Đà Nẵng</v>
      </c>
      <c r="O168" s="1" t="str">
        <f ca="1">IFERROR(__xludf.DUMMYFUNCTION("""COMPUTED_VALUE"""),"Nhà hàng")</f>
        <v>Nhà hàng</v>
      </c>
      <c r="P168" s="1"/>
      <c r="Q168" s="1" t="str">
        <f ca="1">IFERROR(__xludf.DUMMYFUNCTION("""COMPUTED_VALUE"""),"10/2/2025")</f>
        <v>10/2/2025</v>
      </c>
      <c r="R168" s="1" t="str">
        <f ca="1">IFERROR(__xludf.DUMMYFUNCTION("""COMPUTED_VALUE"""),"cam kết")</f>
        <v>cam kết</v>
      </c>
      <c r="S168" s="1" t="str">
        <f ca="1">IFERROR(__xludf.DUMMYFUNCTION("""COMPUTED_VALUE"""),"Chuyên đề")</f>
        <v>Chuyên đề</v>
      </c>
      <c r="T168" s="1"/>
      <c r="U168" s="4">
        <f ca="1">IFERROR(__xludf.DUMMYFUNCTION("""COMPUTED_VALUE"""),45694)</f>
        <v>45694</v>
      </c>
      <c r="V168" s="4">
        <f ca="1">IFERROR(__xludf.DUMMYFUNCTION("""COMPUTED_VALUE"""),45783)</f>
        <v>45783</v>
      </c>
      <c r="W168" s="1">
        <f ca="1">IFERROR(__xludf.DUMMYFUNCTION("""COMPUTED_VALUE"""),167)</f>
        <v>167</v>
      </c>
      <c r="X168" s="3">
        <f ca="1">IFERROR(__xludf.DUMMYFUNCTION("""COMPUTED_VALUE"""),45963)</f>
        <v>45963</v>
      </c>
      <c r="Y168" s="1" t="str">
        <f ca="1">IFERROR(__xludf.DUMMYFUNCTION("""COMPUTED_VALUE"""),"DUYỆT")</f>
        <v>DUYỆT</v>
      </c>
      <c r="Z168" s="3">
        <f ca="1">IFERROR(__xludf.DUMMYFUNCTION("""COMPUTED_VALUE"""),45779)</f>
        <v>45779</v>
      </c>
      <c r="AA168" s="1" t="str">
        <f ca="1">IFERROR(__xludf.DUMMYFUNCTION("""COMPUTED_VALUE"""),"Pullman Danang Beach Resort")</f>
        <v>Pullman Danang Beach Resort</v>
      </c>
      <c r="AB168" s="1" t="str">
        <f ca="1">IFERROR(__xludf.DUMMYFUNCTION("""COMPUTED_VALUE"""),"Nhà hàng")</f>
        <v>Nhà hàng</v>
      </c>
      <c r="AC168" s="1"/>
      <c r="AD168" s="1" t="str">
        <f ca="1">IFERROR(__xludf.DUMMYFUNCTION("""COMPUTED_VALUE"""),"Trưởng khoa đã duyệt đơn")</f>
        <v>Trưởng khoa đã duyệt đơn</v>
      </c>
      <c r="AE168" s="1" t="str">
        <f ca="1">IFERROR(__xludf.DUMMYFUNCTION("""COMPUTED_VALUE"""),"")</f>
        <v/>
      </c>
    </row>
    <row r="169" spans="1:31" x14ac:dyDescent="0.2">
      <c r="A169" s="6">
        <f ca="1">IFERROR(__xludf.DUMMYFUNCTION("""COMPUTED_VALUE"""),45692.9745107175)</f>
        <v>45692.974510717497</v>
      </c>
      <c r="B169" s="1"/>
      <c r="C169" s="1">
        <f ca="1">IFERROR(__xludf.DUMMYFUNCTION("""COMPUTED_VALUE"""),27202131041)</f>
        <v>27202131041</v>
      </c>
      <c r="D169" s="1" t="str">
        <f ca="1">IFERROR(__xludf.DUMMYFUNCTION("""COMPUTED_VALUE"""),"Đinh Thị Vỹ Tâm ")</f>
        <v xml:space="preserve">Đinh Thị Vỹ Tâm </v>
      </c>
      <c r="E169" s="4"/>
      <c r="F169" s="1" t="str">
        <f ca="1">IFERROR(__xludf.DUMMYFUNCTION("""COMPUTED_VALUE"""),"K27_PSU_DLK1")</f>
        <v>K27_PSU_DLK1</v>
      </c>
      <c r="G169" s="1" t="str">
        <f ca="1">IFERROR(__xludf.DUMMYFUNCTION("""COMPUTED_VALUE"""),"Quản trị Du lịch &amp; Khách sạn chuẩn PSU")</f>
        <v>Quản trị Du lịch &amp; Khách sạn chuẩn PSU</v>
      </c>
      <c r="H169" s="1">
        <f ca="1">IFERROR(__xludf.DUMMYFUNCTION("""COMPUTED_VALUE"""),27)</f>
        <v>27</v>
      </c>
      <c r="I169" s="1"/>
      <c r="J169" s="1" t="str">
        <f ca="1">IFERROR(__xludf.DUMMYFUNCTION("""COMPUTED_VALUE"""),"Chuyên đề")</f>
        <v>Chuyên đề</v>
      </c>
      <c r="K169" s="1" t="str">
        <f ca="1">IFERROR(__xludf.DUMMYFUNCTION("""COMPUTED_VALUE"""),"Pullman Danang Beach Resort")</f>
        <v>Pullman Danang Beach Resort</v>
      </c>
      <c r="L169" s="1"/>
      <c r="M169" s="1" t="str">
        <f ca="1">IFERROR(__xludf.DUMMYFUNCTION("""COMPUTED_VALUE"""),"101 Võ Nguyên Giáp, Ngũ, Hành Sơn, Đà Nẵng")</f>
        <v>101 Võ Nguyên Giáp, Ngũ, Hành Sơn, Đà Nẵng</v>
      </c>
      <c r="N169" s="1" t="str">
        <f ca="1">IFERROR(__xludf.DUMMYFUNCTION("""COMPUTED_VALUE"""),"TP Đà Nẵng")</f>
        <v>TP Đà Nẵng</v>
      </c>
      <c r="O169" s="1" t="str">
        <f ca="1">IFERROR(__xludf.DUMMYFUNCTION("""COMPUTED_VALUE"""),"Nhà hàng")</f>
        <v>Nhà hàng</v>
      </c>
      <c r="P169" s="1"/>
      <c r="Q169" s="1" t="str">
        <f ca="1">IFERROR(__xludf.DUMMYFUNCTION("""COMPUTED_VALUE"""),"10/02/2025")</f>
        <v>10/02/2025</v>
      </c>
      <c r="R169" s="1" t="str">
        <f ca="1">IFERROR(__xludf.DUMMYFUNCTION("""COMPUTED_VALUE"""),"cam kết")</f>
        <v>cam kết</v>
      </c>
      <c r="S169" s="1" t="str">
        <f ca="1">IFERROR(__xludf.DUMMYFUNCTION("""COMPUTED_VALUE"""),"Chuyên đề")</f>
        <v>Chuyên đề</v>
      </c>
      <c r="T169" s="1"/>
      <c r="U169" s="4">
        <f ca="1">IFERROR(__xludf.DUMMYFUNCTION("""COMPUTED_VALUE"""),45694)</f>
        <v>45694</v>
      </c>
      <c r="V169" s="4">
        <f ca="1">IFERROR(__xludf.DUMMYFUNCTION("""COMPUTED_VALUE"""),45783)</f>
        <v>45783</v>
      </c>
      <c r="W169" s="1">
        <f ca="1">IFERROR(__xludf.DUMMYFUNCTION("""COMPUTED_VALUE"""),168)</f>
        <v>168</v>
      </c>
      <c r="X169" s="3">
        <f ca="1">IFERROR(__xludf.DUMMYFUNCTION("""COMPUTED_VALUE"""),45963)</f>
        <v>45963</v>
      </c>
      <c r="Y169" s="1" t="str">
        <f ca="1">IFERROR(__xludf.DUMMYFUNCTION("""COMPUTED_VALUE"""),"DUYỆT")</f>
        <v>DUYỆT</v>
      </c>
      <c r="Z169" s="3">
        <f ca="1">IFERROR(__xludf.DUMMYFUNCTION("""COMPUTED_VALUE"""),45779)</f>
        <v>45779</v>
      </c>
      <c r="AA169" s="1" t="str">
        <f ca="1">IFERROR(__xludf.DUMMYFUNCTION("""COMPUTED_VALUE"""),"Pullman Danang Beach Resort")</f>
        <v>Pullman Danang Beach Resort</v>
      </c>
      <c r="AB169" s="1" t="str">
        <f ca="1">IFERROR(__xludf.DUMMYFUNCTION("""COMPUTED_VALUE"""),"Nhà hàng")</f>
        <v>Nhà hàng</v>
      </c>
      <c r="AC169" s="1"/>
      <c r="AD169" s="1" t="str">
        <f ca="1">IFERROR(__xludf.DUMMYFUNCTION("""COMPUTED_VALUE"""),"Trưởng khoa đã duyệt đơn")</f>
        <v>Trưởng khoa đã duyệt đơn</v>
      </c>
      <c r="AE169" s="1" t="str">
        <f ca="1">IFERROR(__xludf.DUMMYFUNCTION("""COMPUTED_VALUE"""),"")</f>
        <v/>
      </c>
    </row>
    <row r="170" spans="1:31" x14ac:dyDescent="0.2">
      <c r="A170" s="6">
        <f ca="1">IFERROR(__xludf.DUMMYFUNCTION("""COMPUTED_VALUE"""),45692.9824145601)</f>
        <v>45692.982414560101</v>
      </c>
      <c r="B170" s="1"/>
      <c r="C170" s="1">
        <f ca="1">IFERROR(__xludf.DUMMYFUNCTION("""COMPUTED_VALUE"""),27217128905)</f>
        <v>27217128905</v>
      </c>
      <c r="D170" s="1" t="str">
        <f ca="1">IFERROR(__xludf.DUMMYFUNCTION("""COMPUTED_VALUE"""),"Văn Thanh Việt")</f>
        <v>Văn Thanh Việt</v>
      </c>
      <c r="E170" s="4"/>
      <c r="F170" s="1" t="str">
        <f ca="1">IFERROR(__xludf.DUMMYFUNCTION("""COMPUTED_VALUE"""),"K27PSU-DLK1")</f>
        <v>K27PSU-DLK1</v>
      </c>
      <c r="G170" s="1" t="str">
        <f ca="1">IFERROR(__xludf.DUMMYFUNCTION("""COMPUTED_VALUE"""),"Quản trị Du lịch &amp; Khách sạn chuẩn PSU")</f>
        <v>Quản trị Du lịch &amp; Khách sạn chuẩn PSU</v>
      </c>
      <c r="H170" s="1">
        <f ca="1">IFERROR(__xludf.DUMMYFUNCTION("""COMPUTED_VALUE"""),27)</f>
        <v>27</v>
      </c>
      <c r="I170" s="1"/>
      <c r="J170" s="1" t="str">
        <f ca="1">IFERROR(__xludf.DUMMYFUNCTION("""COMPUTED_VALUE"""),"Chuyên đề")</f>
        <v>Chuyên đề</v>
      </c>
      <c r="K170" s="1" t="str">
        <f ca="1">IFERROR(__xludf.DUMMYFUNCTION("""COMPUTED_VALUE"""),"Pullman Danang Beach Resort")</f>
        <v>Pullman Danang Beach Resort</v>
      </c>
      <c r="L170" s="1"/>
      <c r="M170" s="1" t="str">
        <f ca="1">IFERROR(__xludf.DUMMYFUNCTION("""COMPUTED_VALUE"""),"101 Võ Nguyên Giáp, Street, Ngũ Hành Sơn, Đà Nẵng")</f>
        <v>101 Võ Nguyên Giáp, Street, Ngũ Hành Sơn, Đà Nẵng</v>
      </c>
      <c r="N170" s="1" t="str">
        <f ca="1">IFERROR(__xludf.DUMMYFUNCTION("""COMPUTED_VALUE"""),"Đà Nẵng")</f>
        <v>Đà Nẵng</v>
      </c>
      <c r="O170" s="1" t="str">
        <f ca="1">IFERROR(__xludf.DUMMYFUNCTION("""COMPUTED_VALUE"""),"Nhà hàng")</f>
        <v>Nhà hàng</v>
      </c>
      <c r="P170" s="1"/>
      <c r="Q170" s="1" t="str">
        <f ca="1">IFERROR(__xludf.DUMMYFUNCTION("""COMPUTED_VALUE"""),"10/02/2025")</f>
        <v>10/02/2025</v>
      </c>
      <c r="R170" s="1" t="str">
        <f ca="1">IFERROR(__xludf.DUMMYFUNCTION("""COMPUTED_VALUE"""),"cam kết")</f>
        <v>cam kết</v>
      </c>
      <c r="S170" s="1" t="str">
        <f ca="1">IFERROR(__xludf.DUMMYFUNCTION("""COMPUTED_VALUE"""),"Chuyên đề")</f>
        <v>Chuyên đề</v>
      </c>
      <c r="T170" s="1" t="str">
        <f ca="1">IFERROR(__xludf.DUMMYFUNCTION("""COMPUTED_VALUE"""),"Hồ Sử Minh Tài")</f>
        <v>Hồ Sử Minh Tài</v>
      </c>
      <c r="U170" s="4">
        <f ca="1">IFERROR(__xludf.DUMMYFUNCTION("""COMPUTED_VALUE"""),45694)</f>
        <v>45694</v>
      </c>
      <c r="V170" s="4">
        <f ca="1">IFERROR(__xludf.DUMMYFUNCTION("""COMPUTED_VALUE"""),45783)</f>
        <v>45783</v>
      </c>
      <c r="W170" s="1">
        <f ca="1">IFERROR(__xludf.DUMMYFUNCTION("""COMPUTED_VALUE"""),169)</f>
        <v>169</v>
      </c>
      <c r="X170" s="3">
        <f ca="1">IFERROR(__xludf.DUMMYFUNCTION("""COMPUTED_VALUE"""),45963)</f>
        <v>45963</v>
      </c>
      <c r="Y170" s="1" t="str">
        <f ca="1">IFERROR(__xludf.DUMMYFUNCTION("""COMPUTED_VALUE"""),"DUYỆT")</f>
        <v>DUYỆT</v>
      </c>
      <c r="Z170" s="3">
        <f ca="1">IFERROR(__xludf.DUMMYFUNCTION("""COMPUTED_VALUE"""),45779)</f>
        <v>45779</v>
      </c>
      <c r="AA170" s="1" t="str">
        <f ca="1">IFERROR(__xludf.DUMMYFUNCTION("""COMPUTED_VALUE"""),"Pullman Danang Beach Resort")</f>
        <v>Pullman Danang Beach Resort</v>
      </c>
      <c r="AB170" s="1" t="str">
        <f ca="1">IFERROR(__xludf.DUMMYFUNCTION("""COMPUTED_VALUE"""),"Nhà hàng")</f>
        <v>Nhà hàng</v>
      </c>
      <c r="AC170" s="1"/>
      <c r="AD170" s="1" t="str">
        <f ca="1">IFERROR(__xludf.DUMMYFUNCTION("""COMPUTED_VALUE"""),"Trưởng khoa đã duyệt đơn")</f>
        <v>Trưởng khoa đã duyệt đơn</v>
      </c>
      <c r="AE170" s="1" t="str">
        <f ca="1">IFERROR(__xludf.DUMMYFUNCTION("""COMPUTED_VALUE"""),"")</f>
        <v/>
      </c>
    </row>
    <row r="171" spans="1:31" x14ac:dyDescent="0.2">
      <c r="A171" s="6">
        <f ca="1">IFERROR(__xludf.DUMMYFUNCTION("""COMPUTED_VALUE"""),45693.4676755671)</f>
        <v>45693.467675567103</v>
      </c>
      <c r="B171" s="1"/>
      <c r="C171" s="1">
        <f ca="1">IFERROR(__xludf.DUMMYFUNCTION("""COMPUTED_VALUE"""),26217142313)</f>
        <v>26217142313</v>
      </c>
      <c r="D171" s="1" t="str">
        <f ca="1">IFERROR(__xludf.DUMMYFUNCTION("""COMPUTED_VALUE"""),"Đỗ Hải Thanh Hà")</f>
        <v>Đỗ Hải Thanh Hà</v>
      </c>
      <c r="E171" s="4"/>
      <c r="F171" s="1" t="str">
        <f ca="1">IFERROR(__xludf.DUMMYFUNCTION("""COMPUTED_VALUE"""),"K26DLK 15")</f>
        <v>K26DLK 15</v>
      </c>
      <c r="G171" s="1" t="str">
        <f ca="1">IFERROR(__xludf.DUMMYFUNCTION("""COMPUTED_VALUE"""),"Quản trị Du lịch &amp; Khách sạn")</f>
        <v>Quản trị Du lịch &amp; Khách sạn</v>
      </c>
      <c r="H171" s="1">
        <f ca="1">IFERROR(__xludf.DUMMYFUNCTION("""COMPUTED_VALUE"""),26)</f>
        <v>26</v>
      </c>
      <c r="I171" s="1"/>
      <c r="J171" s="1" t="str">
        <f ca="1">IFERROR(__xludf.DUMMYFUNCTION("""COMPUTED_VALUE"""),"Chuyên đề")</f>
        <v>Chuyên đề</v>
      </c>
      <c r="K171" s="1" t="str">
        <f ca="1">IFERROR(__xludf.DUMMYFUNCTION("""COMPUTED_VALUE"""),"Hotel Royal HoiAn")</f>
        <v>Hotel Royal HoiAn</v>
      </c>
      <c r="L171" s="1"/>
      <c r="M171" s="1" t="str">
        <f ca="1">IFERROR(__xludf.DUMMYFUNCTION("""COMPUTED_VALUE"""),"39 Đào Duy Từ")</f>
        <v>39 Đào Duy Từ</v>
      </c>
      <c r="N171" s="1" t="str">
        <f ca="1">IFERROR(__xludf.DUMMYFUNCTION("""COMPUTED_VALUE"""),"Hội An")</f>
        <v>Hội An</v>
      </c>
      <c r="O171" s="1" t="str">
        <f ca="1">IFERROR(__xludf.DUMMYFUNCTION("""COMPUTED_VALUE"""),"Buồng phòng")</f>
        <v>Buồng phòng</v>
      </c>
      <c r="P171" s="1"/>
      <c r="Q171" s="1" t="str">
        <f ca="1">IFERROR(__xludf.DUMMYFUNCTION("""COMPUTED_VALUE"""),"10/02/2025")</f>
        <v>10/02/2025</v>
      </c>
      <c r="R171" s="1" t="str">
        <f ca="1">IFERROR(__xludf.DUMMYFUNCTION("""COMPUTED_VALUE"""),"cam kết")</f>
        <v>cam kết</v>
      </c>
      <c r="S171" s="1" t="str">
        <f ca="1">IFERROR(__xludf.DUMMYFUNCTION("""COMPUTED_VALUE"""),"Chuyên đề")</f>
        <v>Chuyên đề</v>
      </c>
      <c r="T171" s="1" t="str">
        <f ca="1">IFERROR(__xludf.DUMMYFUNCTION("""COMPUTED_VALUE"""),"Dương Thị Xuân Diệu")</f>
        <v>Dương Thị Xuân Diệu</v>
      </c>
      <c r="U171" s="4">
        <f ca="1">IFERROR(__xludf.DUMMYFUNCTION("""COMPUTED_VALUE"""),45696)</f>
        <v>45696</v>
      </c>
      <c r="V171" s="4">
        <f ca="1">IFERROR(__xludf.DUMMYFUNCTION("""COMPUTED_VALUE"""),45785)</f>
        <v>45785</v>
      </c>
      <c r="W171" s="1">
        <f ca="1">IFERROR(__xludf.DUMMYFUNCTION("""COMPUTED_VALUE"""),170)</f>
        <v>170</v>
      </c>
      <c r="X171" s="3">
        <f ca="1">IFERROR(__xludf.DUMMYFUNCTION("""COMPUTED_VALUE"""),45963)</f>
        <v>45963</v>
      </c>
      <c r="Y171" s="1" t="str">
        <f ca="1">IFERROR(__xludf.DUMMYFUNCTION("""COMPUTED_VALUE"""),"DUYỆT")</f>
        <v>DUYỆT</v>
      </c>
      <c r="Z171" s="3">
        <f ca="1">IFERROR(__xludf.DUMMYFUNCTION("""COMPUTED_VALUE"""),45779)</f>
        <v>45779</v>
      </c>
      <c r="AA171" s="1" t="str">
        <f ca="1">IFERROR(__xludf.DUMMYFUNCTION("""COMPUTED_VALUE"""),"Hotel Royal HoiAn")</f>
        <v>Hotel Royal HoiAn</v>
      </c>
      <c r="AB171" s="1" t="str">
        <f ca="1">IFERROR(__xludf.DUMMYFUNCTION("""COMPUTED_VALUE"""),"Buồng phòng")</f>
        <v>Buồng phòng</v>
      </c>
      <c r="AC171" s="1" t="str">
        <f ca="1">IFERROR(__xludf.DUMMYFUNCTION("""COMPUTED_VALUE"""),"ĐÃ NỘP")</f>
        <v>ĐÃ NỘP</v>
      </c>
      <c r="AD171" s="1"/>
      <c r="AE171" s="1" t="str">
        <f ca="1">IFERROR(__xludf.DUMMYFUNCTION("""COMPUTED_VALUE"""),"")</f>
        <v/>
      </c>
    </row>
    <row r="172" spans="1:31" x14ac:dyDescent="0.2">
      <c r="A172" s="6">
        <f ca="1">IFERROR(__xludf.DUMMYFUNCTION("""COMPUTED_VALUE"""),45693.4730721296)</f>
        <v>45693.4730721296</v>
      </c>
      <c r="B172" s="1"/>
      <c r="C172" s="1">
        <f ca="1">IFERROR(__xludf.DUMMYFUNCTION("""COMPUTED_VALUE"""),27217133352)</f>
        <v>27217133352</v>
      </c>
      <c r="D172" s="1" t="str">
        <f ca="1">IFERROR(__xludf.DUMMYFUNCTION("""COMPUTED_VALUE"""),"Sử Hoàng Tú Quyên")</f>
        <v>Sử Hoàng Tú Quyên</v>
      </c>
      <c r="E172" s="4"/>
      <c r="F172" s="1" t="str">
        <f ca="1">IFERROR(__xludf.DUMMYFUNCTION("""COMPUTED_VALUE"""),"K27DLK5")</f>
        <v>K27DLK5</v>
      </c>
      <c r="G172" s="1" t="str">
        <f ca="1">IFERROR(__xludf.DUMMYFUNCTION("""COMPUTED_VALUE"""),"Quản trị Du lịch &amp; Khách sạn")</f>
        <v>Quản trị Du lịch &amp; Khách sạn</v>
      </c>
      <c r="H172" s="1">
        <f ca="1">IFERROR(__xludf.DUMMYFUNCTION("""COMPUTED_VALUE"""),27)</f>
        <v>27</v>
      </c>
      <c r="I172" s="1"/>
      <c r="J172" s="1" t="str">
        <f ca="1">IFERROR(__xludf.DUMMYFUNCTION("""COMPUTED_VALUE"""),"Chuyên đề")</f>
        <v>Chuyên đề</v>
      </c>
      <c r="K172" s="1" t="str">
        <f ca="1">IFERROR(__xludf.DUMMYFUNCTION("""COMPUTED_VALUE"""),"Da Nang Mikazuki Japanese Resorts &amp; Spa")</f>
        <v>Da Nang Mikazuki Japanese Resorts &amp; Spa</v>
      </c>
      <c r="L172" s="1"/>
      <c r="M172" s="1" t="str">
        <f ca="1">IFERROR(__xludf.DUMMYFUNCTION("""COMPUTED_VALUE"""),"Khu du lịch Xuân Thiều, Đường Nguyễn Tất Thành, Đà Nẵng")</f>
        <v>Khu du lịch Xuân Thiều, Đường Nguyễn Tất Thành, Đà Nẵng</v>
      </c>
      <c r="N172" s="1" t="str">
        <f ca="1">IFERROR(__xludf.DUMMYFUNCTION("""COMPUTED_VALUE"""),"Đà Nẵng")</f>
        <v>Đà Nẵng</v>
      </c>
      <c r="O172" s="1" t="str">
        <f ca="1">IFERROR(__xludf.DUMMYFUNCTION("""COMPUTED_VALUE"""),"Buồng phòng")</f>
        <v>Buồng phòng</v>
      </c>
      <c r="P172" s="1"/>
      <c r="Q172" s="1" t="str">
        <f ca="1">IFERROR(__xludf.DUMMYFUNCTION("""COMPUTED_VALUE"""),"5/2/2025")</f>
        <v>5/2/2025</v>
      </c>
      <c r="R172" s="1" t="str">
        <f ca="1">IFERROR(__xludf.DUMMYFUNCTION("""COMPUTED_VALUE"""),"cam kết")</f>
        <v>cam kết</v>
      </c>
      <c r="S172" s="1" t="str">
        <f ca="1">IFERROR(__xludf.DUMMYFUNCTION("""COMPUTED_VALUE"""),"Chuyên đề")</f>
        <v>Chuyên đề</v>
      </c>
      <c r="T172" s="1" t="str">
        <f ca="1">IFERROR(__xludf.DUMMYFUNCTION("""COMPUTED_VALUE"""),"Mai Thị Thương")</f>
        <v>Mai Thị Thương</v>
      </c>
      <c r="U172" s="4">
        <f ca="1">IFERROR(__xludf.DUMMYFUNCTION("""COMPUTED_VALUE"""),45698)</f>
        <v>45698</v>
      </c>
      <c r="V172" s="4">
        <f ca="1">IFERROR(__xludf.DUMMYFUNCTION("""COMPUTED_VALUE"""),45787)</f>
        <v>45787</v>
      </c>
      <c r="W172" s="1">
        <f ca="1">IFERROR(__xludf.DUMMYFUNCTION("""COMPUTED_VALUE"""),171)</f>
        <v>171</v>
      </c>
      <c r="X172" s="3">
        <f ca="1">IFERROR(__xludf.DUMMYFUNCTION("""COMPUTED_VALUE"""),45810)</f>
        <v>45810</v>
      </c>
      <c r="Y172" s="1" t="str">
        <f ca="1">IFERROR(__xludf.DUMMYFUNCTION("""COMPUTED_VALUE"""),"DUYỆT")</f>
        <v>DUYỆT</v>
      </c>
      <c r="Z172" s="3">
        <f ca="1">IFERROR(__xludf.DUMMYFUNCTION("""COMPUTED_VALUE"""),45779)</f>
        <v>45779</v>
      </c>
      <c r="AA172" s="1" t="str">
        <f ca="1">IFERROR(__xludf.DUMMYFUNCTION("""COMPUTED_VALUE"""),"Da Nang Mikazuki Japanese Resorts &amp; Spa")</f>
        <v>Da Nang Mikazuki Japanese Resorts &amp; Spa</v>
      </c>
      <c r="AB172" s="1" t="str">
        <f ca="1">IFERROR(__xludf.DUMMYFUNCTION("""COMPUTED_VALUE"""),"Buồng phòng")</f>
        <v>Buồng phòng</v>
      </c>
      <c r="AC172" s="1"/>
      <c r="AD172" s="1"/>
      <c r="AE172" s="1" t="str">
        <f ca="1">IFERROR(__xludf.DUMMYFUNCTION("""COMPUTED_VALUE"""),"")</f>
        <v/>
      </c>
    </row>
    <row r="173" spans="1:31" x14ac:dyDescent="0.2">
      <c r="A173" s="6">
        <f ca="1">IFERROR(__xludf.DUMMYFUNCTION("""COMPUTED_VALUE"""),45693.9208131944)</f>
        <v>45693.920813194403</v>
      </c>
      <c r="B173" s="1"/>
      <c r="C173" s="1">
        <f ca="1">IFERROR(__xludf.DUMMYFUNCTION("""COMPUTED_VALUE"""),27207147400)</f>
        <v>27207147400</v>
      </c>
      <c r="D173" s="1" t="str">
        <f ca="1">IFERROR(__xludf.DUMMYFUNCTION("""COMPUTED_VALUE"""),"Lê Thị Yến Nhi")</f>
        <v>Lê Thị Yến Nhi</v>
      </c>
      <c r="E173" s="4"/>
      <c r="F173" s="1" t="str">
        <f ca="1">IFERROR(__xludf.DUMMYFUNCTION("""COMPUTED_VALUE"""),"K27DLK6")</f>
        <v>K27DLK6</v>
      </c>
      <c r="G173" s="1" t="str">
        <f ca="1">IFERROR(__xludf.DUMMYFUNCTION("""COMPUTED_VALUE"""),"Quản trị Du lịch &amp; Khách sạn")</f>
        <v>Quản trị Du lịch &amp; Khách sạn</v>
      </c>
      <c r="H173" s="1">
        <f ca="1">IFERROR(__xludf.DUMMYFUNCTION("""COMPUTED_VALUE"""),27)</f>
        <v>27</v>
      </c>
      <c r="I173" s="1"/>
      <c r="J173" s="1" t="str">
        <f ca="1">IFERROR(__xludf.DUMMYFUNCTION("""COMPUTED_VALUE"""),"Chuyên đề")</f>
        <v>Chuyên đề</v>
      </c>
      <c r="K173" s="1" t="str">
        <f ca="1">IFERROR(__xludf.DUMMYFUNCTION("""COMPUTED_VALUE"""),"Radisson Hotel Danang")</f>
        <v>Radisson Hotel Danang</v>
      </c>
      <c r="L173" s="1" t="str">
        <f ca="1">IFERROR(__xludf.DUMMYFUNCTION("""COMPUTED_VALUE"""),"Radisson Hotel Danang")</f>
        <v>Radisson Hotel Danang</v>
      </c>
      <c r="M173" s="1" t="str">
        <f ca="1">IFERROR(__xludf.DUMMYFUNCTION("""COMPUTED_VALUE"""),"170 Võ Nguyên Giáp")</f>
        <v>170 Võ Nguyên Giáp</v>
      </c>
      <c r="N173" s="1" t="str">
        <f ca="1">IFERROR(__xludf.DUMMYFUNCTION("""COMPUTED_VALUE"""),"Đà Nẵng")</f>
        <v>Đà Nẵng</v>
      </c>
      <c r="O173" s="1" t="str">
        <f ca="1">IFERROR(__xludf.DUMMYFUNCTION("""COMPUTED_VALUE"""),"Nhà hàng")</f>
        <v>Nhà hàng</v>
      </c>
      <c r="P173" s="1"/>
      <c r="Q173" s="1" t="str">
        <f ca="1">IFERROR(__xludf.DUMMYFUNCTION("""COMPUTED_VALUE"""),"5/2/2025")</f>
        <v>5/2/2025</v>
      </c>
      <c r="R173" s="1" t="str">
        <f ca="1">IFERROR(__xludf.DUMMYFUNCTION("""COMPUTED_VALUE"""),"cam kết")</f>
        <v>cam kết</v>
      </c>
      <c r="S173" s="1" t="str">
        <f ca="1">IFERROR(__xludf.DUMMYFUNCTION("""COMPUTED_VALUE"""),"Chuyên đề")</f>
        <v>Chuyên đề</v>
      </c>
      <c r="T173" s="1"/>
      <c r="U173" s="4">
        <f ca="1">IFERROR(__xludf.DUMMYFUNCTION("""COMPUTED_VALUE"""),45698)</f>
        <v>45698</v>
      </c>
      <c r="V173" s="4">
        <f ca="1">IFERROR(__xludf.DUMMYFUNCTION("""COMPUTED_VALUE"""),45787)</f>
        <v>45787</v>
      </c>
      <c r="W173" s="1">
        <f ca="1">IFERROR(__xludf.DUMMYFUNCTION("""COMPUTED_VALUE"""),172)</f>
        <v>172</v>
      </c>
      <c r="X173" s="3">
        <f ca="1">IFERROR(__xludf.DUMMYFUNCTION("""COMPUTED_VALUE"""),45810)</f>
        <v>45810</v>
      </c>
      <c r="Y173" s="1" t="str">
        <f ca="1">IFERROR(__xludf.DUMMYFUNCTION("""COMPUTED_VALUE"""),"DUYỆT")</f>
        <v>DUYỆT</v>
      </c>
      <c r="Z173" s="3">
        <f ca="1">IFERROR(__xludf.DUMMYFUNCTION("""COMPUTED_VALUE"""),45810)</f>
        <v>45810</v>
      </c>
      <c r="AA173" s="1" t="str">
        <f ca="1">IFERROR(__xludf.DUMMYFUNCTION("""COMPUTED_VALUE"""),"Radisson Hotel Danang")</f>
        <v>Radisson Hotel Danang</v>
      </c>
      <c r="AB173" s="1" t="str">
        <f ca="1">IFERROR(__xludf.DUMMYFUNCTION("""COMPUTED_VALUE"""),"Nhà hàng")</f>
        <v>Nhà hàng</v>
      </c>
      <c r="AC173" s="1"/>
      <c r="AD173" s="1"/>
      <c r="AE173" s="1" t="str">
        <f ca="1">IFERROR(__xludf.DUMMYFUNCTION("""COMPUTED_VALUE"""),"")</f>
        <v/>
      </c>
    </row>
    <row r="174" spans="1:31" x14ac:dyDescent="0.2">
      <c r="A174" s="6">
        <f ca="1">IFERROR(__xludf.DUMMYFUNCTION("""COMPUTED_VALUE"""),45693.9208186458)</f>
        <v>45693.920818645798</v>
      </c>
      <c r="B174" s="1"/>
      <c r="C174" s="1">
        <f ca="1">IFERROR(__xludf.DUMMYFUNCTION("""COMPUTED_VALUE"""),27217123680)</f>
        <v>27217123680</v>
      </c>
      <c r="D174" s="1" t="str">
        <f ca="1">IFERROR(__xludf.DUMMYFUNCTION("""COMPUTED_VALUE"""),"Trần hữu chung")</f>
        <v>Trần hữu chung</v>
      </c>
      <c r="E174" s="4"/>
      <c r="F174" s="1" t="str">
        <f ca="1">IFERROR(__xludf.DUMMYFUNCTION("""COMPUTED_VALUE"""),"K27DLK 5")</f>
        <v>K27DLK 5</v>
      </c>
      <c r="G174" s="1" t="str">
        <f ca="1">IFERROR(__xludf.DUMMYFUNCTION("""COMPUTED_VALUE"""),"Quản trị Du lịch &amp; Khách sạn")</f>
        <v>Quản trị Du lịch &amp; Khách sạn</v>
      </c>
      <c r="H174" s="1">
        <f ca="1">IFERROR(__xludf.DUMMYFUNCTION("""COMPUTED_VALUE"""),27)</f>
        <v>27</v>
      </c>
      <c r="I174" s="1"/>
      <c r="J174" s="1" t="str">
        <f ca="1">IFERROR(__xludf.DUMMYFUNCTION("""COMPUTED_VALUE"""),"Chuyên đề")</f>
        <v>Chuyên đề</v>
      </c>
      <c r="K174" s="1" t="str">
        <f ca="1">IFERROR(__xludf.DUMMYFUNCTION("""COMPUTED_VALUE"""),"Radisson hotel danang")</f>
        <v>Radisson hotel danang</v>
      </c>
      <c r="L174" s="1" t="str">
        <f ca="1">IFERROR(__xludf.DUMMYFUNCTION("""COMPUTED_VALUE"""),"Radisson hotel danang")</f>
        <v>Radisson hotel danang</v>
      </c>
      <c r="M174" s="1" t="str">
        <f ca="1">IFERROR(__xludf.DUMMYFUNCTION("""COMPUTED_VALUE"""),"170 Võ Nguyên Giáp")</f>
        <v>170 Võ Nguyên Giáp</v>
      </c>
      <c r="N174" s="1" t="str">
        <f ca="1">IFERROR(__xludf.DUMMYFUNCTION("""COMPUTED_VALUE"""),"Đà Nẵng")</f>
        <v>Đà Nẵng</v>
      </c>
      <c r="O174" s="1" t="str">
        <f ca="1">IFERROR(__xludf.DUMMYFUNCTION("""COMPUTED_VALUE"""),"Nhà hàng")</f>
        <v>Nhà hàng</v>
      </c>
      <c r="P174" s="1"/>
      <c r="Q174" s="1" t="str">
        <f ca="1">IFERROR(__xludf.DUMMYFUNCTION("""COMPUTED_VALUE"""),"5/2/2025")</f>
        <v>5/2/2025</v>
      </c>
      <c r="R174" s="1" t="str">
        <f ca="1">IFERROR(__xludf.DUMMYFUNCTION("""COMPUTED_VALUE"""),"cam kết")</f>
        <v>cam kết</v>
      </c>
      <c r="S174" s="1" t="str">
        <f ca="1">IFERROR(__xludf.DUMMYFUNCTION("""COMPUTED_VALUE"""),"Chuyên đề")</f>
        <v>Chuyên đề</v>
      </c>
      <c r="T174" s="1"/>
      <c r="U174" s="4">
        <f ca="1">IFERROR(__xludf.DUMMYFUNCTION("""COMPUTED_VALUE"""),45698)</f>
        <v>45698</v>
      </c>
      <c r="V174" s="4">
        <f ca="1">IFERROR(__xludf.DUMMYFUNCTION("""COMPUTED_VALUE"""),45787)</f>
        <v>45787</v>
      </c>
      <c r="W174" s="1">
        <f ca="1">IFERROR(__xludf.DUMMYFUNCTION("""COMPUTED_VALUE"""),173)</f>
        <v>173</v>
      </c>
      <c r="X174" s="3">
        <f ca="1">IFERROR(__xludf.DUMMYFUNCTION("""COMPUTED_VALUE"""),45810)</f>
        <v>45810</v>
      </c>
      <c r="Y174" s="1" t="str">
        <f ca="1">IFERROR(__xludf.DUMMYFUNCTION("""COMPUTED_VALUE"""),"DUYỆT")</f>
        <v>DUYỆT</v>
      </c>
      <c r="Z174" s="3">
        <f ca="1">IFERROR(__xludf.DUMMYFUNCTION("""COMPUTED_VALUE"""),45810)</f>
        <v>45810</v>
      </c>
      <c r="AA174" s="1" t="str">
        <f ca="1">IFERROR(__xludf.DUMMYFUNCTION("""COMPUTED_VALUE"""),"Radisson hotel danang")</f>
        <v>Radisson hotel danang</v>
      </c>
      <c r="AB174" s="1" t="str">
        <f ca="1">IFERROR(__xludf.DUMMYFUNCTION("""COMPUTED_VALUE"""),"Nhà hàng")</f>
        <v>Nhà hàng</v>
      </c>
      <c r="AC174" s="1"/>
      <c r="AD174" s="1"/>
      <c r="AE174" s="1" t="str">
        <f ca="1">IFERROR(__xludf.DUMMYFUNCTION("""COMPUTED_VALUE"""),"")</f>
        <v/>
      </c>
    </row>
    <row r="175" spans="1:31" x14ac:dyDescent="0.2">
      <c r="A175" s="6">
        <f ca="1">IFERROR(__xludf.DUMMYFUNCTION("""COMPUTED_VALUE"""),45696.4616435763)</f>
        <v>45696.461643576302</v>
      </c>
      <c r="B175" s="1"/>
      <c r="C175" s="1">
        <f ca="1">IFERROR(__xludf.DUMMYFUNCTION("""COMPUTED_VALUE"""),24207108486)</f>
        <v>24207108486</v>
      </c>
      <c r="D175" s="1" t="str">
        <f ca="1">IFERROR(__xludf.DUMMYFUNCTION("""COMPUTED_VALUE"""),"Nguyễn Thị Thùy Dương")</f>
        <v>Nguyễn Thị Thùy Dương</v>
      </c>
      <c r="E175" s="4"/>
      <c r="F175" s="1" t="str">
        <f ca="1">IFERROR(__xludf.DUMMYFUNCTION("""COMPUTED_VALUE"""),"K25DLK15")</f>
        <v>K25DLK15</v>
      </c>
      <c r="G175" s="1" t="str">
        <f ca="1">IFERROR(__xludf.DUMMYFUNCTION("""COMPUTED_VALUE"""),"Quản trị Du lịch &amp; Khách sạn chuẩn PSU")</f>
        <v>Quản trị Du lịch &amp; Khách sạn chuẩn PSU</v>
      </c>
      <c r="H175" s="1">
        <f ca="1">IFERROR(__xludf.DUMMYFUNCTION("""COMPUTED_VALUE"""),25)</f>
        <v>25</v>
      </c>
      <c r="I175" s="1"/>
      <c r="J175" s="1" t="str">
        <f ca="1">IFERROR(__xludf.DUMMYFUNCTION("""COMPUTED_VALUE"""),"Chuyên đề")</f>
        <v>Chuyên đề</v>
      </c>
      <c r="K175" s="1" t="str">
        <f ca="1">IFERROR(__xludf.DUMMYFUNCTION("""COMPUTED_VALUE"""),"Da Nang Mikazuki Japanese Resorts &amp; Spa")</f>
        <v>Da Nang Mikazuki Japanese Resorts &amp; Spa</v>
      </c>
      <c r="L175" s="1"/>
      <c r="M175" s="1" t="str">
        <f ca="1">IFERROR(__xludf.DUMMYFUNCTION("""COMPUTED_VALUE"""),"Khu du lịch Xuân Thiều, Đ. Nguyễn Tất Thành, P. Hòa Hiệp Nam, Q. Liên Chiểu, TP Đà Nẵng.")</f>
        <v>Khu du lịch Xuân Thiều, Đ. Nguyễn Tất Thành, P. Hòa Hiệp Nam, Q. Liên Chiểu, TP Đà Nẵng.</v>
      </c>
      <c r="N175" s="1" t="str">
        <f ca="1">IFERROR(__xludf.DUMMYFUNCTION("""COMPUTED_VALUE"""),"Đà Nẵng ")</f>
        <v xml:space="preserve">Đà Nẵng </v>
      </c>
      <c r="O175" s="1" t="str">
        <f ca="1">IFERROR(__xludf.DUMMYFUNCTION("""COMPUTED_VALUE"""),"Tiền sảnh")</f>
        <v>Tiền sảnh</v>
      </c>
      <c r="P175" s="1" t="str">
        <f ca="1">IFERROR(__xludf.DUMMYFUNCTION("""COMPUTED_VALUE"""),"Lễ tân Water Park")</f>
        <v>Lễ tân Water Park</v>
      </c>
      <c r="Q175" s="1" t="str">
        <f ca="1">IFERROR(__xludf.DUMMYFUNCTION("""COMPUTED_VALUE"""),"7/02/2025")</f>
        <v>7/02/2025</v>
      </c>
      <c r="R175" s="1" t="str">
        <f ca="1">IFERROR(__xludf.DUMMYFUNCTION("""COMPUTED_VALUE"""),"cam kết")</f>
        <v>cam kết</v>
      </c>
      <c r="S175" s="1" t="str">
        <f ca="1">IFERROR(__xludf.DUMMYFUNCTION("""COMPUTED_VALUE"""),"Chuyên đề")</f>
        <v>Chuyên đề</v>
      </c>
      <c r="T175" s="1" t="str">
        <f ca="1">IFERROR(__xludf.DUMMYFUNCTION("""COMPUTED_VALUE"""),"Hồ Sử Minh Tài")</f>
        <v>Hồ Sử Minh Tài</v>
      </c>
      <c r="U175" s="4">
        <f ca="1">IFERROR(__xludf.DUMMYFUNCTION("""COMPUTED_VALUE"""),45672)</f>
        <v>45672</v>
      </c>
      <c r="V175" s="4">
        <f ca="1">IFERROR(__xludf.DUMMYFUNCTION("""COMPUTED_VALUE"""),45762)</f>
        <v>45762</v>
      </c>
      <c r="W175" s="1">
        <f ca="1">IFERROR(__xludf.DUMMYFUNCTION("""COMPUTED_VALUE"""),174)</f>
        <v>174</v>
      </c>
      <c r="X175" s="1"/>
      <c r="Y175" s="1" t="str">
        <f ca="1">IFERROR(__xludf.DUMMYFUNCTION("""COMPUTED_VALUE"""),"KHÔNG DUYỆT")</f>
        <v>KHÔNG DUYỆT</v>
      </c>
      <c r="Z175" s="3">
        <f ca="1">IFERROR(__xludf.DUMMYFUNCTION("""COMPUTED_VALUE"""),45810)</f>
        <v>45810</v>
      </c>
      <c r="AA175" s="1" t="str">
        <f ca="1">IFERROR(__xludf.DUMMYFUNCTION("""COMPUTED_VALUE"""),"Da Nang Mikazuki Japanese Resorts &amp; Spa")</f>
        <v>Da Nang Mikazuki Japanese Resorts &amp; Spa</v>
      </c>
      <c r="AB175" s="1" t="str">
        <f ca="1">IFERROR(__xludf.DUMMYFUNCTION("""COMPUTED_VALUE"""),"Làm tất cả vị trí khi thực tập ở Water Park Mikazuki ")</f>
        <v xml:space="preserve">Làm tất cả vị trí khi thực tập ở Water Park Mikazuki </v>
      </c>
      <c r="AC175" s="1" t="str">
        <f ca="1">IFERROR(__xludf.DUMMYFUNCTION("""COMPUTED_VALUE"""),"ĐÃ NỘP")</f>
        <v>ĐÃ NỘP</v>
      </c>
      <c r="AD175" s="1" t="str">
        <f ca="1">IFERROR(__xludf.DUMMYFUNCTION("""COMPUTED_VALUE"""),"1. SV chưa nộp đơn tham dự thực tập TT
2. Mikazuki không nằm trong danh sách đơn vị thực tập cho PSU
3. Vị trí và công việc ko rõ ràng")</f>
        <v>1. SV chưa nộp đơn tham dự thực tập TT
2. Mikazuki không nằm trong danh sách đơn vị thực tập cho PSU
3. Vị trí và công việc ko rõ ràng</v>
      </c>
      <c r="AE175" s="1" t="str">
        <f ca="1">IFERROR(__xludf.DUMMYFUNCTION("""COMPUTED_VALUE"""),"cần kiểm tra lại")</f>
        <v>cần kiểm tra lại</v>
      </c>
    </row>
    <row r="176" spans="1:31" x14ac:dyDescent="0.2">
      <c r="A176" s="6">
        <f ca="1">IFERROR(__xludf.DUMMYFUNCTION("""COMPUTED_VALUE"""),45694.3791206828)</f>
        <v>45694.379120682803</v>
      </c>
      <c r="B176" s="1"/>
      <c r="C176" s="1">
        <f ca="1">IFERROR(__xludf.DUMMYFUNCTION("""COMPUTED_VALUE"""),26211031383)</f>
        <v>26211031383</v>
      </c>
      <c r="D176" s="1" t="str">
        <f ca="1">IFERROR(__xludf.DUMMYFUNCTION("""COMPUTED_VALUE"""),"TRƯƠNG THÀNH LONG")</f>
        <v>TRƯƠNG THÀNH LONG</v>
      </c>
      <c r="E176" s="4"/>
      <c r="F176" s="1" t="str">
        <f ca="1">IFERROR(__xludf.DUMMYFUNCTION("""COMPUTED_VALUE"""),"K26DLK3")</f>
        <v>K26DLK3</v>
      </c>
      <c r="G176" s="1" t="str">
        <f ca="1">IFERROR(__xludf.DUMMYFUNCTION("""COMPUTED_VALUE"""),"Quản trị Du lịch &amp; Khách sạn")</f>
        <v>Quản trị Du lịch &amp; Khách sạn</v>
      </c>
      <c r="H176" s="1">
        <f ca="1">IFERROR(__xludf.DUMMYFUNCTION("""COMPUTED_VALUE"""),26)</f>
        <v>26</v>
      </c>
      <c r="I176" s="1"/>
      <c r="J176" s="1" t="str">
        <f ca="1">IFERROR(__xludf.DUMMYFUNCTION("""COMPUTED_VALUE"""),"Chuyên đề")</f>
        <v>Chuyên đề</v>
      </c>
      <c r="K176" s="1" t="str">
        <f ca="1">IFERROR(__xludf.DUMMYFUNCTION("""COMPUTED_VALUE"""),"Crowne Plaza Danang")</f>
        <v>Crowne Plaza Danang</v>
      </c>
      <c r="L176" s="1"/>
      <c r="M176" s="1" t="str">
        <f ca="1">IFERROR(__xludf.DUMMYFUNCTION("""COMPUTED_VALUE"""),"08 võ nguyên giáp ")</f>
        <v xml:space="preserve">08 võ nguyên giáp </v>
      </c>
      <c r="N176" s="1" t="str">
        <f ca="1">IFERROR(__xludf.DUMMYFUNCTION("""COMPUTED_VALUE"""),"Đà Nẵng ")</f>
        <v xml:space="preserve">Đà Nẵng </v>
      </c>
      <c r="O176" s="1" t="str">
        <f ca="1">IFERROR(__xludf.DUMMYFUNCTION("""COMPUTED_VALUE"""),"Nhà hàng")</f>
        <v>Nhà hàng</v>
      </c>
      <c r="P176" s="1"/>
      <c r="Q176" s="1" t="str">
        <f ca="1">IFERROR(__xludf.DUMMYFUNCTION("""COMPUTED_VALUE"""),"6/2")</f>
        <v>6/2</v>
      </c>
      <c r="R176" s="1" t="str">
        <f ca="1">IFERROR(__xludf.DUMMYFUNCTION("""COMPUTED_VALUE"""),"cam kết")</f>
        <v>cam kết</v>
      </c>
      <c r="S176" s="1" t="str">
        <f ca="1">IFERROR(__xludf.DUMMYFUNCTION("""COMPUTED_VALUE"""),"Chuyên đề")</f>
        <v>Chuyên đề</v>
      </c>
      <c r="T176" s="1"/>
      <c r="U176" s="4">
        <f ca="1">IFERROR(__xludf.DUMMYFUNCTION("""COMPUTED_VALUE"""),45677)</f>
        <v>45677</v>
      </c>
      <c r="V176" s="4">
        <f ca="1">IFERROR(__xludf.DUMMYFUNCTION("""COMPUTED_VALUE"""),45753)</f>
        <v>45753</v>
      </c>
      <c r="W176" s="1">
        <f ca="1">IFERROR(__xludf.DUMMYFUNCTION("""COMPUTED_VALUE"""),175)</f>
        <v>175</v>
      </c>
      <c r="X176" s="3">
        <f ca="1">IFERROR(__xludf.DUMMYFUNCTION("""COMPUTED_VALUE"""),45840)</f>
        <v>45840</v>
      </c>
      <c r="Y176" s="1" t="str">
        <f ca="1">IFERROR(__xludf.DUMMYFUNCTION("""COMPUTED_VALUE"""),"DUYỆT")</f>
        <v>DUYỆT</v>
      </c>
      <c r="Z176" s="3">
        <f ca="1">IFERROR(__xludf.DUMMYFUNCTION("""COMPUTED_VALUE"""),45810)</f>
        <v>45810</v>
      </c>
      <c r="AA176" s="1" t="str">
        <f ca="1">IFERROR(__xludf.DUMMYFUNCTION("""COMPUTED_VALUE"""),"Crowne Plaza Danang")</f>
        <v>Crowne Plaza Danang</v>
      </c>
      <c r="AB176" s="1" t="str">
        <f ca="1">IFERROR(__xludf.DUMMYFUNCTION("""COMPUTED_VALUE"""),"Nhà hàng")</f>
        <v>Nhà hàng</v>
      </c>
      <c r="AC176" s="1" t="str">
        <f ca="1">IFERROR(__xludf.DUMMYFUNCTION("""COMPUTED_VALUE"""),"ĐÃ NỘP")</f>
        <v>ĐÃ NỘP</v>
      </c>
      <c r="AD176" s="1"/>
      <c r="AE176" s="1" t="str">
        <f ca="1">IFERROR(__xludf.DUMMYFUNCTION("""COMPUTED_VALUE"""),"")</f>
        <v/>
      </c>
    </row>
    <row r="177" spans="1:31" x14ac:dyDescent="0.2">
      <c r="A177" s="6">
        <f ca="1">IFERROR(__xludf.DUMMYFUNCTION("""COMPUTED_VALUE"""),45694.4756897916)</f>
        <v>45694.475689791601</v>
      </c>
      <c r="B177" s="1"/>
      <c r="C177" s="1">
        <f ca="1">IFERROR(__xludf.DUMMYFUNCTION("""COMPUTED_VALUE"""),26207142679)</f>
        <v>26207142679</v>
      </c>
      <c r="D177" s="1" t="str">
        <f ca="1">IFERROR(__xludf.DUMMYFUNCTION("""COMPUTED_VALUE"""),"Lê Trà Tố Quyên")</f>
        <v>Lê Trà Tố Quyên</v>
      </c>
      <c r="E177" s="4"/>
      <c r="F177" s="1" t="str">
        <f ca="1">IFERROR(__xludf.DUMMYFUNCTION("""COMPUTED_VALUE"""),"K26DLK 15")</f>
        <v>K26DLK 15</v>
      </c>
      <c r="G177" s="1" t="str">
        <f ca="1">IFERROR(__xludf.DUMMYFUNCTION("""COMPUTED_VALUE"""),"Quản trị Du lịch &amp; Khách sạn")</f>
        <v>Quản trị Du lịch &amp; Khách sạn</v>
      </c>
      <c r="H177" s="1">
        <f ca="1">IFERROR(__xludf.DUMMYFUNCTION("""COMPUTED_VALUE"""),26)</f>
        <v>26</v>
      </c>
      <c r="I177" s="1"/>
      <c r="J177" s="1" t="str">
        <f ca="1">IFERROR(__xludf.DUMMYFUNCTION("""COMPUTED_VALUE"""),"Chuyên đề")</f>
        <v>Chuyên đề</v>
      </c>
      <c r="K177" s="1" t="str">
        <f ca="1">IFERROR(__xludf.DUMMYFUNCTION("""COMPUTED_VALUE"""),"Ussina Sky 77- Aging Beef &amp; Bar")</f>
        <v>Ussina Sky 77- Aging Beef &amp; Bar</v>
      </c>
      <c r="L177" s="1" t="str">
        <f ca="1">IFERROR(__xludf.DUMMYFUNCTION("""COMPUTED_VALUE"""),"Ussina Sky 77- Aging Beef &amp; Bar")</f>
        <v>Ussina Sky 77- Aging Beef &amp; Bar</v>
      </c>
      <c r="M177" s="1" t="str">
        <f ca="1">IFERROR(__xludf.DUMMYFUNCTION("""COMPUTED_VALUE"""),"Tầng 77- tòa Landmark 81, 720A Điện Biên Phủ, phường 22, Bình Thạnh, TP. Hồ Chí Minh")</f>
        <v>Tầng 77- tòa Landmark 81, 720A Điện Biên Phủ, phường 22, Bình Thạnh, TP. Hồ Chí Minh</v>
      </c>
      <c r="N177" s="1" t="str">
        <f ca="1">IFERROR(__xludf.DUMMYFUNCTION("""COMPUTED_VALUE"""),"Thành phố Hồ Chí Minh")</f>
        <v>Thành phố Hồ Chí Minh</v>
      </c>
      <c r="O177" s="1" t="str">
        <f ca="1">IFERROR(__xludf.DUMMYFUNCTION("""COMPUTED_VALUE"""),"Nhà hàng")</f>
        <v>Nhà hàng</v>
      </c>
      <c r="P177" s="1"/>
      <c r="Q177" s="1" t="str">
        <f ca="1">IFERROR(__xludf.DUMMYFUNCTION("""COMPUTED_VALUE"""),"06/02/2025")</f>
        <v>06/02/2025</v>
      </c>
      <c r="R177" s="1" t="str">
        <f ca="1">IFERROR(__xludf.DUMMYFUNCTION("""COMPUTED_VALUE"""),"cam kết")</f>
        <v>cam kết</v>
      </c>
      <c r="S177" s="1" t="str">
        <f ca="1">IFERROR(__xludf.DUMMYFUNCTION("""COMPUTED_VALUE"""),"Chuyên đề")</f>
        <v>Chuyên đề</v>
      </c>
      <c r="T177" s="1"/>
      <c r="U177" s="4">
        <f ca="1">IFERROR(__xludf.DUMMYFUNCTION("""COMPUTED_VALUE"""),45698)</f>
        <v>45698</v>
      </c>
      <c r="V177" s="4">
        <f ca="1">IFERROR(__xludf.DUMMYFUNCTION("""COMPUTED_VALUE"""),45787)</f>
        <v>45787</v>
      </c>
      <c r="W177" s="1">
        <f ca="1">IFERROR(__xludf.DUMMYFUNCTION("""COMPUTED_VALUE"""),176)</f>
        <v>176</v>
      </c>
      <c r="X177" s="3">
        <f ca="1">IFERROR(__xludf.DUMMYFUNCTION("""COMPUTED_VALUE"""),45963)</f>
        <v>45963</v>
      </c>
      <c r="Y177" s="1" t="str">
        <f ca="1">IFERROR(__xludf.DUMMYFUNCTION("""COMPUTED_VALUE"""),"DUYỆT")</f>
        <v>DUYỆT</v>
      </c>
      <c r="Z177" s="3">
        <f ca="1">IFERROR(__xludf.DUMMYFUNCTION("""COMPUTED_VALUE"""),45810)</f>
        <v>45810</v>
      </c>
      <c r="AA177" s="1" t="str">
        <f ca="1">IFERROR(__xludf.DUMMYFUNCTION("""COMPUTED_VALUE"""),"Ussina Sky 77- Aging Beef &amp; Bar")</f>
        <v>Ussina Sky 77- Aging Beef &amp; Bar</v>
      </c>
      <c r="AB177" s="1" t="str">
        <f ca="1">IFERROR(__xludf.DUMMYFUNCTION("""COMPUTED_VALUE"""),"Nhà hàng")</f>
        <v>Nhà hàng</v>
      </c>
      <c r="AC177" s="1" t="str">
        <f ca="1">IFERROR(__xludf.DUMMYFUNCTION("""COMPUTED_VALUE"""),"ĐÃ NỘP")</f>
        <v>ĐÃ NỘP</v>
      </c>
      <c r="AD177" s="1" t="str">
        <f ca="1">IFERROR(__xludf.DUMMYFUNCTION("""COMPUTED_VALUE"""),"đơn đã được trưởng khoa duyệt")</f>
        <v>đơn đã được trưởng khoa duyệt</v>
      </c>
      <c r="AE177" s="1" t="str">
        <f ca="1">IFERROR(__xludf.DUMMYFUNCTION("""COMPUTED_VALUE"""),"")</f>
        <v/>
      </c>
    </row>
    <row r="178" spans="1:31" x14ac:dyDescent="0.2">
      <c r="A178" s="6">
        <f ca="1">IFERROR(__xludf.DUMMYFUNCTION("""COMPUTED_VALUE"""),45694.5498733564)</f>
        <v>45694.549873356402</v>
      </c>
      <c r="B178" s="1"/>
      <c r="C178" s="1">
        <f ca="1">IFERROR(__xludf.DUMMYFUNCTION("""COMPUTED_VALUE"""),27217100378)</f>
        <v>27217100378</v>
      </c>
      <c r="D178" s="1" t="str">
        <f ca="1">IFERROR(__xludf.DUMMYFUNCTION("""COMPUTED_VALUE"""),"Trần Minh Trí")</f>
        <v>Trần Minh Trí</v>
      </c>
      <c r="E178" s="4"/>
      <c r="F178" s="1" t="str">
        <f ca="1">IFERROR(__xludf.DUMMYFUNCTION("""COMPUTED_VALUE"""),"K27DLK3")</f>
        <v>K27DLK3</v>
      </c>
      <c r="G178" s="1" t="str">
        <f ca="1">IFERROR(__xludf.DUMMYFUNCTION("""COMPUTED_VALUE"""),"Quản trị Du lịch &amp; Khách sạn")</f>
        <v>Quản trị Du lịch &amp; Khách sạn</v>
      </c>
      <c r="H178" s="1">
        <f ca="1">IFERROR(__xludf.DUMMYFUNCTION("""COMPUTED_VALUE"""),27)</f>
        <v>27</v>
      </c>
      <c r="I178" s="1"/>
      <c r="J178" s="1" t="str">
        <f ca="1">IFERROR(__xludf.DUMMYFUNCTION("""COMPUTED_VALUE"""),"Chuyên đề")</f>
        <v>Chuyên đề</v>
      </c>
      <c r="K178" s="1" t="str">
        <f ca="1">IFERROR(__xludf.DUMMYFUNCTION("""COMPUTED_VALUE"""),"Khách sạn Hilton Đà Nẵng")</f>
        <v>Khách sạn Hilton Đà Nẵng</v>
      </c>
      <c r="L178" s="1"/>
      <c r="M178" s="1" t="str">
        <f ca="1">IFERROR(__xludf.DUMMYFUNCTION("""COMPUTED_VALUE"""),"50 Bạch Đằng")</f>
        <v>50 Bạch Đằng</v>
      </c>
      <c r="N178" s="1" t="str">
        <f ca="1">IFERROR(__xludf.DUMMYFUNCTION("""COMPUTED_VALUE"""),"Đà Nẵng")</f>
        <v>Đà Nẵng</v>
      </c>
      <c r="O178" s="1" t="str">
        <f ca="1">IFERROR(__xludf.DUMMYFUNCTION("""COMPUTED_VALUE"""),"Nhà hàng")</f>
        <v>Nhà hàng</v>
      </c>
      <c r="P178" s="1"/>
      <c r="Q178" s="1" t="str">
        <f ca="1">IFERROR(__xludf.DUMMYFUNCTION("""COMPUTED_VALUE"""),"06/02/2025")</f>
        <v>06/02/2025</v>
      </c>
      <c r="R178" s="1" t="str">
        <f ca="1">IFERROR(__xludf.DUMMYFUNCTION("""COMPUTED_VALUE"""),"cam kết")</f>
        <v>cam kết</v>
      </c>
      <c r="S178" s="1" t="str">
        <f ca="1">IFERROR(__xludf.DUMMYFUNCTION("""COMPUTED_VALUE"""),"Chuyên đề")</f>
        <v>Chuyên đề</v>
      </c>
      <c r="T178" s="1"/>
      <c r="U178" s="4">
        <f ca="1">IFERROR(__xludf.DUMMYFUNCTION("""COMPUTED_VALUE"""),45698)</f>
        <v>45698</v>
      </c>
      <c r="V178" s="4">
        <f ca="1">IFERROR(__xludf.DUMMYFUNCTION("""COMPUTED_VALUE"""),45787)</f>
        <v>45787</v>
      </c>
      <c r="W178" s="1">
        <f ca="1">IFERROR(__xludf.DUMMYFUNCTION("""COMPUTED_VALUE"""),177)</f>
        <v>177</v>
      </c>
      <c r="X178" s="3">
        <f ca="1">IFERROR(__xludf.DUMMYFUNCTION("""COMPUTED_VALUE"""),45840)</f>
        <v>45840</v>
      </c>
      <c r="Y178" s="1" t="str">
        <f ca="1">IFERROR(__xludf.DUMMYFUNCTION("""COMPUTED_VALUE"""),"DUYỆT")</f>
        <v>DUYỆT</v>
      </c>
      <c r="Z178" s="3">
        <f ca="1">IFERROR(__xludf.DUMMYFUNCTION("""COMPUTED_VALUE"""),45810)</f>
        <v>45810</v>
      </c>
      <c r="AA178" s="1" t="str">
        <f ca="1">IFERROR(__xludf.DUMMYFUNCTION("""COMPUTED_VALUE"""),"Khách sạn Hilton Đà Nẵng")</f>
        <v>Khách sạn Hilton Đà Nẵng</v>
      </c>
      <c r="AB178" s="1" t="str">
        <f ca="1">IFERROR(__xludf.DUMMYFUNCTION("""COMPUTED_VALUE"""),"Nhà hàng")</f>
        <v>Nhà hàng</v>
      </c>
      <c r="AC178" s="1"/>
      <c r="AD178" s="1"/>
      <c r="AE178" s="1" t="str">
        <f ca="1">IFERROR(__xludf.DUMMYFUNCTION("""COMPUTED_VALUE"""),"")</f>
        <v/>
      </c>
    </row>
    <row r="179" spans="1:31" x14ac:dyDescent="0.2">
      <c r="A179" s="6">
        <f ca="1">IFERROR(__xludf.DUMMYFUNCTION("""COMPUTED_VALUE"""),45694.6055345949)</f>
        <v>45694.605534594899</v>
      </c>
      <c r="B179" s="1"/>
      <c r="C179" s="1">
        <f ca="1">IFERROR(__xludf.DUMMYFUNCTION("""COMPUTED_VALUE"""),26217131257)</f>
        <v>26217131257</v>
      </c>
      <c r="D179" s="1" t="str">
        <f ca="1">IFERROR(__xludf.DUMMYFUNCTION("""COMPUTED_VALUE"""),"Hoàng Xuân Phước")</f>
        <v>Hoàng Xuân Phước</v>
      </c>
      <c r="E179" s="4"/>
      <c r="F179" s="1" t="str">
        <f ca="1">IFERROR(__xludf.DUMMYFUNCTION("""COMPUTED_VALUE"""),"K26PSUDLK1")</f>
        <v>K26PSUDLK1</v>
      </c>
      <c r="G179" s="1" t="str">
        <f ca="1">IFERROR(__xludf.DUMMYFUNCTION("""COMPUTED_VALUE"""),"Quản trị Du lịch &amp; Khách sạn chuẩn PSU")</f>
        <v>Quản trị Du lịch &amp; Khách sạn chuẩn PSU</v>
      </c>
      <c r="H179" s="1">
        <f ca="1">IFERROR(__xludf.DUMMYFUNCTION("""COMPUTED_VALUE"""),26)</f>
        <v>26</v>
      </c>
      <c r="I179" s="1"/>
      <c r="J179" s="1" t="str">
        <f ca="1">IFERROR(__xludf.DUMMYFUNCTION("""COMPUTED_VALUE"""),"Chuyên đề")</f>
        <v>Chuyên đề</v>
      </c>
      <c r="K179" s="1" t="str">
        <f ca="1">IFERROR(__xludf.DUMMYFUNCTION("""COMPUTED_VALUE"""),"Meliá Danang Beach Resort")</f>
        <v>Meliá Danang Beach Resort</v>
      </c>
      <c r="L179" s="1" t="str">
        <f ca="1">IFERROR(__xludf.DUMMYFUNCTION("""COMPUTED_VALUE"""),"Meliá Danang Beach Resort")</f>
        <v>Meliá Danang Beach Resort</v>
      </c>
      <c r="M179" s="1" t="str">
        <f ca="1">IFERROR(__xludf.DUMMYFUNCTION("""COMPUTED_VALUE"""),"19 Trường Sa, Hoà Hải, Ngũ Hành Sơn, Đà Nẵng")</f>
        <v>19 Trường Sa, Hoà Hải, Ngũ Hành Sơn, Đà Nẵng</v>
      </c>
      <c r="N179" s="1" t="str">
        <f ca="1">IFERROR(__xludf.DUMMYFUNCTION("""COMPUTED_VALUE"""),"Đà Nẵng")</f>
        <v>Đà Nẵng</v>
      </c>
      <c r="O179" s="1" t="str">
        <f ca="1">IFERROR(__xludf.DUMMYFUNCTION("""COMPUTED_VALUE"""),"Nhà hàng")</f>
        <v>Nhà hàng</v>
      </c>
      <c r="P179" s="1"/>
      <c r="Q179" s="1" t="str">
        <f ca="1">IFERROR(__xludf.DUMMYFUNCTION("""COMPUTED_VALUE"""),"06/02/2025")</f>
        <v>06/02/2025</v>
      </c>
      <c r="R179" s="1" t="str">
        <f ca="1">IFERROR(__xludf.DUMMYFUNCTION("""COMPUTED_VALUE"""),"cam kết")</f>
        <v>cam kết</v>
      </c>
      <c r="S179" s="1" t="str">
        <f ca="1">IFERROR(__xludf.DUMMYFUNCTION("""COMPUTED_VALUE"""),"Chuyên đề")</f>
        <v>Chuyên đề</v>
      </c>
      <c r="T179" s="1" t="str">
        <f ca="1">IFERROR(__xludf.DUMMYFUNCTION("""COMPUTED_VALUE"""),"Hồ Sử Minh Tài")</f>
        <v>Hồ Sử Minh Tài</v>
      </c>
      <c r="U179" s="4">
        <f ca="1">IFERROR(__xludf.DUMMYFUNCTION("""COMPUTED_VALUE"""),45702)</f>
        <v>45702</v>
      </c>
      <c r="V179" s="4">
        <f ca="1">IFERROR(__xludf.DUMMYFUNCTION("""COMPUTED_VALUE"""),45791)</f>
        <v>45791</v>
      </c>
      <c r="W179" s="1">
        <f ca="1">IFERROR(__xludf.DUMMYFUNCTION("""COMPUTED_VALUE"""),178)</f>
        <v>178</v>
      </c>
      <c r="X179" s="3">
        <f ca="1">IFERROR(__xludf.DUMMYFUNCTION("""COMPUTED_VALUE"""),45810)</f>
        <v>45810</v>
      </c>
      <c r="Y179" s="1" t="str">
        <f ca="1">IFERROR(__xludf.DUMMYFUNCTION("""COMPUTED_VALUE"""),"DUYỆT")</f>
        <v>DUYỆT</v>
      </c>
      <c r="Z179" s="3">
        <f ca="1">IFERROR(__xludf.DUMMYFUNCTION("""COMPUTED_VALUE"""),45810)</f>
        <v>45810</v>
      </c>
      <c r="AA179" s="1" t="str">
        <f ca="1">IFERROR(__xludf.DUMMYFUNCTION("""COMPUTED_VALUE"""),"Meliá Danang Beach Resort")</f>
        <v>Meliá Danang Beach Resort</v>
      </c>
      <c r="AB179" s="1" t="str">
        <f ca="1">IFERROR(__xludf.DUMMYFUNCTION("""COMPUTED_VALUE"""),"Nhà hàng")</f>
        <v>Nhà hàng</v>
      </c>
      <c r="AC179" s="1" t="str">
        <f ca="1">IFERROR(__xludf.DUMMYFUNCTION("""COMPUTED_VALUE"""),"ĐÃ NỘP")</f>
        <v>ĐÃ NỘP</v>
      </c>
      <c r="AD179" s="1"/>
      <c r="AE179" s="1" t="str">
        <f ca="1">IFERROR(__xludf.DUMMYFUNCTION("""COMPUTED_VALUE"""),"")</f>
        <v/>
      </c>
    </row>
    <row r="180" spans="1:31" x14ac:dyDescent="0.2">
      <c r="A180" s="6">
        <f ca="1">IFERROR(__xludf.DUMMYFUNCTION("""COMPUTED_VALUE"""),45694.6056530208)</f>
        <v>45694.605653020801</v>
      </c>
      <c r="B180" s="1"/>
      <c r="C180" s="1">
        <f ca="1">IFERROR(__xludf.DUMMYFUNCTION("""COMPUTED_VALUE"""),26217125586)</f>
        <v>26217125586</v>
      </c>
      <c r="D180" s="1" t="str">
        <f ca="1">IFERROR(__xludf.DUMMYFUNCTION("""COMPUTED_VALUE"""),"Nguyễn Ngọ")</f>
        <v>Nguyễn Ngọ</v>
      </c>
      <c r="E180" s="4"/>
      <c r="F180" s="1" t="str">
        <f ca="1">IFERROR(__xludf.DUMMYFUNCTION("""COMPUTED_VALUE"""),"K26PSUDLK1")</f>
        <v>K26PSUDLK1</v>
      </c>
      <c r="G180" s="1" t="str">
        <f ca="1">IFERROR(__xludf.DUMMYFUNCTION("""COMPUTED_VALUE"""),"Quản trị Du lịch &amp; Khách sạn chuẩn PSU")</f>
        <v>Quản trị Du lịch &amp; Khách sạn chuẩn PSU</v>
      </c>
      <c r="H180" s="1">
        <f ca="1">IFERROR(__xludf.DUMMYFUNCTION("""COMPUTED_VALUE"""),26)</f>
        <v>26</v>
      </c>
      <c r="I180" s="1"/>
      <c r="J180" s="1" t="str">
        <f ca="1">IFERROR(__xludf.DUMMYFUNCTION("""COMPUTED_VALUE"""),"Khóa luận")</f>
        <v>Khóa luận</v>
      </c>
      <c r="K180" s="1" t="str">
        <f ca="1">IFERROR(__xludf.DUMMYFUNCTION("""COMPUTED_VALUE"""),"Novotel DaNang Premier Han River")</f>
        <v>Novotel DaNang Premier Han River</v>
      </c>
      <c r="L180" s="1"/>
      <c r="M180" s="1" t="str">
        <f ca="1">IFERROR(__xludf.DUMMYFUNCTION("""COMPUTED_VALUE"""),"36 Bạch Đằng, Hải Châu, Đà Nẵng")</f>
        <v>36 Bạch Đằng, Hải Châu, Đà Nẵng</v>
      </c>
      <c r="N180" s="1" t="str">
        <f ca="1">IFERROR(__xludf.DUMMYFUNCTION("""COMPUTED_VALUE"""),"Đà Nẵng")</f>
        <v>Đà Nẵng</v>
      </c>
      <c r="O180" s="1" t="str">
        <f ca="1">IFERROR(__xludf.DUMMYFUNCTION("""COMPUTED_VALUE"""),"Nhà hàng")</f>
        <v>Nhà hàng</v>
      </c>
      <c r="P180" s="1"/>
      <c r="Q180" s="1" t="str">
        <f ca="1">IFERROR(__xludf.DUMMYFUNCTION("""COMPUTED_VALUE"""),"06/02/2025")</f>
        <v>06/02/2025</v>
      </c>
      <c r="R180" s="1" t="str">
        <f ca="1">IFERROR(__xludf.DUMMYFUNCTION("""COMPUTED_VALUE"""),"cam kết")</f>
        <v>cam kết</v>
      </c>
      <c r="S180" s="1" t="str">
        <f ca="1">IFERROR(__xludf.DUMMYFUNCTION("""COMPUTED_VALUE"""),"Khóa luận")</f>
        <v>Khóa luận</v>
      </c>
      <c r="T180" s="1" t="str">
        <f ca="1">IFERROR(__xludf.DUMMYFUNCTION("""COMPUTED_VALUE"""),"Dương Thị Xuân Diệu")</f>
        <v>Dương Thị Xuân Diệu</v>
      </c>
      <c r="U180" s="4">
        <f ca="1">IFERROR(__xludf.DUMMYFUNCTION("""COMPUTED_VALUE"""),45698)</f>
        <v>45698</v>
      </c>
      <c r="V180" s="4">
        <f ca="1">IFERROR(__xludf.DUMMYFUNCTION("""COMPUTED_VALUE"""),45787)</f>
        <v>45787</v>
      </c>
      <c r="W180" s="1">
        <f ca="1">IFERROR(__xludf.DUMMYFUNCTION("""COMPUTED_VALUE"""),179)</f>
        <v>179</v>
      </c>
      <c r="X180" s="3">
        <f ca="1">IFERROR(__xludf.DUMMYFUNCTION("""COMPUTED_VALUE"""),45932)</f>
        <v>45932</v>
      </c>
      <c r="Y180" s="1" t="str">
        <f ca="1">IFERROR(__xludf.DUMMYFUNCTION("""COMPUTED_VALUE"""),"KHÔNG DUYỆT")</f>
        <v>KHÔNG DUYỆT</v>
      </c>
      <c r="Z180" s="3">
        <f ca="1">IFERROR(__xludf.DUMMYFUNCTION("""COMPUTED_VALUE"""),45840)</f>
        <v>45840</v>
      </c>
      <c r="AA180" s="1" t="str">
        <f ca="1">IFERROR(__xludf.DUMMYFUNCTION("""COMPUTED_VALUE"""),"Novotel DaNang Premier Han River")</f>
        <v>Novotel DaNang Premier Han River</v>
      </c>
      <c r="AB180" s="1" t="str">
        <f ca="1">IFERROR(__xludf.DUMMYFUNCTION("""COMPUTED_VALUE"""),"Nhà hàng")</f>
        <v>Nhà hàng</v>
      </c>
      <c r="AC180" s="1" t="str">
        <f ca="1">IFERROR(__xludf.DUMMYFUNCTION("""COMPUTED_VALUE"""),"ĐÃ NỘP")</f>
        <v>ĐÃ NỘP</v>
      </c>
      <c r="AD180" s="1" t="str">
        <f ca="1">IFERROR(__xludf.DUMMYFUNCTION("""COMPUTED_VALUE"""),"trưởng khoa không duyệt đơn")</f>
        <v>trưởng khoa không duyệt đơn</v>
      </c>
      <c r="AE180" s="1" t="str">
        <f ca="1">IFERROR(__xludf.DUMMYFUNCTION("""COMPUTED_VALUE"""),"")</f>
        <v/>
      </c>
    </row>
    <row r="181" spans="1:31" x14ac:dyDescent="0.2">
      <c r="A181" s="6">
        <f ca="1">IFERROR(__xludf.DUMMYFUNCTION("""COMPUTED_VALUE"""),45694.7300501851)</f>
        <v>45694.730050185099</v>
      </c>
      <c r="B181" s="1"/>
      <c r="C181" s="1">
        <f ca="1">IFERROR(__xludf.DUMMYFUNCTION("""COMPUTED_VALUE"""),27207132631)</f>
        <v>27207132631</v>
      </c>
      <c r="D181" s="1" t="str">
        <f ca="1">IFERROR(__xludf.DUMMYFUNCTION("""COMPUTED_VALUE"""),"Võ Thị Thanh Tuyền")</f>
        <v>Võ Thị Thanh Tuyền</v>
      </c>
      <c r="E181" s="4"/>
      <c r="F181" s="1" t="str">
        <f ca="1">IFERROR(__xludf.DUMMYFUNCTION("""COMPUTED_VALUE"""),"K27 DLK6")</f>
        <v>K27 DLK6</v>
      </c>
      <c r="G181" s="1" t="str">
        <f ca="1">IFERROR(__xludf.DUMMYFUNCTION("""COMPUTED_VALUE"""),"Quản trị Du lịch &amp; Khách sạn")</f>
        <v>Quản trị Du lịch &amp; Khách sạn</v>
      </c>
      <c r="H181" s="1">
        <f ca="1">IFERROR(__xludf.DUMMYFUNCTION("""COMPUTED_VALUE"""),27)</f>
        <v>27</v>
      </c>
      <c r="I181" s="1"/>
      <c r="J181" s="1" t="str">
        <f ca="1">IFERROR(__xludf.DUMMYFUNCTION("""COMPUTED_VALUE"""),"Chuyên đề")</f>
        <v>Chuyên đề</v>
      </c>
      <c r="K181" s="1" t="str">
        <f ca="1">IFERROR(__xludf.DUMMYFUNCTION("""COMPUTED_VALUE"""),"Cicilia Hotel &amp; Spa")</f>
        <v>Cicilia Hotel &amp; Spa</v>
      </c>
      <c r="L181" s="1"/>
      <c r="M181" s="1" t="str">
        <f ca="1">IFERROR(__xludf.DUMMYFUNCTION("""COMPUTED_VALUE"""),"6-8-10 Đỗ Bá ,Phường Mỹ An , Quận Ngũ Hành Sơn ")</f>
        <v xml:space="preserve">6-8-10 Đỗ Bá ,Phường Mỹ An , Quận Ngũ Hành Sơn </v>
      </c>
      <c r="N181" s="1" t="str">
        <f ca="1">IFERROR(__xludf.DUMMYFUNCTION("""COMPUTED_VALUE"""),"Thành phố Đà Nẵng")</f>
        <v>Thành phố Đà Nẵng</v>
      </c>
      <c r="O181" s="1" t="str">
        <f ca="1">IFERROR(__xludf.DUMMYFUNCTION("""COMPUTED_VALUE"""),"Nhà hàng")</f>
        <v>Nhà hàng</v>
      </c>
      <c r="P181" s="1"/>
      <c r="Q181" s="1" t="str">
        <f ca="1">IFERROR(__xludf.DUMMYFUNCTION("""COMPUTED_VALUE"""),"10-02-2025")</f>
        <v>10-02-2025</v>
      </c>
      <c r="R181" s="1" t="str">
        <f ca="1">IFERROR(__xludf.DUMMYFUNCTION("""COMPUTED_VALUE"""),"cam kết")</f>
        <v>cam kết</v>
      </c>
      <c r="S181" s="1" t="str">
        <f ca="1">IFERROR(__xludf.DUMMYFUNCTION("""COMPUTED_VALUE"""),"Chuyên đề")</f>
        <v>Chuyên đề</v>
      </c>
      <c r="T181" s="1"/>
      <c r="U181" s="4">
        <f ca="1">IFERROR(__xludf.DUMMYFUNCTION("""COMPUTED_VALUE"""),45698)</f>
        <v>45698</v>
      </c>
      <c r="V181" s="4">
        <f ca="1">IFERROR(__xludf.DUMMYFUNCTION("""COMPUTED_VALUE"""),45787)</f>
        <v>45787</v>
      </c>
      <c r="W181" s="1">
        <f ca="1">IFERROR(__xludf.DUMMYFUNCTION("""COMPUTED_VALUE"""),180)</f>
        <v>180</v>
      </c>
      <c r="X181" s="3">
        <f ca="1">IFERROR(__xludf.DUMMYFUNCTION("""COMPUTED_VALUE"""),45963)</f>
        <v>45963</v>
      </c>
      <c r="Y181" s="1" t="str">
        <f ca="1">IFERROR(__xludf.DUMMYFUNCTION("""COMPUTED_VALUE"""),"DUYỆT")</f>
        <v>DUYỆT</v>
      </c>
      <c r="Z181" s="3">
        <f ca="1">IFERROR(__xludf.DUMMYFUNCTION("""COMPUTED_VALUE"""),45932)</f>
        <v>45932</v>
      </c>
      <c r="AA181" s="1" t="str">
        <f ca="1">IFERROR(__xludf.DUMMYFUNCTION("""COMPUTED_VALUE"""),"Cicilia Hotel &amp; Spa")</f>
        <v>Cicilia Hotel &amp; Spa</v>
      </c>
      <c r="AB181" s="1" t="str">
        <f ca="1">IFERROR(__xludf.DUMMYFUNCTION("""COMPUTED_VALUE"""),"Nhà hàng")</f>
        <v>Nhà hàng</v>
      </c>
      <c r="AC181" s="1"/>
      <c r="AD181" s="1"/>
      <c r="AE181" s="1" t="str">
        <f ca="1">IFERROR(__xludf.DUMMYFUNCTION("""COMPUTED_VALUE"""),"")</f>
        <v/>
      </c>
    </row>
    <row r="182" spans="1:31" x14ac:dyDescent="0.2">
      <c r="A182" s="6">
        <f ca="1">IFERROR(__xludf.DUMMYFUNCTION("""COMPUTED_VALUE"""),45694.7543707291)</f>
        <v>45694.754370729097</v>
      </c>
      <c r="B182" s="1"/>
      <c r="C182" s="1">
        <f ca="1">IFERROR(__xludf.DUMMYFUNCTION("""COMPUTED_VALUE"""),26207125172)</f>
        <v>26207125172</v>
      </c>
      <c r="D182" s="1" t="str">
        <f ca="1">IFERROR(__xludf.DUMMYFUNCTION("""COMPUTED_VALUE"""),"Trần Nguyễn Quỳnh Như")</f>
        <v>Trần Nguyễn Quỳnh Như</v>
      </c>
      <c r="E182" s="4"/>
      <c r="F182" s="1" t="str">
        <f ca="1">IFERROR(__xludf.DUMMYFUNCTION("""COMPUTED_VALUE"""),"K26DLK13")</f>
        <v>K26DLK13</v>
      </c>
      <c r="G182" s="1" t="str">
        <f ca="1">IFERROR(__xludf.DUMMYFUNCTION("""COMPUTED_VALUE"""),"Quản trị Du lịch &amp; Khách sạn")</f>
        <v>Quản trị Du lịch &amp; Khách sạn</v>
      </c>
      <c r="H182" s="1">
        <f ca="1">IFERROR(__xludf.DUMMYFUNCTION("""COMPUTED_VALUE"""),26)</f>
        <v>26</v>
      </c>
      <c r="I182" s="1"/>
      <c r="J182" s="1" t="str">
        <f ca="1">IFERROR(__xludf.DUMMYFUNCTION("""COMPUTED_VALUE"""),"Chuyên đề")</f>
        <v>Chuyên đề</v>
      </c>
      <c r="K182" s="1" t="str">
        <f ca="1">IFERROR(__xludf.DUMMYFUNCTION("""COMPUTED_VALUE"""),"Paris Deli Danang Beach Hotel")</f>
        <v>Paris Deli Danang Beach Hotel</v>
      </c>
      <c r="L182" s="1"/>
      <c r="M182" s="1" t="str">
        <f ca="1">IFERROR(__xludf.DUMMYFUNCTION("""COMPUTED_VALUE"""),"236 Võ Nguyên Giáp, phường Phước Mỹ, quận Sơn Trà, thành phố Đà Nẵng")</f>
        <v>236 Võ Nguyên Giáp, phường Phước Mỹ, quận Sơn Trà, thành phố Đà Nẵng</v>
      </c>
      <c r="N182" s="1" t="str">
        <f ca="1">IFERROR(__xludf.DUMMYFUNCTION("""COMPUTED_VALUE"""),"Đà Nẵng")</f>
        <v>Đà Nẵng</v>
      </c>
      <c r="O182" s="1" t="str">
        <f ca="1">IFERROR(__xludf.DUMMYFUNCTION("""COMPUTED_VALUE"""),"Nhà hàng")</f>
        <v>Nhà hàng</v>
      </c>
      <c r="P182" s="1"/>
      <c r="Q182" s="1" t="str">
        <f ca="1">IFERROR(__xludf.DUMMYFUNCTION("""COMPUTED_VALUE"""),"06/02/2025")</f>
        <v>06/02/2025</v>
      </c>
      <c r="R182" s="1" t="str">
        <f ca="1">IFERROR(__xludf.DUMMYFUNCTION("""COMPUTED_VALUE"""),"cam kết")</f>
        <v>cam kết</v>
      </c>
      <c r="S182" s="1" t="str">
        <f ca="1">IFERROR(__xludf.DUMMYFUNCTION("""COMPUTED_VALUE"""),"Chuyên đề")</f>
        <v>Chuyên đề</v>
      </c>
      <c r="T182" s="1"/>
      <c r="U182" s="4">
        <f ca="1">IFERROR(__xludf.DUMMYFUNCTION("""COMPUTED_VALUE"""),45694)</f>
        <v>45694</v>
      </c>
      <c r="V182" s="4">
        <f ca="1">IFERROR(__xludf.DUMMYFUNCTION("""COMPUTED_VALUE"""),45783)</f>
        <v>45783</v>
      </c>
      <c r="W182" s="1">
        <f ca="1">IFERROR(__xludf.DUMMYFUNCTION("""COMPUTED_VALUE"""),181)</f>
        <v>181</v>
      </c>
      <c r="X182" s="3">
        <f ca="1">IFERROR(__xludf.DUMMYFUNCTION("""COMPUTED_VALUE"""),45840)</f>
        <v>45840</v>
      </c>
      <c r="Y182" s="1" t="str">
        <f ca="1">IFERROR(__xludf.DUMMYFUNCTION("""COMPUTED_VALUE"""),"DUYỆT")</f>
        <v>DUYỆT</v>
      </c>
      <c r="Z182" s="3">
        <f ca="1">IFERROR(__xludf.DUMMYFUNCTION("""COMPUTED_VALUE"""),45932)</f>
        <v>45932</v>
      </c>
      <c r="AA182" s="1" t="str">
        <f ca="1">IFERROR(__xludf.DUMMYFUNCTION("""COMPUTED_VALUE"""),"Paris Deli Danang Beach Hotel")</f>
        <v>Paris Deli Danang Beach Hotel</v>
      </c>
      <c r="AB182" s="1" t="str">
        <f ca="1">IFERROR(__xludf.DUMMYFUNCTION("""COMPUTED_VALUE"""),"Nhà hàng")</f>
        <v>Nhà hàng</v>
      </c>
      <c r="AC182" s="1" t="str">
        <f ca="1">IFERROR(__xludf.DUMMYFUNCTION("""COMPUTED_VALUE"""),"ĐÃ NỘP")</f>
        <v>ĐÃ NỘP</v>
      </c>
      <c r="AD182" s="1"/>
      <c r="AE182" s="1" t="str">
        <f ca="1">IFERROR(__xludf.DUMMYFUNCTION("""COMPUTED_VALUE"""),"")</f>
        <v/>
      </c>
    </row>
    <row r="183" spans="1:31" x14ac:dyDescent="0.2">
      <c r="A183" s="6">
        <f ca="1">IFERROR(__xludf.DUMMYFUNCTION("""COMPUTED_VALUE"""),45694.8390599884)</f>
        <v>45694.839059988401</v>
      </c>
      <c r="B183" s="1"/>
      <c r="C183" s="1">
        <f ca="1">IFERROR(__xludf.DUMMYFUNCTION("""COMPUTED_VALUE"""),26207130140)</f>
        <v>26207130140</v>
      </c>
      <c r="D183" s="1" t="str">
        <f ca="1">IFERROR(__xludf.DUMMYFUNCTION("""COMPUTED_VALUE"""),"Nguyễn Thị Nhật Lệ")</f>
        <v>Nguyễn Thị Nhật Lệ</v>
      </c>
      <c r="E183" s="4"/>
      <c r="F183" s="1" t="str">
        <f ca="1">IFERROR(__xludf.DUMMYFUNCTION("""COMPUTED_VALUE"""),"K26DLK13")</f>
        <v>K26DLK13</v>
      </c>
      <c r="G183" s="1" t="str">
        <f ca="1">IFERROR(__xludf.DUMMYFUNCTION("""COMPUTED_VALUE"""),"Quản trị Du lịch &amp; Khách sạn")</f>
        <v>Quản trị Du lịch &amp; Khách sạn</v>
      </c>
      <c r="H183" s="1">
        <f ca="1">IFERROR(__xludf.DUMMYFUNCTION("""COMPUTED_VALUE"""),26)</f>
        <v>26</v>
      </c>
      <c r="I183" s="1"/>
      <c r="J183" s="1" t="str">
        <f ca="1">IFERROR(__xludf.DUMMYFUNCTION("""COMPUTED_VALUE"""),"Chuyên đề")</f>
        <v>Chuyên đề</v>
      </c>
      <c r="K183" s="1" t="str">
        <f ca="1">IFERROR(__xludf.DUMMYFUNCTION("""COMPUTED_VALUE"""),"Satya Danang Hotel")</f>
        <v>Satya Danang Hotel</v>
      </c>
      <c r="L183" s="1"/>
      <c r="M183" s="1" t="str">
        <f ca="1">IFERROR(__xludf.DUMMYFUNCTION("""COMPUTED_VALUE"""),"155 Trần Phú , quận Hải Châu , TP Đà Nẵng")</f>
        <v>155 Trần Phú , quận Hải Châu , TP Đà Nẵng</v>
      </c>
      <c r="N183" s="1" t="str">
        <f ca="1">IFERROR(__xludf.DUMMYFUNCTION("""COMPUTED_VALUE"""),"Đà Nẵng")</f>
        <v>Đà Nẵng</v>
      </c>
      <c r="O183" s="1" t="str">
        <f ca="1">IFERROR(__xludf.DUMMYFUNCTION("""COMPUTED_VALUE"""),"Nhà hàng")</f>
        <v>Nhà hàng</v>
      </c>
      <c r="P183" s="1"/>
      <c r="Q183" s="1" t="str">
        <f ca="1">IFERROR(__xludf.DUMMYFUNCTION("""COMPUTED_VALUE"""),"6/2/2025")</f>
        <v>6/2/2025</v>
      </c>
      <c r="R183" s="1" t="str">
        <f ca="1">IFERROR(__xludf.DUMMYFUNCTION("""COMPUTED_VALUE"""),"cam kết")</f>
        <v>cam kết</v>
      </c>
      <c r="S183" s="1" t="str">
        <f ca="1">IFERROR(__xludf.DUMMYFUNCTION("""COMPUTED_VALUE"""),"Chuyên đề")</f>
        <v>Chuyên đề</v>
      </c>
      <c r="T183" s="1" t="str">
        <f ca="1">IFERROR(__xludf.DUMMYFUNCTION("""COMPUTED_VALUE"""),"Phạm Thị Thu Thủy")</f>
        <v>Phạm Thị Thu Thủy</v>
      </c>
      <c r="U183" s="4">
        <f ca="1">IFERROR(__xludf.DUMMYFUNCTION("""COMPUTED_VALUE"""),45698)</f>
        <v>45698</v>
      </c>
      <c r="V183" s="4">
        <f ca="1">IFERROR(__xludf.DUMMYFUNCTION("""COMPUTED_VALUE"""),45787)</f>
        <v>45787</v>
      </c>
      <c r="W183" s="1">
        <f ca="1">IFERROR(__xludf.DUMMYFUNCTION("""COMPUTED_VALUE"""),182)</f>
        <v>182</v>
      </c>
      <c r="X183" s="3">
        <f ca="1">IFERROR(__xludf.DUMMYFUNCTION("""COMPUTED_VALUE"""),45963)</f>
        <v>45963</v>
      </c>
      <c r="Y183" s="1" t="str">
        <f ca="1">IFERROR(__xludf.DUMMYFUNCTION("""COMPUTED_VALUE"""),"DUYỆT")</f>
        <v>DUYỆT</v>
      </c>
      <c r="Z183" s="3">
        <f ca="1">IFERROR(__xludf.DUMMYFUNCTION("""COMPUTED_VALUE"""),45932)</f>
        <v>45932</v>
      </c>
      <c r="AA183" s="1" t="str">
        <f ca="1">IFERROR(__xludf.DUMMYFUNCTION("""COMPUTED_VALUE"""),"Satya Danang Hotel")</f>
        <v>Satya Danang Hotel</v>
      </c>
      <c r="AB183" s="1" t="str">
        <f ca="1">IFERROR(__xludf.DUMMYFUNCTION("""COMPUTED_VALUE"""),"Nhà hàng")</f>
        <v>Nhà hàng</v>
      </c>
      <c r="AC183" s="1" t="str">
        <f ca="1">IFERROR(__xludf.DUMMYFUNCTION("""COMPUTED_VALUE"""),"ĐÃ NỘP")</f>
        <v>ĐÃ NỘP</v>
      </c>
      <c r="AD183" s="1"/>
      <c r="AE183" s="1" t="str">
        <f ca="1">IFERROR(__xludf.DUMMYFUNCTION("""COMPUTED_VALUE"""),"")</f>
        <v/>
      </c>
    </row>
    <row r="184" spans="1:31" x14ac:dyDescent="0.2">
      <c r="A184" s="6">
        <f ca="1">IFERROR(__xludf.DUMMYFUNCTION("""COMPUTED_VALUE"""),45695.3679668865)</f>
        <v>45695.367966886501</v>
      </c>
      <c r="B184" s="1"/>
      <c r="C184" s="1">
        <f ca="1">IFERROR(__xludf.DUMMYFUNCTION("""COMPUTED_VALUE"""),25207203604)</f>
        <v>25207203604</v>
      </c>
      <c r="D184" s="1" t="str">
        <f ca="1">IFERROR(__xludf.DUMMYFUNCTION("""COMPUTED_VALUE"""),"Phạm Thị Bích Vân")</f>
        <v>Phạm Thị Bích Vân</v>
      </c>
      <c r="E184" s="4"/>
      <c r="F184" s="1" t="str">
        <f ca="1">IFERROR(__xludf.DUMMYFUNCTION("""COMPUTED_VALUE"""),"K25DLK26")</f>
        <v>K25DLK26</v>
      </c>
      <c r="G184" s="1" t="str">
        <f ca="1">IFERROR(__xludf.DUMMYFUNCTION("""COMPUTED_VALUE"""),"Quản trị Du lịch &amp; Khách sạn")</f>
        <v>Quản trị Du lịch &amp; Khách sạn</v>
      </c>
      <c r="H184" s="1">
        <f ca="1">IFERROR(__xludf.DUMMYFUNCTION("""COMPUTED_VALUE"""),25)</f>
        <v>25</v>
      </c>
      <c r="I184" s="1"/>
      <c r="J184" s="1" t="str">
        <f ca="1">IFERROR(__xludf.DUMMYFUNCTION("""COMPUTED_VALUE"""),"Khóa luận")</f>
        <v>Khóa luận</v>
      </c>
      <c r="K184" s="1" t="str">
        <f ca="1">IFERROR(__xludf.DUMMYFUNCTION("""COMPUTED_VALUE"""),"Rosamia Da Nang Hotel")</f>
        <v>Rosamia Da Nang Hotel</v>
      </c>
      <c r="L184" s="1" t="str">
        <f ca="1">IFERROR(__xludf.DUMMYFUNCTION("""COMPUTED_VALUE"""),"Rosamia Danang Hotel")</f>
        <v>Rosamia Danang Hotel</v>
      </c>
      <c r="M184" s="1" t="str">
        <f ca="1">IFERROR(__xludf.DUMMYFUNCTION("""COMPUTED_VALUE"""),"282 Võ Nguyên Giáp")</f>
        <v>282 Võ Nguyên Giáp</v>
      </c>
      <c r="N184" s="1" t="str">
        <f ca="1">IFERROR(__xludf.DUMMYFUNCTION("""COMPUTED_VALUE"""),"Đà Nẵng")</f>
        <v>Đà Nẵng</v>
      </c>
      <c r="O184" s="1" t="str">
        <f ca="1">IFERROR(__xludf.DUMMYFUNCTION("""COMPUTED_VALUE"""),"Nhà hàng")</f>
        <v>Nhà hàng</v>
      </c>
      <c r="P184" s="1"/>
      <c r="Q184" s="1" t="str">
        <f ca="1">IFERROR(__xludf.DUMMYFUNCTION("""COMPUTED_VALUE"""),"10.2.2025")</f>
        <v>10.2.2025</v>
      </c>
      <c r="R184" s="1" t="str">
        <f ca="1">IFERROR(__xludf.DUMMYFUNCTION("""COMPUTED_VALUE"""),"cam kết")</f>
        <v>cam kết</v>
      </c>
      <c r="S184" s="1" t="str">
        <f ca="1">IFERROR(__xludf.DUMMYFUNCTION("""COMPUTED_VALUE"""),"Khóa luận")</f>
        <v>Khóa luận</v>
      </c>
      <c r="T184" s="1"/>
      <c r="U184" s="4">
        <f ca="1">IFERROR(__xludf.DUMMYFUNCTION("""COMPUTED_VALUE"""),45726)</f>
        <v>45726</v>
      </c>
      <c r="V184" s="4">
        <f ca="1">IFERROR(__xludf.DUMMYFUNCTION("""COMPUTED_VALUE"""),45787)</f>
        <v>45787</v>
      </c>
      <c r="W184" s="1">
        <f ca="1">IFERROR(__xludf.DUMMYFUNCTION("""COMPUTED_VALUE"""),183)</f>
        <v>183</v>
      </c>
      <c r="X184" s="3">
        <f ca="1">IFERROR(__xludf.DUMMYFUNCTION("""COMPUTED_VALUE"""),45932)</f>
        <v>45932</v>
      </c>
      <c r="Y184" s="1" t="str">
        <f ca="1">IFERROR(__xludf.DUMMYFUNCTION("""COMPUTED_VALUE"""),"DUYỆT")</f>
        <v>DUYỆT</v>
      </c>
      <c r="Z184" s="3">
        <f ca="1">IFERROR(__xludf.DUMMYFUNCTION("""COMPUTED_VALUE"""),45932)</f>
        <v>45932</v>
      </c>
      <c r="AA184" s="1" t="str">
        <f ca="1">IFERROR(__xludf.DUMMYFUNCTION("""COMPUTED_VALUE"""),"Rosamia Da Nang Hotel")</f>
        <v>Rosamia Da Nang Hotel</v>
      </c>
      <c r="AB184" s="1" t="str">
        <f ca="1">IFERROR(__xludf.DUMMYFUNCTION("""COMPUTED_VALUE"""),"Nhà hàng")</f>
        <v>Nhà hàng</v>
      </c>
      <c r="AC184" s="1" t="str">
        <f ca="1">IFERROR(__xludf.DUMMYFUNCTION("""COMPUTED_VALUE"""),"ĐÃ NỘP")</f>
        <v>ĐÃ NỘP</v>
      </c>
      <c r="AD184" s="1"/>
      <c r="AE184" s="1" t="str">
        <f ca="1">IFERROR(__xludf.DUMMYFUNCTION("""COMPUTED_VALUE"""),"")</f>
        <v/>
      </c>
    </row>
    <row r="185" spans="1:31" x14ac:dyDescent="0.2">
      <c r="A185" s="6">
        <f ca="1">IFERROR(__xludf.DUMMYFUNCTION("""COMPUTED_VALUE"""),45695.4290474537)</f>
        <v>45695.429047453697</v>
      </c>
      <c r="B185" s="1"/>
      <c r="C185" s="1">
        <f ca="1">IFERROR(__xludf.DUMMYFUNCTION("""COMPUTED_VALUE"""),27207140430)</f>
        <v>27207140430</v>
      </c>
      <c r="D185" s="1" t="str">
        <f ca="1">IFERROR(__xludf.DUMMYFUNCTION("""COMPUTED_VALUE"""),"Vũ Bùi Hương Giang")</f>
        <v>Vũ Bùi Hương Giang</v>
      </c>
      <c r="E185" s="4"/>
      <c r="F185" s="1" t="str">
        <f ca="1">IFERROR(__xludf.DUMMYFUNCTION("""COMPUTED_VALUE"""),"K27PSUDLK2")</f>
        <v>K27PSUDLK2</v>
      </c>
      <c r="G185" s="1" t="str">
        <f ca="1">IFERROR(__xludf.DUMMYFUNCTION("""COMPUTED_VALUE"""),"Quản trị Du lịch &amp; Khách sạn chuẩn PSU")</f>
        <v>Quản trị Du lịch &amp; Khách sạn chuẩn PSU</v>
      </c>
      <c r="H185" s="1">
        <f ca="1">IFERROR(__xludf.DUMMYFUNCTION("""COMPUTED_VALUE"""),27)</f>
        <v>27</v>
      </c>
      <c r="I185" s="1"/>
      <c r="J185" s="1" t="str">
        <f ca="1">IFERROR(__xludf.DUMMYFUNCTION("""COMPUTED_VALUE"""),"Chuyên đề")</f>
        <v>Chuyên đề</v>
      </c>
      <c r="K185" s="1" t="str">
        <f ca="1">IFERROR(__xludf.DUMMYFUNCTION("""COMPUTED_VALUE"""),"Premier Village Danang Resort")</f>
        <v>Premier Village Danang Resort</v>
      </c>
      <c r="L185" s="1"/>
      <c r="M185" s="1" t="str">
        <f ca="1">IFERROR(__xludf.DUMMYFUNCTION("""COMPUTED_VALUE"""),"99 Võ Nguyên Giáp, Mỹ An, Ngũ Hành Sơn, Đà Nẵng ")</f>
        <v xml:space="preserve">99 Võ Nguyên Giáp, Mỹ An, Ngũ Hành Sơn, Đà Nẵng </v>
      </c>
      <c r="N185" s="1" t="str">
        <f ca="1">IFERROR(__xludf.DUMMYFUNCTION("""COMPUTED_VALUE"""),"Đà Nẵng ")</f>
        <v xml:space="preserve">Đà Nẵng </v>
      </c>
      <c r="O185" s="1" t="str">
        <f ca="1">IFERROR(__xludf.DUMMYFUNCTION("""COMPUTED_VALUE"""),"Nhà hàng")</f>
        <v>Nhà hàng</v>
      </c>
      <c r="P185" s="1"/>
      <c r="Q185" s="1" t="str">
        <f ca="1">IFERROR(__xludf.DUMMYFUNCTION("""COMPUTED_VALUE"""),"7/2/2025")</f>
        <v>7/2/2025</v>
      </c>
      <c r="R185" s="1" t="str">
        <f ca="1">IFERROR(__xludf.DUMMYFUNCTION("""COMPUTED_VALUE"""),"cam kết")</f>
        <v>cam kết</v>
      </c>
      <c r="S185" s="1" t="str">
        <f ca="1">IFERROR(__xludf.DUMMYFUNCTION("""COMPUTED_VALUE"""),"Chuyên đề")</f>
        <v>Chuyên đề</v>
      </c>
      <c r="T185" s="1" t="str">
        <f ca="1">IFERROR(__xludf.DUMMYFUNCTION("""COMPUTED_VALUE"""),"Hồ Sử Minh Tài")</f>
        <v>Hồ Sử Minh Tài</v>
      </c>
      <c r="U185" s="4">
        <f ca="1">IFERROR(__xludf.DUMMYFUNCTION("""COMPUTED_VALUE"""),45698)</f>
        <v>45698</v>
      </c>
      <c r="V185" s="4">
        <f ca="1">IFERROR(__xludf.DUMMYFUNCTION("""COMPUTED_VALUE"""),45787)</f>
        <v>45787</v>
      </c>
      <c r="W185" s="1">
        <f ca="1">IFERROR(__xludf.DUMMYFUNCTION("""COMPUTED_VALUE"""),184)</f>
        <v>184</v>
      </c>
      <c r="X185" s="3">
        <f ca="1">IFERROR(__xludf.DUMMYFUNCTION("""COMPUTED_VALUE"""),45840)</f>
        <v>45840</v>
      </c>
      <c r="Y185" s="1" t="str">
        <f ca="1">IFERROR(__xludf.DUMMYFUNCTION("""COMPUTED_VALUE"""),"DUYỆT")</f>
        <v>DUYỆT</v>
      </c>
      <c r="Z185" s="3">
        <f ca="1">IFERROR(__xludf.DUMMYFUNCTION("""COMPUTED_VALUE"""),45932)</f>
        <v>45932</v>
      </c>
      <c r="AA185" s="1" t="str">
        <f ca="1">IFERROR(__xludf.DUMMYFUNCTION("""COMPUTED_VALUE"""),"Premier Village Danang Resort")</f>
        <v>Premier Village Danang Resort</v>
      </c>
      <c r="AB185" s="1" t="str">
        <f ca="1">IFERROR(__xludf.DUMMYFUNCTION("""COMPUTED_VALUE"""),"Nhà hàng")</f>
        <v>Nhà hàng</v>
      </c>
      <c r="AC185" s="1"/>
      <c r="AD185" s="1" t="str">
        <f ca="1">IFERROR(__xludf.DUMMYFUNCTION("""COMPUTED_VALUE"""),"Phiếu tiếp nhận chưa ghi thông tin người hướng dẫn tại ks, SV phải đảm bảo không thực tập quá 5sv/nhà hàng")</f>
        <v>Phiếu tiếp nhận chưa ghi thông tin người hướng dẫn tại ks, SV phải đảm bảo không thực tập quá 5sv/nhà hàng</v>
      </c>
      <c r="AE185" s="1" t="str">
        <f ca="1">IFERROR(__xludf.DUMMYFUNCTION("""COMPUTED_VALUE"""),"")</f>
        <v/>
      </c>
    </row>
    <row r="186" spans="1:31" x14ac:dyDescent="0.2">
      <c r="A186" s="6">
        <f ca="1">IFERROR(__xludf.DUMMYFUNCTION("""COMPUTED_VALUE"""),45695.4302321412)</f>
        <v>45695.430232141203</v>
      </c>
      <c r="B186" s="1"/>
      <c r="C186" s="1">
        <f ca="1">IFERROR(__xludf.DUMMYFUNCTION("""COMPUTED_VALUE"""),27217132174)</f>
        <v>27217132174</v>
      </c>
      <c r="D186" s="1" t="str">
        <f ca="1">IFERROR(__xludf.DUMMYFUNCTION("""COMPUTED_VALUE"""),"Nguyễn Minh Đức")</f>
        <v>Nguyễn Minh Đức</v>
      </c>
      <c r="E186" s="4"/>
      <c r="F186" s="1" t="str">
        <f ca="1">IFERROR(__xludf.DUMMYFUNCTION("""COMPUTED_VALUE"""),"K27PSUDLK2")</f>
        <v>K27PSUDLK2</v>
      </c>
      <c r="G186" s="1" t="str">
        <f ca="1">IFERROR(__xludf.DUMMYFUNCTION("""COMPUTED_VALUE"""),"Quản trị Du lịch &amp; Khách sạn chuẩn PSU")</f>
        <v>Quản trị Du lịch &amp; Khách sạn chuẩn PSU</v>
      </c>
      <c r="H186" s="1">
        <f ca="1">IFERROR(__xludf.DUMMYFUNCTION("""COMPUTED_VALUE"""),27)</f>
        <v>27</v>
      </c>
      <c r="I186" s="1"/>
      <c r="J186" s="1" t="str">
        <f ca="1">IFERROR(__xludf.DUMMYFUNCTION("""COMPUTED_VALUE"""),"Chuyên đề")</f>
        <v>Chuyên đề</v>
      </c>
      <c r="K186" s="1" t="str">
        <f ca="1">IFERROR(__xludf.DUMMYFUNCTION("""COMPUTED_VALUE"""),"Premier Village Danang Resort")</f>
        <v>Premier Village Danang Resort</v>
      </c>
      <c r="L186" s="1"/>
      <c r="M186" s="1" t="str">
        <f ca="1">IFERROR(__xludf.DUMMYFUNCTION("""COMPUTED_VALUE"""),"99 Võ Nguyên Giáp, Mỹ An, Ngũ Hành Sơn, Đà Nẵng")</f>
        <v>99 Võ Nguyên Giáp, Mỹ An, Ngũ Hành Sơn, Đà Nẵng</v>
      </c>
      <c r="N186" s="1" t="str">
        <f ca="1">IFERROR(__xludf.DUMMYFUNCTION("""COMPUTED_VALUE"""),"Đà Nẵng")</f>
        <v>Đà Nẵng</v>
      </c>
      <c r="O186" s="1" t="str">
        <f ca="1">IFERROR(__xludf.DUMMYFUNCTION("""COMPUTED_VALUE"""),"Buồng phòng")</f>
        <v>Buồng phòng</v>
      </c>
      <c r="P186" s="1"/>
      <c r="Q186" s="1" t="str">
        <f ca="1">IFERROR(__xludf.DUMMYFUNCTION("""COMPUTED_VALUE"""),"07/02/2025")</f>
        <v>07/02/2025</v>
      </c>
      <c r="R186" s="1" t="str">
        <f ca="1">IFERROR(__xludf.DUMMYFUNCTION("""COMPUTED_VALUE"""),"cam kết")</f>
        <v>cam kết</v>
      </c>
      <c r="S186" s="1" t="str">
        <f ca="1">IFERROR(__xludf.DUMMYFUNCTION("""COMPUTED_VALUE"""),"Chuyên đề")</f>
        <v>Chuyên đề</v>
      </c>
      <c r="T186" s="1"/>
      <c r="U186" s="4">
        <f ca="1">IFERROR(__xludf.DUMMYFUNCTION("""COMPUTED_VALUE"""),45698)</f>
        <v>45698</v>
      </c>
      <c r="V186" s="4">
        <f ca="1">IFERROR(__xludf.DUMMYFUNCTION("""COMPUTED_VALUE"""),45787)</f>
        <v>45787</v>
      </c>
      <c r="W186" s="1">
        <f ca="1">IFERROR(__xludf.DUMMYFUNCTION("""COMPUTED_VALUE"""),185)</f>
        <v>185</v>
      </c>
      <c r="X186" s="3">
        <f ca="1">IFERROR(__xludf.DUMMYFUNCTION("""COMPUTED_VALUE"""),45840)</f>
        <v>45840</v>
      </c>
      <c r="Y186" s="1" t="str">
        <f ca="1">IFERROR(__xludf.DUMMYFUNCTION("""COMPUTED_VALUE"""),"DUYỆT")</f>
        <v>DUYỆT</v>
      </c>
      <c r="Z186" s="3">
        <f ca="1">IFERROR(__xludf.DUMMYFUNCTION("""COMPUTED_VALUE"""),45932)</f>
        <v>45932</v>
      </c>
      <c r="AA186" s="1" t="str">
        <f ca="1">IFERROR(__xludf.DUMMYFUNCTION("""COMPUTED_VALUE"""),"Premier Village Danang Resort")</f>
        <v>Premier Village Danang Resort</v>
      </c>
      <c r="AB186" s="1" t="str">
        <f ca="1">IFERROR(__xludf.DUMMYFUNCTION("""COMPUTED_VALUE"""),"Buồng phòng")</f>
        <v>Buồng phòng</v>
      </c>
      <c r="AC186" s="1"/>
      <c r="AD186" s="1" t="str">
        <f ca="1">IFERROR(__xludf.DUMMYFUNCTION("""COMPUTED_VALUE"""),"Phiếu tiếp nhận chưa ghi thông tin người hướng dẫn tại ks")</f>
        <v>Phiếu tiếp nhận chưa ghi thông tin người hướng dẫn tại ks</v>
      </c>
      <c r="AE186" s="1" t="str">
        <f ca="1">IFERROR(__xludf.DUMMYFUNCTION("""COMPUTED_VALUE"""),"")</f>
        <v/>
      </c>
    </row>
    <row r="187" spans="1:31" x14ac:dyDescent="0.2">
      <c r="A187" s="6">
        <f ca="1">IFERROR(__xludf.DUMMYFUNCTION("""COMPUTED_VALUE"""),45695.7528842361)</f>
        <v>45695.752884236099</v>
      </c>
      <c r="B187" s="1"/>
      <c r="C187" s="1">
        <f ca="1">IFERROR(__xludf.DUMMYFUNCTION("""COMPUTED_VALUE"""),27207140954)</f>
        <v>27207140954</v>
      </c>
      <c r="D187" s="1" t="str">
        <f ca="1">IFERROR(__xludf.DUMMYFUNCTION("""COMPUTED_VALUE"""),"Trần Thị Mơ")</f>
        <v>Trần Thị Mơ</v>
      </c>
      <c r="E187" s="4"/>
      <c r="F187" s="1" t="str">
        <f ca="1">IFERROR(__xludf.DUMMYFUNCTION("""COMPUTED_VALUE"""),"K27PSU-DLK2")</f>
        <v>K27PSU-DLK2</v>
      </c>
      <c r="G187" s="1" t="str">
        <f ca="1">IFERROR(__xludf.DUMMYFUNCTION("""COMPUTED_VALUE"""),"Quản trị Du lịch &amp; Khách sạn chuẩn PSU")</f>
        <v>Quản trị Du lịch &amp; Khách sạn chuẩn PSU</v>
      </c>
      <c r="H187" s="1">
        <f ca="1">IFERROR(__xludf.DUMMYFUNCTION("""COMPUTED_VALUE"""),27)</f>
        <v>27</v>
      </c>
      <c r="I187" s="1"/>
      <c r="J187" s="1" t="str">
        <f ca="1">IFERROR(__xludf.DUMMYFUNCTION("""COMPUTED_VALUE"""),"Chuyên đề")</f>
        <v>Chuyên đề</v>
      </c>
      <c r="K187" s="1" t="str">
        <f ca="1">IFERROR(__xludf.DUMMYFUNCTION("""COMPUTED_VALUE"""),"Premier Village Danang Resort")</f>
        <v>Premier Village Danang Resort</v>
      </c>
      <c r="L187" s="1"/>
      <c r="M187" s="1" t="str">
        <f ca="1">IFERROR(__xludf.DUMMYFUNCTION("""COMPUTED_VALUE"""),"99 Võ Nguyên Giáp, quận Ngũ Hành Sơn")</f>
        <v>99 Võ Nguyên Giáp, quận Ngũ Hành Sơn</v>
      </c>
      <c r="N187" s="1" t="str">
        <f ca="1">IFERROR(__xludf.DUMMYFUNCTION("""COMPUTED_VALUE"""),"Đà Nẵng")</f>
        <v>Đà Nẵng</v>
      </c>
      <c r="O187" s="1" t="str">
        <f ca="1">IFERROR(__xludf.DUMMYFUNCTION("""COMPUTED_VALUE"""),"Buồng phòng")</f>
        <v>Buồng phòng</v>
      </c>
      <c r="P187" s="1"/>
      <c r="Q187" s="1" t="str">
        <f ca="1">IFERROR(__xludf.DUMMYFUNCTION("""COMPUTED_VALUE"""),"07/02/2025")</f>
        <v>07/02/2025</v>
      </c>
      <c r="R187" s="1" t="str">
        <f ca="1">IFERROR(__xludf.DUMMYFUNCTION("""COMPUTED_VALUE"""),"cam kết")</f>
        <v>cam kết</v>
      </c>
      <c r="S187" s="1" t="str">
        <f ca="1">IFERROR(__xludf.DUMMYFUNCTION("""COMPUTED_VALUE"""),"Chuyên đề")</f>
        <v>Chuyên đề</v>
      </c>
      <c r="T187" s="1" t="str">
        <f ca="1">IFERROR(__xludf.DUMMYFUNCTION("""COMPUTED_VALUE"""),"Hồ Sử Minh Tài")</f>
        <v>Hồ Sử Minh Tài</v>
      </c>
      <c r="U187" s="4">
        <f ca="1">IFERROR(__xludf.DUMMYFUNCTION("""COMPUTED_VALUE"""),45698)</f>
        <v>45698</v>
      </c>
      <c r="V187" s="4">
        <f ca="1">IFERROR(__xludf.DUMMYFUNCTION("""COMPUTED_VALUE"""),45787)</f>
        <v>45787</v>
      </c>
      <c r="W187" s="1">
        <f ca="1">IFERROR(__xludf.DUMMYFUNCTION("""COMPUTED_VALUE"""),186)</f>
        <v>186</v>
      </c>
      <c r="X187" s="3">
        <f ca="1">IFERROR(__xludf.DUMMYFUNCTION("""COMPUTED_VALUE"""),45840)</f>
        <v>45840</v>
      </c>
      <c r="Y187" s="1" t="str">
        <f ca="1">IFERROR(__xludf.DUMMYFUNCTION("""COMPUTED_VALUE"""),"DUYỆT")</f>
        <v>DUYỆT</v>
      </c>
      <c r="Z187" s="3">
        <f ca="1">IFERROR(__xludf.DUMMYFUNCTION("""COMPUTED_VALUE"""),45932)</f>
        <v>45932</v>
      </c>
      <c r="AA187" s="1" t="str">
        <f ca="1">IFERROR(__xludf.DUMMYFUNCTION("""COMPUTED_VALUE"""),"Premier Village Danang Resort")</f>
        <v>Premier Village Danang Resort</v>
      </c>
      <c r="AB187" s="1" t="str">
        <f ca="1">IFERROR(__xludf.DUMMYFUNCTION("""COMPUTED_VALUE"""),"Buồng phòng")</f>
        <v>Buồng phòng</v>
      </c>
      <c r="AC187" s="1"/>
      <c r="AD187" s="1" t="str">
        <f ca="1">IFERROR(__xludf.DUMMYFUNCTION("""COMPUTED_VALUE"""),"Phiếu tiếp nhận chưa ghi thông tin người hướng dẫn tại ks")</f>
        <v>Phiếu tiếp nhận chưa ghi thông tin người hướng dẫn tại ks</v>
      </c>
      <c r="AE187" s="1" t="str">
        <f ca="1">IFERROR(__xludf.DUMMYFUNCTION("""COMPUTED_VALUE"""),"")</f>
        <v/>
      </c>
    </row>
    <row r="188" spans="1:31" x14ac:dyDescent="0.2">
      <c r="A188" s="6">
        <f ca="1">IFERROR(__xludf.DUMMYFUNCTION("""COMPUTED_VALUE"""),45695.4320640625)</f>
        <v>45695.432064062501</v>
      </c>
      <c r="B188" s="1"/>
      <c r="C188" s="1">
        <f ca="1">IFERROR(__xludf.DUMMYFUNCTION("""COMPUTED_VALUE"""),27207128646)</f>
        <v>27207128646</v>
      </c>
      <c r="D188" s="1" t="str">
        <f ca="1">IFERROR(__xludf.DUMMYFUNCTION("""COMPUTED_VALUE"""),"Nguyễn Thị Kiều Diễm")</f>
        <v>Nguyễn Thị Kiều Diễm</v>
      </c>
      <c r="E188" s="4"/>
      <c r="F188" s="1" t="str">
        <f ca="1">IFERROR(__xludf.DUMMYFUNCTION("""COMPUTED_VALUE"""),"K27 PSU DLK1")</f>
        <v>K27 PSU DLK1</v>
      </c>
      <c r="G188" s="1" t="str">
        <f ca="1">IFERROR(__xludf.DUMMYFUNCTION("""COMPUTED_VALUE"""),"Quản trị Du lịch &amp; Khách sạn chuẩn PSU")</f>
        <v>Quản trị Du lịch &amp; Khách sạn chuẩn PSU</v>
      </c>
      <c r="H188" s="1">
        <f ca="1">IFERROR(__xludf.DUMMYFUNCTION("""COMPUTED_VALUE"""),27)</f>
        <v>27</v>
      </c>
      <c r="I188" s="1"/>
      <c r="J188" s="1" t="str">
        <f ca="1">IFERROR(__xludf.DUMMYFUNCTION("""COMPUTED_VALUE"""),"Chuyên đề")</f>
        <v>Chuyên đề</v>
      </c>
      <c r="K188" s="1" t="str">
        <f ca="1">IFERROR(__xludf.DUMMYFUNCTION("""COMPUTED_VALUE"""),"Premier Village Danang Resort")</f>
        <v>Premier Village Danang Resort</v>
      </c>
      <c r="L188" s="1" t="str">
        <f ca="1">IFERROR(__xludf.DUMMYFUNCTION("""COMPUTED_VALUE"""),"không")</f>
        <v>không</v>
      </c>
      <c r="M188" s="1" t="str">
        <f ca="1">IFERROR(__xludf.DUMMYFUNCTION("""COMPUTED_VALUE"""),"99 Võ Nguyên Giáp, Mỹ An, Ngũ Hành Sơn, Đà Nẵng")</f>
        <v>99 Võ Nguyên Giáp, Mỹ An, Ngũ Hành Sơn, Đà Nẵng</v>
      </c>
      <c r="N188" s="1" t="str">
        <f ca="1">IFERROR(__xludf.DUMMYFUNCTION("""COMPUTED_VALUE"""),"Đà Nẵng")</f>
        <v>Đà Nẵng</v>
      </c>
      <c r="O188" s="1" t="str">
        <f ca="1">IFERROR(__xludf.DUMMYFUNCTION("""COMPUTED_VALUE"""),"Nhà hàng")</f>
        <v>Nhà hàng</v>
      </c>
      <c r="P188" s="1" t="str">
        <f ca="1">IFERROR(__xludf.DUMMYFUNCTION("""COMPUTED_VALUE"""),"không")</f>
        <v>không</v>
      </c>
      <c r="Q188" s="1" t="str">
        <f ca="1">IFERROR(__xludf.DUMMYFUNCTION("""COMPUTED_VALUE"""),"ngày 7/2/2025")</f>
        <v>ngày 7/2/2025</v>
      </c>
      <c r="R188" s="1" t="str">
        <f ca="1">IFERROR(__xludf.DUMMYFUNCTION("""COMPUTED_VALUE"""),"cam kết")</f>
        <v>cam kết</v>
      </c>
      <c r="S188" s="1" t="str">
        <f ca="1">IFERROR(__xludf.DUMMYFUNCTION("""COMPUTED_VALUE"""),"Chuyên đề")</f>
        <v>Chuyên đề</v>
      </c>
      <c r="T188" s="1"/>
      <c r="U188" s="4">
        <f ca="1">IFERROR(__xludf.DUMMYFUNCTION("""COMPUTED_VALUE"""),45698)</f>
        <v>45698</v>
      </c>
      <c r="V188" s="4">
        <f ca="1">IFERROR(__xludf.DUMMYFUNCTION("""COMPUTED_VALUE"""),45786)</f>
        <v>45786</v>
      </c>
      <c r="W188" s="1">
        <f ca="1">IFERROR(__xludf.DUMMYFUNCTION("""COMPUTED_VALUE"""),187)</f>
        <v>187</v>
      </c>
      <c r="X188" s="3">
        <f ca="1">IFERROR(__xludf.DUMMYFUNCTION("""COMPUTED_VALUE"""),45840)</f>
        <v>45840</v>
      </c>
      <c r="Y188" s="1" t="str">
        <f ca="1">IFERROR(__xludf.DUMMYFUNCTION("""COMPUTED_VALUE"""),"DUYỆT")</f>
        <v>DUYỆT</v>
      </c>
      <c r="Z188" s="3">
        <f ca="1">IFERROR(__xludf.DUMMYFUNCTION("""COMPUTED_VALUE"""),45932)</f>
        <v>45932</v>
      </c>
      <c r="AA188" s="1" t="str">
        <f ca="1">IFERROR(__xludf.DUMMYFUNCTION("""COMPUTED_VALUE"""),"Premier Village Danang Resort")</f>
        <v>Premier Village Danang Resort</v>
      </c>
      <c r="AB188" s="1" t="str">
        <f ca="1">IFERROR(__xludf.DUMMYFUNCTION("""COMPUTED_VALUE"""),"Nhà hàng")</f>
        <v>Nhà hàng</v>
      </c>
      <c r="AC188" s="1"/>
      <c r="AD188" s="1" t="str">
        <f ca="1">IFERROR(__xludf.DUMMYFUNCTION("""COMPUTED_VALUE"""),"Phiếu tiếp nhận chưa ghi thông tin người hướng dẫn tại ks, SV phải đảm bảo không thực tập quá 5sv/nhà hàng")</f>
        <v>Phiếu tiếp nhận chưa ghi thông tin người hướng dẫn tại ks, SV phải đảm bảo không thực tập quá 5sv/nhà hàng</v>
      </c>
      <c r="AE188" s="1" t="str">
        <f ca="1">IFERROR(__xludf.DUMMYFUNCTION("""COMPUTED_VALUE"""),"")</f>
        <v/>
      </c>
    </row>
    <row r="189" spans="1:31" x14ac:dyDescent="0.2">
      <c r="A189" s="6">
        <f ca="1">IFERROR(__xludf.DUMMYFUNCTION("""COMPUTED_VALUE"""),45695.432091956)</f>
        <v>45695.432091955998</v>
      </c>
      <c r="B189" s="1"/>
      <c r="C189" s="1">
        <f ca="1">IFERROR(__xludf.DUMMYFUNCTION("""COMPUTED_VALUE"""),27207128427)</f>
        <v>27207128427</v>
      </c>
      <c r="D189" s="1" t="str">
        <f ca="1">IFERROR(__xludf.DUMMYFUNCTION("""COMPUTED_VALUE"""),"Lê Kim Quy")</f>
        <v>Lê Kim Quy</v>
      </c>
      <c r="E189" s="4"/>
      <c r="F189" s="1" t="str">
        <f ca="1">IFERROR(__xludf.DUMMYFUNCTION("""COMPUTED_VALUE"""),"K27 PSU DLK2")</f>
        <v>K27 PSU DLK2</v>
      </c>
      <c r="G189" s="1" t="str">
        <f ca="1">IFERROR(__xludf.DUMMYFUNCTION("""COMPUTED_VALUE"""),"Quản trị Du lịch &amp; Khách sạn chuẩn PSU")</f>
        <v>Quản trị Du lịch &amp; Khách sạn chuẩn PSU</v>
      </c>
      <c r="H189" s="1">
        <f ca="1">IFERROR(__xludf.DUMMYFUNCTION("""COMPUTED_VALUE"""),27)</f>
        <v>27</v>
      </c>
      <c r="I189" s="1"/>
      <c r="J189" s="1" t="str">
        <f ca="1">IFERROR(__xludf.DUMMYFUNCTION("""COMPUTED_VALUE"""),"Chuyên đề")</f>
        <v>Chuyên đề</v>
      </c>
      <c r="K189" s="1" t="str">
        <f ca="1">IFERROR(__xludf.DUMMYFUNCTION("""COMPUTED_VALUE"""),"Premier Village Danang Resort")</f>
        <v>Premier Village Danang Resort</v>
      </c>
      <c r="L189" s="1" t="str">
        <f ca="1">IFERROR(__xludf.DUMMYFUNCTION("""COMPUTED_VALUE"""),"Không")</f>
        <v>Không</v>
      </c>
      <c r="M189" s="1" t="str">
        <f ca="1">IFERROR(__xludf.DUMMYFUNCTION("""COMPUTED_VALUE"""),"99 Võ Nguyên Giáp, phường Mỹ An, quận Ngũ Hành Sơn, thành phố Đà Nẵng")</f>
        <v>99 Võ Nguyên Giáp, phường Mỹ An, quận Ngũ Hành Sơn, thành phố Đà Nẵng</v>
      </c>
      <c r="N189" s="1" t="str">
        <f ca="1">IFERROR(__xludf.DUMMYFUNCTION("""COMPUTED_VALUE"""),"Đà Nẵng")</f>
        <v>Đà Nẵng</v>
      </c>
      <c r="O189" s="1" t="str">
        <f ca="1">IFERROR(__xludf.DUMMYFUNCTION("""COMPUTED_VALUE"""),"Nhà hàng")</f>
        <v>Nhà hàng</v>
      </c>
      <c r="P189" s="1" t="str">
        <f ca="1">IFERROR(__xludf.DUMMYFUNCTION("""COMPUTED_VALUE"""),"Không")</f>
        <v>Không</v>
      </c>
      <c r="Q189" s="1" t="str">
        <f ca="1">IFERROR(__xludf.DUMMYFUNCTION("""COMPUTED_VALUE"""),"Ngày 7/2/2025")</f>
        <v>Ngày 7/2/2025</v>
      </c>
      <c r="R189" s="1" t="str">
        <f ca="1">IFERROR(__xludf.DUMMYFUNCTION("""COMPUTED_VALUE"""),"cam kết")</f>
        <v>cam kết</v>
      </c>
      <c r="S189" s="1" t="str">
        <f ca="1">IFERROR(__xludf.DUMMYFUNCTION("""COMPUTED_VALUE"""),"Chuyên đề")</f>
        <v>Chuyên đề</v>
      </c>
      <c r="T189" s="1"/>
      <c r="U189" s="4">
        <f ca="1">IFERROR(__xludf.DUMMYFUNCTION("""COMPUTED_VALUE"""),45698)</f>
        <v>45698</v>
      </c>
      <c r="V189" s="4">
        <f ca="1">IFERROR(__xludf.DUMMYFUNCTION("""COMPUTED_VALUE"""),45786)</f>
        <v>45786</v>
      </c>
      <c r="W189" s="1">
        <f ca="1">IFERROR(__xludf.DUMMYFUNCTION("""COMPUTED_VALUE"""),188)</f>
        <v>188</v>
      </c>
      <c r="X189" s="3">
        <f ca="1">IFERROR(__xludf.DUMMYFUNCTION("""COMPUTED_VALUE"""),45840)</f>
        <v>45840</v>
      </c>
      <c r="Y189" s="1" t="str">
        <f ca="1">IFERROR(__xludf.DUMMYFUNCTION("""COMPUTED_VALUE"""),"DUYỆT")</f>
        <v>DUYỆT</v>
      </c>
      <c r="Z189" s="3">
        <f ca="1">IFERROR(__xludf.DUMMYFUNCTION("""COMPUTED_VALUE"""),45932)</f>
        <v>45932</v>
      </c>
      <c r="AA189" s="1" t="str">
        <f ca="1">IFERROR(__xludf.DUMMYFUNCTION("""COMPUTED_VALUE"""),"Premier Village Danang Resort")</f>
        <v>Premier Village Danang Resort</v>
      </c>
      <c r="AB189" s="1" t="str">
        <f ca="1">IFERROR(__xludf.DUMMYFUNCTION("""COMPUTED_VALUE"""),"Nhà hàng")</f>
        <v>Nhà hàng</v>
      </c>
      <c r="AC189" s="1"/>
      <c r="AD189" s="1" t="str">
        <f ca="1">IFERROR(__xludf.DUMMYFUNCTION("""COMPUTED_VALUE"""),"Phiếu tiếp nhận chưa ghi thông tin người hướng dẫn tại ks, SV phải đảm bảo không thực tập quá 5sv/nhà hàng")</f>
        <v>Phiếu tiếp nhận chưa ghi thông tin người hướng dẫn tại ks, SV phải đảm bảo không thực tập quá 5sv/nhà hàng</v>
      </c>
      <c r="AE189" s="1" t="str">
        <f ca="1">IFERROR(__xludf.DUMMYFUNCTION("""COMPUTED_VALUE"""),"")</f>
        <v/>
      </c>
    </row>
    <row r="190" spans="1:31" x14ac:dyDescent="0.2">
      <c r="A190" s="6">
        <f ca="1">IFERROR(__xludf.DUMMYFUNCTION("""COMPUTED_VALUE"""),45695.4324552199)</f>
        <v>45695.432455219903</v>
      </c>
      <c r="B190" s="1"/>
      <c r="C190" s="1">
        <f ca="1">IFERROR(__xludf.DUMMYFUNCTION("""COMPUTED_VALUE"""),27207101932)</f>
        <v>27207101932</v>
      </c>
      <c r="D190" s="1" t="str">
        <f ca="1">IFERROR(__xludf.DUMMYFUNCTION("""COMPUTED_VALUE"""),"Nguyễn Thị Diễm Thuý")</f>
        <v>Nguyễn Thị Diễm Thuý</v>
      </c>
      <c r="E190" s="4"/>
      <c r="F190" s="1" t="str">
        <f ca="1">IFERROR(__xludf.DUMMYFUNCTION("""COMPUTED_VALUE"""),"K27PSUDLK 2")</f>
        <v>K27PSUDLK 2</v>
      </c>
      <c r="G190" s="1" t="str">
        <f ca="1">IFERROR(__xludf.DUMMYFUNCTION("""COMPUTED_VALUE"""),"Quản trị Du lịch &amp; Khách sạn chuẩn PSU")</f>
        <v>Quản trị Du lịch &amp; Khách sạn chuẩn PSU</v>
      </c>
      <c r="H190" s="1">
        <f ca="1">IFERROR(__xludf.DUMMYFUNCTION("""COMPUTED_VALUE"""),27)</f>
        <v>27</v>
      </c>
      <c r="I190" s="1"/>
      <c r="J190" s="1" t="str">
        <f ca="1">IFERROR(__xludf.DUMMYFUNCTION("""COMPUTED_VALUE"""),"Chuyên đề")</f>
        <v>Chuyên đề</v>
      </c>
      <c r="K190" s="1" t="str">
        <f ca="1">IFERROR(__xludf.DUMMYFUNCTION("""COMPUTED_VALUE"""),"Premier Village Danang Resort")</f>
        <v>Premier Village Danang Resort</v>
      </c>
      <c r="L190" s="1"/>
      <c r="M190" s="1" t="str">
        <f ca="1">IFERROR(__xludf.DUMMYFUNCTION("""COMPUTED_VALUE"""),"99 Võ Nguyên Giáp, Mỹ An, Ngũ Hành Sơn, Đà Nẵng")</f>
        <v>99 Võ Nguyên Giáp, Mỹ An, Ngũ Hành Sơn, Đà Nẵng</v>
      </c>
      <c r="N190" s="1" t="str">
        <f ca="1">IFERROR(__xludf.DUMMYFUNCTION("""COMPUTED_VALUE"""),"Đà Nẵng")</f>
        <v>Đà Nẵng</v>
      </c>
      <c r="O190" s="1" t="str">
        <f ca="1">IFERROR(__xludf.DUMMYFUNCTION("""COMPUTED_VALUE"""),"Buồng phòng")</f>
        <v>Buồng phòng</v>
      </c>
      <c r="P190" s="1"/>
      <c r="Q190" s="1" t="str">
        <f ca="1">IFERROR(__xludf.DUMMYFUNCTION("""COMPUTED_VALUE"""),"07/02/2025")</f>
        <v>07/02/2025</v>
      </c>
      <c r="R190" s="1" t="str">
        <f ca="1">IFERROR(__xludf.DUMMYFUNCTION("""COMPUTED_VALUE"""),"cam kết")</f>
        <v>cam kết</v>
      </c>
      <c r="S190" s="1" t="str">
        <f ca="1">IFERROR(__xludf.DUMMYFUNCTION("""COMPUTED_VALUE"""),"Chuyên đề")</f>
        <v>Chuyên đề</v>
      </c>
      <c r="T190" s="1" t="str">
        <f ca="1">IFERROR(__xludf.DUMMYFUNCTION("""COMPUTED_VALUE"""),"Hồ Sử Minh Tài")</f>
        <v>Hồ Sử Minh Tài</v>
      </c>
      <c r="U190" s="4">
        <f ca="1">IFERROR(__xludf.DUMMYFUNCTION("""COMPUTED_VALUE"""),45698)</f>
        <v>45698</v>
      </c>
      <c r="V190" s="4">
        <f ca="1">IFERROR(__xludf.DUMMYFUNCTION("""COMPUTED_VALUE"""),45786)</f>
        <v>45786</v>
      </c>
      <c r="W190" s="1">
        <f ca="1">IFERROR(__xludf.DUMMYFUNCTION("""COMPUTED_VALUE"""),189)</f>
        <v>189</v>
      </c>
      <c r="X190" s="3">
        <f ca="1">IFERROR(__xludf.DUMMYFUNCTION("""COMPUTED_VALUE"""),45840)</f>
        <v>45840</v>
      </c>
      <c r="Y190" s="1" t="str">
        <f ca="1">IFERROR(__xludf.DUMMYFUNCTION("""COMPUTED_VALUE"""),"DUYỆT")</f>
        <v>DUYỆT</v>
      </c>
      <c r="Z190" s="3">
        <f ca="1">IFERROR(__xludf.DUMMYFUNCTION("""COMPUTED_VALUE"""),45932)</f>
        <v>45932</v>
      </c>
      <c r="AA190" s="1" t="str">
        <f ca="1">IFERROR(__xludf.DUMMYFUNCTION("""COMPUTED_VALUE"""),"Premier Village Danang Resort")</f>
        <v>Premier Village Danang Resort</v>
      </c>
      <c r="AB190" s="1" t="str">
        <f ca="1">IFERROR(__xludf.DUMMYFUNCTION("""COMPUTED_VALUE"""),"Buồng phòng")</f>
        <v>Buồng phòng</v>
      </c>
      <c r="AC190" s="1"/>
      <c r="AD190" s="1" t="str">
        <f ca="1">IFERROR(__xludf.DUMMYFUNCTION("""COMPUTED_VALUE"""),"Phiếu tiếp nhận chưa ghi thông tin người hướng dẫn tại ks,")</f>
        <v>Phiếu tiếp nhận chưa ghi thông tin người hướng dẫn tại ks,</v>
      </c>
      <c r="AE190" s="1" t="str">
        <f ca="1">IFERROR(__xludf.DUMMYFUNCTION("""COMPUTED_VALUE"""),"")</f>
        <v/>
      </c>
    </row>
    <row r="191" spans="1:31" x14ac:dyDescent="0.2">
      <c r="A191" s="6">
        <f ca="1">IFERROR(__xludf.DUMMYFUNCTION("""COMPUTED_VALUE"""),45695.4331616782)</f>
        <v>45695.4331616782</v>
      </c>
      <c r="B191" s="1"/>
      <c r="C191" s="1">
        <f ca="1">IFERROR(__xludf.DUMMYFUNCTION("""COMPUTED_VALUE"""),27217102897)</f>
        <v>27217102897</v>
      </c>
      <c r="D191" s="1" t="str">
        <f ca="1">IFERROR(__xludf.DUMMYFUNCTION("""COMPUTED_VALUE"""),"Đỗ Kim Thành")</f>
        <v>Đỗ Kim Thành</v>
      </c>
      <c r="E191" s="4"/>
      <c r="F191" s="1" t="str">
        <f ca="1">IFERROR(__xludf.DUMMYFUNCTION("""COMPUTED_VALUE"""),"K27PSUDLK 2")</f>
        <v>K27PSUDLK 2</v>
      </c>
      <c r="G191" s="1" t="str">
        <f ca="1">IFERROR(__xludf.DUMMYFUNCTION("""COMPUTED_VALUE"""),"Quản trị Du lịch &amp; Khách sạn chuẩn PSU")</f>
        <v>Quản trị Du lịch &amp; Khách sạn chuẩn PSU</v>
      </c>
      <c r="H191" s="1">
        <f ca="1">IFERROR(__xludf.DUMMYFUNCTION("""COMPUTED_VALUE"""),27)</f>
        <v>27</v>
      </c>
      <c r="I191" s="1"/>
      <c r="J191" s="1" t="str">
        <f ca="1">IFERROR(__xludf.DUMMYFUNCTION("""COMPUTED_VALUE"""),"Khóa luận")</f>
        <v>Khóa luận</v>
      </c>
      <c r="K191" s="1" t="str">
        <f ca="1">IFERROR(__xludf.DUMMYFUNCTION("""COMPUTED_VALUE"""),"Premier Village Danang Resort")</f>
        <v>Premier Village Danang Resort</v>
      </c>
      <c r="L191" s="1"/>
      <c r="M191" s="1" t="str">
        <f ca="1">IFERROR(__xludf.DUMMYFUNCTION("""COMPUTED_VALUE"""),"99 Võ Nguyên Giáp, Mỹ An, Ngũ Hành Sơn, Đà Nẵng")</f>
        <v>99 Võ Nguyên Giáp, Mỹ An, Ngũ Hành Sơn, Đà Nẵng</v>
      </c>
      <c r="N191" s="1" t="str">
        <f ca="1">IFERROR(__xludf.DUMMYFUNCTION("""COMPUTED_VALUE"""),"Đà Nẵng")</f>
        <v>Đà Nẵng</v>
      </c>
      <c r="O191" s="1" t="str">
        <f ca="1">IFERROR(__xludf.DUMMYFUNCTION("""COMPUTED_VALUE"""),"Nhà hàng")</f>
        <v>Nhà hàng</v>
      </c>
      <c r="P191" s="1"/>
      <c r="Q191" s="1" t="str">
        <f ca="1">IFERROR(__xludf.DUMMYFUNCTION("""COMPUTED_VALUE"""),"07/02/2025")</f>
        <v>07/02/2025</v>
      </c>
      <c r="R191" s="1" t="str">
        <f ca="1">IFERROR(__xludf.DUMMYFUNCTION("""COMPUTED_VALUE"""),"cam kết")</f>
        <v>cam kết</v>
      </c>
      <c r="S191" s="1" t="str">
        <f ca="1">IFERROR(__xludf.DUMMYFUNCTION("""COMPUTED_VALUE"""),"Khóa luận")</f>
        <v>Khóa luận</v>
      </c>
      <c r="T191" s="1" t="str">
        <f ca="1">IFERROR(__xludf.DUMMYFUNCTION("""COMPUTED_VALUE"""),"Hồ Sử Minh Tài")</f>
        <v>Hồ Sử Minh Tài</v>
      </c>
      <c r="U191" s="4">
        <f ca="1">IFERROR(__xludf.DUMMYFUNCTION("""COMPUTED_VALUE"""),45698)</f>
        <v>45698</v>
      </c>
      <c r="V191" s="4">
        <f ca="1">IFERROR(__xludf.DUMMYFUNCTION("""COMPUTED_VALUE"""),45786)</f>
        <v>45786</v>
      </c>
      <c r="W191" s="1">
        <f ca="1">IFERROR(__xludf.DUMMYFUNCTION("""COMPUTED_VALUE"""),190)</f>
        <v>190</v>
      </c>
      <c r="X191" s="3">
        <f ca="1">IFERROR(__xludf.DUMMYFUNCTION("""COMPUTED_VALUE"""),45840)</f>
        <v>45840</v>
      </c>
      <c r="Y191" s="1" t="str">
        <f ca="1">IFERROR(__xludf.DUMMYFUNCTION("""COMPUTED_VALUE"""),"DUYỆT")</f>
        <v>DUYỆT</v>
      </c>
      <c r="Z191" s="3">
        <f ca="1">IFERROR(__xludf.DUMMYFUNCTION("""COMPUTED_VALUE"""),45932)</f>
        <v>45932</v>
      </c>
      <c r="AA191" s="1" t="str">
        <f ca="1">IFERROR(__xludf.DUMMYFUNCTION("""COMPUTED_VALUE"""),"Premier Village Danang Resort")</f>
        <v>Premier Village Danang Resort</v>
      </c>
      <c r="AB191" s="1" t="str">
        <f ca="1">IFERROR(__xludf.DUMMYFUNCTION("""COMPUTED_VALUE"""),"Nhà hàng")</f>
        <v>Nhà hàng</v>
      </c>
      <c r="AC191" s="1"/>
      <c r="AD191" s="1" t="str">
        <f ca="1">IFERROR(__xludf.DUMMYFUNCTION("""COMPUTED_VALUE"""),"Phiếu tiếp nhận chưa ghi thông tin người hướng dẫn tại ks, SV phải đảm bảo không thực tập quá 5sv/nhà hàng")</f>
        <v>Phiếu tiếp nhận chưa ghi thông tin người hướng dẫn tại ks, SV phải đảm bảo không thực tập quá 5sv/nhà hàng</v>
      </c>
      <c r="AE191" s="1" t="str">
        <f ca="1">IFERROR(__xludf.DUMMYFUNCTION("""COMPUTED_VALUE"""),"")</f>
        <v/>
      </c>
    </row>
    <row r="192" spans="1:31" x14ac:dyDescent="0.2">
      <c r="A192" s="6">
        <f ca="1">IFERROR(__xludf.DUMMYFUNCTION("""COMPUTED_VALUE"""),45695.4340633564)</f>
        <v>45695.434063356399</v>
      </c>
      <c r="B192" s="1"/>
      <c r="C192" s="1">
        <f ca="1">IFERROR(__xludf.DUMMYFUNCTION("""COMPUTED_VALUE"""),27207100430)</f>
        <v>27207100430</v>
      </c>
      <c r="D192" s="1" t="str">
        <f ca="1">IFERROR(__xludf.DUMMYFUNCTION("""COMPUTED_VALUE"""),"Võ Thị Thu Thảo")</f>
        <v>Võ Thị Thu Thảo</v>
      </c>
      <c r="E192" s="4"/>
      <c r="F192" s="1" t="str">
        <f ca="1">IFERROR(__xludf.DUMMYFUNCTION("""COMPUTED_VALUE"""),"K27PSUDLK 2")</f>
        <v>K27PSUDLK 2</v>
      </c>
      <c r="G192" s="1" t="str">
        <f ca="1">IFERROR(__xludf.DUMMYFUNCTION("""COMPUTED_VALUE"""),"Quản trị Du lịch &amp; Khách sạn chuẩn PSU")</f>
        <v>Quản trị Du lịch &amp; Khách sạn chuẩn PSU</v>
      </c>
      <c r="H192" s="1">
        <f ca="1">IFERROR(__xludf.DUMMYFUNCTION("""COMPUTED_VALUE"""),27)</f>
        <v>27</v>
      </c>
      <c r="I192" s="1"/>
      <c r="J192" s="1" t="str">
        <f ca="1">IFERROR(__xludf.DUMMYFUNCTION("""COMPUTED_VALUE"""),"Chuyên đề")</f>
        <v>Chuyên đề</v>
      </c>
      <c r="K192" s="1" t="str">
        <f ca="1">IFERROR(__xludf.DUMMYFUNCTION("""COMPUTED_VALUE"""),"Premier Village Danang Resort")</f>
        <v>Premier Village Danang Resort</v>
      </c>
      <c r="L192" s="1"/>
      <c r="M192" s="1" t="str">
        <f ca="1">IFERROR(__xludf.DUMMYFUNCTION("""COMPUTED_VALUE"""),"99 Võ Nguyên Giáp/ Mỹ An/ Ngũ Hành Sơn/ Đà Nẵng")</f>
        <v>99 Võ Nguyên Giáp/ Mỹ An/ Ngũ Hành Sơn/ Đà Nẵng</v>
      </c>
      <c r="N192" s="1" t="str">
        <f ca="1">IFERROR(__xludf.DUMMYFUNCTION("""COMPUTED_VALUE"""),"Thành phố Đà Nẵng")</f>
        <v>Thành phố Đà Nẵng</v>
      </c>
      <c r="O192" s="1" t="str">
        <f ca="1">IFERROR(__xludf.DUMMYFUNCTION("""COMPUTED_VALUE"""),"Buồng phòng")</f>
        <v>Buồng phòng</v>
      </c>
      <c r="P192" s="1"/>
      <c r="Q192" s="1" t="str">
        <f ca="1">IFERROR(__xludf.DUMMYFUNCTION("""COMPUTED_VALUE"""),"07/02/2025")</f>
        <v>07/02/2025</v>
      </c>
      <c r="R192" s="1" t="str">
        <f ca="1">IFERROR(__xludf.DUMMYFUNCTION("""COMPUTED_VALUE"""),"cam kết")</f>
        <v>cam kết</v>
      </c>
      <c r="S192" s="1" t="str">
        <f ca="1">IFERROR(__xludf.DUMMYFUNCTION("""COMPUTED_VALUE"""),"Chuyên đề")</f>
        <v>Chuyên đề</v>
      </c>
      <c r="T192" s="1" t="str">
        <f ca="1">IFERROR(__xludf.DUMMYFUNCTION("""COMPUTED_VALUE"""),"Hồ Sử Minh Tài")</f>
        <v>Hồ Sử Minh Tài</v>
      </c>
      <c r="U192" s="4">
        <f ca="1">IFERROR(__xludf.DUMMYFUNCTION("""COMPUTED_VALUE"""),45698)</f>
        <v>45698</v>
      </c>
      <c r="V192" s="4">
        <f ca="1">IFERROR(__xludf.DUMMYFUNCTION("""COMPUTED_VALUE"""),45786)</f>
        <v>45786</v>
      </c>
      <c r="W192" s="1">
        <f ca="1">IFERROR(__xludf.DUMMYFUNCTION("""COMPUTED_VALUE"""),191)</f>
        <v>191</v>
      </c>
      <c r="X192" s="3">
        <f ca="1">IFERROR(__xludf.DUMMYFUNCTION("""COMPUTED_VALUE"""),45840)</f>
        <v>45840</v>
      </c>
      <c r="Y192" s="1" t="str">
        <f ca="1">IFERROR(__xludf.DUMMYFUNCTION("""COMPUTED_VALUE"""),"DUYỆT")</f>
        <v>DUYỆT</v>
      </c>
      <c r="Z192" s="3">
        <f ca="1">IFERROR(__xludf.DUMMYFUNCTION("""COMPUTED_VALUE"""),45932)</f>
        <v>45932</v>
      </c>
      <c r="AA192" s="1" t="str">
        <f ca="1">IFERROR(__xludf.DUMMYFUNCTION("""COMPUTED_VALUE"""),"Premier Village Danang Resort")</f>
        <v>Premier Village Danang Resort</v>
      </c>
      <c r="AB192" s="1" t="str">
        <f ca="1">IFERROR(__xludf.DUMMYFUNCTION("""COMPUTED_VALUE"""),"Buồng phòng")</f>
        <v>Buồng phòng</v>
      </c>
      <c r="AC192" s="1"/>
      <c r="AD192" s="1" t="str">
        <f ca="1">IFERROR(__xludf.DUMMYFUNCTION("""COMPUTED_VALUE"""),"Phiếu tiếp nhận chưa ghi thông tin người hướng dẫn tại ks")</f>
        <v>Phiếu tiếp nhận chưa ghi thông tin người hướng dẫn tại ks</v>
      </c>
      <c r="AE192" s="1" t="str">
        <f ca="1">IFERROR(__xludf.DUMMYFUNCTION("""COMPUTED_VALUE"""),"")</f>
        <v/>
      </c>
    </row>
    <row r="193" spans="1:31" x14ac:dyDescent="0.2">
      <c r="A193" s="6">
        <f ca="1">IFERROR(__xludf.DUMMYFUNCTION("""COMPUTED_VALUE"""),45695.4500148032)</f>
        <v>45695.450014803202</v>
      </c>
      <c r="B193" s="1"/>
      <c r="C193" s="1">
        <f ca="1">IFERROR(__xludf.DUMMYFUNCTION("""COMPUTED_VALUE"""),25202108563)</f>
        <v>25202108563</v>
      </c>
      <c r="D193" s="1" t="str">
        <f ca="1">IFERROR(__xludf.DUMMYFUNCTION("""COMPUTED_VALUE"""),"Nguyễn Hoàng Anh Thơ")</f>
        <v>Nguyễn Hoàng Anh Thơ</v>
      </c>
      <c r="E193" s="4"/>
      <c r="F193" s="1" t="str">
        <f ca="1">IFERROR(__xludf.DUMMYFUNCTION("""COMPUTED_VALUE"""),"K27PSUDLK2")</f>
        <v>K27PSUDLK2</v>
      </c>
      <c r="G193" s="1" t="str">
        <f ca="1">IFERROR(__xludf.DUMMYFUNCTION("""COMPUTED_VALUE"""),"Quản trị Du lịch &amp; Khách sạn chuẩn PSU")</f>
        <v>Quản trị Du lịch &amp; Khách sạn chuẩn PSU</v>
      </c>
      <c r="H193" s="1">
        <f ca="1">IFERROR(__xludf.DUMMYFUNCTION("""COMPUTED_VALUE"""),27)</f>
        <v>27</v>
      </c>
      <c r="I193" s="1"/>
      <c r="J193" s="1" t="str">
        <f ca="1">IFERROR(__xludf.DUMMYFUNCTION("""COMPUTED_VALUE"""),"Chuyên đề")</f>
        <v>Chuyên đề</v>
      </c>
      <c r="K193" s="1" t="str">
        <f ca="1">IFERROR(__xludf.DUMMYFUNCTION("""COMPUTED_VALUE"""),"Premier Village Danang Resort")</f>
        <v>Premier Village Danang Resort</v>
      </c>
      <c r="L193" s="1"/>
      <c r="M193" s="1" t="str">
        <f ca="1">IFERROR(__xludf.DUMMYFUNCTION("""COMPUTED_VALUE"""),"99 Võ Nguyên Giáp")</f>
        <v>99 Võ Nguyên Giáp</v>
      </c>
      <c r="N193" s="1" t="str">
        <f ca="1">IFERROR(__xludf.DUMMYFUNCTION("""COMPUTED_VALUE"""),"Đà Nẵng")</f>
        <v>Đà Nẵng</v>
      </c>
      <c r="O193" s="1" t="str">
        <f ca="1">IFERROR(__xludf.DUMMYFUNCTION("""COMPUTED_VALUE"""),"Nhà hàng")</f>
        <v>Nhà hàng</v>
      </c>
      <c r="P193" s="1"/>
      <c r="Q193" s="1" t="str">
        <f ca="1">IFERROR(__xludf.DUMMYFUNCTION("""COMPUTED_VALUE"""),"7/2/2025")</f>
        <v>7/2/2025</v>
      </c>
      <c r="R193" s="1" t="str">
        <f ca="1">IFERROR(__xludf.DUMMYFUNCTION("""COMPUTED_VALUE"""),"cam kết")</f>
        <v>cam kết</v>
      </c>
      <c r="S193" s="1" t="str">
        <f ca="1">IFERROR(__xludf.DUMMYFUNCTION("""COMPUTED_VALUE"""),"Chuyên đề")</f>
        <v>Chuyên đề</v>
      </c>
      <c r="T193" s="1"/>
      <c r="U193" s="4">
        <f ca="1">IFERROR(__xludf.DUMMYFUNCTION("""COMPUTED_VALUE"""),45932)</f>
        <v>45932</v>
      </c>
      <c r="V193" s="4">
        <f ca="1">IFERROR(__xludf.DUMMYFUNCTION("""COMPUTED_VALUE"""),45905)</f>
        <v>45905</v>
      </c>
      <c r="W193" s="1">
        <f ca="1">IFERROR(__xludf.DUMMYFUNCTION("""COMPUTED_VALUE"""),192)</f>
        <v>192</v>
      </c>
      <c r="X193" s="3">
        <f ca="1">IFERROR(__xludf.DUMMYFUNCTION("""COMPUTED_VALUE"""),45840)</f>
        <v>45840</v>
      </c>
      <c r="Y193" s="1" t="str">
        <f ca="1">IFERROR(__xludf.DUMMYFUNCTION("""COMPUTED_VALUE"""),"DUYỆT")</f>
        <v>DUYỆT</v>
      </c>
      <c r="Z193" s="3">
        <f ca="1">IFERROR(__xludf.DUMMYFUNCTION("""COMPUTED_VALUE"""),45932)</f>
        <v>45932</v>
      </c>
      <c r="AA193" s="1" t="str">
        <f ca="1">IFERROR(__xludf.DUMMYFUNCTION("""COMPUTED_VALUE"""),"Premier Village Danang Resort")</f>
        <v>Premier Village Danang Resort</v>
      </c>
      <c r="AB193" s="1" t="str">
        <f ca="1">IFERROR(__xludf.DUMMYFUNCTION("""COMPUTED_VALUE"""),"Nhà hàng")</f>
        <v>Nhà hàng</v>
      </c>
      <c r="AC193" s="1" t="str">
        <f ca="1">IFERROR(__xludf.DUMMYFUNCTION("""COMPUTED_VALUE"""),"ĐÃ NỘP")</f>
        <v>ĐÃ NỘP</v>
      </c>
      <c r="AD193" s="1" t="str">
        <f ca="1">IFERROR(__xludf.DUMMYFUNCTION("""COMPUTED_VALUE"""),"Phiếu tiếp nhận chưa ghi thông tin người hướng dẫn tại ks, SV phải đảm bảo không thực tập quá 5sv/nhà hàng")</f>
        <v>Phiếu tiếp nhận chưa ghi thông tin người hướng dẫn tại ks, SV phải đảm bảo không thực tập quá 5sv/nhà hàng</v>
      </c>
      <c r="AE193" s="1" t="str">
        <f ca="1">IFERROR(__xludf.DUMMYFUNCTION("""COMPUTED_VALUE"""),"")</f>
        <v/>
      </c>
    </row>
    <row r="194" spans="1:31" x14ac:dyDescent="0.2">
      <c r="A194" s="6">
        <f ca="1">IFERROR(__xludf.DUMMYFUNCTION("""COMPUTED_VALUE"""),45695.4503512268)</f>
        <v>45695.450351226798</v>
      </c>
      <c r="B194" s="1"/>
      <c r="C194" s="1">
        <f ca="1">IFERROR(__xludf.DUMMYFUNCTION("""COMPUTED_VALUE"""),25217207909)</f>
        <v>25217207909</v>
      </c>
      <c r="D194" s="1" t="str">
        <f ca="1">IFERROR(__xludf.DUMMYFUNCTION("""COMPUTED_VALUE"""),"Tran Dinh Tan Hao")</f>
        <v>Tran Dinh Tan Hao</v>
      </c>
      <c r="E194" s="4"/>
      <c r="F194" s="1" t="str">
        <f ca="1">IFERROR(__xludf.DUMMYFUNCTION("""COMPUTED_VALUE"""),"psu k27dlk2")</f>
        <v>psu k27dlk2</v>
      </c>
      <c r="G194" s="1" t="str">
        <f ca="1">IFERROR(__xludf.DUMMYFUNCTION("""COMPUTED_VALUE"""),"Quản trị Du lịch &amp; Khách sạn chuẩn PSU")</f>
        <v>Quản trị Du lịch &amp; Khách sạn chuẩn PSU</v>
      </c>
      <c r="H194" s="1">
        <f ca="1">IFERROR(__xludf.DUMMYFUNCTION("""COMPUTED_VALUE"""),25)</f>
        <v>25</v>
      </c>
      <c r="I194" s="1"/>
      <c r="J194" s="1" t="str">
        <f ca="1">IFERROR(__xludf.DUMMYFUNCTION("""COMPUTED_VALUE"""),"Chuyên đề")</f>
        <v>Chuyên đề</v>
      </c>
      <c r="K194" s="1" t="str">
        <f ca="1">IFERROR(__xludf.DUMMYFUNCTION("""COMPUTED_VALUE"""),"Premier Village Danang Resort")</f>
        <v>Premier Village Danang Resort</v>
      </c>
      <c r="L194" s="1"/>
      <c r="M194" s="1" t="str">
        <f ca="1">IFERROR(__xludf.DUMMYFUNCTION("""COMPUTED_VALUE"""),"99 Võ Nguyên Giáp")</f>
        <v>99 Võ Nguyên Giáp</v>
      </c>
      <c r="N194" s="1" t="str">
        <f ca="1">IFERROR(__xludf.DUMMYFUNCTION("""COMPUTED_VALUE"""),"Đà Nẵng")</f>
        <v>Đà Nẵng</v>
      </c>
      <c r="O194" s="1" t="str">
        <f ca="1">IFERROR(__xludf.DUMMYFUNCTION("""COMPUTED_VALUE"""),"Nhà hàng")</f>
        <v>Nhà hàng</v>
      </c>
      <c r="P194" s="1"/>
      <c r="Q194" s="1" t="str">
        <f ca="1">IFERROR(__xludf.DUMMYFUNCTION("""COMPUTED_VALUE"""),"7/2/2025")</f>
        <v>7/2/2025</v>
      </c>
      <c r="R194" s="1" t="str">
        <f ca="1">IFERROR(__xludf.DUMMYFUNCTION("""COMPUTED_VALUE"""),"cam kết")</f>
        <v>cam kết</v>
      </c>
      <c r="S194" s="1" t="str">
        <f ca="1">IFERROR(__xludf.DUMMYFUNCTION("""COMPUTED_VALUE"""),"Chuyên đề")</f>
        <v>Chuyên đề</v>
      </c>
      <c r="T194" s="1"/>
      <c r="U194" s="4">
        <f ca="1">IFERROR(__xludf.DUMMYFUNCTION("""COMPUTED_VALUE"""),45698)</f>
        <v>45698</v>
      </c>
      <c r="V194" s="4">
        <f ca="1">IFERROR(__xludf.DUMMYFUNCTION("""COMPUTED_VALUE"""),45787)</f>
        <v>45787</v>
      </c>
      <c r="W194" s="1">
        <f ca="1">IFERROR(__xludf.DUMMYFUNCTION("""COMPUTED_VALUE"""),193)</f>
        <v>193</v>
      </c>
      <c r="X194" s="3">
        <f ca="1">IFERROR(__xludf.DUMMYFUNCTION("""COMPUTED_VALUE"""),45840)</f>
        <v>45840</v>
      </c>
      <c r="Y194" s="1" t="str">
        <f ca="1">IFERROR(__xludf.DUMMYFUNCTION("""COMPUTED_VALUE"""),"DUYỆT")</f>
        <v>DUYỆT</v>
      </c>
      <c r="Z194" s="3">
        <f ca="1">IFERROR(__xludf.DUMMYFUNCTION("""COMPUTED_VALUE"""),45932)</f>
        <v>45932</v>
      </c>
      <c r="AA194" s="1" t="str">
        <f ca="1">IFERROR(__xludf.DUMMYFUNCTION("""COMPUTED_VALUE"""),"Premier Village Danang Resort")</f>
        <v>Premier Village Danang Resort</v>
      </c>
      <c r="AB194" s="1" t="str">
        <f ca="1">IFERROR(__xludf.DUMMYFUNCTION("""COMPUTED_VALUE"""),"Nhà hàng")</f>
        <v>Nhà hàng</v>
      </c>
      <c r="AC194" s="1" t="str">
        <f ca="1">IFERROR(__xludf.DUMMYFUNCTION("""COMPUTED_VALUE"""),"ĐÃ NỘP")</f>
        <v>ĐÃ NỘP</v>
      </c>
      <c r="AD194" s="1" t="str">
        <f ca="1">IFERROR(__xludf.DUMMYFUNCTION("""COMPUTED_VALUE"""),"Phiếu tiếp nhận chưa ghi thông tin người hướng dẫn tại ks, SV phải đảm bảo không thực tập quá 5sv/nhà hàng")</f>
        <v>Phiếu tiếp nhận chưa ghi thông tin người hướng dẫn tại ks, SV phải đảm bảo không thực tập quá 5sv/nhà hàng</v>
      </c>
      <c r="AE194" s="1" t="str">
        <f ca="1">IFERROR(__xludf.DUMMYFUNCTION("""COMPUTED_VALUE"""),"")</f>
        <v/>
      </c>
    </row>
    <row r="195" spans="1:31" x14ac:dyDescent="0.2">
      <c r="A195" s="6">
        <f ca="1">IFERROR(__xludf.DUMMYFUNCTION("""COMPUTED_VALUE"""),45695.6162950115)</f>
        <v>45695.616295011503</v>
      </c>
      <c r="B195" s="1"/>
      <c r="C195" s="1">
        <f ca="1">IFERROR(__xludf.DUMMYFUNCTION("""COMPUTED_VALUE"""),27207100676)</f>
        <v>27207100676</v>
      </c>
      <c r="D195" s="1" t="str">
        <f ca="1">IFERROR(__xludf.DUMMYFUNCTION("""COMPUTED_VALUE"""),"Hồng Thị Lan Trinh")</f>
        <v>Hồng Thị Lan Trinh</v>
      </c>
      <c r="E195" s="4"/>
      <c r="F195" s="1" t="str">
        <f ca="1">IFERROR(__xludf.DUMMYFUNCTION("""COMPUTED_VALUE"""),"K27DLK5")</f>
        <v>K27DLK5</v>
      </c>
      <c r="G195" s="1" t="str">
        <f ca="1">IFERROR(__xludf.DUMMYFUNCTION("""COMPUTED_VALUE"""),"Quản trị Du lịch &amp; Khách sạn")</f>
        <v>Quản trị Du lịch &amp; Khách sạn</v>
      </c>
      <c r="H195" s="1">
        <f ca="1">IFERROR(__xludf.DUMMYFUNCTION("""COMPUTED_VALUE"""),27)</f>
        <v>27</v>
      </c>
      <c r="I195" s="1"/>
      <c r="J195" s="1" t="str">
        <f ca="1">IFERROR(__xludf.DUMMYFUNCTION("""COMPUTED_VALUE"""),"Chuyên đề")</f>
        <v>Chuyên đề</v>
      </c>
      <c r="K195" s="1" t="str">
        <f ca="1">IFERROR(__xludf.DUMMYFUNCTION("""COMPUTED_VALUE"""),"Sheraton Grand Danang resort and Convention Center")</f>
        <v>Sheraton Grand Danang resort and Convention Center</v>
      </c>
      <c r="L195" s="1"/>
      <c r="M195" s="1" t="str">
        <f ca="1">IFERROR(__xludf.DUMMYFUNCTION("""COMPUTED_VALUE"""),"35 Trường Sa, Hoà Hải, Ngũ Hành Sơn, Đà Nẵng")</f>
        <v>35 Trường Sa, Hoà Hải, Ngũ Hành Sơn, Đà Nẵng</v>
      </c>
      <c r="N195" s="1" t="str">
        <f ca="1">IFERROR(__xludf.DUMMYFUNCTION("""COMPUTED_VALUE"""),"Đà Nẵng")</f>
        <v>Đà Nẵng</v>
      </c>
      <c r="O195" s="1" t="str">
        <f ca="1">IFERROR(__xludf.DUMMYFUNCTION("""COMPUTED_VALUE"""),"Nhà hàng")</f>
        <v>Nhà hàng</v>
      </c>
      <c r="P195" s="1"/>
      <c r="Q195" s="1" t="str">
        <f ca="1">IFERROR(__xludf.DUMMYFUNCTION("""COMPUTED_VALUE"""),"6/02/2025")</f>
        <v>6/02/2025</v>
      </c>
      <c r="R195" s="1" t="str">
        <f ca="1">IFERROR(__xludf.DUMMYFUNCTION("""COMPUTED_VALUE"""),"cam kết")</f>
        <v>cam kết</v>
      </c>
      <c r="S195" s="1" t="str">
        <f ca="1">IFERROR(__xludf.DUMMYFUNCTION("""COMPUTED_VALUE"""),"Chuyên đề")</f>
        <v>Chuyên đề</v>
      </c>
      <c r="T195" s="1"/>
      <c r="U195" s="4">
        <f ca="1">IFERROR(__xludf.DUMMYFUNCTION("""COMPUTED_VALUE"""),45698)</f>
        <v>45698</v>
      </c>
      <c r="V195" s="4">
        <f ca="1">IFERROR(__xludf.DUMMYFUNCTION("""COMPUTED_VALUE"""),45787)</f>
        <v>45787</v>
      </c>
      <c r="W195" s="1">
        <f ca="1">IFERROR(__xludf.DUMMYFUNCTION("""COMPUTED_VALUE"""),194)</f>
        <v>194</v>
      </c>
      <c r="X195" s="3">
        <f ca="1">IFERROR(__xludf.DUMMYFUNCTION("""COMPUTED_VALUE"""),45840)</f>
        <v>45840</v>
      </c>
      <c r="Y195" s="1" t="str">
        <f ca="1">IFERROR(__xludf.DUMMYFUNCTION("""COMPUTED_VALUE"""),"DUYỆT")</f>
        <v>DUYỆT</v>
      </c>
      <c r="Z195" s="3">
        <f ca="1">IFERROR(__xludf.DUMMYFUNCTION("""COMPUTED_VALUE"""),45932)</f>
        <v>45932</v>
      </c>
      <c r="AA195" s="1" t="str">
        <f ca="1">IFERROR(__xludf.DUMMYFUNCTION("""COMPUTED_VALUE"""),"Sheraton Grand Danang resort and Convention Center")</f>
        <v>Sheraton Grand Danang resort and Convention Center</v>
      </c>
      <c r="AB195" s="1" t="str">
        <f ca="1">IFERROR(__xludf.DUMMYFUNCTION("""COMPUTED_VALUE"""),"Nhà hàng")</f>
        <v>Nhà hàng</v>
      </c>
      <c r="AC195" s="1"/>
      <c r="AD195" s="1"/>
      <c r="AE195" s="1" t="str">
        <f ca="1">IFERROR(__xludf.DUMMYFUNCTION("""COMPUTED_VALUE"""),"")</f>
        <v/>
      </c>
    </row>
    <row r="196" spans="1:31" x14ac:dyDescent="0.2">
      <c r="A196" s="6">
        <f ca="1">IFERROR(__xludf.DUMMYFUNCTION("""COMPUTED_VALUE"""),45695.6724061458)</f>
        <v>45695.672406145801</v>
      </c>
      <c r="B196" s="1"/>
      <c r="C196" s="1">
        <f ca="1">IFERROR(__xludf.DUMMYFUNCTION("""COMPUTED_VALUE"""),27207141751)</f>
        <v>27207141751</v>
      </c>
      <c r="D196" s="1" t="str">
        <f ca="1">IFERROR(__xludf.DUMMYFUNCTION("""COMPUTED_VALUE"""),"Nguyễn Ngọc Kim Khánh ")</f>
        <v xml:space="preserve">Nguyễn Ngọc Kim Khánh </v>
      </c>
      <c r="E196" s="4"/>
      <c r="F196" s="1" t="str">
        <f ca="1">IFERROR(__xludf.DUMMYFUNCTION("""COMPUTED_VALUE"""),"K27DLK1")</f>
        <v>K27DLK1</v>
      </c>
      <c r="G196" s="1" t="str">
        <f ca="1">IFERROR(__xludf.DUMMYFUNCTION("""COMPUTED_VALUE"""),"Quản trị Du lịch &amp; Khách sạn")</f>
        <v>Quản trị Du lịch &amp; Khách sạn</v>
      </c>
      <c r="H196" s="1">
        <f ca="1">IFERROR(__xludf.DUMMYFUNCTION("""COMPUTED_VALUE"""),27)</f>
        <v>27</v>
      </c>
      <c r="I196" s="1"/>
      <c r="J196" s="1" t="str">
        <f ca="1">IFERROR(__xludf.DUMMYFUNCTION("""COMPUTED_VALUE"""),"Chuyên đề")</f>
        <v>Chuyên đề</v>
      </c>
      <c r="K196" s="1" t="str">
        <f ca="1">IFERROR(__xludf.DUMMYFUNCTION("""COMPUTED_VALUE"""),"Meliá Vinpearl Danang Riverfront")</f>
        <v>Meliá Vinpearl Danang Riverfront</v>
      </c>
      <c r="L196" s="1"/>
      <c r="M196" s="1" t="str">
        <f ca="1">IFERROR(__xludf.DUMMYFUNCTION("""COMPUTED_VALUE"""),"341 trần hưng đạo ")</f>
        <v xml:space="preserve">341 trần hưng đạo </v>
      </c>
      <c r="N196" s="1" t="str">
        <f ca="1">IFERROR(__xludf.DUMMYFUNCTION("""COMPUTED_VALUE"""),"Đà nẵng ")</f>
        <v xml:space="preserve">Đà nẵng </v>
      </c>
      <c r="O196" s="1" t="str">
        <f ca="1">IFERROR(__xludf.DUMMYFUNCTION("""COMPUTED_VALUE"""),"Nhà hàng")</f>
        <v>Nhà hàng</v>
      </c>
      <c r="P196" s="1"/>
      <c r="Q196" s="1" t="str">
        <f ca="1">IFERROR(__xludf.DUMMYFUNCTION("""COMPUTED_VALUE"""),"7/2/2025")</f>
        <v>7/2/2025</v>
      </c>
      <c r="R196" s="1" t="str">
        <f ca="1">IFERROR(__xludf.DUMMYFUNCTION("""COMPUTED_VALUE"""),"cam kết")</f>
        <v>cam kết</v>
      </c>
      <c r="S196" s="1" t="str">
        <f ca="1">IFERROR(__xludf.DUMMYFUNCTION("""COMPUTED_VALUE"""),"Chuyên đề")</f>
        <v>Chuyên đề</v>
      </c>
      <c r="T196" s="1"/>
      <c r="U196" s="4">
        <f ca="1">IFERROR(__xludf.DUMMYFUNCTION("""COMPUTED_VALUE"""),45698)</f>
        <v>45698</v>
      </c>
      <c r="V196" s="4">
        <f ca="1">IFERROR(__xludf.DUMMYFUNCTION("""COMPUTED_VALUE"""),45787)</f>
        <v>45787</v>
      </c>
      <c r="W196" s="1">
        <f ca="1">IFERROR(__xludf.DUMMYFUNCTION("""COMPUTED_VALUE"""),195)</f>
        <v>195</v>
      </c>
      <c r="X196" s="3">
        <f ca="1">IFERROR(__xludf.DUMMYFUNCTION("""COMPUTED_VALUE"""),45871)</f>
        <v>45871</v>
      </c>
      <c r="Y196" s="1" t="str">
        <f ca="1">IFERROR(__xludf.DUMMYFUNCTION("""COMPUTED_VALUE"""),"DUYỆT")</f>
        <v>DUYỆT</v>
      </c>
      <c r="Z196" s="3">
        <f ca="1">IFERROR(__xludf.DUMMYFUNCTION("""COMPUTED_VALUE"""),45932)</f>
        <v>45932</v>
      </c>
      <c r="AA196" s="1" t="str">
        <f ca="1">IFERROR(__xludf.DUMMYFUNCTION("""COMPUTED_VALUE"""),"Meliá Vinpearl Danang Riverfront")</f>
        <v>Meliá Vinpearl Danang Riverfront</v>
      </c>
      <c r="AB196" s="1" t="str">
        <f ca="1">IFERROR(__xludf.DUMMYFUNCTION("""COMPUTED_VALUE"""),"Nhà hàng")</f>
        <v>Nhà hàng</v>
      </c>
      <c r="AC196" s="1"/>
      <c r="AD196" s="1" t="str">
        <f ca="1">IFERROR(__xludf.DUMMYFUNCTION("""COMPUTED_VALUE"""),"sinh viên phải đảm bảo không quá 5sv/nhà hàng")</f>
        <v>sinh viên phải đảm bảo không quá 5sv/nhà hàng</v>
      </c>
      <c r="AE196" s="1" t="str">
        <f ca="1">IFERROR(__xludf.DUMMYFUNCTION("""COMPUTED_VALUE"""),"")</f>
        <v/>
      </c>
    </row>
    <row r="197" spans="1:31" x14ac:dyDescent="0.2">
      <c r="A197" s="6">
        <f ca="1">IFERROR(__xludf.DUMMYFUNCTION("""COMPUTED_VALUE"""),45696.4737214467)</f>
        <v>45696.473721446702</v>
      </c>
      <c r="B197" s="1"/>
      <c r="C197" s="1">
        <f ca="1">IFERROR(__xludf.DUMMYFUNCTION("""COMPUTED_VALUE"""),27207122720)</f>
        <v>27207122720</v>
      </c>
      <c r="D197" s="1" t="str">
        <f ca="1">IFERROR(__xludf.DUMMYFUNCTION("""COMPUTED_VALUE"""),"Nguyễn Thị Huyền My")</f>
        <v>Nguyễn Thị Huyền My</v>
      </c>
      <c r="E197" s="4"/>
      <c r="F197" s="1" t="str">
        <f ca="1">IFERROR(__xludf.DUMMYFUNCTION("""COMPUTED_VALUE"""),"K27DLK4")</f>
        <v>K27DLK4</v>
      </c>
      <c r="G197" s="1" t="str">
        <f ca="1">IFERROR(__xludf.DUMMYFUNCTION("""COMPUTED_VALUE"""),"Quản trị Du lịch &amp; Khách sạn")</f>
        <v>Quản trị Du lịch &amp; Khách sạn</v>
      </c>
      <c r="H197" s="1">
        <f ca="1">IFERROR(__xludf.DUMMYFUNCTION("""COMPUTED_VALUE"""),27)</f>
        <v>27</v>
      </c>
      <c r="I197" s="1"/>
      <c r="J197" s="1" t="str">
        <f ca="1">IFERROR(__xludf.DUMMYFUNCTION("""COMPUTED_VALUE"""),"Chuyên đề")</f>
        <v>Chuyên đề</v>
      </c>
      <c r="K197" s="1" t="str">
        <f ca="1">IFERROR(__xludf.DUMMYFUNCTION("""COMPUTED_VALUE"""),"Grand Tourane Hotel")</f>
        <v>Grand Tourane Hotel</v>
      </c>
      <c r="L197" s="1"/>
      <c r="M197" s="1" t="str">
        <f ca="1">IFERROR(__xludf.DUMMYFUNCTION("""COMPUTED_VALUE"""),"252 Võ Nguyên Giáp, Phước Mỹ, Sơn Trà, Đà nẵng")</f>
        <v>252 Võ Nguyên Giáp, Phước Mỹ, Sơn Trà, Đà nẵng</v>
      </c>
      <c r="N197" s="1" t="str">
        <f ca="1">IFERROR(__xludf.DUMMYFUNCTION("""COMPUTED_VALUE"""),"Đà Nẵng")</f>
        <v>Đà Nẵng</v>
      </c>
      <c r="O197" s="1" t="str">
        <f ca="1">IFERROR(__xludf.DUMMYFUNCTION("""COMPUTED_VALUE"""),"Nhà hàng")</f>
        <v>Nhà hàng</v>
      </c>
      <c r="P197" s="1"/>
      <c r="Q197" s="1" t="str">
        <f ca="1">IFERROR(__xludf.DUMMYFUNCTION("""COMPUTED_VALUE"""),"10/02/2025")</f>
        <v>10/02/2025</v>
      </c>
      <c r="R197" s="1" t="str">
        <f ca="1">IFERROR(__xludf.DUMMYFUNCTION("""COMPUTED_VALUE"""),"cam kết")</f>
        <v>cam kết</v>
      </c>
      <c r="S197" s="1" t="str">
        <f ca="1">IFERROR(__xludf.DUMMYFUNCTION("""COMPUTED_VALUE"""),"Chuyên đề")</f>
        <v>Chuyên đề</v>
      </c>
      <c r="T197" s="1"/>
      <c r="U197" s="4">
        <f ca="1">IFERROR(__xludf.DUMMYFUNCTION("""COMPUTED_VALUE"""),45698)</f>
        <v>45698</v>
      </c>
      <c r="V197" s="4">
        <f ca="1">IFERROR(__xludf.DUMMYFUNCTION("""COMPUTED_VALUE"""),45787)</f>
        <v>45787</v>
      </c>
      <c r="W197" s="1">
        <f ca="1">IFERROR(__xludf.DUMMYFUNCTION("""COMPUTED_VALUE"""),196)</f>
        <v>196</v>
      </c>
      <c r="X197" s="1"/>
      <c r="Y197" s="1" t="str">
        <f ca="1">IFERROR(__xludf.DUMMYFUNCTION("""COMPUTED_VALUE"""),"DUYỆT")</f>
        <v>DUYỆT</v>
      </c>
      <c r="Z197" s="3">
        <f ca="1">IFERROR(__xludf.DUMMYFUNCTION("""COMPUTED_VALUE"""),45932)</f>
        <v>45932</v>
      </c>
      <c r="AA197" s="1" t="str">
        <f ca="1">IFERROR(__xludf.DUMMYFUNCTION("""COMPUTED_VALUE"""),"Grand Tourane Hotel")</f>
        <v>Grand Tourane Hotel</v>
      </c>
      <c r="AB197" s="1" t="str">
        <f ca="1">IFERROR(__xludf.DUMMYFUNCTION("""COMPUTED_VALUE"""),"Nhà hàng")</f>
        <v>Nhà hàng</v>
      </c>
      <c r="AC197" s="1"/>
      <c r="AD197" s="1"/>
      <c r="AE197" s="1" t="str">
        <f ca="1">IFERROR(__xludf.DUMMYFUNCTION("""COMPUTED_VALUE"""),"")</f>
        <v/>
      </c>
    </row>
    <row r="198" spans="1:31" x14ac:dyDescent="0.2">
      <c r="A198" s="6">
        <f ca="1">IFERROR(__xludf.DUMMYFUNCTION("""COMPUTED_VALUE"""),45695.6756842361)</f>
        <v>45695.675684236099</v>
      </c>
      <c r="B198" s="1"/>
      <c r="C198" s="1">
        <f ca="1">IFERROR(__xludf.DUMMYFUNCTION("""COMPUTED_VALUE"""),27207100650)</f>
        <v>27207100650</v>
      </c>
      <c r="D198" s="1" t="str">
        <f ca="1">IFERROR(__xludf.DUMMYFUNCTION("""COMPUTED_VALUE"""),"Lê Thị Kiều Như")</f>
        <v>Lê Thị Kiều Như</v>
      </c>
      <c r="E198" s="4"/>
      <c r="F198" s="1" t="str">
        <f ca="1">IFERROR(__xludf.DUMMYFUNCTION("""COMPUTED_VALUE"""),"K27DLK5")</f>
        <v>K27DLK5</v>
      </c>
      <c r="G198" s="1" t="str">
        <f ca="1">IFERROR(__xludf.DUMMYFUNCTION("""COMPUTED_VALUE"""),"Quản trị Du lịch &amp; Khách sạn")</f>
        <v>Quản trị Du lịch &amp; Khách sạn</v>
      </c>
      <c r="H198" s="1">
        <f ca="1">IFERROR(__xludf.DUMMYFUNCTION("""COMPUTED_VALUE"""),27)</f>
        <v>27</v>
      </c>
      <c r="I198" s="1"/>
      <c r="J198" s="1" t="str">
        <f ca="1">IFERROR(__xludf.DUMMYFUNCTION("""COMPUTED_VALUE"""),"Chuyên đề")</f>
        <v>Chuyên đề</v>
      </c>
      <c r="K198" s="1" t="str">
        <f ca="1">IFERROR(__xludf.DUMMYFUNCTION("""COMPUTED_VALUE"""),"Chicland Hotel")</f>
        <v>Chicland Hotel</v>
      </c>
      <c r="L198" s="1"/>
      <c r="M198" s="1" t="str">
        <f ca="1">IFERROR(__xludf.DUMMYFUNCTION("""COMPUTED_VALUE"""),"210 Võ Nguyên Giáp")</f>
        <v>210 Võ Nguyên Giáp</v>
      </c>
      <c r="N198" s="1" t="str">
        <f ca="1">IFERROR(__xludf.DUMMYFUNCTION("""COMPUTED_VALUE"""),"Đà Nẵng")</f>
        <v>Đà Nẵng</v>
      </c>
      <c r="O198" s="1" t="str">
        <f ca="1">IFERROR(__xludf.DUMMYFUNCTION("""COMPUTED_VALUE"""),"Buồng phòng")</f>
        <v>Buồng phòng</v>
      </c>
      <c r="P198" s="1"/>
      <c r="Q198" s="1" t="str">
        <f ca="1">IFERROR(__xludf.DUMMYFUNCTION("""COMPUTED_VALUE"""),"7/2/2025")</f>
        <v>7/2/2025</v>
      </c>
      <c r="R198" s="1" t="str">
        <f ca="1">IFERROR(__xludf.DUMMYFUNCTION("""COMPUTED_VALUE"""),"cam kết")</f>
        <v>cam kết</v>
      </c>
      <c r="S198" s="1" t="str">
        <f ca="1">IFERROR(__xludf.DUMMYFUNCTION("""COMPUTED_VALUE"""),"Chuyên đề")</f>
        <v>Chuyên đề</v>
      </c>
      <c r="T198" s="1" t="str">
        <f ca="1">IFERROR(__xludf.DUMMYFUNCTION("""COMPUTED_VALUE"""),"Dương Thị Xuân Diệu")</f>
        <v>Dương Thị Xuân Diệu</v>
      </c>
      <c r="U198" s="4">
        <f ca="1">IFERROR(__xludf.DUMMYFUNCTION("""COMPUTED_VALUE"""),45698)</f>
        <v>45698</v>
      </c>
      <c r="V198" s="4">
        <f ca="1">IFERROR(__xludf.DUMMYFUNCTION("""COMPUTED_VALUE"""),45787)</f>
        <v>45787</v>
      </c>
      <c r="W198" s="1">
        <f ca="1">IFERROR(__xludf.DUMMYFUNCTION("""COMPUTED_VALUE"""),197)</f>
        <v>197</v>
      </c>
      <c r="X198" s="3">
        <f ca="1">IFERROR(__xludf.DUMMYFUNCTION("""COMPUTED_VALUE"""),45932)</f>
        <v>45932</v>
      </c>
      <c r="Y198" s="1" t="str">
        <f ca="1">IFERROR(__xludf.DUMMYFUNCTION("""COMPUTED_VALUE"""),"DUYỆT")</f>
        <v>DUYỆT</v>
      </c>
      <c r="Z198" s="3">
        <f ca="1">IFERROR(__xludf.DUMMYFUNCTION("""COMPUTED_VALUE"""),45932)</f>
        <v>45932</v>
      </c>
      <c r="AA198" s="1" t="str">
        <f ca="1">IFERROR(__xludf.DUMMYFUNCTION("""COMPUTED_VALUE"""),"Chicland Hotel")</f>
        <v>Chicland Hotel</v>
      </c>
      <c r="AB198" s="1" t="str">
        <f ca="1">IFERROR(__xludf.DUMMYFUNCTION("""COMPUTED_VALUE"""),"Buồng phòng")</f>
        <v>Buồng phòng</v>
      </c>
      <c r="AC198" s="1"/>
      <c r="AD198" s="1"/>
      <c r="AE198" s="1" t="str">
        <f ca="1">IFERROR(__xludf.DUMMYFUNCTION("""COMPUTED_VALUE"""),"")</f>
        <v/>
      </c>
    </row>
    <row r="199" spans="1:31" x14ac:dyDescent="0.2">
      <c r="A199" s="6">
        <f ca="1">IFERROR(__xludf.DUMMYFUNCTION("""COMPUTED_VALUE"""),45696.423484375)</f>
        <v>45696.423484375002</v>
      </c>
      <c r="B199" s="1"/>
      <c r="C199" s="1">
        <f ca="1">IFERROR(__xludf.DUMMYFUNCTION("""COMPUTED_VALUE"""),27207120879)</f>
        <v>27207120879</v>
      </c>
      <c r="D199" s="1" t="str">
        <f ca="1">IFERROR(__xludf.DUMMYFUNCTION("""COMPUTED_VALUE"""),"Nguyễn Thị Thanh Thảo")</f>
        <v>Nguyễn Thị Thanh Thảo</v>
      </c>
      <c r="E199" s="4"/>
      <c r="F199" s="1" t="str">
        <f ca="1">IFERROR(__xludf.DUMMYFUNCTION("""COMPUTED_VALUE"""),"K27DLK2")</f>
        <v>K27DLK2</v>
      </c>
      <c r="G199" s="1" t="str">
        <f ca="1">IFERROR(__xludf.DUMMYFUNCTION("""COMPUTED_VALUE"""),"Quản trị Du lịch &amp; Khách sạn")</f>
        <v>Quản trị Du lịch &amp; Khách sạn</v>
      </c>
      <c r="H199" s="1">
        <f ca="1">IFERROR(__xludf.DUMMYFUNCTION("""COMPUTED_VALUE"""),27)</f>
        <v>27</v>
      </c>
      <c r="I199" s="1"/>
      <c r="J199" s="1" t="str">
        <f ca="1">IFERROR(__xludf.DUMMYFUNCTION("""COMPUTED_VALUE"""),"Chuyên đề")</f>
        <v>Chuyên đề</v>
      </c>
      <c r="K199" s="1" t="str">
        <f ca="1">IFERROR(__xludf.DUMMYFUNCTION("""COMPUTED_VALUE"""),"Meliá Vinpearl Danang Riverfront")</f>
        <v>Meliá Vinpearl Danang Riverfront</v>
      </c>
      <c r="L199" s="1"/>
      <c r="M199" s="1" t="str">
        <f ca="1">IFERROR(__xludf.DUMMYFUNCTION("""COMPUTED_VALUE"""),"341 Trần Hưng Đạo")</f>
        <v>341 Trần Hưng Đạo</v>
      </c>
      <c r="N199" s="1" t="str">
        <f ca="1">IFERROR(__xludf.DUMMYFUNCTION("""COMPUTED_VALUE"""),"Đà nẵng")</f>
        <v>Đà nẵng</v>
      </c>
      <c r="O199" s="1" t="str">
        <f ca="1">IFERROR(__xludf.DUMMYFUNCTION("""COMPUTED_VALUE"""),"Nhà hàng")</f>
        <v>Nhà hàng</v>
      </c>
      <c r="P199" s="1"/>
      <c r="Q199" s="1" t="str">
        <f ca="1">IFERROR(__xludf.DUMMYFUNCTION("""COMPUTED_VALUE"""),"7/2/2025")</f>
        <v>7/2/2025</v>
      </c>
      <c r="R199" s="1" t="str">
        <f ca="1">IFERROR(__xludf.DUMMYFUNCTION("""COMPUTED_VALUE"""),"cam kết")</f>
        <v>cam kết</v>
      </c>
      <c r="S199" s="1" t="str">
        <f ca="1">IFERROR(__xludf.DUMMYFUNCTION("""COMPUTED_VALUE"""),"Chuyên đề")</f>
        <v>Chuyên đề</v>
      </c>
      <c r="T199" s="1"/>
      <c r="U199" s="4">
        <f ca="1">IFERROR(__xludf.DUMMYFUNCTION("""COMPUTED_VALUE"""),45698)</f>
        <v>45698</v>
      </c>
      <c r="V199" s="4">
        <f ca="1">IFERROR(__xludf.DUMMYFUNCTION("""COMPUTED_VALUE"""),45787)</f>
        <v>45787</v>
      </c>
      <c r="W199" s="1">
        <f ca="1">IFERROR(__xludf.DUMMYFUNCTION("""COMPUTED_VALUE"""),198)</f>
        <v>198</v>
      </c>
      <c r="X199" s="3">
        <f ca="1">IFERROR(__xludf.DUMMYFUNCTION("""COMPUTED_VALUE"""),45932)</f>
        <v>45932</v>
      </c>
      <c r="Y199" s="1" t="str">
        <f ca="1">IFERROR(__xludf.DUMMYFUNCTION("""COMPUTED_VALUE"""),"DUYỆT")</f>
        <v>DUYỆT</v>
      </c>
      <c r="Z199" s="3">
        <f ca="1">IFERROR(__xludf.DUMMYFUNCTION("""COMPUTED_VALUE"""),45932)</f>
        <v>45932</v>
      </c>
      <c r="AA199" s="1" t="str">
        <f ca="1">IFERROR(__xludf.DUMMYFUNCTION("""COMPUTED_VALUE"""),"Meliá Vinpearl Danang Riverfront")</f>
        <v>Meliá Vinpearl Danang Riverfront</v>
      </c>
      <c r="AB199" s="1" t="str">
        <f ca="1">IFERROR(__xludf.DUMMYFUNCTION("""COMPUTED_VALUE"""),"Nhà hàng")</f>
        <v>Nhà hàng</v>
      </c>
      <c r="AC199" s="1"/>
      <c r="AD199" s="1" t="str">
        <f ca="1">IFERROR(__xludf.DUMMYFUNCTION("""COMPUTED_VALUE"""),"sinh viên phải đảm bảo không quá 5sv/nhà hàng")</f>
        <v>sinh viên phải đảm bảo không quá 5sv/nhà hàng</v>
      </c>
      <c r="AE199" s="1" t="str">
        <f ca="1">IFERROR(__xludf.DUMMYFUNCTION("""COMPUTED_VALUE"""),"")</f>
        <v/>
      </c>
    </row>
    <row r="200" spans="1:31" x14ac:dyDescent="0.2">
      <c r="A200" s="6">
        <f ca="1">IFERROR(__xludf.DUMMYFUNCTION("""COMPUTED_VALUE"""),45695.6733458564)</f>
        <v>45695.673345856398</v>
      </c>
      <c r="B200" s="1"/>
      <c r="C200" s="1">
        <f ca="1">IFERROR(__xludf.DUMMYFUNCTION("""COMPUTED_VALUE"""),27207128195)</f>
        <v>27207128195</v>
      </c>
      <c r="D200" s="1" t="str">
        <f ca="1">IFERROR(__xludf.DUMMYFUNCTION("""COMPUTED_VALUE"""),"Nguyễn Thị Ngọc Nhi")</f>
        <v>Nguyễn Thị Ngọc Nhi</v>
      </c>
      <c r="E200" s="4"/>
      <c r="F200" s="1" t="str">
        <f ca="1">IFERROR(__xludf.DUMMYFUNCTION("""COMPUTED_VALUE"""),"K27DLK5")</f>
        <v>K27DLK5</v>
      </c>
      <c r="G200" s="1" t="str">
        <f ca="1">IFERROR(__xludf.DUMMYFUNCTION("""COMPUTED_VALUE"""),"Quản trị Du lịch &amp; Khách sạn")</f>
        <v>Quản trị Du lịch &amp; Khách sạn</v>
      </c>
      <c r="H200" s="1">
        <f ca="1">IFERROR(__xludf.DUMMYFUNCTION("""COMPUTED_VALUE"""),27)</f>
        <v>27</v>
      </c>
      <c r="I200" s="1"/>
      <c r="J200" s="1" t="str">
        <f ca="1">IFERROR(__xludf.DUMMYFUNCTION("""COMPUTED_VALUE"""),"Chuyên đề")</f>
        <v>Chuyên đề</v>
      </c>
      <c r="K200" s="1" t="str">
        <f ca="1">IFERROR(__xludf.DUMMYFUNCTION("""COMPUTED_VALUE"""),"New Orient Hotel Đà Nẵng")</f>
        <v>New Orient Hotel Đà Nẵng</v>
      </c>
      <c r="L200" s="1"/>
      <c r="M200" s="1" t="str">
        <f ca="1">IFERROR(__xludf.DUMMYFUNCTION("""COMPUTED_VALUE"""),"20 Đống Đa")</f>
        <v>20 Đống Đa</v>
      </c>
      <c r="N200" s="1" t="str">
        <f ca="1">IFERROR(__xludf.DUMMYFUNCTION("""COMPUTED_VALUE"""),"Đà Nẵng")</f>
        <v>Đà Nẵng</v>
      </c>
      <c r="O200" s="1" t="str">
        <f ca="1">IFERROR(__xludf.DUMMYFUNCTION("""COMPUTED_VALUE"""),"Tiền sảnh")</f>
        <v>Tiền sảnh</v>
      </c>
      <c r="P200" s="1"/>
      <c r="Q200" s="1" t="str">
        <f ca="1">IFERROR(__xludf.DUMMYFUNCTION("""COMPUTED_VALUE"""),"7/2/2025")</f>
        <v>7/2/2025</v>
      </c>
      <c r="R200" s="1" t="str">
        <f ca="1">IFERROR(__xludf.DUMMYFUNCTION("""COMPUTED_VALUE"""),"cam kết")</f>
        <v>cam kết</v>
      </c>
      <c r="S200" s="1" t="str">
        <f ca="1">IFERROR(__xludf.DUMMYFUNCTION("""COMPUTED_VALUE"""),"Chuyên đề")</f>
        <v>Chuyên đề</v>
      </c>
      <c r="T200" s="1" t="str">
        <f ca="1">IFERROR(__xludf.DUMMYFUNCTION("""COMPUTED_VALUE"""),"Dương Thị Xuân Diệu")</f>
        <v>Dương Thị Xuân Diệu</v>
      </c>
      <c r="U200" s="4">
        <f ca="1">IFERROR(__xludf.DUMMYFUNCTION("""COMPUTED_VALUE"""),45698)</f>
        <v>45698</v>
      </c>
      <c r="V200" s="4">
        <f ca="1">IFERROR(__xludf.DUMMYFUNCTION("""COMPUTED_VALUE"""),45787)</f>
        <v>45787</v>
      </c>
      <c r="W200" s="1">
        <f ca="1">IFERROR(__xludf.DUMMYFUNCTION("""COMPUTED_VALUE"""),199)</f>
        <v>199</v>
      </c>
      <c r="X200" s="1"/>
      <c r="Y200" s="1" t="str">
        <f ca="1">IFERROR(__xludf.DUMMYFUNCTION("""COMPUTED_VALUE"""),"DUYỆT")</f>
        <v>DUYỆT</v>
      </c>
      <c r="Z200" s="3">
        <f ca="1">IFERROR(__xludf.DUMMYFUNCTION("""COMPUTED_VALUE"""),45932)</f>
        <v>45932</v>
      </c>
      <c r="AA200" s="1" t="str">
        <f ca="1">IFERROR(__xludf.DUMMYFUNCTION("""COMPUTED_VALUE"""),"New Orient Hotel Đà Nẵng")</f>
        <v>New Orient Hotel Đà Nẵng</v>
      </c>
      <c r="AB200" s="1" t="str">
        <f ca="1">IFERROR(__xludf.DUMMYFUNCTION("""COMPUTED_VALUE"""),"Tiền sảnh")</f>
        <v>Tiền sảnh</v>
      </c>
      <c r="AC200" s="1"/>
      <c r="AD200" s="1"/>
      <c r="AE200" s="1" t="str">
        <f ca="1">IFERROR(__xludf.DUMMYFUNCTION("""COMPUTED_VALUE"""),"")</f>
        <v/>
      </c>
    </row>
    <row r="201" spans="1:31" x14ac:dyDescent="0.2">
      <c r="A201" s="6">
        <f ca="1">IFERROR(__xludf.DUMMYFUNCTION("""COMPUTED_VALUE"""),45695.6922629051)</f>
        <v>45695.692262905097</v>
      </c>
      <c r="B201" s="1"/>
      <c r="C201" s="1">
        <f ca="1">IFERROR(__xludf.DUMMYFUNCTION("""COMPUTED_VALUE"""),27207122888)</f>
        <v>27207122888</v>
      </c>
      <c r="D201" s="1" t="str">
        <f ca="1">IFERROR(__xludf.DUMMYFUNCTION("""COMPUTED_VALUE"""),"Võ Thị Bích Ngọc ")</f>
        <v xml:space="preserve">Võ Thị Bích Ngọc </v>
      </c>
      <c r="E201" s="4"/>
      <c r="F201" s="1" t="str">
        <f ca="1">IFERROR(__xludf.DUMMYFUNCTION("""COMPUTED_VALUE"""),"K27DLK 4")</f>
        <v>K27DLK 4</v>
      </c>
      <c r="G201" s="1" t="str">
        <f ca="1">IFERROR(__xludf.DUMMYFUNCTION("""COMPUTED_VALUE"""),"Quản trị Du lịch &amp; Khách sạn")</f>
        <v>Quản trị Du lịch &amp; Khách sạn</v>
      </c>
      <c r="H201" s="1">
        <f ca="1">IFERROR(__xludf.DUMMYFUNCTION("""COMPUTED_VALUE"""),27)</f>
        <v>27</v>
      </c>
      <c r="I201" s="1"/>
      <c r="J201" s="1" t="str">
        <f ca="1">IFERROR(__xludf.DUMMYFUNCTION("""COMPUTED_VALUE"""),"Chuyên đề")</f>
        <v>Chuyên đề</v>
      </c>
      <c r="K201" s="1" t="str">
        <f ca="1">IFERROR(__xludf.DUMMYFUNCTION("""COMPUTED_VALUE"""),"Novotel DaNang Premier Han River")</f>
        <v>Novotel DaNang Premier Han River</v>
      </c>
      <c r="L201" s="1"/>
      <c r="M201" s="1" t="str">
        <f ca="1">IFERROR(__xludf.DUMMYFUNCTION("""COMPUTED_VALUE"""),"36 Bạch Đằng - Thạch Thang - Hải Châu - Đà Nẵng")</f>
        <v>36 Bạch Đằng - Thạch Thang - Hải Châu - Đà Nẵng</v>
      </c>
      <c r="N201" s="1" t="str">
        <f ca="1">IFERROR(__xludf.DUMMYFUNCTION("""COMPUTED_VALUE""")," Đà Nẵng")</f>
        <v xml:space="preserve"> Đà Nẵng</v>
      </c>
      <c r="O201" s="1" t="str">
        <f ca="1">IFERROR(__xludf.DUMMYFUNCTION("""COMPUTED_VALUE"""),"Nhà hàng")</f>
        <v>Nhà hàng</v>
      </c>
      <c r="P201" s="1"/>
      <c r="Q201" s="1" t="str">
        <f ca="1">IFERROR(__xludf.DUMMYFUNCTION("""COMPUTED_VALUE"""),"07/02/2025")</f>
        <v>07/02/2025</v>
      </c>
      <c r="R201" s="1" t="str">
        <f ca="1">IFERROR(__xludf.DUMMYFUNCTION("""COMPUTED_VALUE"""),"cam kết")</f>
        <v>cam kết</v>
      </c>
      <c r="S201" s="1" t="str">
        <f ca="1">IFERROR(__xludf.DUMMYFUNCTION("""COMPUTED_VALUE"""),"Chuyên đề")</f>
        <v>Chuyên đề</v>
      </c>
      <c r="T201" s="1"/>
      <c r="U201" s="4">
        <f ca="1">IFERROR(__xludf.DUMMYFUNCTION("""COMPUTED_VALUE"""),45698)</f>
        <v>45698</v>
      </c>
      <c r="V201" s="4">
        <f ca="1">IFERROR(__xludf.DUMMYFUNCTION("""COMPUTED_VALUE"""),45787)</f>
        <v>45787</v>
      </c>
      <c r="W201" s="1">
        <f ca="1">IFERROR(__xludf.DUMMYFUNCTION("""COMPUTED_VALUE"""),200)</f>
        <v>200</v>
      </c>
      <c r="X201" s="3">
        <f ca="1">IFERROR(__xludf.DUMMYFUNCTION("""COMPUTED_VALUE"""),45871)</f>
        <v>45871</v>
      </c>
      <c r="Y201" s="1" t="str">
        <f ca="1">IFERROR(__xludf.DUMMYFUNCTION("""COMPUTED_VALUE"""),"DUYỆT")</f>
        <v>DUYỆT</v>
      </c>
      <c r="Z201" s="3">
        <f ca="1">IFERROR(__xludf.DUMMYFUNCTION("""COMPUTED_VALUE"""),45932)</f>
        <v>45932</v>
      </c>
      <c r="AA201" s="1" t="str">
        <f ca="1">IFERROR(__xludf.DUMMYFUNCTION("""COMPUTED_VALUE"""),"Novotel DaNang Premier Han River")</f>
        <v>Novotel DaNang Premier Han River</v>
      </c>
      <c r="AB201" s="1" t="str">
        <f ca="1">IFERROR(__xludf.DUMMYFUNCTION("""COMPUTED_VALUE"""),"Nhà hàng")</f>
        <v>Nhà hàng</v>
      </c>
      <c r="AC201" s="1"/>
      <c r="AD201" s="1"/>
      <c r="AE201" s="1" t="str">
        <f ca="1">IFERROR(__xludf.DUMMYFUNCTION("""COMPUTED_VALUE"""),"")</f>
        <v/>
      </c>
    </row>
    <row r="202" spans="1:31" x14ac:dyDescent="0.2">
      <c r="A202" s="6">
        <f ca="1">IFERROR(__xludf.DUMMYFUNCTION("""COMPUTED_VALUE"""),45695.6924473611)</f>
        <v>45695.6924473611</v>
      </c>
      <c r="B202" s="1"/>
      <c r="C202" s="1">
        <f ca="1">IFERROR(__xludf.DUMMYFUNCTION("""COMPUTED_VALUE"""),27217100922)</f>
        <v>27217100922</v>
      </c>
      <c r="D202" s="1" t="str">
        <f ca="1">IFERROR(__xludf.DUMMYFUNCTION("""COMPUTED_VALUE"""),"Nguyễn Thị Yến Nhi ")</f>
        <v xml:space="preserve">Nguyễn Thị Yến Nhi </v>
      </c>
      <c r="E202" s="4"/>
      <c r="F202" s="1" t="str">
        <f ca="1">IFERROR(__xludf.DUMMYFUNCTION("""COMPUTED_VALUE"""),"K27DLK4")</f>
        <v>K27DLK4</v>
      </c>
      <c r="G202" s="1" t="str">
        <f ca="1">IFERROR(__xludf.DUMMYFUNCTION("""COMPUTED_VALUE"""),"Quản trị Du lịch &amp; Khách sạn")</f>
        <v>Quản trị Du lịch &amp; Khách sạn</v>
      </c>
      <c r="H202" s="1">
        <f ca="1">IFERROR(__xludf.DUMMYFUNCTION("""COMPUTED_VALUE"""),27)</f>
        <v>27</v>
      </c>
      <c r="I202" s="1"/>
      <c r="J202" s="1" t="str">
        <f ca="1">IFERROR(__xludf.DUMMYFUNCTION("""COMPUTED_VALUE"""),"Chuyên đề")</f>
        <v>Chuyên đề</v>
      </c>
      <c r="K202" s="1" t="str">
        <f ca="1">IFERROR(__xludf.DUMMYFUNCTION("""COMPUTED_VALUE"""),"Novotel DaNang Premier Han River")</f>
        <v>Novotel DaNang Premier Han River</v>
      </c>
      <c r="L202" s="1"/>
      <c r="M202" s="1" t="str">
        <f ca="1">IFERROR(__xludf.DUMMYFUNCTION("""COMPUTED_VALUE"""),"36 Bạch Đằng - Thạch Thang - Hải Châu - Đà Nẵng ")</f>
        <v xml:space="preserve">36 Bạch Đằng - Thạch Thang - Hải Châu - Đà Nẵng </v>
      </c>
      <c r="N202" s="1" t="str">
        <f ca="1">IFERROR(__xludf.DUMMYFUNCTION("""COMPUTED_VALUE"""),"Đà Nẵng ")</f>
        <v xml:space="preserve">Đà Nẵng </v>
      </c>
      <c r="O202" s="1" t="str">
        <f ca="1">IFERROR(__xludf.DUMMYFUNCTION("""COMPUTED_VALUE"""),"Nhà hàng")</f>
        <v>Nhà hàng</v>
      </c>
      <c r="P202" s="1"/>
      <c r="Q202" s="1" t="str">
        <f ca="1">IFERROR(__xludf.DUMMYFUNCTION("""COMPUTED_VALUE"""),"07/02/2025")</f>
        <v>07/02/2025</v>
      </c>
      <c r="R202" s="1" t="str">
        <f ca="1">IFERROR(__xludf.DUMMYFUNCTION("""COMPUTED_VALUE"""),"cam kết")</f>
        <v>cam kết</v>
      </c>
      <c r="S202" s="1" t="str">
        <f ca="1">IFERROR(__xludf.DUMMYFUNCTION("""COMPUTED_VALUE"""),"Chuyên đề")</f>
        <v>Chuyên đề</v>
      </c>
      <c r="T202" s="1"/>
      <c r="U202" s="4">
        <f ca="1">IFERROR(__xludf.DUMMYFUNCTION("""COMPUTED_VALUE"""),45698)</f>
        <v>45698</v>
      </c>
      <c r="V202" s="4">
        <f ca="1">IFERROR(__xludf.DUMMYFUNCTION("""COMPUTED_VALUE"""),45787)</f>
        <v>45787</v>
      </c>
      <c r="W202" s="1">
        <f ca="1">IFERROR(__xludf.DUMMYFUNCTION("""COMPUTED_VALUE"""),201)</f>
        <v>201</v>
      </c>
      <c r="X202" s="3">
        <f ca="1">IFERROR(__xludf.DUMMYFUNCTION("""COMPUTED_VALUE"""),45871)</f>
        <v>45871</v>
      </c>
      <c r="Y202" s="1" t="str">
        <f ca="1">IFERROR(__xludf.DUMMYFUNCTION("""COMPUTED_VALUE"""),"DUYỆT")</f>
        <v>DUYỆT</v>
      </c>
      <c r="Z202" s="3">
        <f ca="1">IFERROR(__xludf.DUMMYFUNCTION("""COMPUTED_VALUE"""),45932)</f>
        <v>45932</v>
      </c>
      <c r="AA202" s="1" t="str">
        <f ca="1">IFERROR(__xludf.DUMMYFUNCTION("""COMPUTED_VALUE"""),"Novotel DaNang Premier Han River")</f>
        <v>Novotel DaNang Premier Han River</v>
      </c>
      <c r="AB202" s="1" t="str">
        <f ca="1">IFERROR(__xludf.DUMMYFUNCTION("""COMPUTED_VALUE"""),"Nhà hàng")</f>
        <v>Nhà hàng</v>
      </c>
      <c r="AC202" s="1"/>
      <c r="AD202" s="1"/>
      <c r="AE202" s="1" t="str">
        <f ca="1">IFERROR(__xludf.DUMMYFUNCTION("""COMPUTED_VALUE"""),"")</f>
        <v/>
      </c>
    </row>
    <row r="203" spans="1:31" x14ac:dyDescent="0.2">
      <c r="A203" s="6">
        <f ca="1">IFERROR(__xludf.DUMMYFUNCTION("""COMPUTED_VALUE"""),45695.7022931944)</f>
        <v>45695.702293194401</v>
      </c>
      <c r="B203" s="1"/>
      <c r="C203" s="1">
        <f ca="1">IFERROR(__xludf.DUMMYFUNCTION("""COMPUTED_VALUE"""),27207146875)</f>
        <v>27207146875</v>
      </c>
      <c r="D203" s="1" t="str">
        <f ca="1">IFERROR(__xludf.DUMMYFUNCTION("""COMPUTED_VALUE"""),"Võ Thị Y Ngân")</f>
        <v>Võ Thị Y Ngân</v>
      </c>
      <c r="E203" s="4"/>
      <c r="F203" s="1" t="str">
        <f ca="1">IFERROR(__xludf.DUMMYFUNCTION("""COMPUTED_VALUE"""),"K27DLK7")</f>
        <v>K27DLK7</v>
      </c>
      <c r="G203" s="1" t="str">
        <f ca="1">IFERROR(__xludf.DUMMYFUNCTION("""COMPUTED_VALUE"""),"Quản trị Du lịch &amp; Khách sạn")</f>
        <v>Quản trị Du lịch &amp; Khách sạn</v>
      </c>
      <c r="H203" s="1">
        <f ca="1">IFERROR(__xludf.DUMMYFUNCTION("""COMPUTED_VALUE"""),27)</f>
        <v>27</v>
      </c>
      <c r="I203" s="1"/>
      <c r="J203" s="1" t="str">
        <f ca="1">IFERROR(__xludf.DUMMYFUNCTION("""COMPUTED_VALUE"""),"Chuyên đề")</f>
        <v>Chuyên đề</v>
      </c>
      <c r="K203" s="1" t="str">
        <f ca="1">IFERROR(__xludf.DUMMYFUNCTION("""COMPUTED_VALUE"""),"Meliá Vinpearl Danang Riverfront")</f>
        <v>Meliá Vinpearl Danang Riverfront</v>
      </c>
      <c r="L203" s="1"/>
      <c r="M203" s="1" t="str">
        <f ca="1">IFERROR(__xludf.DUMMYFUNCTION("""COMPUTED_VALUE"""),"341 Trần Hưng Đạo, Đà Nẵng")</f>
        <v>341 Trần Hưng Đạo, Đà Nẵng</v>
      </c>
      <c r="N203" s="1" t="str">
        <f ca="1">IFERROR(__xludf.DUMMYFUNCTION("""COMPUTED_VALUE"""),"Đà Nẵng")</f>
        <v>Đà Nẵng</v>
      </c>
      <c r="O203" s="1" t="str">
        <f ca="1">IFERROR(__xludf.DUMMYFUNCTION("""COMPUTED_VALUE"""),"Tiền sảnh")</f>
        <v>Tiền sảnh</v>
      </c>
      <c r="P203" s="1"/>
      <c r="Q203" s="1" t="str">
        <f ca="1">IFERROR(__xludf.DUMMYFUNCTION("""COMPUTED_VALUE"""),"7/2/2025")</f>
        <v>7/2/2025</v>
      </c>
      <c r="R203" s="1" t="str">
        <f ca="1">IFERROR(__xludf.DUMMYFUNCTION("""COMPUTED_VALUE"""),"cam kết")</f>
        <v>cam kết</v>
      </c>
      <c r="S203" s="1" t="str">
        <f ca="1">IFERROR(__xludf.DUMMYFUNCTION("""COMPUTED_VALUE"""),"Chuyên đề")</f>
        <v>Chuyên đề</v>
      </c>
      <c r="T203" s="1"/>
      <c r="U203" s="4">
        <f ca="1">IFERROR(__xludf.DUMMYFUNCTION("""COMPUTED_VALUE"""),45691)</f>
        <v>45691</v>
      </c>
      <c r="V203" s="4">
        <f ca="1">IFERROR(__xludf.DUMMYFUNCTION("""COMPUTED_VALUE"""),45780)</f>
        <v>45780</v>
      </c>
      <c r="W203" s="1">
        <f ca="1">IFERROR(__xludf.DUMMYFUNCTION("""COMPUTED_VALUE"""),202)</f>
        <v>202</v>
      </c>
      <c r="X203" s="3">
        <f ca="1">IFERROR(__xludf.DUMMYFUNCTION("""COMPUTED_VALUE"""),45932)</f>
        <v>45932</v>
      </c>
      <c r="Y203" s="1" t="str">
        <f ca="1">IFERROR(__xludf.DUMMYFUNCTION("""COMPUTED_VALUE"""),"DUYỆT")</f>
        <v>DUYỆT</v>
      </c>
      <c r="Z203" s="3">
        <f ca="1">IFERROR(__xludf.DUMMYFUNCTION("""COMPUTED_VALUE"""),45932)</f>
        <v>45932</v>
      </c>
      <c r="AA203" s="1" t="str">
        <f ca="1">IFERROR(__xludf.DUMMYFUNCTION("""COMPUTED_VALUE"""),"Meliá Vinpearl Danang Riverfront")</f>
        <v>Meliá Vinpearl Danang Riverfront</v>
      </c>
      <c r="AB203" s="1" t="str">
        <f ca="1">IFERROR(__xludf.DUMMYFUNCTION("""COMPUTED_VALUE"""),"Tiền sảnh")</f>
        <v>Tiền sảnh</v>
      </c>
      <c r="AC203" s="1"/>
      <c r="AD203" s="1"/>
      <c r="AE203" s="1" t="str">
        <f ca="1">IFERROR(__xludf.DUMMYFUNCTION("""COMPUTED_VALUE"""),"")</f>
        <v/>
      </c>
    </row>
    <row r="204" spans="1:31" x14ac:dyDescent="0.2">
      <c r="A204" s="6">
        <f ca="1">IFERROR(__xludf.DUMMYFUNCTION("""COMPUTED_VALUE"""),45695.7025907523)</f>
        <v>45695.702590752298</v>
      </c>
      <c r="B204" s="1"/>
      <c r="C204" s="1">
        <f ca="1">IFERROR(__xludf.DUMMYFUNCTION("""COMPUTED_VALUE"""),27207147747)</f>
        <v>27207147747</v>
      </c>
      <c r="D204" s="1" t="str">
        <f ca="1">IFERROR(__xludf.DUMMYFUNCTION("""COMPUTED_VALUE"""),"Nguyễn Thu Phương ")</f>
        <v xml:space="preserve">Nguyễn Thu Phương </v>
      </c>
      <c r="E204" s="4"/>
      <c r="F204" s="1" t="str">
        <f ca="1">IFERROR(__xludf.DUMMYFUNCTION("""COMPUTED_VALUE"""),"K27DLK7")</f>
        <v>K27DLK7</v>
      </c>
      <c r="G204" s="1" t="str">
        <f ca="1">IFERROR(__xludf.DUMMYFUNCTION("""COMPUTED_VALUE"""),"Quản trị Du lịch &amp; Khách sạn")</f>
        <v>Quản trị Du lịch &amp; Khách sạn</v>
      </c>
      <c r="H204" s="1">
        <f ca="1">IFERROR(__xludf.DUMMYFUNCTION("""COMPUTED_VALUE"""),27)</f>
        <v>27</v>
      </c>
      <c r="I204" s="1"/>
      <c r="J204" s="1" t="str">
        <f ca="1">IFERROR(__xludf.DUMMYFUNCTION("""COMPUTED_VALUE"""),"Chuyên đề")</f>
        <v>Chuyên đề</v>
      </c>
      <c r="K204" s="1" t="str">
        <f ca="1">IFERROR(__xludf.DUMMYFUNCTION("""COMPUTED_VALUE"""),"Meliá Vinpearl Danang Riverfront")</f>
        <v>Meliá Vinpearl Danang Riverfront</v>
      </c>
      <c r="L204" s="1"/>
      <c r="M204" s="1" t="str">
        <f ca="1">IFERROR(__xludf.DUMMYFUNCTION("""COMPUTED_VALUE"""),"341 Trần Hưng Đạo, Phường An Hải Bắc, Quận Sơn Trà, Thành phố Đà Nẵng")</f>
        <v>341 Trần Hưng Đạo, Phường An Hải Bắc, Quận Sơn Trà, Thành phố Đà Nẵng</v>
      </c>
      <c r="N204" s="1" t="str">
        <f ca="1">IFERROR(__xludf.DUMMYFUNCTION("""COMPUTED_VALUE"""),"Đà Nẵng ")</f>
        <v xml:space="preserve">Đà Nẵng </v>
      </c>
      <c r="O204" s="1" t="str">
        <f ca="1">IFERROR(__xludf.DUMMYFUNCTION("""COMPUTED_VALUE"""),"Tiền sảnh")</f>
        <v>Tiền sảnh</v>
      </c>
      <c r="P204" s="1"/>
      <c r="Q204" s="1" t="str">
        <f ca="1">IFERROR(__xludf.DUMMYFUNCTION("""COMPUTED_VALUE"""),"07/02/2025")</f>
        <v>07/02/2025</v>
      </c>
      <c r="R204" s="1" t="str">
        <f ca="1">IFERROR(__xludf.DUMMYFUNCTION("""COMPUTED_VALUE"""),"cam kết")</f>
        <v>cam kết</v>
      </c>
      <c r="S204" s="1" t="str">
        <f ca="1">IFERROR(__xludf.DUMMYFUNCTION("""COMPUTED_VALUE"""),"Chuyên đề")</f>
        <v>Chuyên đề</v>
      </c>
      <c r="T204" s="1"/>
      <c r="U204" s="4">
        <f ca="1">IFERROR(__xludf.DUMMYFUNCTION("""COMPUTED_VALUE"""),45698)</f>
        <v>45698</v>
      </c>
      <c r="V204" s="4">
        <f ca="1">IFERROR(__xludf.DUMMYFUNCTION("""COMPUTED_VALUE"""),45787)</f>
        <v>45787</v>
      </c>
      <c r="W204" s="1">
        <f ca="1">IFERROR(__xludf.DUMMYFUNCTION("""COMPUTED_VALUE"""),203)</f>
        <v>203</v>
      </c>
      <c r="X204" s="3">
        <f ca="1">IFERROR(__xludf.DUMMYFUNCTION("""COMPUTED_VALUE"""),45932)</f>
        <v>45932</v>
      </c>
      <c r="Y204" s="1" t="str">
        <f ca="1">IFERROR(__xludf.DUMMYFUNCTION("""COMPUTED_VALUE"""),"DUYỆT")</f>
        <v>DUYỆT</v>
      </c>
      <c r="Z204" s="3">
        <f ca="1">IFERROR(__xludf.DUMMYFUNCTION("""COMPUTED_VALUE"""),45932)</f>
        <v>45932</v>
      </c>
      <c r="AA204" s="1" t="str">
        <f ca="1">IFERROR(__xludf.DUMMYFUNCTION("""COMPUTED_VALUE"""),"Meliá Vinpearl Danang Riverfront")</f>
        <v>Meliá Vinpearl Danang Riverfront</v>
      </c>
      <c r="AB204" s="1" t="str">
        <f ca="1">IFERROR(__xludf.DUMMYFUNCTION("""COMPUTED_VALUE"""),"Tiền sảnh")</f>
        <v>Tiền sảnh</v>
      </c>
      <c r="AC204" s="1"/>
      <c r="AD204" s="1"/>
      <c r="AE204" s="1" t="str">
        <f ca="1">IFERROR(__xludf.DUMMYFUNCTION("""COMPUTED_VALUE"""),"")</f>
        <v/>
      </c>
    </row>
    <row r="205" spans="1:31" x14ac:dyDescent="0.2">
      <c r="A205" s="6">
        <f ca="1">IFERROR(__xludf.DUMMYFUNCTION("""COMPUTED_VALUE"""),45695.7369666898)</f>
        <v>45695.736966689801</v>
      </c>
      <c r="B205" s="1"/>
      <c r="C205" s="1">
        <f ca="1">IFERROR(__xludf.DUMMYFUNCTION("""COMPUTED_VALUE"""),27217129069)</f>
        <v>27217129069</v>
      </c>
      <c r="D205" s="1" t="str">
        <f ca="1">IFERROR(__xludf.DUMMYFUNCTION("""COMPUTED_VALUE"""),"Đỗ Anh Tú")</f>
        <v>Đỗ Anh Tú</v>
      </c>
      <c r="E205" s="4"/>
      <c r="F205" s="1" t="str">
        <f ca="1">IFERROR(__xludf.DUMMYFUNCTION("""COMPUTED_VALUE"""),"K27DLK6")</f>
        <v>K27DLK6</v>
      </c>
      <c r="G205" s="1" t="str">
        <f ca="1">IFERROR(__xludf.DUMMYFUNCTION("""COMPUTED_VALUE"""),"Quản trị Du lịch &amp; Khách sạn")</f>
        <v>Quản trị Du lịch &amp; Khách sạn</v>
      </c>
      <c r="H205" s="1">
        <f ca="1">IFERROR(__xludf.DUMMYFUNCTION("""COMPUTED_VALUE"""),27)</f>
        <v>27</v>
      </c>
      <c r="I205" s="1"/>
      <c r="J205" s="1" t="str">
        <f ca="1">IFERROR(__xludf.DUMMYFUNCTION("""COMPUTED_VALUE"""),"Chuyên đề")</f>
        <v>Chuyên đề</v>
      </c>
      <c r="K205" s="1" t="str">
        <f ca="1">IFERROR(__xludf.DUMMYFUNCTION("""COMPUTED_VALUE"""),"Diamond Sea Hotel")</f>
        <v>Diamond Sea Hotel</v>
      </c>
      <c r="L205" s="1"/>
      <c r="M205" s="1" t="str">
        <f ca="1">IFERROR(__xludf.DUMMYFUNCTION("""COMPUTED_VALUE"""),"232 Võ Nguyên Giáp, Sơn Trà, Đà Nẵng")</f>
        <v>232 Võ Nguyên Giáp, Sơn Trà, Đà Nẵng</v>
      </c>
      <c r="N205" s="1" t="str">
        <f ca="1">IFERROR(__xludf.DUMMYFUNCTION("""COMPUTED_VALUE"""),"Đà Nẵng")</f>
        <v>Đà Nẵng</v>
      </c>
      <c r="O205" s="1" t="str">
        <f ca="1">IFERROR(__xludf.DUMMYFUNCTION("""COMPUTED_VALUE"""),"Buồng phòng")</f>
        <v>Buồng phòng</v>
      </c>
      <c r="P205" s="1"/>
      <c r="Q205" s="1" t="str">
        <f ca="1">IFERROR(__xludf.DUMMYFUNCTION("""COMPUTED_VALUE"""),"07/02/2025")</f>
        <v>07/02/2025</v>
      </c>
      <c r="R205" s="1" t="str">
        <f ca="1">IFERROR(__xludf.DUMMYFUNCTION("""COMPUTED_VALUE"""),"cam kết")</f>
        <v>cam kết</v>
      </c>
      <c r="S205" s="1" t="str">
        <f ca="1">IFERROR(__xludf.DUMMYFUNCTION("""COMPUTED_VALUE"""),"Chuyên đề")</f>
        <v>Chuyên đề</v>
      </c>
      <c r="T205" s="1"/>
      <c r="U205" s="4">
        <f ca="1">IFERROR(__xludf.DUMMYFUNCTION("""COMPUTED_VALUE"""),45698)</f>
        <v>45698</v>
      </c>
      <c r="V205" s="4">
        <f ca="1">IFERROR(__xludf.DUMMYFUNCTION("""COMPUTED_VALUE"""),45781)</f>
        <v>45781</v>
      </c>
      <c r="W205" s="1">
        <f ca="1">IFERROR(__xludf.DUMMYFUNCTION("""COMPUTED_VALUE"""),204)</f>
        <v>204</v>
      </c>
      <c r="X205" s="3">
        <f ca="1">IFERROR(__xludf.DUMMYFUNCTION("""COMPUTED_VALUE"""),45871)</f>
        <v>45871</v>
      </c>
      <c r="Y205" s="1" t="str">
        <f ca="1">IFERROR(__xludf.DUMMYFUNCTION("""COMPUTED_VALUE"""),"DUYỆT")</f>
        <v>DUYỆT</v>
      </c>
      <c r="Z205" s="3">
        <f ca="1">IFERROR(__xludf.DUMMYFUNCTION("""COMPUTED_VALUE"""),45932)</f>
        <v>45932</v>
      </c>
      <c r="AA205" s="1" t="str">
        <f ca="1">IFERROR(__xludf.DUMMYFUNCTION("""COMPUTED_VALUE"""),"Diamond Sea Hotel")</f>
        <v>Diamond Sea Hotel</v>
      </c>
      <c r="AB205" s="1" t="str">
        <f ca="1">IFERROR(__xludf.DUMMYFUNCTION("""COMPUTED_VALUE"""),"Buồng phòng")</f>
        <v>Buồng phòng</v>
      </c>
      <c r="AC205" s="1"/>
      <c r="AD205" s="1"/>
      <c r="AE205" s="1" t="str">
        <f ca="1">IFERROR(__xludf.DUMMYFUNCTION("""COMPUTED_VALUE"""),"")</f>
        <v/>
      </c>
    </row>
    <row r="206" spans="1:31" x14ac:dyDescent="0.2">
      <c r="A206" s="6">
        <f ca="1">IFERROR(__xludf.DUMMYFUNCTION("""COMPUTED_VALUE"""),45695.7521803472)</f>
        <v>45695.752180347197</v>
      </c>
      <c r="B206" s="1"/>
      <c r="C206" s="1">
        <f ca="1">IFERROR(__xludf.DUMMYFUNCTION("""COMPUTED_VALUE"""),26207231869)</f>
        <v>26207231869</v>
      </c>
      <c r="D206" s="1" t="str">
        <f ca="1">IFERROR(__xludf.DUMMYFUNCTION("""COMPUTED_VALUE"""),"Hoàng Thanh Thảo")</f>
        <v>Hoàng Thanh Thảo</v>
      </c>
      <c r="E206" s="4"/>
      <c r="F206" s="1" t="str">
        <f ca="1">IFERROR(__xludf.DUMMYFUNCTION("""COMPUTED_VALUE"""),"K26DLK9 ")</f>
        <v xml:space="preserve">K26DLK9 </v>
      </c>
      <c r="G206" s="1" t="str">
        <f ca="1">IFERROR(__xludf.DUMMYFUNCTION("""COMPUTED_VALUE"""),"Quản trị Du lịch &amp; Khách sạn")</f>
        <v>Quản trị Du lịch &amp; Khách sạn</v>
      </c>
      <c r="H206" s="1">
        <f ca="1">IFERROR(__xludf.DUMMYFUNCTION("""COMPUTED_VALUE"""),26)</f>
        <v>26</v>
      </c>
      <c r="I206" s="1"/>
      <c r="J206" s="1" t="str">
        <f ca="1">IFERROR(__xludf.DUMMYFUNCTION("""COMPUTED_VALUE"""),"Chuyên đề")</f>
        <v>Chuyên đề</v>
      </c>
      <c r="K206" s="1" t="str">
        <f ca="1">IFERROR(__xludf.DUMMYFUNCTION("""COMPUTED_VALUE"""),"Sherwood Residence ")</f>
        <v xml:space="preserve">Sherwood Residence </v>
      </c>
      <c r="L206" s="1" t="str">
        <f ca="1">IFERROR(__xludf.DUMMYFUNCTION("""COMPUTED_VALUE"""),"Sherwood Residence ")</f>
        <v xml:space="preserve">Sherwood Residence </v>
      </c>
      <c r="M206" s="1" t="str">
        <f ca="1">IFERROR(__xludf.DUMMYFUNCTION("""COMPUTED_VALUE"""),"127 Pasteur, phường Võ Thị Sáu, Quận 3")</f>
        <v>127 Pasteur, phường Võ Thị Sáu, Quận 3</v>
      </c>
      <c r="N206" s="1" t="str">
        <f ca="1">IFERROR(__xludf.DUMMYFUNCTION("""COMPUTED_VALUE"""),"Hồ Chí Minh")</f>
        <v>Hồ Chí Minh</v>
      </c>
      <c r="O206" s="1" t="str">
        <f ca="1">IFERROR(__xludf.DUMMYFUNCTION("""COMPUTED_VALUE"""),"Nhà hàng")</f>
        <v>Nhà hàng</v>
      </c>
      <c r="P206" s="1"/>
      <c r="Q206" s="1" t="str">
        <f ca="1">IFERROR(__xludf.DUMMYFUNCTION("""COMPUTED_VALUE"""),"7/2/2025")</f>
        <v>7/2/2025</v>
      </c>
      <c r="R206" s="1" t="str">
        <f ca="1">IFERROR(__xludf.DUMMYFUNCTION("""COMPUTED_VALUE"""),"cam kết")</f>
        <v>cam kết</v>
      </c>
      <c r="S206" s="1" t="str">
        <f ca="1">IFERROR(__xludf.DUMMYFUNCTION("""COMPUTED_VALUE"""),"Chuyên đề")</f>
        <v>Chuyên đề</v>
      </c>
      <c r="T206" s="1" t="str">
        <f ca="1">IFERROR(__xludf.DUMMYFUNCTION("""COMPUTED_VALUE"""),"Mai Thị Thương")</f>
        <v>Mai Thị Thương</v>
      </c>
      <c r="U206" s="4">
        <f ca="1">IFERROR(__xludf.DUMMYFUNCTION("""COMPUTED_VALUE"""),45695)</f>
        <v>45695</v>
      </c>
      <c r="V206" s="4">
        <f ca="1">IFERROR(__xludf.DUMMYFUNCTION("""COMPUTED_VALUE"""),45784)</f>
        <v>45784</v>
      </c>
      <c r="W206" s="1">
        <f ca="1">IFERROR(__xludf.DUMMYFUNCTION("""COMPUTED_VALUE"""),205)</f>
        <v>205</v>
      </c>
      <c r="X206" s="3">
        <f ca="1">IFERROR(__xludf.DUMMYFUNCTION("""COMPUTED_VALUE"""),45963)</f>
        <v>45963</v>
      </c>
      <c r="Y206" s="1" t="str">
        <f ca="1">IFERROR(__xludf.DUMMYFUNCTION("""COMPUTED_VALUE"""),"DUYỆT")</f>
        <v>DUYỆT</v>
      </c>
      <c r="Z206" s="3">
        <f ca="1">IFERROR(__xludf.DUMMYFUNCTION("""COMPUTED_VALUE"""),45932)</f>
        <v>45932</v>
      </c>
      <c r="AA206" s="1" t="str">
        <f ca="1">IFERROR(__xludf.DUMMYFUNCTION("""COMPUTED_VALUE"""),"Sherwood Residence ")</f>
        <v xml:space="preserve">Sherwood Residence </v>
      </c>
      <c r="AB206" s="1" t="str">
        <f ca="1">IFERROR(__xludf.DUMMYFUNCTION("""COMPUTED_VALUE"""),"Nhà hàng")</f>
        <v>Nhà hàng</v>
      </c>
      <c r="AC206" s="1" t="str">
        <f ca="1">IFERROR(__xludf.DUMMYFUNCTION("""COMPUTED_VALUE"""),"ĐÃ NỘP")</f>
        <v>ĐÃ NỘP</v>
      </c>
      <c r="AD206" s="1"/>
      <c r="AE206" s="1" t="str">
        <f ca="1">IFERROR(__xludf.DUMMYFUNCTION("""COMPUTED_VALUE"""),"")</f>
        <v/>
      </c>
    </row>
    <row r="207" spans="1:31" x14ac:dyDescent="0.2">
      <c r="A207" s="6">
        <f ca="1">IFERROR(__xludf.DUMMYFUNCTION("""COMPUTED_VALUE"""),45695.7503898379)</f>
        <v>45695.7503898379</v>
      </c>
      <c r="B207" s="1"/>
      <c r="C207" s="1">
        <f ca="1">IFERROR(__xludf.DUMMYFUNCTION("""COMPUTED_VALUE"""),27207120791)</f>
        <v>27207120791</v>
      </c>
      <c r="D207" s="1" t="str">
        <f ca="1">IFERROR(__xludf.DUMMYFUNCTION("""COMPUTED_VALUE"""),"Bạch Huỳnh Ngọc Trân")</f>
        <v>Bạch Huỳnh Ngọc Trân</v>
      </c>
      <c r="E207" s="4"/>
      <c r="F207" s="1" t="str">
        <f ca="1">IFERROR(__xludf.DUMMYFUNCTION("""COMPUTED_VALUE"""),"K27DLK 4")</f>
        <v>K27DLK 4</v>
      </c>
      <c r="G207" s="1" t="str">
        <f ca="1">IFERROR(__xludf.DUMMYFUNCTION("""COMPUTED_VALUE"""),"Quản trị Du lịch &amp; Khách sạn")</f>
        <v>Quản trị Du lịch &amp; Khách sạn</v>
      </c>
      <c r="H207" s="1">
        <f ca="1">IFERROR(__xludf.DUMMYFUNCTION("""COMPUTED_VALUE"""),27)</f>
        <v>27</v>
      </c>
      <c r="I207" s="1"/>
      <c r="J207" s="1" t="str">
        <f ca="1">IFERROR(__xludf.DUMMYFUNCTION("""COMPUTED_VALUE"""),"Chuyên đề")</f>
        <v>Chuyên đề</v>
      </c>
      <c r="K207" s="1" t="str">
        <f ca="1">IFERROR(__xludf.DUMMYFUNCTION("""COMPUTED_VALUE"""),"Khách sạn Như Minh Plaza")</f>
        <v>Khách sạn Như Minh Plaza</v>
      </c>
      <c r="L207" s="1"/>
      <c r="M207" s="1" t="str">
        <f ca="1">IFERROR(__xludf.DUMMYFUNCTION("""COMPUTED_VALUE"""),"29-33 Lê Văn Quý, An Hải Bắc, Sơn Trà, Đà Nẵng")</f>
        <v>29-33 Lê Văn Quý, An Hải Bắc, Sơn Trà, Đà Nẵng</v>
      </c>
      <c r="N207" s="1" t="str">
        <f ca="1">IFERROR(__xludf.DUMMYFUNCTION("""COMPUTED_VALUE"""),"Đà Nẵng")</f>
        <v>Đà Nẵng</v>
      </c>
      <c r="O207" s="1" t="str">
        <f ca="1">IFERROR(__xludf.DUMMYFUNCTION("""COMPUTED_VALUE"""),"Tiền sảnh")</f>
        <v>Tiền sảnh</v>
      </c>
      <c r="P207" s="1"/>
      <c r="Q207" s="1" t="str">
        <f ca="1">IFERROR(__xludf.DUMMYFUNCTION("""COMPUTED_VALUE"""),"07/02/2025")</f>
        <v>07/02/2025</v>
      </c>
      <c r="R207" s="1" t="str">
        <f ca="1">IFERROR(__xludf.DUMMYFUNCTION("""COMPUTED_VALUE"""),"cam kết")</f>
        <v>cam kết</v>
      </c>
      <c r="S207" s="1" t="str">
        <f ca="1">IFERROR(__xludf.DUMMYFUNCTION("""COMPUTED_VALUE"""),"Chuyên đề")</f>
        <v>Chuyên đề</v>
      </c>
      <c r="T207" s="1"/>
      <c r="U207" s="4">
        <f ca="1">IFERROR(__xludf.DUMMYFUNCTION("""COMPUTED_VALUE"""),45698)</f>
        <v>45698</v>
      </c>
      <c r="V207" s="4">
        <f ca="1">IFERROR(__xludf.DUMMYFUNCTION("""COMPUTED_VALUE"""),45787)</f>
        <v>45787</v>
      </c>
      <c r="W207" s="1">
        <f ca="1">IFERROR(__xludf.DUMMYFUNCTION("""COMPUTED_VALUE"""),206)</f>
        <v>206</v>
      </c>
      <c r="X207" s="3">
        <f ca="1">IFERROR(__xludf.DUMMYFUNCTION("""COMPUTED_VALUE"""),45963)</f>
        <v>45963</v>
      </c>
      <c r="Y207" s="1" t="str">
        <f ca="1">IFERROR(__xludf.DUMMYFUNCTION("""COMPUTED_VALUE"""),"DUYỆT")</f>
        <v>DUYỆT</v>
      </c>
      <c r="Z207" s="3">
        <f ca="1">IFERROR(__xludf.DUMMYFUNCTION("""COMPUTED_VALUE"""),45963)</f>
        <v>45963</v>
      </c>
      <c r="AA207" s="1" t="str">
        <f ca="1">IFERROR(__xludf.DUMMYFUNCTION("""COMPUTED_VALUE"""),"Khách sạn Như Minh Plaza")</f>
        <v>Khách sạn Như Minh Plaza</v>
      </c>
      <c r="AB207" s="1" t="str">
        <f ca="1">IFERROR(__xludf.DUMMYFUNCTION("""COMPUTED_VALUE"""),"Tiền sảnh")</f>
        <v>Tiền sảnh</v>
      </c>
      <c r="AC207" s="1"/>
      <c r="AD207" s="1"/>
      <c r="AE207" s="1" t="str">
        <f ca="1">IFERROR(__xludf.DUMMYFUNCTION("""COMPUTED_VALUE"""),"")</f>
        <v/>
      </c>
    </row>
    <row r="208" spans="1:31" x14ac:dyDescent="0.2">
      <c r="A208" s="6">
        <f ca="1">IFERROR(__xludf.DUMMYFUNCTION("""COMPUTED_VALUE"""),45695.8494689699)</f>
        <v>45695.8494689699</v>
      </c>
      <c r="B208" s="1"/>
      <c r="C208" s="1">
        <f ca="1">IFERROR(__xludf.DUMMYFUNCTION("""COMPUTED_VALUE"""),27207100837)</f>
        <v>27207100837</v>
      </c>
      <c r="D208" s="1" t="str">
        <f ca="1">IFERROR(__xludf.DUMMYFUNCTION("""COMPUTED_VALUE"""),"Nguyễn Thị Trang")</f>
        <v>Nguyễn Thị Trang</v>
      </c>
      <c r="E208" s="4"/>
      <c r="F208" s="1" t="str">
        <f ca="1">IFERROR(__xludf.DUMMYFUNCTION("""COMPUTED_VALUE"""),"K27DLK4")</f>
        <v>K27DLK4</v>
      </c>
      <c r="G208" s="1" t="str">
        <f ca="1">IFERROR(__xludf.DUMMYFUNCTION("""COMPUTED_VALUE"""),"Quản trị Du lịch &amp; Khách sạn")</f>
        <v>Quản trị Du lịch &amp; Khách sạn</v>
      </c>
      <c r="H208" s="1">
        <f ca="1">IFERROR(__xludf.DUMMYFUNCTION("""COMPUTED_VALUE"""),27)</f>
        <v>27</v>
      </c>
      <c r="I208" s="1"/>
      <c r="J208" s="1" t="str">
        <f ca="1">IFERROR(__xludf.DUMMYFUNCTION("""COMPUTED_VALUE"""),"Chuyên đề")</f>
        <v>Chuyên đề</v>
      </c>
      <c r="K208" s="1" t="str">
        <f ca="1">IFERROR(__xludf.DUMMYFUNCTION("""COMPUTED_VALUE"""),"The Nalod Đà Năng ")</f>
        <v xml:space="preserve">The Nalod Đà Năng </v>
      </c>
      <c r="L208" s="1" t="str">
        <f ca="1">IFERROR(__xludf.DUMMYFUNCTION("""COMPUTED_VALUE"""),"The Nalod Đà Năng ")</f>
        <v xml:space="preserve">The Nalod Đà Năng </v>
      </c>
      <c r="M208" s="1" t="str">
        <f ca="1">IFERROR(__xludf.DUMMYFUNCTION("""COMPUTED_VALUE"""),"192 Võ Nguyên Giáp")</f>
        <v>192 Võ Nguyên Giáp</v>
      </c>
      <c r="N208" s="1" t="str">
        <f ca="1">IFERROR(__xludf.DUMMYFUNCTION("""COMPUTED_VALUE"""),"Đà Nẵng")</f>
        <v>Đà Nẵng</v>
      </c>
      <c r="O208" s="1" t="str">
        <f ca="1">IFERROR(__xludf.DUMMYFUNCTION("""COMPUTED_VALUE"""),"Nhà hàng")</f>
        <v>Nhà hàng</v>
      </c>
      <c r="P208" s="1"/>
      <c r="Q208" s="1" t="str">
        <f ca="1">IFERROR(__xludf.DUMMYFUNCTION("""COMPUTED_VALUE"""),"7/2")</f>
        <v>7/2</v>
      </c>
      <c r="R208" s="1" t="str">
        <f ca="1">IFERROR(__xludf.DUMMYFUNCTION("""COMPUTED_VALUE"""),"cam kết")</f>
        <v>cam kết</v>
      </c>
      <c r="S208" s="1" t="str">
        <f ca="1">IFERROR(__xludf.DUMMYFUNCTION("""COMPUTED_VALUE"""),"Chuyên đề")</f>
        <v>Chuyên đề</v>
      </c>
      <c r="T208" s="1"/>
      <c r="U208" s="4">
        <f ca="1">IFERROR(__xludf.DUMMYFUNCTION("""COMPUTED_VALUE"""),45698)</f>
        <v>45698</v>
      </c>
      <c r="V208" s="4">
        <f ca="1">IFERROR(__xludf.DUMMYFUNCTION("""COMPUTED_VALUE"""),45787)</f>
        <v>45787</v>
      </c>
      <c r="W208" s="1">
        <f ca="1">IFERROR(__xludf.DUMMYFUNCTION("""COMPUTED_VALUE"""),207)</f>
        <v>207</v>
      </c>
      <c r="X208" s="1"/>
      <c r="Y208" s="1" t="str">
        <f ca="1">IFERROR(__xludf.DUMMYFUNCTION("""COMPUTED_VALUE"""),"KHÔNG DUYỆT")</f>
        <v>KHÔNG DUYỆT</v>
      </c>
      <c r="Z208" s="3">
        <f ca="1">IFERROR(__xludf.DUMMYFUNCTION("""COMPUTED_VALUE"""),45932)</f>
        <v>45932</v>
      </c>
      <c r="AA208" s="1" t="str">
        <f ca="1">IFERROR(__xludf.DUMMYFUNCTION("""COMPUTED_VALUE"""),"The Nalod Đà Năng ")</f>
        <v xml:space="preserve">The Nalod Đà Năng </v>
      </c>
      <c r="AB208" s="1" t="str">
        <f ca="1">IFERROR(__xludf.DUMMYFUNCTION("""COMPUTED_VALUE"""),"Nhà hàng")</f>
        <v>Nhà hàng</v>
      </c>
      <c r="AC208" s="1"/>
      <c r="AD208" s="1" t="str">
        <f ca="1">IFERROR(__xludf.DUMMYFUNCTION("""COMPUTED_VALUE"""),"10/02/2025: không thấy thông tin tại CSDL")</f>
        <v>10/02/2025: không thấy thông tin tại CSDL</v>
      </c>
      <c r="AE208" s="1" t="str">
        <f ca="1">IFERROR(__xludf.DUMMYFUNCTION("""COMPUTED_VALUE"""),"")</f>
        <v/>
      </c>
    </row>
    <row r="209" spans="1:31" x14ac:dyDescent="0.2">
      <c r="A209" s="6">
        <f ca="1">IFERROR(__xludf.DUMMYFUNCTION("""COMPUTED_VALUE"""),45695.9161136805)</f>
        <v>45695.916113680498</v>
      </c>
      <c r="B209" s="1"/>
      <c r="C209" s="1">
        <f ca="1">IFERROR(__xludf.DUMMYFUNCTION("""COMPUTED_VALUE"""),27207142512)</f>
        <v>27207142512</v>
      </c>
      <c r="D209" s="1" t="str">
        <f ca="1">IFERROR(__xludf.DUMMYFUNCTION("""COMPUTED_VALUE"""),"Đặng Thị Quỳnh Như")</f>
        <v>Đặng Thị Quỳnh Như</v>
      </c>
      <c r="E209" s="4"/>
      <c r="F209" s="1" t="str">
        <f ca="1">IFERROR(__xludf.DUMMYFUNCTION("""COMPUTED_VALUE"""),"K27ldk2")</f>
        <v>K27ldk2</v>
      </c>
      <c r="G209" s="1" t="str">
        <f ca="1">IFERROR(__xludf.DUMMYFUNCTION("""COMPUTED_VALUE"""),"Quản trị Du lịch &amp; Khách sạn")</f>
        <v>Quản trị Du lịch &amp; Khách sạn</v>
      </c>
      <c r="H209" s="1">
        <f ca="1">IFERROR(__xludf.DUMMYFUNCTION("""COMPUTED_VALUE"""),27)</f>
        <v>27</v>
      </c>
      <c r="I209" s="1"/>
      <c r="J209" s="1" t="str">
        <f ca="1">IFERROR(__xludf.DUMMYFUNCTION("""COMPUTED_VALUE"""),"Chuyên đề")</f>
        <v>Chuyên đề</v>
      </c>
      <c r="K209" s="1" t="str">
        <f ca="1">IFERROR(__xludf.DUMMYFUNCTION("""COMPUTED_VALUE"""),"Minh Toàn Galaxy Hotel Đà Nẵng")</f>
        <v>Minh Toàn Galaxy Hotel Đà Nẵng</v>
      </c>
      <c r="L209" s="1"/>
      <c r="M209" s="1" t="str">
        <f ca="1">IFERROR(__xludf.DUMMYFUNCTION("""COMPUTED_VALUE"""),"162 đường 2/9 phường Hoà Thuận Đông quận Hải Châu , tp Đà Nẵng")</f>
        <v>162 đường 2/9 phường Hoà Thuận Đông quận Hải Châu , tp Đà Nẵng</v>
      </c>
      <c r="N209" s="1" t="str">
        <f ca="1">IFERROR(__xludf.DUMMYFUNCTION("""COMPUTED_VALUE"""),"Đà Nẵng")</f>
        <v>Đà Nẵng</v>
      </c>
      <c r="O209" s="1" t="str">
        <f ca="1">IFERROR(__xludf.DUMMYFUNCTION("""COMPUTED_VALUE"""),"Buồng phòng")</f>
        <v>Buồng phòng</v>
      </c>
      <c r="P209" s="1"/>
      <c r="Q209" s="1" t="str">
        <f ca="1">IFERROR(__xludf.DUMMYFUNCTION("""COMPUTED_VALUE"""),"8/2/2025")</f>
        <v>8/2/2025</v>
      </c>
      <c r="R209" s="1" t="str">
        <f ca="1">IFERROR(__xludf.DUMMYFUNCTION("""COMPUTED_VALUE"""),"cam kết")</f>
        <v>cam kết</v>
      </c>
      <c r="S209" s="1" t="str">
        <f ca="1">IFERROR(__xludf.DUMMYFUNCTION("""COMPUTED_VALUE"""),"Chuyên đề")</f>
        <v>Chuyên đề</v>
      </c>
      <c r="T209" s="1"/>
      <c r="U209" s="4">
        <f ca="1">IFERROR(__xludf.DUMMYFUNCTION("""COMPUTED_VALUE"""),45698)</f>
        <v>45698</v>
      </c>
      <c r="V209" s="4">
        <f ca="1">IFERROR(__xludf.DUMMYFUNCTION("""COMPUTED_VALUE"""),45787)</f>
        <v>45787</v>
      </c>
      <c r="W209" s="1">
        <f ca="1">IFERROR(__xludf.DUMMYFUNCTION("""COMPUTED_VALUE"""),208)</f>
        <v>208</v>
      </c>
      <c r="X209" s="3">
        <f ca="1">IFERROR(__xludf.DUMMYFUNCTION("""COMPUTED_VALUE"""),45963)</f>
        <v>45963</v>
      </c>
      <c r="Y209" s="1" t="str">
        <f ca="1">IFERROR(__xludf.DUMMYFUNCTION("""COMPUTED_VALUE"""),"DUYỆT")</f>
        <v>DUYỆT</v>
      </c>
      <c r="Z209" s="3">
        <f ca="1">IFERROR(__xludf.DUMMYFUNCTION("""COMPUTED_VALUE"""),45932)</f>
        <v>45932</v>
      </c>
      <c r="AA209" s="1" t="str">
        <f ca="1">IFERROR(__xludf.DUMMYFUNCTION("""COMPUTED_VALUE"""),"Minh Toàn Galaxy Hotel Đà Nẵng")</f>
        <v>Minh Toàn Galaxy Hotel Đà Nẵng</v>
      </c>
      <c r="AB209" s="1" t="str">
        <f ca="1">IFERROR(__xludf.DUMMYFUNCTION("""COMPUTED_VALUE"""),"Buồng phòng")</f>
        <v>Buồng phòng</v>
      </c>
      <c r="AC209" s="1"/>
      <c r="AD209" s="1"/>
      <c r="AE209" s="1" t="str">
        <f ca="1">IFERROR(__xludf.DUMMYFUNCTION("""COMPUTED_VALUE"""),"")</f>
        <v/>
      </c>
    </row>
    <row r="210" spans="1:31" x14ac:dyDescent="0.2">
      <c r="A210" s="6">
        <f ca="1">IFERROR(__xludf.DUMMYFUNCTION("""COMPUTED_VALUE"""),45695.9516737384)</f>
        <v>45695.951673738396</v>
      </c>
      <c r="B210" s="1"/>
      <c r="C210" s="1">
        <f ca="1">IFERROR(__xludf.DUMMYFUNCTION("""COMPUTED_VALUE"""),27207121852)</f>
        <v>27207121852</v>
      </c>
      <c r="D210" s="1" t="str">
        <f ca="1">IFERROR(__xludf.DUMMYFUNCTION("""COMPUTED_VALUE"""),"Trương Ngọc Thảo Nguyên ")</f>
        <v xml:space="preserve">Trương Ngọc Thảo Nguyên </v>
      </c>
      <c r="E210" s="4"/>
      <c r="F210" s="1" t="str">
        <f ca="1">IFERROR(__xludf.DUMMYFUNCTION("""COMPUTED_VALUE"""),"K27DLK6")</f>
        <v>K27DLK6</v>
      </c>
      <c r="G210" s="1" t="str">
        <f ca="1">IFERROR(__xludf.DUMMYFUNCTION("""COMPUTED_VALUE"""),"Quản trị Du lịch &amp; Khách sạn")</f>
        <v>Quản trị Du lịch &amp; Khách sạn</v>
      </c>
      <c r="H210" s="1">
        <f ca="1">IFERROR(__xludf.DUMMYFUNCTION("""COMPUTED_VALUE"""),27)</f>
        <v>27</v>
      </c>
      <c r="I210" s="1"/>
      <c r="J210" s="1" t="str">
        <f ca="1">IFERROR(__xludf.DUMMYFUNCTION("""COMPUTED_VALUE"""),"Chuyên đề")</f>
        <v>Chuyên đề</v>
      </c>
      <c r="K210" s="1" t="str">
        <f ca="1">IFERROR(__xludf.DUMMYFUNCTION("""COMPUTED_VALUE"""),"Khách sạn Mandila Beach Đà Nẵng")</f>
        <v>Khách sạn Mandila Beach Đà Nẵng</v>
      </c>
      <c r="L210" s="1"/>
      <c r="M210" s="1" t="str">
        <f ca="1">IFERROR(__xludf.DUMMYFUNCTION("""COMPUTED_VALUE"""),"218 Võ Nguyên Giáp, Phước Mỹ, Sơn Trà, Đà Nẵng ")</f>
        <v xml:space="preserve">218 Võ Nguyên Giáp, Phước Mỹ, Sơn Trà, Đà Nẵng </v>
      </c>
      <c r="N210" s="1" t="str">
        <f ca="1">IFERROR(__xludf.DUMMYFUNCTION("""COMPUTED_VALUE"""),"Đà Nẵng ")</f>
        <v xml:space="preserve">Đà Nẵng </v>
      </c>
      <c r="O210" s="1" t="str">
        <f ca="1">IFERROR(__xludf.DUMMYFUNCTION("""COMPUTED_VALUE"""),"Nhà hàng")</f>
        <v>Nhà hàng</v>
      </c>
      <c r="P210" s="1"/>
      <c r="Q210" s="1" t="str">
        <f ca="1">IFERROR(__xludf.DUMMYFUNCTION("""COMPUTED_VALUE"""),"8/2/2025")</f>
        <v>8/2/2025</v>
      </c>
      <c r="R210" s="1" t="str">
        <f ca="1">IFERROR(__xludf.DUMMYFUNCTION("""COMPUTED_VALUE"""),"cam kết")</f>
        <v>cam kết</v>
      </c>
      <c r="S210" s="1" t="str">
        <f ca="1">IFERROR(__xludf.DUMMYFUNCTION("""COMPUTED_VALUE"""),"Chuyên đề")</f>
        <v>Chuyên đề</v>
      </c>
      <c r="T210" s="1" t="str">
        <f ca="1">IFERROR(__xludf.DUMMYFUNCTION("""COMPUTED_VALUE"""),"Trần Hoàng Anh")</f>
        <v>Trần Hoàng Anh</v>
      </c>
      <c r="U210" s="4">
        <f ca="1">IFERROR(__xludf.DUMMYFUNCTION("""COMPUTED_VALUE"""),45694)</f>
        <v>45694</v>
      </c>
      <c r="V210" s="4">
        <f ca="1">IFERROR(__xludf.DUMMYFUNCTION("""COMPUTED_VALUE"""),45787)</f>
        <v>45787</v>
      </c>
      <c r="W210" s="1">
        <f ca="1">IFERROR(__xludf.DUMMYFUNCTION("""COMPUTED_VALUE"""),209)</f>
        <v>209</v>
      </c>
      <c r="X210" s="3">
        <f ca="1">IFERROR(__xludf.DUMMYFUNCTION("""COMPUTED_VALUE"""),45963)</f>
        <v>45963</v>
      </c>
      <c r="Y210" s="1" t="str">
        <f ca="1">IFERROR(__xludf.DUMMYFUNCTION("""COMPUTED_VALUE"""),"DUYỆT")</f>
        <v>DUYỆT</v>
      </c>
      <c r="Z210" s="3">
        <f ca="1">IFERROR(__xludf.DUMMYFUNCTION("""COMPUTED_VALUE"""),45932)</f>
        <v>45932</v>
      </c>
      <c r="AA210" s="1" t="str">
        <f ca="1">IFERROR(__xludf.DUMMYFUNCTION("""COMPUTED_VALUE"""),"Khách sạn Mandila Beach Đà Nẵng")</f>
        <v>Khách sạn Mandila Beach Đà Nẵng</v>
      </c>
      <c r="AB210" s="1" t="str">
        <f ca="1">IFERROR(__xludf.DUMMYFUNCTION("""COMPUTED_VALUE"""),"Nhà hàng")</f>
        <v>Nhà hàng</v>
      </c>
      <c r="AC210" s="1"/>
      <c r="AD210" s="1"/>
      <c r="AE210" s="1" t="str">
        <f ca="1">IFERROR(__xludf.DUMMYFUNCTION("""COMPUTED_VALUE"""),"")</f>
        <v/>
      </c>
    </row>
    <row r="211" spans="1:31" x14ac:dyDescent="0.2">
      <c r="A211" s="6">
        <f ca="1">IFERROR(__xludf.DUMMYFUNCTION("""COMPUTED_VALUE"""),45696.3263218981)</f>
        <v>45696.326321898101</v>
      </c>
      <c r="B211" s="1"/>
      <c r="C211" s="1">
        <f ca="1">IFERROR(__xludf.DUMMYFUNCTION("""COMPUTED_VALUE"""),25212715759)</f>
        <v>25212715759</v>
      </c>
      <c r="D211" s="1" t="str">
        <f ca="1">IFERROR(__xludf.DUMMYFUNCTION("""COMPUTED_VALUE"""),"Nguyễn Kim Hiếu")</f>
        <v>Nguyễn Kim Hiếu</v>
      </c>
      <c r="E211" s="4"/>
      <c r="F211" s="1" t="str">
        <f ca="1">IFERROR(__xludf.DUMMYFUNCTION("""COMPUTED_VALUE"""),"K26DLK9")</f>
        <v>K26DLK9</v>
      </c>
      <c r="G211" s="1" t="str">
        <f ca="1">IFERROR(__xludf.DUMMYFUNCTION("""COMPUTED_VALUE"""),"Quản trị Du lịch &amp; Khách sạn")</f>
        <v>Quản trị Du lịch &amp; Khách sạn</v>
      </c>
      <c r="H211" s="1">
        <f ca="1">IFERROR(__xludf.DUMMYFUNCTION("""COMPUTED_VALUE"""),26)</f>
        <v>26</v>
      </c>
      <c r="I211" s="1"/>
      <c r="J211" s="1" t="str">
        <f ca="1">IFERROR(__xludf.DUMMYFUNCTION("""COMPUTED_VALUE"""),"Chuyên đề")</f>
        <v>Chuyên đề</v>
      </c>
      <c r="K211" s="1" t="str">
        <f ca="1">IFERROR(__xludf.DUMMYFUNCTION("""COMPUTED_VALUE"""),"Silk Sense Hoi An River Resort")</f>
        <v>Silk Sense Hoi An River Resort</v>
      </c>
      <c r="L211" s="1" t="str">
        <f ca="1">IFERROR(__xludf.DUMMYFUNCTION("""COMPUTED_VALUE"""),"Silk Sense Hoi An River Resort")</f>
        <v>Silk Sense Hoi An River Resort</v>
      </c>
      <c r="M211" s="1" t="str">
        <f ca="1">IFERROR(__xludf.DUMMYFUNCTION("""COMPUTED_VALUE"""),"01 Đống Đa, Cẩm An, Hội An, Quảng Nam")</f>
        <v>01 Đống Đa, Cẩm An, Hội An, Quảng Nam</v>
      </c>
      <c r="N211" s="1" t="str">
        <f ca="1">IFERROR(__xludf.DUMMYFUNCTION("""COMPUTED_VALUE"""),"Hội An, Quảng Nam")</f>
        <v>Hội An, Quảng Nam</v>
      </c>
      <c r="O211" s="1" t="str">
        <f ca="1">IFERROR(__xludf.DUMMYFUNCTION("""COMPUTED_VALUE"""),"Buồng phòng")</f>
        <v>Buồng phòng</v>
      </c>
      <c r="P211" s="1"/>
      <c r="Q211" s="1" t="str">
        <f ca="1">IFERROR(__xludf.DUMMYFUNCTION("""COMPUTED_VALUE"""),"20/09/2024")</f>
        <v>20/09/2024</v>
      </c>
      <c r="R211" s="1" t="str">
        <f ca="1">IFERROR(__xludf.DUMMYFUNCTION("""COMPUTED_VALUE"""),"cam kết")</f>
        <v>cam kết</v>
      </c>
      <c r="S211" s="1" t="str">
        <f ca="1">IFERROR(__xludf.DUMMYFUNCTION("""COMPUTED_VALUE"""),"Chuyên đề")</f>
        <v>Chuyên đề</v>
      </c>
      <c r="T211" s="1" t="str">
        <f ca="1">IFERROR(__xludf.DUMMYFUNCTION("""COMPUTED_VALUE"""),"Phạm Thị Thu Thủy")</f>
        <v>Phạm Thị Thu Thủy</v>
      </c>
      <c r="U211" s="4">
        <f ca="1">IFERROR(__xludf.DUMMYFUNCTION("""COMPUTED_VALUE"""),45553)</f>
        <v>45553</v>
      </c>
      <c r="V211" s="4">
        <f ca="1">IFERROR(__xludf.DUMMYFUNCTION("""COMPUTED_VALUE"""),45644)</f>
        <v>45644</v>
      </c>
      <c r="W211" s="1">
        <f ca="1">IFERROR(__xludf.DUMMYFUNCTION("""COMPUTED_VALUE"""),210)</f>
        <v>210</v>
      </c>
      <c r="X211" s="1"/>
      <c r="Y211" s="1" t="str">
        <f ca="1">IFERROR(__xludf.DUMMYFUNCTION("""COMPUTED_VALUE"""),"KHÔNG DUYỆT")</f>
        <v>KHÔNG DUYỆT</v>
      </c>
      <c r="Z211" s="3">
        <f ca="1">IFERROR(__xludf.DUMMYFUNCTION("""COMPUTED_VALUE"""),45932)</f>
        <v>45932</v>
      </c>
      <c r="AA211" s="1" t="str">
        <f ca="1">IFERROR(__xludf.DUMMYFUNCTION("""COMPUTED_VALUE"""),"Silk Sense Hoi An River Resort")</f>
        <v>Silk Sense Hoi An River Resort</v>
      </c>
      <c r="AB211" s="1" t="str">
        <f ca="1">IFERROR(__xludf.DUMMYFUNCTION("""COMPUTED_VALUE"""),"Buồng phòng")</f>
        <v>Buồng phòng</v>
      </c>
      <c r="AC211" s="1" t="str">
        <f ca="1">IFERROR(__xludf.DUMMYFUNCTION("""COMPUTED_VALUE"""),"#N/A")</f>
        <v>#N/A</v>
      </c>
      <c r="AD211" s="1" t="str">
        <f ca="1">IFERROR(__xludf.DUMMYFUNCTION("""COMPUTED_VALUE"""),"đơn vị thực tập đủ điều kiện nhưng sinh viên chưa đăng ký thực tập")</f>
        <v>đơn vị thực tập đủ điều kiện nhưng sinh viên chưa đăng ký thực tập</v>
      </c>
      <c r="AE211" s="1" t="str">
        <f ca="1">IFERROR(__xludf.DUMMYFUNCTION("""COMPUTED_VALUE"""),"")</f>
        <v/>
      </c>
    </row>
    <row r="212" spans="1:31" x14ac:dyDescent="0.2">
      <c r="A212" s="6">
        <f ca="1">IFERROR(__xludf.DUMMYFUNCTION("""COMPUTED_VALUE"""),45696.4267281481)</f>
        <v>45696.426728148101</v>
      </c>
      <c r="B212" s="1"/>
      <c r="C212" s="1">
        <f ca="1">IFERROR(__xludf.DUMMYFUNCTION("""COMPUTED_VALUE"""),27207103184)</f>
        <v>27207103184</v>
      </c>
      <c r="D212" s="1" t="str">
        <f ca="1">IFERROR(__xludf.DUMMYFUNCTION("""COMPUTED_VALUE"""),"Trần Thị Kiều Duyên")</f>
        <v>Trần Thị Kiều Duyên</v>
      </c>
      <c r="E212" s="4"/>
      <c r="F212" s="1" t="str">
        <f ca="1">IFERROR(__xludf.DUMMYFUNCTION("""COMPUTED_VALUE"""),"K27DLK7")</f>
        <v>K27DLK7</v>
      </c>
      <c r="G212" s="1" t="str">
        <f ca="1">IFERROR(__xludf.DUMMYFUNCTION("""COMPUTED_VALUE"""),"Quản trị Du lịch &amp; Khách sạn")</f>
        <v>Quản trị Du lịch &amp; Khách sạn</v>
      </c>
      <c r="H212" s="1">
        <f ca="1">IFERROR(__xludf.DUMMYFUNCTION("""COMPUTED_VALUE"""),27)</f>
        <v>27</v>
      </c>
      <c r="I212" s="1"/>
      <c r="J212" s="1" t="str">
        <f ca="1">IFERROR(__xludf.DUMMYFUNCTION("""COMPUTED_VALUE"""),"Chuyên đề")</f>
        <v>Chuyên đề</v>
      </c>
      <c r="K212" s="1" t="str">
        <f ca="1">IFERROR(__xludf.DUMMYFUNCTION("""COMPUTED_VALUE"""),"Hoi An Historic Hotel")</f>
        <v>Hoi An Historic Hotel</v>
      </c>
      <c r="L212" s="1" t="str">
        <f ca="1">IFERROR(__xludf.DUMMYFUNCTION("""COMPUTED_VALUE"""),"Hoi An Historic Hotel")</f>
        <v>Hoi An Historic Hotel</v>
      </c>
      <c r="M212" s="1" t="str">
        <f ca="1">IFERROR(__xludf.DUMMYFUNCTION("""COMPUTED_VALUE"""),"Số 10 Trần Hưng Đạo, Phường Minh An, Thành phố Hội An, Quảng Nam")</f>
        <v>Số 10 Trần Hưng Đạo, Phường Minh An, Thành phố Hội An, Quảng Nam</v>
      </c>
      <c r="N212" s="1" t="str">
        <f ca="1">IFERROR(__xludf.DUMMYFUNCTION("""COMPUTED_VALUE"""),"Thành phố Hội An, Quảng Nam")</f>
        <v>Thành phố Hội An, Quảng Nam</v>
      </c>
      <c r="O212" s="1" t="str">
        <f ca="1">IFERROR(__xludf.DUMMYFUNCTION("""COMPUTED_VALUE"""),"Tiền sảnh")</f>
        <v>Tiền sảnh</v>
      </c>
      <c r="P212" s="1"/>
      <c r="Q212" s="1" t="str">
        <f ca="1">IFERROR(__xludf.DUMMYFUNCTION("""COMPUTED_VALUE"""),"08/02/2025")</f>
        <v>08/02/2025</v>
      </c>
      <c r="R212" s="1" t="str">
        <f ca="1">IFERROR(__xludf.DUMMYFUNCTION("""COMPUTED_VALUE"""),"cam kết")</f>
        <v>cam kết</v>
      </c>
      <c r="S212" s="1" t="str">
        <f ca="1">IFERROR(__xludf.DUMMYFUNCTION("""COMPUTED_VALUE"""),"Chuyên đề")</f>
        <v>Chuyên đề</v>
      </c>
      <c r="T212" s="1"/>
      <c r="U212" s="4">
        <f ca="1">IFERROR(__xludf.DUMMYFUNCTION("""COMPUTED_VALUE"""),45684)</f>
        <v>45684</v>
      </c>
      <c r="V212" s="4">
        <f ca="1">IFERROR(__xludf.DUMMYFUNCTION("""COMPUTED_VALUE"""),45774)</f>
        <v>45774</v>
      </c>
      <c r="W212" s="1">
        <f ca="1">IFERROR(__xludf.DUMMYFUNCTION("""COMPUTED_VALUE"""),211)</f>
        <v>211</v>
      </c>
      <c r="X212" s="3">
        <f ca="1">IFERROR(__xludf.DUMMYFUNCTION("""COMPUTED_VALUE"""),45963)</f>
        <v>45963</v>
      </c>
      <c r="Y212" s="1" t="str">
        <f ca="1">IFERROR(__xludf.DUMMYFUNCTION("""COMPUTED_VALUE"""),"DUYỆT")</f>
        <v>DUYỆT</v>
      </c>
      <c r="Z212" s="3">
        <f ca="1">IFERROR(__xludf.DUMMYFUNCTION("""COMPUTED_VALUE"""),45932)</f>
        <v>45932</v>
      </c>
      <c r="AA212" s="1" t="str">
        <f ca="1">IFERROR(__xludf.DUMMYFUNCTION("""COMPUTED_VALUE"""),"Hoi An Historic Hotel")</f>
        <v>Hoi An Historic Hotel</v>
      </c>
      <c r="AB212" s="1" t="str">
        <f ca="1">IFERROR(__xludf.DUMMYFUNCTION("""COMPUTED_VALUE"""),"Tiền sảnh")</f>
        <v>Tiền sảnh</v>
      </c>
      <c r="AC212" s="1"/>
      <c r="AD212" s="1"/>
      <c r="AE212" s="1" t="str">
        <f ca="1">IFERROR(__xludf.DUMMYFUNCTION("""COMPUTED_VALUE"""),"")</f>
        <v/>
      </c>
    </row>
    <row r="213" spans="1:31" x14ac:dyDescent="0.2">
      <c r="A213" s="6">
        <f ca="1">IFERROR(__xludf.DUMMYFUNCTION("""COMPUTED_VALUE"""),45696.4283300694)</f>
        <v>45696.428330069401</v>
      </c>
      <c r="B213" s="1"/>
      <c r="C213" s="1">
        <f ca="1">IFERROR(__xludf.DUMMYFUNCTION("""COMPUTED_VALUE"""),27207152769)</f>
        <v>27207152769</v>
      </c>
      <c r="D213" s="1" t="str">
        <f ca="1">IFERROR(__xludf.DUMMYFUNCTION("""COMPUTED_VALUE"""),"Nguyễn Thị Ngọc Phương")</f>
        <v>Nguyễn Thị Ngọc Phương</v>
      </c>
      <c r="E213" s="4"/>
      <c r="F213" s="1" t="str">
        <f ca="1">IFERROR(__xludf.DUMMYFUNCTION("""COMPUTED_VALUE"""),"K27DLK7")</f>
        <v>K27DLK7</v>
      </c>
      <c r="G213" s="1" t="str">
        <f ca="1">IFERROR(__xludf.DUMMYFUNCTION("""COMPUTED_VALUE"""),"Quản trị Du lịch &amp; Khách sạn")</f>
        <v>Quản trị Du lịch &amp; Khách sạn</v>
      </c>
      <c r="H213" s="1">
        <f ca="1">IFERROR(__xludf.DUMMYFUNCTION("""COMPUTED_VALUE"""),27)</f>
        <v>27</v>
      </c>
      <c r="I213" s="1"/>
      <c r="J213" s="1" t="str">
        <f ca="1">IFERROR(__xludf.DUMMYFUNCTION("""COMPUTED_VALUE"""),"Chuyên đề")</f>
        <v>Chuyên đề</v>
      </c>
      <c r="K213" s="1" t="str">
        <f ca="1">IFERROR(__xludf.DUMMYFUNCTION("""COMPUTED_VALUE"""),"Minh Toàn Galaxy Hotel Đà Nẵng")</f>
        <v>Minh Toàn Galaxy Hotel Đà Nẵng</v>
      </c>
      <c r="L213" s="1"/>
      <c r="M213" s="1" t="str">
        <f ca="1">IFERROR(__xludf.DUMMYFUNCTION("""COMPUTED_VALUE"""),"306 đường 2/9, Hải Châu, Đà Nẵng ")</f>
        <v xml:space="preserve">306 đường 2/9, Hải Châu, Đà Nẵng </v>
      </c>
      <c r="N213" s="1" t="str">
        <f ca="1">IFERROR(__xludf.DUMMYFUNCTION("""COMPUTED_VALUE"""),"Đà Nẵng ")</f>
        <v xml:space="preserve">Đà Nẵng </v>
      </c>
      <c r="O213" s="1" t="str">
        <f ca="1">IFERROR(__xludf.DUMMYFUNCTION("""COMPUTED_VALUE"""),"Tiền sảnh")</f>
        <v>Tiền sảnh</v>
      </c>
      <c r="P213" s="1"/>
      <c r="Q213" s="1" t="str">
        <f ca="1">IFERROR(__xludf.DUMMYFUNCTION("""COMPUTED_VALUE"""),"08/02/2025")</f>
        <v>08/02/2025</v>
      </c>
      <c r="R213" s="1" t="str">
        <f ca="1">IFERROR(__xludf.DUMMYFUNCTION("""COMPUTED_VALUE"""),"cam kết")</f>
        <v>cam kết</v>
      </c>
      <c r="S213" s="1" t="str">
        <f ca="1">IFERROR(__xludf.DUMMYFUNCTION("""COMPUTED_VALUE"""),"Chuyên đề")</f>
        <v>Chuyên đề</v>
      </c>
      <c r="T213" s="1"/>
      <c r="U213" s="4">
        <f ca="1">IFERROR(__xludf.DUMMYFUNCTION("""COMPUTED_VALUE"""),45698)</f>
        <v>45698</v>
      </c>
      <c r="V213" s="4">
        <f ca="1">IFERROR(__xludf.DUMMYFUNCTION("""COMPUTED_VALUE"""),45787)</f>
        <v>45787</v>
      </c>
      <c r="W213" s="1">
        <f ca="1">IFERROR(__xludf.DUMMYFUNCTION("""COMPUTED_VALUE"""),212)</f>
        <v>212</v>
      </c>
      <c r="X213" s="3">
        <f ca="1">IFERROR(__xludf.DUMMYFUNCTION("""COMPUTED_VALUE"""),45932)</f>
        <v>45932</v>
      </c>
      <c r="Y213" s="1" t="str">
        <f ca="1">IFERROR(__xludf.DUMMYFUNCTION("""COMPUTED_VALUE"""),"DUYỆT")</f>
        <v>DUYỆT</v>
      </c>
      <c r="Z213" s="3">
        <f ca="1">IFERROR(__xludf.DUMMYFUNCTION("""COMPUTED_VALUE"""),45932)</f>
        <v>45932</v>
      </c>
      <c r="AA213" s="1" t="str">
        <f ca="1">IFERROR(__xludf.DUMMYFUNCTION("""COMPUTED_VALUE"""),"Minh Toàn Galaxy Hotel Đà Nẵng")</f>
        <v>Minh Toàn Galaxy Hotel Đà Nẵng</v>
      </c>
      <c r="AB213" s="1" t="str">
        <f ca="1">IFERROR(__xludf.DUMMYFUNCTION("""COMPUTED_VALUE"""),"Tiền sảnh")</f>
        <v>Tiền sảnh</v>
      </c>
      <c r="AC213" s="1"/>
      <c r="AD213" s="1"/>
      <c r="AE213" s="1" t="str">
        <f ca="1">IFERROR(__xludf.DUMMYFUNCTION("""COMPUTED_VALUE"""),"")</f>
        <v/>
      </c>
    </row>
    <row r="214" spans="1:31" x14ac:dyDescent="0.2">
      <c r="A214" s="6">
        <f ca="1">IFERROR(__xludf.DUMMYFUNCTION("""COMPUTED_VALUE"""),45696.4287841782)</f>
        <v>45696.428784178199</v>
      </c>
      <c r="B214" s="1"/>
      <c r="C214" s="1">
        <f ca="1">IFERROR(__xludf.DUMMYFUNCTION("""COMPUTED_VALUE"""),27207147439)</f>
        <v>27207147439</v>
      </c>
      <c r="D214" s="1" t="str">
        <f ca="1">IFERROR(__xludf.DUMMYFUNCTION("""COMPUTED_VALUE"""),"Trần Tuyết Nhi")</f>
        <v>Trần Tuyết Nhi</v>
      </c>
      <c r="E214" s="4"/>
      <c r="F214" s="1" t="str">
        <f ca="1">IFERROR(__xludf.DUMMYFUNCTION("""COMPUTED_VALUE"""),"K27DLK4")</f>
        <v>K27DLK4</v>
      </c>
      <c r="G214" s="1" t="str">
        <f ca="1">IFERROR(__xludf.DUMMYFUNCTION("""COMPUTED_VALUE"""),"Quản trị Du lịch &amp; Khách sạn")</f>
        <v>Quản trị Du lịch &amp; Khách sạn</v>
      </c>
      <c r="H214" s="1">
        <f ca="1">IFERROR(__xludf.DUMMYFUNCTION("""COMPUTED_VALUE"""),27)</f>
        <v>27</v>
      </c>
      <c r="I214" s="1"/>
      <c r="J214" s="1" t="str">
        <f ca="1">IFERROR(__xludf.DUMMYFUNCTION("""COMPUTED_VALUE"""),"Khóa luận")</f>
        <v>Khóa luận</v>
      </c>
      <c r="K214" s="1" t="str">
        <f ca="1">IFERROR(__xludf.DUMMYFUNCTION("""COMPUTED_VALUE"""),"Khách sạn Như Minh Plaza")</f>
        <v>Khách sạn Như Minh Plaza</v>
      </c>
      <c r="L214" s="1"/>
      <c r="M214" s="1"/>
      <c r="N214" s="1" t="str">
        <f ca="1">IFERROR(__xludf.DUMMYFUNCTION("""COMPUTED_VALUE"""),"Đà Nẵng")</f>
        <v>Đà Nẵng</v>
      </c>
      <c r="O214" s="1" t="str">
        <f ca="1">IFERROR(__xludf.DUMMYFUNCTION("""COMPUTED_VALUE"""),"Nhà hàng")</f>
        <v>Nhà hàng</v>
      </c>
      <c r="P214" s="1"/>
      <c r="Q214" s="1" t="str">
        <f ca="1">IFERROR(__xludf.DUMMYFUNCTION("""COMPUTED_VALUE"""),"07/02/2025")</f>
        <v>07/02/2025</v>
      </c>
      <c r="R214" s="1" t="str">
        <f ca="1">IFERROR(__xludf.DUMMYFUNCTION("""COMPUTED_VALUE"""),"cam kết")</f>
        <v>cam kết</v>
      </c>
      <c r="S214" s="1" t="str">
        <f ca="1">IFERROR(__xludf.DUMMYFUNCTION("""COMPUTED_VALUE"""),"Khóa luận")</f>
        <v>Khóa luận</v>
      </c>
      <c r="T214" s="1" t="str">
        <f ca="1">IFERROR(__xludf.DUMMYFUNCTION("""COMPUTED_VALUE"""),"Dương Thị Xuân Diệu")</f>
        <v>Dương Thị Xuân Diệu</v>
      </c>
      <c r="U214" s="4">
        <f ca="1">IFERROR(__xludf.DUMMYFUNCTION("""COMPUTED_VALUE"""),45698)</f>
        <v>45698</v>
      </c>
      <c r="V214" s="4">
        <f ca="1">IFERROR(__xludf.DUMMYFUNCTION("""COMPUTED_VALUE"""),45787)</f>
        <v>45787</v>
      </c>
      <c r="W214" s="1">
        <f ca="1">IFERROR(__xludf.DUMMYFUNCTION("""COMPUTED_VALUE"""),213)</f>
        <v>213</v>
      </c>
      <c r="X214" s="3">
        <f ca="1">IFERROR(__xludf.DUMMYFUNCTION("""COMPUTED_VALUE"""),45963)</f>
        <v>45963</v>
      </c>
      <c r="Y214" s="1" t="str">
        <f ca="1">IFERROR(__xludf.DUMMYFUNCTION("""COMPUTED_VALUE"""),"DUYỆT")</f>
        <v>DUYỆT</v>
      </c>
      <c r="Z214" s="3">
        <f ca="1">IFERROR(__xludf.DUMMYFUNCTION("""COMPUTED_VALUE"""),45963)</f>
        <v>45963</v>
      </c>
      <c r="AA214" s="1" t="str">
        <f ca="1">IFERROR(__xludf.DUMMYFUNCTION("""COMPUTED_VALUE"""),"Khách sạn Như Minh Plaza")</f>
        <v>Khách sạn Như Minh Plaza</v>
      </c>
      <c r="AB214" s="1" t="str">
        <f ca="1">IFERROR(__xludf.DUMMYFUNCTION("""COMPUTED_VALUE"""),"Nhà hàng")</f>
        <v>Nhà hàng</v>
      </c>
      <c r="AC214" s="1"/>
      <c r="AD214" s="1"/>
      <c r="AE214" s="1" t="str">
        <f ca="1">IFERROR(__xludf.DUMMYFUNCTION("""COMPUTED_VALUE"""),"")</f>
        <v/>
      </c>
    </row>
    <row r="215" spans="1:31" x14ac:dyDescent="0.2">
      <c r="A215" s="6">
        <f ca="1">IFERROR(__xludf.DUMMYFUNCTION("""COMPUTED_VALUE"""),45696.4355831134)</f>
        <v>45696.435583113402</v>
      </c>
      <c r="B215" s="1"/>
      <c r="C215" s="1">
        <f ca="1">IFERROR(__xludf.DUMMYFUNCTION("""COMPUTED_VALUE"""),25217102808)</f>
        <v>25217102808</v>
      </c>
      <c r="D215" s="1" t="str">
        <f ca="1">IFERROR(__xludf.DUMMYFUNCTION("""COMPUTED_VALUE"""),"Trần Thanh Triều")</f>
        <v>Trần Thanh Triều</v>
      </c>
      <c r="E215" s="4"/>
      <c r="F215" s="1" t="str">
        <f ca="1">IFERROR(__xludf.DUMMYFUNCTION("""COMPUTED_VALUE"""),"K26DLK6")</f>
        <v>K26DLK6</v>
      </c>
      <c r="G215" s="1" t="str">
        <f ca="1">IFERROR(__xludf.DUMMYFUNCTION("""COMPUTED_VALUE"""),"Quản trị Du lịch &amp; Khách sạn")</f>
        <v>Quản trị Du lịch &amp; Khách sạn</v>
      </c>
      <c r="H215" s="1">
        <f ca="1">IFERROR(__xludf.DUMMYFUNCTION("""COMPUTED_VALUE"""),26)</f>
        <v>26</v>
      </c>
      <c r="I215" s="1"/>
      <c r="J215" s="1" t="str">
        <f ca="1">IFERROR(__xludf.DUMMYFUNCTION("""COMPUTED_VALUE"""),"Chuyên đề")</f>
        <v>Chuyên đề</v>
      </c>
      <c r="K215" s="1" t="str">
        <f ca="1">IFERROR(__xludf.DUMMYFUNCTION("""COMPUTED_VALUE"""),"Chicland Hotel")</f>
        <v>Chicland Hotel</v>
      </c>
      <c r="L215" s="1"/>
      <c r="M215" s="1" t="str">
        <f ca="1">IFERROR(__xludf.DUMMYFUNCTION("""COMPUTED_VALUE"""),"210 Võ Nguyên Giáp - Phước Mỹ - Sơn Trà - Đà Nẵng")</f>
        <v>210 Võ Nguyên Giáp - Phước Mỹ - Sơn Trà - Đà Nẵng</v>
      </c>
      <c r="N215" s="1" t="str">
        <f ca="1">IFERROR(__xludf.DUMMYFUNCTION("""COMPUTED_VALUE"""),"Đà Nẵng")</f>
        <v>Đà Nẵng</v>
      </c>
      <c r="O215" s="1" t="str">
        <f ca="1">IFERROR(__xludf.DUMMYFUNCTION("""COMPUTED_VALUE"""),"Buồng phòng")</f>
        <v>Buồng phòng</v>
      </c>
      <c r="P215" s="1"/>
      <c r="Q215" s="1" t="str">
        <f ca="1">IFERROR(__xludf.DUMMYFUNCTION("""COMPUTED_VALUE"""),"8/2/2025")</f>
        <v>8/2/2025</v>
      </c>
      <c r="R215" s="1" t="str">
        <f ca="1">IFERROR(__xludf.DUMMYFUNCTION("""COMPUTED_VALUE"""),"cam kết")</f>
        <v>cam kết</v>
      </c>
      <c r="S215" s="1" t="str">
        <f ca="1">IFERROR(__xludf.DUMMYFUNCTION("""COMPUTED_VALUE"""),"Chuyên đề")</f>
        <v>Chuyên đề</v>
      </c>
      <c r="T215" s="1"/>
      <c r="U215" s="4">
        <f ca="1">IFERROR(__xludf.DUMMYFUNCTION("""COMPUTED_VALUE"""),45698)</f>
        <v>45698</v>
      </c>
      <c r="V215" s="4">
        <f ca="1">IFERROR(__xludf.DUMMYFUNCTION("""COMPUTED_VALUE"""),45787)</f>
        <v>45787</v>
      </c>
      <c r="W215" s="1">
        <f ca="1">IFERROR(__xludf.DUMMYFUNCTION("""COMPUTED_VALUE"""),214)</f>
        <v>214</v>
      </c>
      <c r="X215" s="3">
        <f ca="1">IFERROR(__xludf.DUMMYFUNCTION("""COMPUTED_VALUE"""),45963)</f>
        <v>45963</v>
      </c>
      <c r="Y215" s="1" t="str">
        <f ca="1">IFERROR(__xludf.DUMMYFUNCTION("""COMPUTED_VALUE"""),"DUYỆT")</f>
        <v>DUYỆT</v>
      </c>
      <c r="Z215" s="3">
        <f ca="1">IFERROR(__xludf.DUMMYFUNCTION("""COMPUTED_VALUE"""),45932)</f>
        <v>45932</v>
      </c>
      <c r="AA215" s="1" t="str">
        <f ca="1">IFERROR(__xludf.DUMMYFUNCTION("""COMPUTED_VALUE"""),"Chicland Hotel")</f>
        <v>Chicland Hotel</v>
      </c>
      <c r="AB215" s="1" t="str">
        <f ca="1">IFERROR(__xludf.DUMMYFUNCTION("""COMPUTED_VALUE"""),"Buồng phòng")</f>
        <v>Buồng phòng</v>
      </c>
      <c r="AC215" s="1" t="str">
        <f ca="1">IFERROR(__xludf.DUMMYFUNCTION("""COMPUTED_VALUE"""),"ĐÃ NỘP")</f>
        <v>ĐÃ NỘP</v>
      </c>
      <c r="AD215" s="1"/>
      <c r="AE215" s="1" t="str">
        <f ca="1">IFERROR(__xludf.DUMMYFUNCTION("""COMPUTED_VALUE"""),"")</f>
        <v/>
      </c>
    </row>
    <row r="216" spans="1:31" x14ac:dyDescent="0.2">
      <c r="A216" s="6">
        <f ca="1">IFERROR(__xludf.DUMMYFUNCTION("""COMPUTED_VALUE"""),45696.5300660532)</f>
        <v>45696.530066053201</v>
      </c>
      <c r="B216" s="1"/>
      <c r="C216" s="1">
        <f ca="1">IFERROR(__xludf.DUMMYFUNCTION("""COMPUTED_VALUE"""),27217133018)</f>
        <v>27217133018</v>
      </c>
      <c r="D216" s="1" t="str">
        <f ca="1">IFERROR(__xludf.DUMMYFUNCTION("""COMPUTED_VALUE"""),"Trần Nguyễn Thu Huyền")</f>
        <v>Trần Nguyễn Thu Huyền</v>
      </c>
      <c r="E216" s="4"/>
      <c r="F216" s="1" t="str">
        <f ca="1">IFERROR(__xludf.DUMMYFUNCTION("""COMPUTED_VALUE"""),"K27 DLK6")</f>
        <v>K27 DLK6</v>
      </c>
      <c r="G216" s="1" t="str">
        <f ca="1">IFERROR(__xludf.DUMMYFUNCTION("""COMPUTED_VALUE"""),"Quản trị Du lịch &amp; Khách sạn")</f>
        <v>Quản trị Du lịch &amp; Khách sạn</v>
      </c>
      <c r="H216" s="1">
        <f ca="1">IFERROR(__xludf.DUMMYFUNCTION("""COMPUTED_VALUE"""),27)</f>
        <v>27</v>
      </c>
      <c r="I216" s="1"/>
      <c r="J216" s="1" t="str">
        <f ca="1">IFERROR(__xludf.DUMMYFUNCTION("""COMPUTED_VALUE"""),"Chuyên đề")</f>
        <v>Chuyên đề</v>
      </c>
      <c r="K216" s="1" t="str">
        <f ca="1">IFERROR(__xludf.DUMMYFUNCTION("""COMPUTED_VALUE"""),"Khách sạn Mandila Beach Đà Nẵng")</f>
        <v>Khách sạn Mandila Beach Đà Nẵng</v>
      </c>
      <c r="L216" s="1"/>
      <c r="M216" s="1" t="str">
        <f ca="1">IFERROR(__xludf.DUMMYFUNCTION("""COMPUTED_VALUE"""),"218 Võ Nguyên Giáp,Phước Mỹ,Sơn Trà,Đà Nẵng")</f>
        <v>218 Võ Nguyên Giáp,Phước Mỹ,Sơn Trà,Đà Nẵng</v>
      </c>
      <c r="N216" s="1" t="str">
        <f ca="1">IFERROR(__xludf.DUMMYFUNCTION("""COMPUTED_VALUE"""),"Đà Nẵng")</f>
        <v>Đà Nẵng</v>
      </c>
      <c r="O216" s="1" t="str">
        <f ca="1">IFERROR(__xludf.DUMMYFUNCTION("""COMPUTED_VALUE"""),"Buồng phòng")</f>
        <v>Buồng phòng</v>
      </c>
      <c r="P216" s="1"/>
      <c r="Q216" s="1" t="str">
        <f ca="1">IFERROR(__xludf.DUMMYFUNCTION("""COMPUTED_VALUE"""),"08/02/2025")</f>
        <v>08/02/2025</v>
      </c>
      <c r="R216" s="1" t="str">
        <f ca="1">IFERROR(__xludf.DUMMYFUNCTION("""COMPUTED_VALUE"""),"cam kết")</f>
        <v>cam kết</v>
      </c>
      <c r="S216" s="1" t="str">
        <f ca="1">IFERROR(__xludf.DUMMYFUNCTION("""COMPUTED_VALUE"""),"Chuyên đề")</f>
        <v>Chuyên đề</v>
      </c>
      <c r="T216" s="1"/>
      <c r="U216" s="4">
        <f ca="1">IFERROR(__xludf.DUMMYFUNCTION("""COMPUTED_VALUE"""),45698)</f>
        <v>45698</v>
      </c>
      <c r="V216" s="4">
        <f ca="1">IFERROR(__xludf.DUMMYFUNCTION("""COMPUTED_VALUE"""),45787)</f>
        <v>45787</v>
      </c>
      <c r="W216" s="1">
        <f ca="1">IFERROR(__xludf.DUMMYFUNCTION("""COMPUTED_VALUE"""),215)</f>
        <v>215</v>
      </c>
      <c r="X216" s="3">
        <f ca="1">IFERROR(__xludf.DUMMYFUNCTION("""COMPUTED_VALUE"""),45963)</f>
        <v>45963</v>
      </c>
      <c r="Y216" s="1" t="str">
        <f ca="1">IFERROR(__xludf.DUMMYFUNCTION("""COMPUTED_VALUE"""),"DUYỆT")</f>
        <v>DUYỆT</v>
      </c>
      <c r="Z216" s="3">
        <f ca="1">IFERROR(__xludf.DUMMYFUNCTION("""COMPUTED_VALUE"""),45932)</f>
        <v>45932</v>
      </c>
      <c r="AA216" s="1" t="str">
        <f ca="1">IFERROR(__xludf.DUMMYFUNCTION("""COMPUTED_VALUE"""),"Khách sạn Mandila Beach Đà Nẵng")</f>
        <v>Khách sạn Mandila Beach Đà Nẵng</v>
      </c>
      <c r="AB216" s="1" t="str">
        <f ca="1">IFERROR(__xludf.DUMMYFUNCTION("""COMPUTED_VALUE"""),"Buồng phòng")</f>
        <v>Buồng phòng</v>
      </c>
      <c r="AC216" s="1"/>
      <c r="AD216" s="1"/>
      <c r="AE216" s="1" t="str">
        <f ca="1">IFERROR(__xludf.DUMMYFUNCTION("""COMPUTED_VALUE"""),"")</f>
        <v/>
      </c>
    </row>
    <row r="217" spans="1:31" x14ac:dyDescent="0.2">
      <c r="A217" s="6">
        <f ca="1">IFERROR(__xludf.DUMMYFUNCTION("""COMPUTED_VALUE"""),45696.9730699768)</f>
        <v>45696.973069976797</v>
      </c>
      <c r="B217" s="1"/>
      <c r="C217" s="1">
        <f ca="1">IFERROR(__xludf.DUMMYFUNCTION("""COMPUTED_VALUE"""),25207103269)</f>
        <v>25207103269</v>
      </c>
      <c r="D217" s="1" t="str">
        <f ca="1">IFERROR(__xludf.DUMMYFUNCTION("""COMPUTED_VALUE"""),"Nguyễn Thị Tường Vi")</f>
        <v>Nguyễn Thị Tường Vi</v>
      </c>
      <c r="E217" s="4"/>
      <c r="F217" s="1" t="str">
        <f ca="1">IFERROR(__xludf.DUMMYFUNCTION("""COMPUTED_VALUE"""),"K27DLK 5")</f>
        <v>K27DLK 5</v>
      </c>
      <c r="G217" s="1" t="str">
        <f ca="1">IFERROR(__xludf.DUMMYFUNCTION("""COMPUTED_VALUE"""),"Quản trị Du lịch &amp; Khách sạn")</f>
        <v>Quản trị Du lịch &amp; Khách sạn</v>
      </c>
      <c r="H217" s="1">
        <f ca="1">IFERROR(__xludf.DUMMYFUNCTION("""COMPUTED_VALUE"""),27)</f>
        <v>27</v>
      </c>
      <c r="I217" s="1"/>
      <c r="J217" s="1" t="str">
        <f ca="1">IFERROR(__xludf.DUMMYFUNCTION("""COMPUTED_VALUE"""),"Chuyên đề")</f>
        <v>Chuyên đề</v>
      </c>
      <c r="K217" s="1" t="str">
        <f ca="1">IFERROR(__xludf.DUMMYFUNCTION("""COMPUTED_VALUE"""),"Làng lụa Hội An - HoiAn Silk Village Resort &amp; Spa")</f>
        <v>Làng lụa Hội An - HoiAn Silk Village Resort &amp; Spa</v>
      </c>
      <c r="L217" s="1" t="str">
        <f ca="1">IFERROR(__xludf.DUMMYFUNCTION("""COMPUTED_VALUE"""),"Làng lụa Hội An - HoiAn Silk Village Resort &amp; Spa")</f>
        <v>Làng lụa Hội An - HoiAn Silk Village Resort &amp; Spa</v>
      </c>
      <c r="M217" s="1" t="str">
        <f ca="1">IFERROR(__xludf.DUMMYFUNCTION("""COMPUTED_VALUE"""),"28 Nguyễn Tất Thành, Phường Minh An, Thành phố Hội An, Quảng Nam")</f>
        <v>28 Nguyễn Tất Thành, Phường Minh An, Thành phố Hội An, Quảng Nam</v>
      </c>
      <c r="N217" s="1" t="str">
        <f ca="1">IFERROR(__xludf.DUMMYFUNCTION("""COMPUTED_VALUE"""),"Thành phố Hội An, Quảng Nam")</f>
        <v>Thành phố Hội An, Quảng Nam</v>
      </c>
      <c r="O217" s="1" t="str">
        <f ca="1">IFERROR(__xludf.DUMMYFUNCTION("""COMPUTED_VALUE"""),"Tiền sảnh")</f>
        <v>Tiền sảnh</v>
      </c>
      <c r="P217" s="1"/>
      <c r="Q217" s="1" t="str">
        <f ca="1">IFERROR(__xludf.DUMMYFUNCTION("""COMPUTED_VALUE"""),"07/02/2025")</f>
        <v>07/02/2025</v>
      </c>
      <c r="R217" s="1" t="str">
        <f ca="1">IFERROR(__xludf.DUMMYFUNCTION("""COMPUTED_VALUE"""),"cam kết")</f>
        <v>cam kết</v>
      </c>
      <c r="S217" s="1" t="str">
        <f ca="1">IFERROR(__xludf.DUMMYFUNCTION("""COMPUTED_VALUE"""),"Chuyên đề")</f>
        <v>Chuyên đề</v>
      </c>
      <c r="T217" s="1"/>
      <c r="U217" s="4">
        <f ca="1">IFERROR(__xludf.DUMMYFUNCTION("""COMPUTED_VALUE"""),45698)</f>
        <v>45698</v>
      </c>
      <c r="V217" s="4">
        <f ca="1">IFERROR(__xludf.DUMMYFUNCTION("""COMPUTED_VALUE"""),45787)</f>
        <v>45787</v>
      </c>
      <c r="W217" s="1">
        <f ca="1">IFERROR(__xludf.DUMMYFUNCTION("""COMPUTED_VALUE"""),216)</f>
        <v>216</v>
      </c>
      <c r="X217" s="3">
        <f ca="1">IFERROR(__xludf.DUMMYFUNCTION("""COMPUTED_VALUE"""),45932)</f>
        <v>45932</v>
      </c>
      <c r="Y217" s="1" t="str">
        <f ca="1">IFERROR(__xludf.DUMMYFUNCTION("""COMPUTED_VALUE"""),"KHÔNG DUYỆT")</f>
        <v>KHÔNG DUYỆT</v>
      </c>
      <c r="Z217" s="3">
        <f ca="1">IFERROR(__xludf.DUMMYFUNCTION("""COMPUTED_VALUE"""),45932)</f>
        <v>45932</v>
      </c>
      <c r="AA217" s="1" t="str">
        <f ca="1">IFERROR(__xludf.DUMMYFUNCTION("""COMPUTED_VALUE"""),"Làng lụa Hội An - HoiAn Silk Village Resort &amp; Spa")</f>
        <v>Làng lụa Hội An - HoiAn Silk Village Resort &amp; Spa</v>
      </c>
      <c r="AB217" s="1" t="str">
        <f ca="1">IFERROR(__xludf.DUMMYFUNCTION("""COMPUTED_VALUE"""),"Tiền sảnh")</f>
        <v>Tiền sảnh</v>
      </c>
      <c r="AC217" s="1"/>
      <c r="AD217" s="1" t="str">
        <f ca="1">IFERROR(__xludf.DUMMYFUNCTION("""COMPUTED_VALUE"""),"tại csdl: khách sạn 3*")</f>
        <v>tại csdl: khách sạn 3*</v>
      </c>
      <c r="AE217" s="1" t="str">
        <f ca="1">IFERROR(__xludf.DUMMYFUNCTION("""COMPUTED_VALUE"""),"")</f>
        <v/>
      </c>
    </row>
    <row r="218" spans="1:31" x14ac:dyDescent="0.2">
      <c r="A218" s="6">
        <f ca="1">IFERROR(__xludf.DUMMYFUNCTION("""COMPUTED_VALUE"""),45697.974932581)</f>
        <v>45697.974932580997</v>
      </c>
      <c r="B218" s="1"/>
      <c r="C218" s="1">
        <f ca="1">IFERROR(__xludf.DUMMYFUNCTION("""COMPUTED_VALUE"""),27207128316)</f>
        <v>27207128316</v>
      </c>
      <c r="D218" s="1" t="str">
        <f ca="1">IFERROR(__xludf.DUMMYFUNCTION("""COMPUTED_VALUE"""),"Hoàng Thị Kim Ý")</f>
        <v>Hoàng Thị Kim Ý</v>
      </c>
      <c r="E218" s="4"/>
      <c r="F218" s="1" t="str">
        <f ca="1">IFERROR(__xludf.DUMMYFUNCTION("""COMPUTED_VALUE"""),"K27DLK 7")</f>
        <v>K27DLK 7</v>
      </c>
      <c r="G218" s="1" t="str">
        <f ca="1">IFERROR(__xludf.DUMMYFUNCTION("""COMPUTED_VALUE"""),"Quản trị Du lịch &amp; Khách sạn")</f>
        <v>Quản trị Du lịch &amp; Khách sạn</v>
      </c>
      <c r="H218" s="1">
        <f ca="1">IFERROR(__xludf.DUMMYFUNCTION("""COMPUTED_VALUE"""),27)</f>
        <v>27</v>
      </c>
      <c r="I218" s="1"/>
      <c r="J218" s="1" t="str">
        <f ca="1">IFERROR(__xludf.DUMMYFUNCTION("""COMPUTED_VALUE"""),"Chuyên đề")</f>
        <v>Chuyên đề</v>
      </c>
      <c r="K218" s="1" t="str">
        <f ca="1">IFERROR(__xludf.DUMMYFUNCTION("""COMPUTED_VALUE"""),"Crowne Plaza Danang City Centre")</f>
        <v>Crowne Plaza Danang City Centre</v>
      </c>
      <c r="L218" s="1" t="str">
        <f ca="1">IFERROR(__xludf.DUMMYFUNCTION("""COMPUTED_VALUE"""),"Crowne Plaza Danang City Centre")</f>
        <v>Crowne Plaza Danang City Centre</v>
      </c>
      <c r="M218" s="1" t="str">
        <f ca="1">IFERROR(__xludf.DUMMYFUNCTION("""COMPUTED_VALUE"""),"17 Quang Trung, Hai Chau 1 Ward, Hai Chau District Da Nang, Viet Nam")</f>
        <v>17 Quang Trung, Hai Chau 1 Ward, Hai Chau District Da Nang, Viet Nam</v>
      </c>
      <c r="N218" s="1" t="str">
        <f ca="1">IFERROR(__xludf.DUMMYFUNCTION("""COMPUTED_VALUE"""),"Đà Nẵng")</f>
        <v>Đà Nẵng</v>
      </c>
      <c r="O218" s="1" t="str">
        <f ca="1">IFERROR(__xludf.DUMMYFUNCTION("""COMPUTED_VALUE"""),"Nhà hàng")</f>
        <v>Nhà hàng</v>
      </c>
      <c r="P218" s="1" t="str">
        <f ca="1">IFERROR(__xludf.DUMMYFUNCTION("""COMPUTED_VALUE"""),"Nhà hàng + Banquet ")</f>
        <v xml:space="preserve">Nhà hàng + Banquet </v>
      </c>
      <c r="Q218" s="1" t="str">
        <f ca="1">IFERROR(__xludf.DUMMYFUNCTION("""COMPUTED_VALUE"""),"22/01/2025")</f>
        <v>22/01/2025</v>
      </c>
      <c r="R218" s="1" t="str">
        <f ca="1">IFERROR(__xludf.DUMMYFUNCTION("""COMPUTED_VALUE"""),"cam kết")</f>
        <v>cam kết</v>
      </c>
      <c r="S218" s="1" t="str">
        <f ca="1">IFERROR(__xludf.DUMMYFUNCTION("""COMPUTED_VALUE"""),"Chuyên đề")</f>
        <v>Chuyên đề</v>
      </c>
      <c r="T218" s="1" t="str">
        <f ca="1">IFERROR(__xludf.DUMMYFUNCTION("""COMPUTED_VALUE"""),"Phạm Thị Hoàng Dung")</f>
        <v>Phạm Thị Hoàng Dung</v>
      </c>
      <c r="U218" s="4">
        <f ca="1">IFERROR(__xludf.DUMMYFUNCTION("""COMPUTED_VALUE"""),45663)</f>
        <v>45663</v>
      </c>
      <c r="V218" s="4">
        <f ca="1">IFERROR(__xludf.DUMMYFUNCTION("""COMPUTED_VALUE"""),45753)</f>
        <v>45753</v>
      </c>
      <c r="W218" s="1">
        <f ca="1">IFERROR(__xludf.DUMMYFUNCTION("""COMPUTED_VALUE"""),217)</f>
        <v>217</v>
      </c>
      <c r="X218" s="3">
        <f ca="1">IFERROR(__xludf.DUMMYFUNCTION("""COMPUTED_VALUE"""),45932)</f>
        <v>45932</v>
      </c>
      <c r="Y218" s="1" t="str">
        <f ca="1">IFERROR(__xludf.DUMMYFUNCTION("""COMPUTED_VALUE"""),"DUYỆT")</f>
        <v>DUYỆT</v>
      </c>
      <c r="Z218" s="3">
        <f ca="1">IFERROR(__xludf.DUMMYFUNCTION("""COMPUTED_VALUE"""),45932)</f>
        <v>45932</v>
      </c>
      <c r="AA218" s="1" t="str">
        <f ca="1">IFERROR(__xludf.DUMMYFUNCTION("""COMPUTED_VALUE"""),"Crowne Plaza Danang City Centre")</f>
        <v>Crowne Plaza Danang City Centre</v>
      </c>
      <c r="AB218" s="1" t="str">
        <f ca="1">IFERROR(__xludf.DUMMYFUNCTION("""COMPUTED_VALUE"""),"Nhà hàng")</f>
        <v>Nhà hàng</v>
      </c>
      <c r="AC218" s="1"/>
      <c r="AD218" s="1"/>
      <c r="AE218" s="1" t="str">
        <f ca="1">IFERROR(__xludf.DUMMYFUNCTION("""COMPUTED_VALUE"""),"")</f>
        <v/>
      </c>
    </row>
    <row r="219" spans="1:31" x14ac:dyDescent="0.2">
      <c r="A219" s="6">
        <f ca="1">IFERROR(__xludf.DUMMYFUNCTION("""COMPUTED_VALUE"""),45697.9775467245)</f>
        <v>45697.977546724498</v>
      </c>
      <c r="B219" s="1"/>
      <c r="C219" s="1">
        <f ca="1">IFERROR(__xludf.DUMMYFUNCTION("""COMPUTED_VALUE"""),27207138757)</f>
        <v>27207138757</v>
      </c>
      <c r="D219" s="1" t="str">
        <f ca="1">IFERROR(__xludf.DUMMYFUNCTION("""COMPUTED_VALUE"""),"Nguyễn Thị Phương Uyên")</f>
        <v>Nguyễn Thị Phương Uyên</v>
      </c>
      <c r="E219" s="4"/>
      <c r="F219" s="1" t="str">
        <f ca="1">IFERROR(__xludf.DUMMYFUNCTION("""COMPUTED_VALUE"""),"K27DLK7")</f>
        <v>K27DLK7</v>
      </c>
      <c r="G219" s="1" t="str">
        <f ca="1">IFERROR(__xludf.DUMMYFUNCTION("""COMPUTED_VALUE"""),"Quản trị Du lịch &amp; Khách sạn")</f>
        <v>Quản trị Du lịch &amp; Khách sạn</v>
      </c>
      <c r="H219" s="1">
        <f ca="1">IFERROR(__xludf.DUMMYFUNCTION("""COMPUTED_VALUE"""),27)</f>
        <v>27</v>
      </c>
      <c r="I219" s="1"/>
      <c r="J219" s="1" t="str">
        <f ca="1">IFERROR(__xludf.DUMMYFUNCTION("""COMPUTED_VALUE"""),"Chuyên đề")</f>
        <v>Chuyên đề</v>
      </c>
      <c r="K219" s="1" t="str">
        <f ca="1">IFERROR(__xludf.DUMMYFUNCTION("""COMPUTED_VALUE"""),"Crowne Plaza Danang City Centre")</f>
        <v>Crowne Plaza Danang City Centre</v>
      </c>
      <c r="L219" s="1" t="str">
        <f ca="1">IFERROR(__xludf.DUMMYFUNCTION("""COMPUTED_VALUE"""),"Crowne Plaza Danang City Centre")</f>
        <v>Crowne Plaza Danang City Centre</v>
      </c>
      <c r="M219" s="1" t="str">
        <f ca="1">IFERROR(__xludf.DUMMYFUNCTION("""COMPUTED_VALUE"""),"17 Quang Trung , Hai Chau 1 Ward , Hai Chau Dictrict")</f>
        <v>17 Quang Trung , Hai Chau 1 Ward , Hai Chau Dictrict</v>
      </c>
      <c r="N219" s="1" t="str">
        <f ca="1">IFERROR(__xludf.DUMMYFUNCTION("""COMPUTED_VALUE"""),"Đà Nẵng ")</f>
        <v xml:space="preserve">Đà Nẵng </v>
      </c>
      <c r="O219" s="1" t="str">
        <f ca="1">IFERROR(__xludf.DUMMYFUNCTION("""COMPUTED_VALUE"""),"Nhà hàng")</f>
        <v>Nhà hàng</v>
      </c>
      <c r="P219" s="1" t="str">
        <f ca="1">IFERROR(__xludf.DUMMYFUNCTION("""COMPUTED_VALUE"""),"Nhà hàng &amp; Banquet")</f>
        <v>Nhà hàng &amp; Banquet</v>
      </c>
      <c r="Q219" s="1" t="str">
        <f ca="1">IFERROR(__xludf.DUMMYFUNCTION("""COMPUTED_VALUE"""),"22/1/2025")</f>
        <v>22/1/2025</v>
      </c>
      <c r="R219" s="1" t="str">
        <f ca="1">IFERROR(__xludf.DUMMYFUNCTION("""COMPUTED_VALUE"""),"cam kết")</f>
        <v>cam kết</v>
      </c>
      <c r="S219" s="1" t="str">
        <f ca="1">IFERROR(__xludf.DUMMYFUNCTION("""COMPUTED_VALUE"""),"Chuyên đề")</f>
        <v>Chuyên đề</v>
      </c>
      <c r="T219" s="1" t="str">
        <f ca="1">IFERROR(__xludf.DUMMYFUNCTION("""COMPUTED_VALUE"""),"Phạm Thị Hoàng Dung")</f>
        <v>Phạm Thị Hoàng Dung</v>
      </c>
      <c r="U219" s="4">
        <f ca="1">IFERROR(__xludf.DUMMYFUNCTION("""COMPUTED_VALUE"""),45663)</f>
        <v>45663</v>
      </c>
      <c r="V219" s="4">
        <f ca="1">IFERROR(__xludf.DUMMYFUNCTION("""COMPUTED_VALUE"""),45753)</f>
        <v>45753</v>
      </c>
      <c r="W219" s="1">
        <f ca="1">IFERROR(__xludf.DUMMYFUNCTION("""COMPUTED_VALUE"""),218)</f>
        <v>218</v>
      </c>
      <c r="X219" s="3">
        <f ca="1">IFERROR(__xludf.DUMMYFUNCTION("""COMPUTED_VALUE"""),45932)</f>
        <v>45932</v>
      </c>
      <c r="Y219" s="1" t="str">
        <f ca="1">IFERROR(__xludf.DUMMYFUNCTION("""COMPUTED_VALUE"""),"DUYỆT")</f>
        <v>DUYỆT</v>
      </c>
      <c r="Z219" s="3">
        <f ca="1">IFERROR(__xludf.DUMMYFUNCTION("""COMPUTED_VALUE"""),45932)</f>
        <v>45932</v>
      </c>
      <c r="AA219" s="1" t="str">
        <f ca="1">IFERROR(__xludf.DUMMYFUNCTION("""COMPUTED_VALUE"""),"Crowne Plaza Danang City Centre")</f>
        <v>Crowne Plaza Danang City Centre</v>
      </c>
      <c r="AB219" s="1" t="str">
        <f ca="1">IFERROR(__xludf.DUMMYFUNCTION("""COMPUTED_VALUE"""),"Nhà hàng")</f>
        <v>Nhà hàng</v>
      </c>
      <c r="AC219" s="1"/>
      <c r="AD219" s="1"/>
      <c r="AE219" s="1" t="str">
        <f ca="1">IFERROR(__xludf.DUMMYFUNCTION("""COMPUTED_VALUE"""),"")</f>
        <v/>
      </c>
    </row>
    <row r="220" spans="1:31" x14ac:dyDescent="0.2">
      <c r="A220" s="6">
        <f ca="1">IFERROR(__xludf.DUMMYFUNCTION("""COMPUTED_VALUE"""),45698.2612995601)</f>
        <v>45698.261299560101</v>
      </c>
      <c r="B220" s="1"/>
      <c r="C220" s="1">
        <f ca="1">IFERROR(__xludf.DUMMYFUNCTION("""COMPUTED_VALUE"""),26207125830)</f>
        <v>26207125830</v>
      </c>
      <c r="D220" s="1" t="str">
        <f ca="1">IFERROR(__xludf.DUMMYFUNCTION("""COMPUTED_VALUE"""),"Nguyễn Minh Phương")</f>
        <v>Nguyễn Minh Phương</v>
      </c>
      <c r="E220" s="4"/>
      <c r="F220" s="1" t="str">
        <f ca="1">IFERROR(__xludf.DUMMYFUNCTION("""COMPUTED_VALUE"""),"K26-DLK10")</f>
        <v>K26-DLK10</v>
      </c>
      <c r="G220" s="1" t="str">
        <f ca="1">IFERROR(__xludf.DUMMYFUNCTION("""COMPUTED_VALUE"""),"Quản trị Du lịch &amp; Khách sạn")</f>
        <v>Quản trị Du lịch &amp; Khách sạn</v>
      </c>
      <c r="H220" s="1">
        <f ca="1">IFERROR(__xludf.DUMMYFUNCTION("""COMPUTED_VALUE"""),26)</f>
        <v>26</v>
      </c>
      <c r="I220" s="1"/>
      <c r="J220" s="1" t="str">
        <f ca="1">IFERROR(__xludf.DUMMYFUNCTION("""COMPUTED_VALUE"""),"Chuyên đề")</f>
        <v>Chuyên đề</v>
      </c>
      <c r="K220" s="1" t="str">
        <f ca="1">IFERROR(__xludf.DUMMYFUNCTION("""COMPUTED_VALUE"""),"Premier Village Danang Resort")</f>
        <v>Premier Village Danang Resort</v>
      </c>
      <c r="L220" s="1"/>
      <c r="M220" s="1" t="str">
        <f ca="1">IFERROR(__xludf.DUMMYFUNCTION("""COMPUTED_VALUE"""),"99 Võ Nguyên Giáp, phường Mỹ An, Quận Ngũ Hành Sơn")</f>
        <v>99 Võ Nguyên Giáp, phường Mỹ An, Quận Ngũ Hành Sơn</v>
      </c>
      <c r="N220" s="1" t="str">
        <f ca="1">IFERROR(__xludf.DUMMYFUNCTION("""COMPUTED_VALUE"""),"Đà Nẵng")</f>
        <v>Đà Nẵng</v>
      </c>
      <c r="O220" s="1" t="str">
        <f ca="1">IFERROR(__xludf.DUMMYFUNCTION("""COMPUTED_VALUE"""),"Buồng phòng")</f>
        <v>Buồng phòng</v>
      </c>
      <c r="P220" s="1"/>
      <c r="Q220" s="1" t="str">
        <f ca="1">IFERROR(__xludf.DUMMYFUNCTION("""COMPUTED_VALUE"""),"10-2-2025")</f>
        <v>10-2-2025</v>
      </c>
      <c r="R220" s="1" t="str">
        <f ca="1">IFERROR(__xludf.DUMMYFUNCTION("""COMPUTED_VALUE"""),"cam kết")</f>
        <v>cam kết</v>
      </c>
      <c r="S220" s="1" t="str">
        <f ca="1">IFERROR(__xludf.DUMMYFUNCTION("""COMPUTED_VALUE"""),"Chuyên đề")</f>
        <v>Chuyên đề</v>
      </c>
      <c r="T220" s="1" t="str">
        <f ca="1">IFERROR(__xludf.DUMMYFUNCTION("""COMPUTED_VALUE"""),"Dương Thị Xuân Diệu")</f>
        <v>Dương Thị Xuân Diệu</v>
      </c>
      <c r="U220" s="4">
        <f ca="1">IFERROR(__xludf.DUMMYFUNCTION("""COMPUTED_VALUE"""),45698)</f>
        <v>45698</v>
      </c>
      <c r="V220" s="4">
        <f ca="1">IFERROR(__xludf.DUMMYFUNCTION("""COMPUTED_VALUE"""),45787)</f>
        <v>45787</v>
      </c>
      <c r="W220" s="1">
        <f ca="1">IFERROR(__xludf.DUMMYFUNCTION("""COMPUTED_VALUE"""),219)</f>
        <v>219</v>
      </c>
      <c r="X220" s="3">
        <f ca="1">IFERROR(__xludf.DUMMYFUNCTION("""COMPUTED_VALUE"""),45963)</f>
        <v>45963</v>
      </c>
      <c r="Y220" s="1" t="str">
        <f ca="1">IFERROR(__xludf.DUMMYFUNCTION("""COMPUTED_VALUE"""),"DUYỆT")</f>
        <v>DUYỆT</v>
      </c>
      <c r="Z220" s="3">
        <f ca="1">IFERROR(__xludf.DUMMYFUNCTION("""COMPUTED_VALUE"""),45932)</f>
        <v>45932</v>
      </c>
      <c r="AA220" s="1" t="str">
        <f ca="1">IFERROR(__xludf.DUMMYFUNCTION("""COMPUTED_VALUE"""),"Premier Village Danang Resort")</f>
        <v>Premier Village Danang Resort</v>
      </c>
      <c r="AB220" s="1" t="str">
        <f ca="1">IFERROR(__xludf.DUMMYFUNCTION("""COMPUTED_VALUE"""),"Buồng phòng")</f>
        <v>Buồng phòng</v>
      </c>
      <c r="AC220" s="1" t="str">
        <f ca="1">IFERROR(__xludf.DUMMYFUNCTION("""COMPUTED_VALUE"""),"ĐÃ NỘP")</f>
        <v>ĐÃ NỘP</v>
      </c>
      <c r="AD220" s="1"/>
      <c r="AE220" s="1" t="str">
        <f ca="1">IFERROR(__xludf.DUMMYFUNCTION("""COMPUTED_VALUE"""),"")</f>
        <v/>
      </c>
    </row>
    <row r="221" spans="1:31" x14ac:dyDescent="0.2">
      <c r="A221" s="6">
        <f ca="1">IFERROR(__xludf.DUMMYFUNCTION("""COMPUTED_VALUE"""),45698.425731412)</f>
        <v>45698.425731411997</v>
      </c>
      <c r="B221" s="1"/>
      <c r="C221" s="1">
        <f ca="1">IFERROR(__xludf.DUMMYFUNCTION("""COMPUTED_VALUE"""),2321714451)</f>
        <v>2321714451</v>
      </c>
      <c r="D221" s="1" t="str">
        <f ca="1">IFERROR(__xludf.DUMMYFUNCTION("""COMPUTED_VALUE"""),"Trần Như Phong")</f>
        <v>Trần Như Phong</v>
      </c>
      <c r="E221" s="4"/>
      <c r="F221" s="1" t="str">
        <f ca="1">IFERROR(__xludf.DUMMYFUNCTION("""COMPUTED_VALUE"""),"K25DLK13")</f>
        <v>K25DLK13</v>
      </c>
      <c r="G221" s="1" t="str">
        <f ca="1">IFERROR(__xludf.DUMMYFUNCTION("""COMPUTED_VALUE"""),"Quản trị Du lịch &amp; Khách sạn")</f>
        <v>Quản trị Du lịch &amp; Khách sạn</v>
      </c>
      <c r="H221" s="1">
        <f ca="1">IFERROR(__xludf.DUMMYFUNCTION("""COMPUTED_VALUE"""),25)</f>
        <v>25</v>
      </c>
      <c r="I221" s="1"/>
      <c r="J221" s="1" t="str">
        <f ca="1">IFERROR(__xludf.DUMMYFUNCTION("""COMPUTED_VALUE"""),"Chuyên đề")</f>
        <v>Chuyên đề</v>
      </c>
      <c r="K221" s="1" t="str">
        <f ca="1">IFERROR(__xludf.DUMMYFUNCTION("""COMPUTED_VALUE"""),"Minh Toàn Galaxy Hotel Đà Nẵng")</f>
        <v>Minh Toàn Galaxy Hotel Đà Nẵng</v>
      </c>
      <c r="L221" s="1"/>
      <c r="M221" s="1" t="str">
        <f ca="1">IFERROR(__xludf.DUMMYFUNCTION("""COMPUTED_VALUE"""),"Số 306 đường 2 tháng 9, Hoà Cường Bắc, Hải Châu, Đà Nẵnv")</f>
        <v>Số 306 đường 2 tháng 9, Hoà Cường Bắc, Hải Châu, Đà Nẵnv</v>
      </c>
      <c r="N221" s="1" t="str">
        <f ca="1">IFERROR(__xludf.DUMMYFUNCTION("""COMPUTED_VALUE"""),"Đà Nẵng")</f>
        <v>Đà Nẵng</v>
      </c>
      <c r="O221" s="1" t="str">
        <f ca="1">IFERROR(__xludf.DUMMYFUNCTION("""COMPUTED_VALUE"""),"Tiền sảnh")</f>
        <v>Tiền sảnh</v>
      </c>
      <c r="P221" s="1" t="str">
        <f ca="1">IFERROR(__xludf.DUMMYFUNCTION("""COMPUTED_VALUE"""),"Lễ tân")</f>
        <v>Lễ tân</v>
      </c>
      <c r="Q221" s="1" t="str">
        <f ca="1">IFERROR(__xludf.DUMMYFUNCTION("""COMPUTED_VALUE"""),"10/2/2025")</f>
        <v>10/2/2025</v>
      </c>
      <c r="R221" s="1" t="str">
        <f ca="1">IFERROR(__xludf.DUMMYFUNCTION("""COMPUTED_VALUE"""),"cam kết")</f>
        <v>cam kết</v>
      </c>
      <c r="S221" s="1" t="str">
        <f ca="1">IFERROR(__xludf.DUMMYFUNCTION("""COMPUTED_VALUE"""),"Chuyên đề")</f>
        <v>Chuyên đề</v>
      </c>
      <c r="T221" s="1" t="str">
        <f ca="1">IFERROR(__xludf.DUMMYFUNCTION("""COMPUTED_VALUE"""),"Dương Thị Xuân Diệu")</f>
        <v>Dương Thị Xuân Diệu</v>
      </c>
      <c r="U221" s="4">
        <f ca="1">IFERROR(__xludf.DUMMYFUNCTION("""COMPUTED_VALUE"""),45726)</f>
        <v>45726</v>
      </c>
      <c r="V221" s="4">
        <f ca="1">IFERROR(__xludf.DUMMYFUNCTION("""COMPUTED_VALUE"""),45787)</f>
        <v>45787</v>
      </c>
      <c r="W221" s="1">
        <f ca="1">IFERROR(__xludf.DUMMYFUNCTION("""COMPUTED_VALUE"""),220)</f>
        <v>220</v>
      </c>
      <c r="X221" s="3">
        <f ca="1">IFERROR(__xludf.DUMMYFUNCTION("""COMPUTED_VALUE"""),45932)</f>
        <v>45932</v>
      </c>
      <c r="Y221" s="1" t="str">
        <f ca="1">IFERROR(__xludf.DUMMYFUNCTION("""COMPUTED_VALUE"""),"DUYỆT")</f>
        <v>DUYỆT</v>
      </c>
      <c r="Z221" s="3">
        <f ca="1">IFERROR(__xludf.DUMMYFUNCTION("""COMPUTED_VALUE"""),45932)</f>
        <v>45932</v>
      </c>
      <c r="AA221" s="1" t="str">
        <f ca="1">IFERROR(__xludf.DUMMYFUNCTION("""COMPUTED_VALUE"""),"Minh Toàn Galaxy Hotel Đà Nẵng")</f>
        <v>Minh Toàn Galaxy Hotel Đà Nẵng</v>
      </c>
      <c r="AB221" s="1" t="str">
        <f ca="1">IFERROR(__xludf.DUMMYFUNCTION("""COMPUTED_VALUE"""),"Tiền sảnh")</f>
        <v>Tiền sảnh</v>
      </c>
      <c r="AC221" s="1" t="str">
        <f ca="1">IFERROR(__xludf.DUMMYFUNCTION("""COMPUTED_VALUE"""),"ĐÃ NỘP")</f>
        <v>ĐÃ NỘP</v>
      </c>
      <c r="AD221" s="1"/>
      <c r="AE221" s="1" t="str">
        <f ca="1">IFERROR(__xludf.DUMMYFUNCTION("""COMPUTED_VALUE"""),"")</f>
        <v/>
      </c>
    </row>
    <row r="222" spans="1:31" x14ac:dyDescent="0.2">
      <c r="A222" s="6">
        <f ca="1">IFERROR(__xludf.DUMMYFUNCTION("""COMPUTED_VALUE"""),45698.4543087847)</f>
        <v>45698.454308784698</v>
      </c>
      <c r="B222" s="1"/>
      <c r="C222" s="1">
        <f ca="1">IFERROR(__xludf.DUMMYFUNCTION("""COMPUTED_VALUE"""),24207107852)</f>
        <v>24207107852</v>
      </c>
      <c r="D222" s="1" t="str">
        <f ca="1">IFERROR(__xludf.DUMMYFUNCTION("""COMPUTED_VALUE"""),"Lê Thị Thanh Vy")</f>
        <v>Lê Thị Thanh Vy</v>
      </c>
      <c r="E222" s="4"/>
      <c r="F222" s="1" t="str">
        <f ca="1">IFERROR(__xludf.DUMMYFUNCTION("""COMPUTED_VALUE"""),"K24PSUDLK1")</f>
        <v>K24PSUDLK1</v>
      </c>
      <c r="G222" s="1" t="str">
        <f ca="1">IFERROR(__xludf.DUMMYFUNCTION("""COMPUTED_VALUE"""),"Quản trị Du lịch &amp; Khách sạn chuẩn PSU")</f>
        <v>Quản trị Du lịch &amp; Khách sạn chuẩn PSU</v>
      </c>
      <c r="H222" s="1">
        <f ca="1">IFERROR(__xludf.DUMMYFUNCTION("""COMPUTED_VALUE"""),24)</f>
        <v>24</v>
      </c>
      <c r="I222" s="1"/>
      <c r="J222" s="1" t="str">
        <f ca="1">IFERROR(__xludf.DUMMYFUNCTION("""COMPUTED_VALUE"""),"Chuyên đề")</f>
        <v>Chuyên đề</v>
      </c>
      <c r="K222" s="1" t="str">
        <f ca="1">IFERROR(__xludf.DUMMYFUNCTION("""COMPUTED_VALUE"""),"Khách sạn Shilla Monogram Quangnam Danang")</f>
        <v>Khách sạn Shilla Monogram Quangnam Danang</v>
      </c>
      <c r="L222" s="1"/>
      <c r="M222" s="1" t="str">
        <f ca="1">IFERROR(__xludf.DUMMYFUNCTION("""COMPUTED_VALUE"""),"Đường Lạc Long Quân , Xã Điện Ngọc , Huyện Điện Bàn , Tỉnh Quảng Nam")</f>
        <v>Đường Lạc Long Quân , Xã Điện Ngọc , Huyện Điện Bàn , Tỉnh Quảng Nam</v>
      </c>
      <c r="N222" s="1" t="str">
        <f ca="1">IFERROR(__xludf.DUMMYFUNCTION("""COMPUTED_VALUE"""),"Tỉnh Quảng Nam")</f>
        <v>Tỉnh Quảng Nam</v>
      </c>
      <c r="O222" s="1" t="str">
        <f ca="1">IFERROR(__xludf.DUMMYFUNCTION("""COMPUTED_VALUE"""),"Nhà hàng")</f>
        <v>Nhà hàng</v>
      </c>
      <c r="P222" s="1"/>
      <c r="Q222" s="1" t="str">
        <f ca="1">IFERROR(__xludf.DUMMYFUNCTION("""COMPUTED_VALUE"""),"10/02/2025")</f>
        <v>10/02/2025</v>
      </c>
      <c r="R222" s="1" t="str">
        <f ca="1">IFERROR(__xludf.DUMMYFUNCTION("""COMPUTED_VALUE"""),"cam kết")</f>
        <v>cam kết</v>
      </c>
      <c r="S222" s="1" t="str">
        <f ca="1">IFERROR(__xludf.DUMMYFUNCTION("""COMPUTED_VALUE"""),"Chuyên đề")</f>
        <v>Chuyên đề</v>
      </c>
      <c r="T222" s="1"/>
      <c r="U222" s="4">
        <f ca="1">IFERROR(__xludf.DUMMYFUNCTION("""COMPUTED_VALUE"""),45553)</f>
        <v>45553</v>
      </c>
      <c r="V222" s="4">
        <f ca="1">IFERROR(__xludf.DUMMYFUNCTION("""COMPUTED_VALUE"""),45657)</f>
        <v>45657</v>
      </c>
      <c r="W222" s="1">
        <f ca="1">IFERROR(__xludf.DUMMYFUNCTION("""COMPUTED_VALUE"""),221)</f>
        <v>221</v>
      </c>
      <c r="X222" s="3">
        <f ca="1">IFERROR(__xludf.DUMMYFUNCTION("""COMPUTED_VALUE"""),45932)</f>
        <v>45932</v>
      </c>
      <c r="Y222" s="1" t="str">
        <f ca="1">IFERROR(__xludf.DUMMYFUNCTION("""COMPUTED_VALUE"""),"DUYỆT")</f>
        <v>DUYỆT</v>
      </c>
      <c r="Z222" s="3">
        <f ca="1">IFERROR(__xludf.DUMMYFUNCTION("""COMPUTED_VALUE"""),45932)</f>
        <v>45932</v>
      </c>
      <c r="AA222" s="1" t="str">
        <f ca="1">IFERROR(__xludf.DUMMYFUNCTION("""COMPUTED_VALUE"""),"Khách sạn Shilla Monogram Quangnam Danang")</f>
        <v>Khách sạn Shilla Monogram Quangnam Danang</v>
      </c>
      <c r="AB222" s="1" t="str">
        <f ca="1">IFERROR(__xludf.DUMMYFUNCTION("""COMPUTED_VALUE"""),"Nhà hàng")</f>
        <v>Nhà hàng</v>
      </c>
      <c r="AC222" s="1" t="str">
        <f ca="1">IFERROR(__xludf.DUMMYFUNCTION("""COMPUTED_VALUE"""),"ĐÃ NỘP")</f>
        <v>ĐÃ NỘP</v>
      </c>
      <c r="AD222" s="1" t="str">
        <f ca="1">IFERROR(__xludf.DUMMYFUNCTION("""COMPUTED_VALUE"""),"trưởng khoa đã duyệt đơn")</f>
        <v>trưởng khoa đã duyệt đơn</v>
      </c>
      <c r="AE222" s="1" t="str">
        <f ca="1">IFERROR(__xludf.DUMMYFUNCTION("""COMPUTED_VALUE"""),"")</f>
        <v/>
      </c>
    </row>
    <row r="223" spans="1:31" x14ac:dyDescent="0.2">
      <c r="A223" s="6">
        <f ca="1">IFERROR(__xludf.DUMMYFUNCTION("""COMPUTED_VALUE"""),45698.5939446064)</f>
        <v>45698.5939446064</v>
      </c>
      <c r="B223" s="1"/>
      <c r="C223" s="1">
        <f ca="1">IFERROR(__xludf.DUMMYFUNCTION("""COMPUTED_VALUE"""),27207121356)</f>
        <v>27207121356</v>
      </c>
      <c r="D223" s="1" t="str">
        <f ca="1">IFERROR(__xludf.DUMMYFUNCTION("""COMPUTED_VALUE"""),"Nguyễn Cao Hoàng Kim")</f>
        <v>Nguyễn Cao Hoàng Kim</v>
      </c>
      <c r="E223" s="4"/>
      <c r="F223" s="1" t="str">
        <f ca="1">IFERROR(__xludf.DUMMYFUNCTION("""COMPUTED_VALUE"""),"K27 DLK5")</f>
        <v>K27 DLK5</v>
      </c>
      <c r="G223" s="1" t="str">
        <f ca="1">IFERROR(__xludf.DUMMYFUNCTION("""COMPUTED_VALUE"""),"Quản trị Du lịch &amp; Khách sạn")</f>
        <v>Quản trị Du lịch &amp; Khách sạn</v>
      </c>
      <c r="H223" s="1">
        <f ca="1">IFERROR(__xludf.DUMMYFUNCTION("""COMPUTED_VALUE"""),27)</f>
        <v>27</v>
      </c>
      <c r="I223" s="1"/>
      <c r="J223" s="1" t="str">
        <f ca="1">IFERROR(__xludf.DUMMYFUNCTION("""COMPUTED_VALUE"""),"Chuyên đề")</f>
        <v>Chuyên đề</v>
      </c>
      <c r="K223" s="1" t="str">
        <f ca="1">IFERROR(__xludf.DUMMYFUNCTION("""COMPUTED_VALUE"""),"Maximilan Danang Beach Hotel")</f>
        <v>Maximilan Danang Beach Hotel</v>
      </c>
      <c r="L223" s="1"/>
      <c r="M223" s="1" t="str">
        <f ca="1">IFERROR(__xludf.DUMMYFUNCTION("""COMPUTED_VALUE"""),"222 Võ Nguyên Giáp ")</f>
        <v xml:space="preserve">222 Võ Nguyên Giáp </v>
      </c>
      <c r="N223" s="1" t="str">
        <f ca="1">IFERROR(__xludf.DUMMYFUNCTION("""COMPUTED_VALUE"""),"Đà Nẵng")</f>
        <v>Đà Nẵng</v>
      </c>
      <c r="O223" s="1" t="str">
        <f ca="1">IFERROR(__xludf.DUMMYFUNCTION("""COMPUTED_VALUE"""),"Nhà hàng")</f>
        <v>Nhà hàng</v>
      </c>
      <c r="P223" s="1"/>
      <c r="Q223" s="1" t="str">
        <f ca="1">IFERROR(__xludf.DUMMYFUNCTION("""COMPUTED_VALUE"""),"10/02/2025")</f>
        <v>10/02/2025</v>
      </c>
      <c r="R223" s="1" t="str">
        <f ca="1">IFERROR(__xludf.DUMMYFUNCTION("""COMPUTED_VALUE"""),"cam kết")</f>
        <v>cam kết</v>
      </c>
      <c r="S223" s="1" t="str">
        <f ca="1">IFERROR(__xludf.DUMMYFUNCTION("""COMPUTED_VALUE"""),"Chuyên đề")</f>
        <v>Chuyên đề</v>
      </c>
      <c r="T223" s="1" t="str">
        <f ca="1">IFERROR(__xludf.DUMMYFUNCTION("""COMPUTED_VALUE"""),"Dương Thị Xuân Diệu")</f>
        <v>Dương Thị Xuân Diệu</v>
      </c>
      <c r="U223" s="4">
        <f ca="1">IFERROR(__xludf.DUMMYFUNCTION("""COMPUTED_VALUE"""),45697)</f>
        <v>45697</v>
      </c>
      <c r="V223" s="4">
        <f ca="1">IFERROR(__xludf.DUMMYFUNCTION("""COMPUTED_VALUE"""),45786)</f>
        <v>45786</v>
      </c>
      <c r="W223" s="1">
        <f ca="1">IFERROR(__xludf.DUMMYFUNCTION("""COMPUTED_VALUE"""),222)</f>
        <v>222</v>
      </c>
      <c r="X223" s="3">
        <f ca="1">IFERROR(__xludf.DUMMYFUNCTION("""COMPUTED_VALUE"""),45963)</f>
        <v>45963</v>
      </c>
      <c r="Y223" s="1" t="str">
        <f ca="1">IFERROR(__xludf.DUMMYFUNCTION("""COMPUTED_VALUE"""),"DUYỆT")</f>
        <v>DUYỆT</v>
      </c>
      <c r="Z223" s="3">
        <f ca="1">IFERROR(__xludf.DUMMYFUNCTION("""COMPUTED_VALUE"""),45932)</f>
        <v>45932</v>
      </c>
      <c r="AA223" s="1" t="str">
        <f ca="1">IFERROR(__xludf.DUMMYFUNCTION("""COMPUTED_VALUE"""),"Maximilan Danang Beach Hotel")</f>
        <v>Maximilan Danang Beach Hotel</v>
      </c>
      <c r="AB223" s="1" t="str">
        <f ca="1">IFERROR(__xludf.DUMMYFUNCTION("""COMPUTED_VALUE"""),"Nhà hàng")</f>
        <v>Nhà hàng</v>
      </c>
      <c r="AC223" s="1"/>
      <c r="AD223" s="1"/>
      <c r="AE223" s="1" t="str">
        <f ca="1">IFERROR(__xludf.DUMMYFUNCTION("""COMPUTED_VALUE"""),"")</f>
        <v/>
      </c>
    </row>
    <row r="224" spans="1:31" x14ac:dyDescent="0.2">
      <c r="A224" s="6">
        <f ca="1">IFERROR(__xludf.DUMMYFUNCTION("""COMPUTED_VALUE"""),45698.5986190046)</f>
        <v>45698.598619004602</v>
      </c>
      <c r="B224" s="1"/>
      <c r="C224" s="1">
        <f ca="1">IFERROR(__xludf.DUMMYFUNCTION("""COMPUTED_VALUE"""),24212102088)</f>
        <v>24212102088</v>
      </c>
      <c r="D224" s="1" t="str">
        <f ca="1">IFERROR(__xludf.DUMMYFUNCTION("""COMPUTED_VALUE"""),"Vũ Huy Năng ")</f>
        <v xml:space="preserve">Vũ Huy Năng </v>
      </c>
      <c r="E224" s="4"/>
      <c r="F224" s="1" t="str">
        <f ca="1">IFERROR(__xludf.DUMMYFUNCTION("""COMPUTED_VALUE"""),"K25DLK15 ")</f>
        <v xml:space="preserve">K25DLK15 </v>
      </c>
      <c r="G224" s="1" t="str">
        <f ca="1">IFERROR(__xludf.DUMMYFUNCTION("""COMPUTED_VALUE"""),"Quản trị Du lịch &amp; Khách sạn")</f>
        <v>Quản trị Du lịch &amp; Khách sạn</v>
      </c>
      <c r="H224" s="1">
        <f ca="1">IFERROR(__xludf.DUMMYFUNCTION("""COMPUTED_VALUE"""),24)</f>
        <v>24</v>
      </c>
      <c r="I224" s="1"/>
      <c r="J224" s="1" t="str">
        <f ca="1">IFERROR(__xludf.DUMMYFUNCTION("""COMPUTED_VALUE"""),"Chuyên đề")</f>
        <v>Chuyên đề</v>
      </c>
      <c r="K224" s="1" t="str">
        <f ca="1">IFERROR(__xludf.DUMMYFUNCTION("""COMPUTED_VALUE"""),"Chicland Hotel")</f>
        <v>Chicland Hotel</v>
      </c>
      <c r="L224" s="1"/>
      <c r="M224" s="1" t="str">
        <f ca="1">IFERROR(__xludf.DUMMYFUNCTION("""COMPUTED_VALUE"""),"210 Võ Nguyên Giáp, biển Mỹ Khê, Ngũ Hành Sơn")</f>
        <v>210 Võ Nguyên Giáp, biển Mỹ Khê, Ngũ Hành Sơn</v>
      </c>
      <c r="N224" s="1" t="str">
        <f ca="1">IFERROR(__xludf.DUMMYFUNCTION("""COMPUTED_VALUE"""),"Đà Nẵng")</f>
        <v>Đà Nẵng</v>
      </c>
      <c r="O224" s="1" t="str">
        <f ca="1">IFERROR(__xludf.DUMMYFUNCTION("""COMPUTED_VALUE"""),"Nhà hàng")</f>
        <v>Nhà hàng</v>
      </c>
      <c r="P224" s="1"/>
      <c r="Q224" s="1" t="str">
        <f ca="1">IFERROR(__xludf.DUMMYFUNCTION("""COMPUTED_VALUE"""),"10/02/2025")</f>
        <v>10/02/2025</v>
      </c>
      <c r="R224" s="1" t="str">
        <f ca="1">IFERROR(__xludf.DUMMYFUNCTION("""COMPUTED_VALUE"""),"cam kết")</f>
        <v>cam kết</v>
      </c>
      <c r="S224" s="1" t="str">
        <f ca="1">IFERROR(__xludf.DUMMYFUNCTION("""COMPUTED_VALUE"""),"Chuyên đề")</f>
        <v>Chuyên đề</v>
      </c>
      <c r="T224" s="1"/>
      <c r="U224" s="4">
        <f ca="1">IFERROR(__xludf.DUMMYFUNCTION("""COMPUTED_VALUE"""),45699)</f>
        <v>45699</v>
      </c>
      <c r="V224" s="4">
        <f ca="1">IFERROR(__xludf.DUMMYFUNCTION("""COMPUTED_VALUE"""),45788)</f>
        <v>45788</v>
      </c>
      <c r="W224" s="1">
        <f ca="1">IFERROR(__xludf.DUMMYFUNCTION("""COMPUTED_VALUE"""),223)</f>
        <v>223</v>
      </c>
      <c r="X224" s="3">
        <f ca="1">IFERROR(__xludf.DUMMYFUNCTION("""COMPUTED_VALUE"""),45963)</f>
        <v>45963</v>
      </c>
      <c r="Y224" s="1" t="str">
        <f ca="1">IFERROR(__xludf.DUMMYFUNCTION("""COMPUTED_VALUE"""),"DUYỆT")</f>
        <v>DUYỆT</v>
      </c>
      <c r="Z224" s="3">
        <f ca="1">IFERROR(__xludf.DUMMYFUNCTION("""COMPUTED_VALUE"""),45932)</f>
        <v>45932</v>
      </c>
      <c r="AA224" s="1" t="str">
        <f ca="1">IFERROR(__xludf.DUMMYFUNCTION("""COMPUTED_VALUE"""),"Chicland Hotel")</f>
        <v>Chicland Hotel</v>
      </c>
      <c r="AB224" s="1" t="str">
        <f ca="1">IFERROR(__xludf.DUMMYFUNCTION("""COMPUTED_VALUE"""),"Nhà hàng")</f>
        <v>Nhà hàng</v>
      </c>
      <c r="AC224" s="1" t="str">
        <f ca="1">IFERROR(__xludf.DUMMYFUNCTION("""COMPUTED_VALUE"""),"ĐÃ NỘP")</f>
        <v>ĐÃ NỘP</v>
      </c>
      <c r="AD224" s="1"/>
      <c r="AE224" s="1" t="str">
        <f ca="1">IFERROR(__xludf.DUMMYFUNCTION("""COMPUTED_VALUE"""),"")</f>
        <v/>
      </c>
    </row>
    <row r="225" spans="1:31" x14ac:dyDescent="0.2">
      <c r="A225" s="6">
        <f ca="1">IFERROR(__xludf.DUMMYFUNCTION("""COMPUTED_VALUE"""),45698.6309564467)</f>
        <v>45698.630956446701</v>
      </c>
      <c r="B225" s="1"/>
      <c r="C225" s="1">
        <f ca="1">IFERROR(__xludf.DUMMYFUNCTION("""COMPUTED_VALUE"""),27217200882)</f>
        <v>27217200882</v>
      </c>
      <c r="D225" s="1" t="str">
        <f ca="1">IFERROR(__xludf.DUMMYFUNCTION("""COMPUTED_VALUE"""),"Trương Hoàng Ngọc Nhi")</f>
        <v>Trương Hoàng Ngọc Nhi</v>
      </c>
      <c r="E225" s="4"/>
      <c r="F225" s="1" t="str">
        <f ca="1">IFERROR(__xludf.DUMMYFUNCTION("""COMPUTED_VALUE"""),"K27DLK4")</f>
        <v>K27DLK4</v>
      </c>
      <c r="G225" s="1" t="str">
        <f ca="1">IFERROR(__xludf.DUMMYFUNCTION("""COMPUTED_VALUE"""),"Quản trị Du lịch &amp; Khách sạn")</f>
        <v>Quản trị Du lịch &amp; Khách sạn</v>
      </c>
      <c r="H225" s="1">
        <f ca="1">IFERROR(__xludf.DUMMYFUNCTION("""COMPUTED_VALUE"""),27)</f>
        <v>27</v>
      </c>
      <c r="I225" s="1"/>
      <c r="J225" s="1" t="str">
        <f ca="1">IFERROR(__xludf.DUMMYFUNCTION("""COMPUTED_VALUE"""),"Chuyên đề")</f>
        <v>Chuyên đề</v>
      </c>
      <c r="K225" s="1" t="str">
        <f ca="1">IFERROR(__xludf.DUMMYFUNCTION("""COMPUTED_VALUE"""),"Paracel Danang Hotel")</f>
        <v>Paracel Danang Hotel</v>
      </c>
      <c r="L225" s="1"/>
      <c r="M225" s="1" t="str">
        <f ca="1">IFERROR(__xludf.DUMMYFUNCTION("""COMPUTED_VALUE"""),"204 Võ Nguyên Giáp")</f>
        <v>204 Võ Nguyên Giáp</v>
      </c>
      <c r="N225" s="1" t="str">
        <f ca="1">IFERROR(__xludf.DUMMYFUNCTION("""COMPUTED_VALUE"""),"Đà Nẵng")</f>
        <v>Đà Nẵng</v>
      </c>
      <c r="O225" s="1" t="str">
        <f ca="1">IFERROR(__xludf.DUMMYFUNCTION("""COMPUTED_VALUE"""),"Bếp")</f>
        <v>Bếp</v>
      </c>
      <c r="P225" s="1"/>
      <c r="Q225" s="1" t="str">
        <f ca="1">IFERROR(__xludf.DUMMYFUNCTION("""COMPUTED_VALUE"""),"10/02/2025")</f>
        <v>10/02/2025</v>
      </c>
      <c r="R225" s="1" t="str">
        <f ca="1">IFERROR(__xludf.DUMMYFUNCTION("""COMPUTED_VALUE"""),"cam kết")</f>
        <v>cam kết</v>
      </c>
      <c r="S225" s="1" t="str">
        <f ca="1">IFERROR(__xludf.DUMMYFUNCTION("""COMPUTED_VALUE"""),"Chuyên đề")</f>
        <v>Chuyên đề</v>
      </c>
      <c r="T225" s="1" t="str">
        <f ca="1">IFERROR(__xludf.DUMMYFUNCTION("""COMPUTED_VALUE"""),"Trần Hoàng Anh")</f>
        <v>Trần Hoàng Anh</v>
      </c>
      <c r="U225" s="4">
        <f ca="1">IFERROR(__xludf.DUMMYFUNCTION("""COMPUTED_VALUE"""),45698)</f>
        <v>45698</v>
      </c>
      <c r="V225" s="4">
        <f ca="1">IFERROR(__xludf.DUMMYFUNCTION("""COMPUTED_VALUE"""),45787)</f>
        <v>45787</v>
      </c>
      <c r="W225" s="1">
        <f ca="1">IFERROR(__xludf.DUMMYFUNCTION("""COMPUTED_VALUE"""),224)</f>
        <v>224</v>
      </c>
      <c r="X225" s="3">
        <f ca="1">IFERROR(__xludf.DUMMYFUNCTION("""COMPUTED_VALUE"""),45963)</f>
        <v>45963</v>
      </c>
      <c r="Y225" s="1" t="str">
        <f ca="1">IFERROR(__xludf.DUMMYFUNCTION("""COMPUTED_VALUE"""),"DUYỆT")</f>
        <v>DUYỆT</v>
      </c>
      <c r="Z225" s="3">
        <f ca="1">IFERROR(__xludf.DUMMYFUNCTION("""COMPUTED_VALUE"""),45932)</f>
        <v>45932</v>
      </c>
      <c r="AA225" s="1" t="str">
        <f ca="1">IFERROR(__xludf.DUMMYFUNCTION("""COMPUTED_VALUE"""),"Paracel Danang Hotel")</f>
        <v>Paracel Danang Hotel</v>
      </c>
      <c r="AB225" s="1" t="str">
        <f ca="1">IFERROR(__xludf.DUMMYFUNCTION("""COMPUTED_VALUE"""),"Bếp")</f>
        <v>Bếp</v>
      </c>
      <c r="AC225" s="1"/>
      <c r="AD225" s="1"/>
      <c r="AE225" s="1" t="str">
        <f ca="1">IFERROR(__xludf.DUMMYFUNCTION("""COMPUTED_VALUE"""),"")</f>
        <v/>
      </c>
    </row>
    <row r="226" spans="1:31" x14ac:dyDescent="0.2">
      <c r="A226" s="6">
        <f ca="1">IFERROR(__xludf.DUMMYFUNCTION("""COMPUTED_VALUE"""),45698.6480006018)</f>
        <v>45698.648000601803</v>
      </c>
      <c r="B226" s="1"/>
      <c r="C226" s="1">
        <f ca="1">IFERROR(__xludf.DUMMYFUNCTION("""COMPUTED_VALUE"""),26217135049)</f>
        <v>26217135049</v>
      </c>
      <c r="D226" s="1" t="str">
        <f ca="1">IFERROR(__xludf.DUMMYFUNCTION("""COMPUTED_VALUE"""),"Lê Hồng Dân ")</f>
        <v xml:space="preserve">Lê Hồng Dân </v>
      </c>
      <c r="E226" s="4"/>
      <c r="F226" s="1" t="str">
        <f ca="1">IFERROR(__xludf.DUMMYFUNCTION("""COMPUTED_VALUE"""),"K26DLK5")</f>
        <v>K26DLK5</v>
      </c>
      <c r="G226" s="1" t="str">
        <f ca="1">IFERROR(__xludf.DUMMYFUNCTION("""COMPUTED_VALUE"""),"Quản trị Du lịch &amp; Khách sạn")</f>
        <v>Quản trị Du lịch &amp; Khách sạn</v>
      </c>
      <c r="H226" s="1">
        <f ca="1">IFERROR(__xludf.DUMMYFUNCTION("""COMPUTED_VALUE"""),26)</f>
        <v>26</v>
      </c>
      <c r="I226" s="1"/>
      <c r="J226" s="1" t="str">
        <f ca="1">IFERROR(__xludf.DUMMYFUNCTION("""COMPUTED_VALUE"""),"Chuyên đề")</f>
        <v>Chuyên đề</v>
      </c>
      <c r="K226" s="1" t="str">
        <f ca="1">IFERROR(__xludf.DUMMYFUNCTION("""COMPUTED_VALUE"""),"Grand Sunrise Boutique")</f>
        <v>Grand Sunrise Boutique</v>
      </c>
      <c r="L226" s="1" t="str">
        <f ca="1">IFERROR(__xludf.DUMMYFUNCTION("""COMPUTED_VALUE"""),"Grand Sunrise Boutique")</f>
        <v>Grand Sunrise Boutique</v>
      </c>
      <c r="M226" s="1" t="str">
        <f ca="1">IFERROR(__xludf.DUMMYFUNCTION("""COMPUTED_VALUE"""),"10 Lê Lộ, Mỹ An, Ngũ Hành Sơn.")</f>
        <v>10 Lê Lộ, Mỹ An, Ngũ Hành Sơn.</v>
      </c>
      <c r="N226" s="1" t="str">
        <f ca="1">IFERROR(__xludf.DUMMYFUNCTION("""COMPUTED_VALUE"""),"Đà Nẵng ")</f>
        <v xml:space="preserve">Đà Nẵng </v>
      </c>
      <c r="O226" s="1" t="str">
        <f ca="1">IFERROR(__xludf.DUMMYFUNCTION("""COMPUTED_VALUE"""),"Nhà hàng")</f>
        <v>Nhà hàng</v>
      </c>
      <c r="P226" s="1"/>
      <c r="Q226" s="1" t="str">
        <f ca="1">IFERROR(__xludf.DUMMYFUNCTION("""COMPUTED_VALUE"""),"10/2/2025")</f>
        <v>10/2/2025</v>
      </c>
      <c r="R226" s="1" t="str">
        <f ca="1">IFERROR(__xludf.DUMMYFUNCTION("""COMPUTED_VALUE"""),"cam kết")</f>
        <v>cam kết</v>
      </c>
      <c r="S226" s="1" t="str">
        <f ca="1">IFERROR(__xludf.DUMMYFUNCTION("""COMPUTED_VALUE"""),"Chuyên đề")</f>
        <v>Chuyên đề</v>
      </c>
      <c r="T226" s="1"/>
      <c r="U226" s="4">
        <f ca="1">IFERROR(__xludf.DUMMYFUNCTION("""COMPUTED_VALUE"""),45698)</f>
        <v>45698</v>
      </c>
      <c r="V226" s="4">
        <f ca="1">IFERROR(__xludf.DUMMYFUNCTION("""COMPUTED_VALUE"""),45787)</f>
        <v>45787</v>
      </c>
      <c r="W226" s="1">
        <f ca="1">IFERROR(__xludf.DUMMYFUNCTION("""COMPUTED_VALUE"""),225)</f>
        <v>225</v>
      </c>
      <c r="X226" s="3">
        <f ca="1">IFERROR(__xludf.DUMMYFUNCTION("""COMPUTED_VALUE"""),45963)</f>
        <v>45963</v>
      </c>
      <c r="Y226" s="1" t="str">
        <f ca="1">IFERROR(__xludf.DUMMYFUNCTION("""COMPUTED_VALUE"""),"KHÔNG DUYỆT")</f>
        <v>KHÔNG DUYỆT</v>
      </c>
      <c r="Z226" s="3">
        <f ca="1">IFERROR(__xludf.DUMMYFUNCTION("""COMPUTED_VALUE"""),45932)</f>
        <v>45932</v>
      </c>
      <c r="AA226" s="1" t="str">
        <f ca="1">IFERROR(__xludf.DUMMYFUNCTION("""COMPUTED_VALUE"""),"Grand Sunrise Boutique")</f>
        <v>Grand Sunrise Boutique</v>
      </c>
      <c r="AB226" s="1" t="str">
        <f ca="1">IFERROR(__xludf.DUMMYFUNCTION("""COMPUTED_VALUE"""),"Nhà hàng")</f>
        <v>Nhà hàng</v>
      </c>
      <c r="AC226" s="1" t="str">
        <f ca="1">IFERROR(__xludf.DUMMYFUNCTION("""COMPUTED_VALUE"""),"ĐÃ NỘP")</f>
        <v>ĐÃ NỘP</v>
      </c>
      <c r="AD226" s="1" t="str">
        <f ca="1">IFERROR(__xludf.DUMMYFUNCTION("""COMPUTED_VALUE"""),"không tìm thấy thông tin tại csdl")</f>
        <v>không tìm thấy thông tin tại csdl</v>
      </c>
      <c r="AE226" s="1" t="str">
        <f ca="1">IFERROR(__xludf.DUMMYFUNCTION("""COMPUTED_VALUE"""),"")</f>
        <v/>
      </c>
    </row>
    <row r="227" spans="1:31" x14ac:dyDescent="0.2">
      <c r="A227" s="6">
        <f ca="1">IFERROR(__xludf.DUMMYFUNCTION("""COMPUTED_VALUE"""),45698.65589)</f>
        <v>45698.655890000002</v>
      </c>
      <c r="B227" s="1"/>
      <c r="C227" s="1">
        <f ca="1">IFERROR(__xludf.DUMMYFUNCTION("""COMPUTED_VALUE"""),27207125326)</f>
        <v>27207125326</v>
      </c>
      <c r="D227" s="1" t="str">
        <f ca="1">IFERROR(__xludf.DUMMYFUNCTION("""COMPUTED_VALUE"""),"Lê Thị Hoài My")</f>
        <v>Lê Thị Hoài My</v>
      </c>
      <c r="E227" s="4"/>
      <c r="F227" s="1" t="str">
        <f ca="1">IFERROR(__xludf.DUMMYFUNCTION("""COMPUTED_VALUE"""),"K27DLK4")</f>
        <v>K27DLK4</v>
      </c>
      <c r="G227" s="1" t="str">
        <f ca="1">IFERROR(__xludf.DUMMYFUNCTION("""COMPUTED_VALUE"""),"Quản trị Du lịch &amp; Khách sạn")</f>
        <v>Quản trị Du lịch &amp; Khách sạn</v>
      </c>
      <c r="H227" s="1">
        <f ca="1">IFERROR(__xludf.DUMMYFUNCTION("""COMPUTED_VALUE"""),27)</f>
        <v>27</v>
      </c>
      <c r="I227" s="1"/>
      <c r="J227" s="1" t="str">
        <f ca="1">IFERROR(__xludf.DUMMYFUNCTION("""COMPUTED_VALUE"""),"Chuyên đề")</f>
        <v>Chuyên đề</v>
      </c>
      <c r="K227" s="1" t="str">
        <f ca="1">IFERROR(__xludf.DUMMYFUNCTION("""COMPUTED_VALUE"""),"Cicilia Hotel &amp; Spa")</f>
        <v>Cicilia Hotel &amp; Spa</v>
      </c>
      <c r="L227" s="1"/>
      <c r="M227" s="1" t="str">
        <f ca="1">IFERROR(__xludf.DUMMYFUNCTION("""COMPUTED_VALUE"""),"6-8-10 đường Đỗ Bá, Phường Mỹ An, Quận Ngũ Hành Sơn, Thành phố Đà Nẵng ")</f>
        <v xml:space="preserve">6-8-10 đường Đỗ Bá, Phường Mỹ An, Quận Ngũ Hành Sơn, Thành phố Đà Nẵng </v>
      </c>
      <c r="N227" s="1" t="str">
        <f ca="1">IFERROR(__xludf.DUMMYFUNCTION("""COMPUTED_VALUE"""),"Đà Nẵng")</f>
        <v>Đà Nẵng</v>
      </c>
      <c r="O227" s="1" t="str">
        <f ca="1">IFERROR(__xludf.DUMMYFUNCTION("""COMPUTED_VALUE"""),"Nhân sự")</f>
        <v>Nhân sự</v>
      </c>
      <c r="P227" s="1"/>
      <c r="Q227" s="1" t="str">
        <f ca="1">IFERROR(__xludf.DUMMYFUNCTION("""COMPUTED_VALUE"""),"10/02/2025")</f>
        <v>10/02/2025</v>
      </c>
      <c r="R227" s="1" t="str">
        <f ca="1">IFERROR(__xludf.DUMMYFUNCTION("""COMPUTED_VALUE"""),"cam kết")</f>
        <v>cam kết</v>
      </c>
      <c r="S227" s="1" t="str">
        <f ca="1">IFERROR(__xludf.DUMMYFUNCTION("""COMPUTED_VALUE"""),"Chuyên đề")</f>
        <v>Chuyên đề</v>
      </c>
      <c r="T227" s="1"/>
      <c r="U227" s="4">
        <f ca="1">IFERROR(__xludf.DUMMYFUNCTION("""COMPUTED_VALUE"""),45694)</f>
        <v>45694</v>
      </c>
      <c r="V227" s="4">
        <f ca="1">IFERROR(__xludf.DUMMYFUNCTION("""COMPUTED_VALUE"""),45787)</f>
        <v>45787</v>
      </c>
      <c r="W227" s="1">
        <f ca="1">IFERROR(__xludf.DUMMYFUNCTION("""COMPUTED_VALUE"""),226)</f>
        <v>226</v>
      </c>
      <c r="X227" s="3">
        <f ca="1">IFERROR(__xludf.DUMMYFUNCTION("""COMPUTED_VALUE"""),45932)</f>
        <v>45932</v>
      </c>
      <c r="Y227" s="1" t="str">
        <f ca="1">IFERROR(__xludf.DUMMYFUNCTION("""COMPUTED_VALUE"""),"DUYỆT")</f>
        <v>DUYỆT</v>
      </c>
      <c r="Z227" s="3">
        <f ca="1">IFERROR(__xludf.DUMMYFUNCTION("""COMPUTED_VALUE"""),45932)</f>
        <v>45932</v>
      </c>
      <c r="AA227" s="1" t="str">
        <f ca="1">IFERROR(__xludf.DUMMYFUNCTION("""COMPUTED_VALUE"""),"Cicilia Hotel &amp; Spa")</f>
        <v>Cicilia Hotel &amp; Spa</v>
      </c>
      <c r="AB227" s="1" t="str">
        <f ca="1">IFERROR(__xludf.DUMMYFUNCTION("""COMPUTED_VALUE"""),"Nhân sự")</f>
        <v>Nhân sự</v>
      </c>
      <c r="AC227" s="1"/>
      <c r="AD227" s="1"/>
      <c r="AE227" s="1" t="str">
        <f ca="1">IFERROR(__xludf.DUMMYFUNCTION("""COMPUTED_VALUE"""),"")</f>
        <v/>
      </c>
    </row>
    <row r="228" spans="1:31" x14ac:dyDescent="0.2">
      <c r="A228" s="6">
        <f ca="1">IFERROR(__xludf.DUMMYFUNCTION("""COMPUTED_VALUE"""),45698.69315)</f>
        <v>45698.693149999999</v>
      </c>
      <c r="B228" s="1"/>
      <c r="C228" s="1">
        <f ca="1">IFERROR(__xludf.DUMMYFUNCTION("""COMPUTED_VALUE"""),24207201291)</f>
        <v>24207201291</v>
      </c>
      <c r="D228" s="1" t="str">
        <f ca="1">IFERROR(__xludf.DUMMYFUNCTION("""COMPUTED_VALUE"""),"Trịnh Thị Ý Thương")</f>
        <v>Trịnh Thị Ý Thương</v>
      </c>
      <c r="E228" s="4"/>
      <c r="F228" s="1" t="str">
        <f ca="1">IFERROR(__xludf.DUMMYFUNCTION("""COMPUTED_VALUE"""),"K24PSUDLH")</f>
        <v>K24PSUDLH</v>
      </c>
      <c r="G228" s="1" t="str">
        <f ca="1">IFERROR(__xludf.DUMMYFUNCTION("""COMPUTED_VALUE"""),"Quản trị Du lịch &amp; Nhà hàng chuẩn PSU")</f>
        <v>Quản trị Du lịch &amp; Nhà hàng chuẩn PSU</v>
      </c>
      <c r="H228" s="1">
        <f ca="1">IFERROR(__xludf.DUMMYFUNCTION("""COMPUTED_VALUE"""),24)</f>
        <v>24</v>
      </c>
      <c r="I228" s="1"/>
      <c r="J228" s="1" t="str">
        <f ca="1">IFERROR(__xludf.DUMMYFUNCTION("""COMPUTED_VALUE"""),"Khóa luận")</f>
        <v>Khóa luận</v>
      </c>
      <c r="K228" s="1" t="str">
        <f ca="1">IFERROR(__xludf.DUMMYFUNCTION("""COMPUTED_VALUE"""),"Chicland Hotel")</f>
        <v>Chicland Hotel</v>
      </c>
      <c r="L228" s="1"/>
      <c r="M228" s="1" t="str">
        <f ca="1">IFERROR(__xludf.DUMMYFUNCTION("""COMPUTED_VALUE"""),"210 võ nguyên giáp")</f>
        <v>210 võ nguyên giáp</v>
      </c>
      <c r="N228" s="1" t="str">
        <f ca="1">IFERROR(__xludf.DUMMYFUNCTION("""COMPUTED_VALUE"""),"Đà nẵng")</f>
        <v>Đà nẵng</v>
      </c>
      <c r="O228" s="1" t="str">
        <f ca="1">IFERROR(__xludf.DUMMYFUNCTION("""COMPUTED_VALUE"""),"Nhà hàng")</f>
        <v>Nhà hàng</v>
      </c>
      <c r="P228" s="1"/>
      <c r="Q228" s="1" t="str">
        <f ca="1">IFERROR(__xludf.DUMMYFUNCTION("""COMPUTED_VALUE"""),"Ngày 11/02/2025")</f>
        <v>Ngày 11/02/2025</v>
      </c>
      <c r="R228" s="1" t="str">
        <f ca="1">IFERROR(__xludf.DUMMYFUNCTION("""COMPUTED_VALUE"""),"cam kết")</f>
        <v>cam kết</v>
      </c>
      <c r="S228" s="1" t="str">
        <f ca="1">IFERROR(__xludf.DUMMYFUNCTION("""COMPUTED_VALUE"""),"Khóa luận")</f>
        <v>Khóa luận</v>
      </c>
      <c r="T228" s="1"/>
      <c r="U228" s="4">
        <f ca="1">IFERROR(__xludf.DUMMYFUNCTION("""COMPUTED_VALUE"""),45699)</f>
        <v>45699</v>
      </c>
      <c r="V228" s="4">
        <f ca="1">IFERROR(__xludf.DUMMYFUNCTION("""COMPUTED_VALUE"""),45787)</f>
        <v>45787</v>
      </c>
      <c r="W228" s="1">
        <f ca="1">IFERROR(__xludf.DUMMYFUNCTION("""COMPUTED_VALUE"""),227)</f>
        <v>227</v>
      </c>
      <c r="X228" s="1"/>
      <c r="Y228" s="1" t="str">
        <f ca="1">IFERROR(__xludf.DUMMYFUNCTION("""COMPUTED_VALUE"""),"KHÔNG DUYỆT")</f>
        <v>KHÔNG DUYỆT</v>
      </c>
      <c r="Z228" s="3">
        <f ca="1">IFERROR(__xludf.DUMMYFUNCTION("""COMPUTED_VALUE"""),45932)</f>
        <v>45932</v>
      </c>
      <c r="AA228" s="1" t="str">
        <f ca="1">IFERROR(__xludf.DUMMYFUNCTION("""COMPUTED_VALUE"""),"Chicland Hotel")</f>
        <v>Chicland Hotel</v>
      </c>
      <c r="AB228" s="1" t="str">
        <f ca="1">IFERROR(__xludf.DUMMYFUNCTION("""COMPUTED_VALUE"""),"Nhà hàng")</f>
        <v>Nhà hàng</v>
      </c>
      <c r="AC228" s="1" t="str">
        <f ca="1">IFERROR(__xludf.DUMMYFUNCTION("""COMPUTED_VALUE"""),"ĐÃ NỘP")</f>
        <v>ĐÃ NỘP</v>
      </c>
      <c r="AD228" s="1"/>
      <c r="AE228" s="1" t="str">
        <f ca="1">IFERROR(__xludf.DUMMYFUNCTION("""COMPUTED_VALUE"""),"")</f>
        <v/>
      </c>
    </row>
    <row r="229" spans="1:31" x14ac:dyDescent="0.2">
      <c r="A229" s="6">
        <f ca="1">IFERROR(__xludf.DUMMYFUNCTION("""COMPUTED_VALUE"""),45698.6936950463)</f>
        <v>45698.693695046299</v>
      </c>
      <c r="B229" s="1"/>
      <c r="C229" s="1">
        <f ca="1">IFERROR(__xludf.DUMMYFUNCTION("""COMPUTED_VALUE"""),27207140437)</f>
        <v>27207140437</v>
      </c>
      <c r="D229" s="1" t="str">
        <f ca="1">IFERROR(__xludf.DUMMYFUNCTION("""COMPUTED_VALUE"""),"Huỳnh Phạm Hương Giang ")</f>
        <v xml:space="preserve">Huỳnh Phạm Hương Giang </v>
      </c>
      <c r="E229" s="4"/>
      <c r="F229" s="1" t="str">
        <f ca="1">IFERROR(__xludf.DUMMYFUNCTION("""COMPUTED_VALUE"""),"K27DLK3")</f>
        <v>K27DLK3</v>
      </c>
      <c r="G229" s="1" t="str">
        <f ca="1">IFERROR(__xludf.DUMMYFUNCTION("""COMPUTED_VALUE"""),"Quản trị Du lịch &amp; Khách sạn")</f>
        <v>Quản trị Du lịch &amp; Khách sạn</v>
      </c>
      <c r="H229" s="1">
        <f ca="1">IFERROR(__xludf.DUMMYFUNCTION("""COMPUTED_VALUE"""),27)</f>
        <v>27</v>
      </c>
      <c r="I229" s="1"/>
      <c r="J229" s="1" t="str">
        <f ca="1">IFERROR(__xludf.DUMMYFUNCTION("""COMPUTED_VALUE"""),"Chuyên đề")</f>
        <v>Chuyên đề</v>
      </c>
      <c r="K229" s="1" t="str">
        <f ca="1">IFERROR(__xludf.DUMMYFUNCTION("""COMPUTED_VALUE"""),"Chicland Hotel")</f>
        <v>Chicland Hotel</v>
      </c>
      <c r="L229" s="1"/>
      <c r="M229" s="1" t="str">
        <f ca="1">IFERROR(__xludf.DUMMYFUNCTION("""COMPUTED_VALUE"""),"210 Võ Nguyên Giáp, Phước Mỹ, Sơn Trà, Đà Nẵng ")</f>
        <v xml:space="preserve">210 Võ Nguyên Giáp, Phước Mỹ, Sơn Trà, Đà Nẵng </v>
      </c>
      <c r="N229" s="1" t="str">
        <f ca="1">IFERROR(__xludf.DUMMYFUNCTION("""COMPUTED_VALUE"""),"Đà Nẵng")</f>
        <v>Đà Nẵng</v>
      </c>
      <c r="O229" s="1" t="str">
        <f ca="1">IFERROR(__xludf.DUMMYFUNCTION("""COMPUTED_VALUE"""),"Nhà hàng")</f>
        <v>Nhà hàng</v>
      </c>
      <c r="P229" s="1"/>
      <c r="Q229" s="1" t="str">
        <f ca="1">IFERROR(__xludf.DUMMYFUNCTION("""COMPUTED_VALUE"""),"10/02/2025")</f>
        <v>10/02/2025</v>
      </c>
      <c r="R229" s="1" t="str">
        <f ca="1">IFERROR(__xludf.DUMMYFUNCTION("""COMPUTED_VALUE"""),"cam kết")</f>
        <v>cam kết</v>
      </c>
      <c r="S229" s="1" t="str">
        <f ca="1">IFERROR(__xludf.DUMMYFUNCTION("""COMPUTED_VALUE"""),"Chuyên đề")</f>
        <v>Chuyên đề</v>
      </c>
      <c r="T229" s="1"/>
      <c r="U229" s="4">
        <f ca="1">IFERROR(__xludf.DUMMYFUNCTION("""COMPUTED_VALUE"""),45698)</f>
        <v>45698</v>
      </c>
      <c r="V229" s="4">
        <f ca="1">IFERROR(__xludf.DUMMYFUNCTION("""COMPUTED_VALUE"""),45787)</f>
        <v>45787</v>
      </c>
      <c r="W229" s="1">
        <f ca="1">IFERROR(__xludf.DUMMYFUNCTION("""COMPUTED_VALUE"""),228)</f>
        <v>228</v>
      </c>
      <c r="X229" s="3">
        <f ca="1">IFERROR(__xludf.DUMMYFUNCTION("""COMPUTED_VALUE"""),45963)</f>
        <v>45963</v>
      </c>
      <c r="Y229" s="1" t="str">
        <f ca="1">IFERROR(__xludf.DUMMYFUNCTION("""COMPUTED_VALUE"""),"DUYỆT")</f>
        <v>DUYỆT</v>
      </c>
      <c r="Z229" s="3">
        <f ca="1">IFERROR(__xludf.DUMMYFUNCTION("""COMPUTED_VALUE"""),45932)</f>
        <v>45932</v>
      </c>
      <c r="AA229" s="1" t="str">
        <f ca="1">IFERROR(__xludf.DUMMYFUNCTION("""COMPUTED_VALUE"""),"Chicland Hotel")</f>
        <v>Chicland Hotel</v>
      </c>
      <c r="AB229" s="1" t="str">
        <f ca="1">IFERROR(__xludf.DUMMYFUNCTION("""COMPUTED_VALUE"""),"Nhà hàng")</f>
        <v>Nhà hàng</v>
      </c>
      <c r="AC229" s="1"/>
      <c r="AD229" s="1"/>
      <c r="AE229" s="1" t="str">
        <f ca="1">IFERROR(__xludf.DUMMYFUNCTION("""COMPUTED_VALUE"""),"")</f>
        <v/>
      </c>
    </row>
    <row r="230" spans="1:31" x14ac:dyDescent="0.2">
      <c r="A230" s="6">
        <f ca="1">IFERROR(__xludf.DUMMYFUNCTION("""COMPUTED_VALUE"""),45698.7405780208)</f>
        <v>45698.740578020799</v>
      </c>
      <c r="B230" s="1"/>
      <c r="C230" s="1">
        <f ca="1">IFERROR(__xludf.DUMMYFUNCTION("""COMPUTED_VALUE"""),26217125462)</f>
        <v>26217125462</v>
      </c>
      <c r="D230" s="1" t="str">
        <f ca="1">IFERROR(__xludf.DUMMYFUNCTION("""COMPUTED_VALUE"""),"Nguyễn Hà Phong")</f>
        <v>Nguyễn Hà Phong</v>
      </c>
      <c r="E230" s="4"/>
      <c r="F230" s="1" t="str">
        <f ca="1">IFERROR(__xludf.DUMMYFUNCTION("""COMPUTED_VALUE"""),"K26DLK1")</f>
        <v>K26DLK1</v>
      </c>
      <c r="G230" s="1" t="str">
        <f ca="1">IFERROR(__xludf.DUMMYFUNCTION("""COMPUTED_VALUE"""),"Quản trị Du lịch &amp; Khách sạn chuẩn PSU")</f>
        <v>Quản trị Du lịch &amp; Khách sạn chuẩn PSU</v>
      </c>
      <c r="H230" s="1">
        <f ca="1">IFERROR(__xludf.DUMMYFUNCTION("""COMPUTED_VALUE"""),26)</f>
        <v>26</v>
      </c>
      <c r="I230" s="1"/>
      <c r="J230" s="1" t="str">
        <f ca="1">IFERROR(__xludf.DUMMYFUNCTION("""COMPUTED_VALUE"""),"Chuyên đề")</f>
        <v>Chuyên đề</v>
      </c>
      <c r="K230" s="1" t="str">
        <f ca="1">IFERROR(__xludf.DUMMYFUNCTION("""COMPUTED_VALUE"""),"Meliá Danang Beach Resort")</f>
        <v>Meliá Danang Beach Resort</v>
      </c>
      <c r="L230" s="1" t="str">
        <f ca="1">IFERROR(__xludf.DUMMYFUNCTION("""COMPUTED_VALUE"""),"Meliá Danang Beach Resort")</f>
        <v>Meliá Danang Beach Resort</v>
      </c>
      <c r="M230" s="1" t="str">
        <f ca="1">IFERROR(__xludf.DUMMYFUNCTION("""COMPUTED_VALUE"""),"19 Trường Sa, Hoà Hải, Ngũ Hành Sơn, Đà Nẵng")</f>
        <v>19 Trường Sa, Hoà Hải, Ngũ Hành Sơn, Đà Nẵng</v>
      </c>
      <c r="N230" s="1" t="str">
        <f ca="1">IFERROR(__xludf.DUMMYFUNCTION("""COMPUTED_VALUE"""),"Đà Nẵng")</f>
        <v>Đà Nẵng</v>
      </c>
      <c r="O230" s="1" t="str">
        <f ca="1">IFERROR(__xludf.DUMMYFUNCTION("""COMPUTED_VALUE"""),"Tiền sảnh")</f>
        <v>Tiền sảnh</v>
      </c>
      <c r="P230" s="1"/>
      <c r="Q230" s="1" t="str">
        <f ca="1">IFERROR(__xludf.DUMMYFUNCTION("""COMPUTED_VALUE"""),"10/02/2025")</f>
        <v>10/02/2025</v>
      </c>
      <c r="R230" s="1" t="str">
        <f ca="1">IFERROR(__xludf.DUMMYFUNCTION("""COMPUTED_VALUE"""),"cam kết")</f>
        <v>cam kết</v>
      </c>
      <c r="S230" s="1" t="str">
        <f ca="1">IFERROR(__xludf.DUMMYFUNCTION("""COMPUTED_VALUE"""),"Chuyên đề")</f>
        <v>Chuyên đề</v>
      </c>
      <c r="T230" s="1"/>
      <c r="U230" s="4">
        <f ca="1">IFERROR(__xludf.DUMMYFUNCTION("""COMPUTED_VALUE"""),45698)</f>
        <v>45698</v>
      </c>
      <c r="V230" s="4">
        <f ca="1">IFERROR(__xludf.DUMMYFUNCTION("""COMPUTED_VALUE"""),45787)</f>
        <v>45787</v>
      </c>
      <c r="W230" s="1">
        <f ca="1">IFERROR(__xludf.DUMMYFUNCTION("""COMPUTED_VALUE"""),229)</f>
        <v>229</v>
      </c>
      <c r="X230" s="3">
        <f ca="1">IFERROR(__xludf.DUMMYFUNCTION("""COMPUTED_VALUE"""),45963)</f>
        <v>45963</v>
      </c>
      <c r="Y230" s="1" t="str">
        <f ca="1">IFERROR(__xludf.DUMMYFUNCTION("""COMPUTED_VALUE"""),"DUYỆT")</f>
        <v>DUYỆT</v>
      </c>
      <c r="Z230" s="3">
        <f ca="1">IFERROR(__xludf.DUMMYFUNCTION("""COMPUTED_VALUE"""),45963)</f>
        <v>45963</v>
      </c>
      <c r="AA230" s="1" t="str">
        <f ca="1">IFERROR(__xludf.DUMMYFUNCTION("""COMPUTED_VALUE"""),"Meliá Danang Beach Resort")</f>
        <v>Meliá Danang Beach Resort</v>
      </c>
      <c r="AB230" s="1" t="str">
        <f ca="1">IFERROR(__xludf.DUMMYFUNCTION("""COMPUTED_VALUE"""),"Tiền sảnh")</f>
        <v>Tiền sảnh</v>
      </c>
      <c r="AC230" s="1" t="str">
        <f ca="1">IFERROR(__xludf.DUMMYFUNCTION("""COMPUTED_VALUE"""),"ĐÃ NỘP")</f>
        <v>ĐÃ NỘP</v>
      </c>
      <c r="AD230" s="1"/>
      <c r="AE230" s="1" t="str">
        <f ca="1">IFERROR(__xludf.DUMMYFUNCTION("""COMPUTED_VALUE"""),"")</f>
        <v/>
      </c>
    </row>
    <row r="231" spans="1:31" x14ac:dyDescent="0.2">
      <c r="A231" s="6">
        <f ca="1">IFERROR(__xludf.DUMMYFUNCTION("""COMPUTED_VALUE"""),45698.7527911574)</f>
        <v>45698.7527911574</v>
      </c>
      <c r="B231" s="1"/>
      <c r="C231" s="1">
        <f ca="1">IFERROR(__xludf.DUMMYFUNCTION("""COMPUTED_VALUE"""),26207142039)</f>
        <v>26207142039</v>
      </c>
      <c r="D231" s="1" t="str">
        <f ca="1">IFERROR(__xludf.DUMMYFUNCTION("""COMPUTED_VALUE"""),"Phạm Ngọc Châu")</f>
        <v>Phạm Ngọc Châu</v>
      </c>
      <c r="E231" s="4"/>
      <c r="F231" s="1" t="str">
        <f ca="1">IFERROR(__xludf.DUMMYFUNCTION("""COMPUTED_VALUE"""),"K26 DLK15")</f>
        <v>K26 DLK15</v>
      </c>
      <c r="G231" s="1" t="str">
        <f ca="1">IFERROR(__xludf.DUMMYFUNCTION("""COMPUTED_VALUE"""),"Quản trị Du lịch &amp; Khách sạn")</f>
        <v>Quản trị Du lịch &amp; Khách sạn</v>
      </c>
      <c r="H231" s="1">
        <f ca="1">IFERROR(__xludf.DUMMYFUNCTION("""COMPUTED_VALUE"""),26)</f>
        <v>26</v>
      </c>
      <c r="I231" s="1"/>
      <c r="J231" s="1" t="str">
        <f ca="1">IFERROR(__xludf.DUMMYFUNCTION("""COMPUTED_VALUE"""),"Chuyên đề")</f>
        <v>Chuyên đề</v>
      </c>
      <c r="K231" s="1" t="str">
        <f ca="1">IFERROR(__xludf.DUMMYFUNCTION("""COMPUTED_VALUE"""),"ÊMM Hotel Hoi An")</f>
        <v>ÊMM Hotel Hoi An</v>
      </c>
      <c r="L231" s="1" t="str">
        <f ca="1">IFERROR(__xludf.DUMMYFUNCTION("""COMPUTED_VALUE"""),"ÊMM Hotel Hoi An")</f>
        <v>ÊMM Hotel Hoi An</v>
      </c>
      <c r="M231" s="1" t="str">
        <f ca="1">IFERROR(__xludf.DUMMYFUNCTION("""COMPUTED_VALUE"""),"187 Lý Thường Kiệt")</f>
        <v>187 Lý Thường Kiệt</v>
      </c>
      <c r="N231" s="1" t="str">
        <f ca="1">IFERROR(__xludf.DUMMYFUNCTION("""COMPUTED_VALUE"""),"Hội An")</f>
        <v>Hội An</v>
      </c>
      <c r="O231" s="1" t="str">
        <f ca="1">IFERROR(__xludf.DUMMYFUNCTION("""COMPUTED_VALUE"""),"Buồng phòng")</f>
        <v>Buồng phòng</v>
      </c>
      <c r="P231" s="1"/>
      <c r="Q231" s="1" t="str">
        <f ca="1">IFERROR(__xludf.DUMMYFUNCTION("""COMPUTED_VALUE"""),"10/02/2025")</f>
        <v>10/02/2025</v>
      </c>
      <c r="R231" s="1" t="str">
        <f ca="1">IFERROR(__xludf.DUMMYFUNCTION("""COMPUTED_VALUE"""),"cam kết")</f>
        <v>cam kết</v>
      </c>
      <c r="S231" s="1" t="str">
        <f ca="1">IFERROR(__xludf.DUMMYFUNCTION("""COMPUTED_VALUE"""),"Chuyên đề")</f>
        <v>Chuyên đề</v>
      </c>
      <c r="T231" s="1"/>
      <c r="U231" s="4">
        <f ca="1">IFERROR(__xludf.DUMMYFUNCTION("""COMPUTED_VALUE"""),45698)</f>
        <v>45698</v>
      </c>
      <c r="V231" s="4">
        <f ca="1">IFERROR(__xludf.DUMMYFUNCTION("""COMPUTED_VALUE"""),45787)</f>
        <v>45787</v>
      </c>
      <c r="W231" s="1">
        <f ca="1">IFERROR(__xludf.DUMMYFUNCTION("""COMPUTED_VALUE"""),230)</f>
        <v>230</v>
      </c>
      <c r="X231" s="3">
        <f ca="1">IFERROR(__xludf.DUMMYFUNCTION("""COMPUTED_VALUE"""),45963)</f>
        <v>45963</v>
      </c>
      <c r="Y231" s="1" t="str">
        <f ca="1">IFERROR(__xludf.DUMMYFUNCTION("""COMPUTED_VALUE"""),"KHÔNG DUYỆT")</f>
        <v>KHÔNG DUYỆT</v>
      </c>
      <c r="Z231" s="3">
        <f ca="1">IFERROR(__xludf.DUMMYFUNCTION("""COMPUTED_VALUE"""),45963)</f>
        <v>45963</v>
      </c>
      <c r="AA231" s="1" t="str">
        <f ca="1">IFERROR(__xludf.DUMMYFUNCTION("""COMPUTED_VALUE"""),"ÊMM Hotel Hoi An")</f>
        <v>ÊMM Hotel Hoi An</v>
      </c>
      <c r="AB231" s="1" t="str">
        <f ca="1">IFERROR(__xludf.DUMMYFUNCTION("""COMPUTED_VALUE"""),"Buồng phòng")</f>
        <v>Buồng phòng</v>
      </c>
      <c r="AC231" s="1" t="str">
        <f ca="1">IFERROR(__xludf.DUMMYFUNCTION("""COMPUTED_VALUE"""),"ĐÃ NỘP")</f>
        <v>ĐÃ NỘP</v>
      </c>
      <c r="AD231" s="1" t="str">
        <f ca="1">IFERROR(__xludf.DUMMYFUNCTION("""COMPUTED_VALUE"""),"không tìm thấy thông tin tại csdl")</f>
        <v>không tìm thấy thông tin tại csdl</v>
      </c>
      <c r="AE231" s="1" t="str">
        <f ca="1">IFERROR(__xludf.DUMMYFUNCTION("""COMPUTED_VALUE"""),"")</f>
        <v/>
      </c>
    </row>
    <row r="232" spans="1:31" x14ac:dyDescent="0.2">
      <c r="A232" s="6">
        <f ca="1">IFERROR(__xludf.DUMMYFUNCTION("""COMPUTED_VALUE"""),45698.9092854976)</f>
        <v>45698.909285497597</v>
      </c>
      <c r="B232" s="1"/>
      <c r="C232" s="1">
        <f ca="1">IFERROR(__xludf.DUMMYFUNCTION("""COMPUTED_VALUE"""),27207146213)</f>
        <v>27207146213</v>
      </c>
      <c r="D232" s="1" t="str">
        <f ca="1">IFERROR(__xludf.DUMMYFUNCTION("""COMPUTED_VALUE"""),"Nguyễn Thị Phương Dung")</f>
        <v>Nguyễn Thị Phương Dung</v>
      </c>
      <c r="E232" s="4"/>
      <c r="F232" s="1" t="str">
        <f ca="1">IFERROR(__xludf.DUMMYFUNCTION("""COMPUTED_VALUE"""),"K27-dlk5")</f>
        <v>K27-dlk5</v>
      </c>
      <c r="G232" s="1" t="str">
        <f ca="1">IFERROR(__xludf.DUMMYFUNCTION("""COMPUTED_VALUE"""),"Quản trị Du lịch &amp; Khách sạn")</f>
        <v>Quản trị Du lịch &amp; Khách sạn</v>
      </c>
      <c r="H232" s="1">
        <f ca="1">IFERROR(__xludf.DUMMYFUNCTION("""COMPUTED_VALUE"""),27)</f>
        <v>27</v>
      </c>
      <c r="I232" s="1"/>
      <c r="J232" s="1" t="str">
        <f ca="1">IFERROR(__xludf.DUMMYFUNCTION("""COMPUTED_VALUE"""),"Chuyên đề")</f>
        <v>Chuyên đề</v>
      </c>
      <c r="K232" s="1" t="str">
        <f ca="1">IFERROR(__xludf.DUMMYFUNCTION("""COMPUTED_VALUE"""),"Allegro Hoi An - A Little Luxury Hotel &amp; Spa")</f>
        <v>Allegro Hoi An - A Little Luxury Hotel &amp; Spa</v>
      </c>
      <c r="L232" s="1" t="str">
        <f ca="1">IFERROR(__xludf.DUMMYFUNCTION("""COMPUTED_VALUE"""),"Allegro Hoi An - A Little Luxury Hotel &amp; Spa")</f>
        <v>Allegro Hoi An - A Little Luxury Hotel &amp; Spa</v>
      </c>
      <c r="M232" s="1" t="str">
        <f ca="1">IFERROR(__xludf.DUMMYFUNCTION("""COMPUTED_VALUE"""),"Lô 02-86 trần hưng đạo, cẩm phô , hội an")</f>
        <v>Lô 02-86 trần hưng đạo, cẩm phô , hội an</v>
      </c>
      <c r="N232" s="1" t="str">
        <f ca="1">IFERROR(__xludf.DUMMYFUNCTION("""COMPUTED_VALUE"""),"Hội An")</f>
        <v>Hội An</v>
      </c>
      <c r="O232" s="1" t="str">
        <f ca="1">IFERROR(__xludf.DUMMYFUNCTION("""COMPUTED_VALUE"""),"Nhà hàng")</f>
        <v>Nhà hàng</v>
      </c>
      <c r="P232" s="1"/>
      <c r="Q232" s="1" t="str">
        <f ca="1">IFERROR(__xludf.DUMMYFUNCTION("""COMPUTED_VALUE"""),"7/2/2025")</f>
        <v>7/2/2025</v>
      </c>
      <c r="R232" s="1" t="str">
        <f ca="1">IFERROR(__xludf.DUMMYFUNCTION("""COMPUTED_VALUE"""),"cam kết")</f>
        <v>cam kết</v>
      </c>
      <c r="S232" s="1" t="str">
        <f ca="1">IFERROR(__xludf.DUMMYFUNCTION("""COMPUTED_VALUE"""),"Chuyên đề")</f>
        <v>Chuyên đề</v>
      </c>
      <c r="T232" s="1" t="str">
        <f ca="1">IFERROR(__xludf.DUMMYFUNCTION("""COMPUTED_VALUE"""),"Mai Thị Thương")</f>
        <v>Mai Thị Thương</v>
      </c>
      <c r="U232" s="4">
        <f ca="1">IFERROR(__xludf.DUMMYFUNCTION("""COMPUTED_VALUE"""),45698)</f>
        <v>45698</v>
      </c>
      <c r="V232" s="4">
        <f ca="1">IFERROR(__xludf.DUMMYFUNCTION("""COMPUTED_VALUE"""),45787)</f>
        <v>45787</v>
      </c>
      <c r="W232" s="1">
        <f ca="1">IFERROR(__xludf.DUMMYFUNCTION("""COMPUTED_VALUE"""),231)</f>
        <v>231</v>
      </c>
      <c r="X232" s="3">
        <f ca="1">IFERROR(__xludf.DUMMYFUNCTION("""COMPUTED_VALUE"""),45963)</f>
        <v>45963</v>
      </c>
      <c r="Y232" s="1" t="str">
        <f ca="1">IFERROR(__xludf.DUMMYFUNCTION("""COMPUTED_VALUE"""),"DUYỆT")</f>
        <v>DUYỆT</v>
      </c>
      <c r="Z232" s="3">
        <f ca="1">IFERROR(__xludf.DUMMYFUNCTION("""COMPUTED_VALUE"""),45963)</f>
        <v>45963</v>
      </c>
      <c r="AA232" s="1" t="str">
        <f ca="1">IFERROR(__xludf.DUMMYFUNCTION("""COMPUTED_VALUE"""),"Allegro Hoi An - A Little Luxury Hotel &amp; Spa")</f>
        <v>Allegro Hoi An - A Little Luxury Hotel &amp; Spa</v>
      </c>
      <c r="AB232" s="1" t="str">
        <f ca="1">IFERROR(__xludf.DUMMYFUNCTION("""COMPUTED_VALUE"""),"Nhà hàng")</f>
        <v>Nhà hàng</v>
      </c>
      <c r="AC232" s="1"/>
      <c r="AD232" s="1"/>
      <c r="AE232" s="1" t="str">
        <f ca="1">IFERROR(__xludf.DUMMYFUNCTION("""COMPUTED_VALUE"""),"")</f>
        <v/>
      </c>
    </row>
    <row r="233" spans="1:31" x14ac:dyDescent="0.2">
      <c r="A233" s="6">
        <f ca="1">IFERROR(__xludf.DUMMYFUNCTION("""COMPUTED_VALUE"""),45698.9239439004)</f>
        <v>45698.923943900401</v>
      </c>
      <c r="B233" s="1"/>
      <c r="C233" s="1">
        <f ca="1">IFERROR(__xludf.DUMMYFUNCTION("""COMPUTED_VALUE"""),27207127705)</f>
        <v>27207127705</v>
      </c>
      <c r="D233" s="1" t="str">
        <f ca="1">IFERROR(__xludf.DUMMYFUNCTION("""COMPUTED_VALUE"""),"Nguyễn Thị Thanh Hà ")</f>
        <v xml:space="preserve">Nguyễn Thị Thanh Hà </v>
      </c>
      <c r="E233" s="4"/>
      <c r="F233" s="1" t="str">
        <f ca="1">IFERROR(__xludf.DUMMYFUNCTION("""COMPUTED_VALUE"""),"K27DLK5 ")</f>
        <v xml:space="preserve">K27DLK5 </v>
      </c>
      <c r="G233" s="1" t="str">
        <f ca="1">IFERROR(__xludf.DUMMYFUNCTION("""COMPUTED_VALUE"""),"Quản trị Du lịch &amp; Khách sạn")</f>
        <v>Quản trị Du lịch &amp; Khách sạn</v>
      </c>
      <c r="H233" s="1">
        <f ca="1">IFERROR(__xludf.DUMMYFUNCTION("""COMPUTED_VALUE"""),27)</f>
        <v>27</v>
      </c>
      <c r="I233" s="1"/>
      <c r="J233" s="1" t="str">
        <f ca="1">IFERROR(__xludf.DUMMYFUNCTION("""COMPUTED_VALUE"""),"Chuyên đề")</f>
        <v>Chuyên đề</v>
      </c>
      <c r="K233" s="1" t="str">
        <f ca="1">IFERROR(__xludf.DUMMYFUNCTION("""COMPUTED_VALUE"""),"New Orient Hotel Đà Nẵng")</f>
        <v>New Orient Hotel Đà Nẵng</v>
      </c>
      <c r="L233" s="1"/>
      <c r="M233" s="1" t="str">
        <f ca="1">IFERROR(__xludf.DUMMYFUNCTION("""COMPUTED_VALUE"""),"20 đống đa, thuận phước, hải châu, đà nẵng")</f>
        <v>20 đống đa, thuận phước, hải châu, đà nẵng</v>
      </c>
      <c r="N233" s="1" t="str">
        <f ca="1">IFERROR(__xludf.DUMMYFUNCTION("""COMPUTED_VALUE"""),"Đà Nẵng ")</f>
        <v xml:space="preserve">Đà Nẵng </v>
      </c>
      <c r="O233" s="1" t="str">
        <f ca="1">IFERROR(__xludf.DUMMYFUNCTION("""COMPUTED_VALUE"""),"Nhà hàng")</f>
        <v>Nhà hàng</v>
      </c>
      <c r="P233" s="1"/>
      <c r="Q233" s="1" t="str">
        <f ca="1">IFERROR(__xludf.DUMMYFUNCTION("""COMPUTED_VALUE"""),"10/02/2025")</f>
        <v>10/02/2025</v>
      </c>
      <c r="R233" s="1" t="str">
        <f ca="1">IFERROR(__xludf.DUMMYFUNCTION("""COMPUTED_VALUE"""),"cam kết")</f>
        <v>cam kết</v>
      </c>
      <c r="S233" s="1" t="str">
        <f ca="1">IFERROR(__xludf.DUMMYFUNCTION("""COMPUTED_VALUE"""),"Chuyên đề")</f>
        <v>Chuyên đề</v>
      </c>
      <c r="T233" s="1" t="str">
        <f ca="1">IFERROR(__xludf.DUMMYFUNCTION("""COMPUTED_VALUE"""),"Trần Hoàng Anh")</f>
        <v>Trần Hoàng Anh</v>
      </c>
      <c r="U233" s="4">
        <f ca="1">IFERROR(__xludf.DUMMYFUNCTION("""COMPUTED_VALUE"""),45698)</f>
        <v>45698</v>
      </c>
      <c r="V233" s="4">
        <f ca="1">IFERROR(__xludf.DUMMYFUNCTION("""COMPUTED_VALUE"""),45787)</f>
        <v>45787</v>
      </c>
      <c r="W233" s="1">
        <f ca="1">IFERROR(__xludf.DUMMYFUNCTION("""COMPUTED_VALUE"""),232)</f>
        <v>232</v>
      </c>
      <c r="X233" s="3">
        <f ca="1">IFERROR(__xludf.DUMMYFUNCTION("""COMPUTED_VALUE"""),45963)</f>
        <v>45963</v>
      </c>
      <c r="Y233" s="1" t="str">
        <f ca="1">IFERROR(__xludf.DUMMYFUNCTION("""COMPUTED_VALUE"""),"DUYỆT")</f>
        <v>DUYỆT</v>
      </c>
      <c r="Z233" s="3">
        <f ca="1">IFERROR(__xludf.DUMMYFUNCTION("""COMPUTED_VALUE"""),45963)</f>
        <v>45963</v>
      </c>
      <c r="AA233" s="1" t="str">
        <f ca="1">IFERROR(__xludf.DUMMYFUNCTION("""COMPUTED_VALUE"""),"New Orient Hotel Đà Nẵng")</f>
        <v>New Orient Hotel Đà Nẵng</v>
      </c>
      <c r="AB233" s="1" t="str">
        <f ca="1">IFERROR(__xludf.DUMMYFUNCTION("""COMPUTED_VALUE"""),"Nhà hàng")</f>
        <v>Nhà hàng</v>
      </c>
      <c r="AC233" s="1"/>
      <c r="AD233" s="1"/>
      <c r="AE233" s="1" t="str">
        <f ca="1">IFERROR(__xludf.DUMMYFUNCTION("""COMPUTED_VALUE"""),"")</f>
        <v/>
      </c>
    </row>
    <row r="234" spans="1:31" x14ac:dyDescent="0.2">
      <c r="A234" s="6">
        <f ca="1">IFERROR(__xludf.DUMMYFUNCTION("""COMPUTED_VALUE"""),45698.9550113888)</f>
        <v>45698.955011388804</v>
      </c>
      <c r="B234" s="1"/>
      <c r="C234" s="1">
        <f ca="1">IFERROR(__xludf.DUMMYFUNCTION("""COMPUTED_VALUE"""),25217104376)</f>
        <v>25217104376</v>
      </c>
      <c r="D234" s="1" t="str">
        <f ca="1">IFERROR(__xludf.DUMMYFUNCTION("""COMPUTED_VALUE"""),"Phan Văn Thuận ")</f>
        <v xml:space="preserve">Phan Văn Thuận </v>
      </c>
      <c r="E234" s="4"/>
      <c r="F234" s="1" t="str">
        <f ca="1">IFERROR(__xludf.DUMMYFUNCTION("""COMPUTED_VALUE"""),"K25 PSU DLK14")</f>
        <v>K25 PSU DLK14</v>
      </c>
      <c r="G234" s="1" t="str">
        <f ca="1">IFERROR(__xludf.DUMMYFUNCTION("""COMPUTED_VALUE"""),"Quản trị Du lịch &amp; Khách sạn chuẩn PSU")</f>
        <v>Quản trị Du lịch &amp; Khách sạn chuẩn PSU</v>
      </c>
      <c r="H234" s="1">
        <f ca="1">IFERROR(__xludf.DUMMYFUNCTION("""COMPUTED_VALUE"""),25)</f>
        <v>25</v>
      </c>
      <c r="I234" s="1"/>
      <c r="J234" s="1" t="str">
        <f ca="1">IFERROR(__xludf.DUMMYFUNCTION("""COMPUTED_VALUE"""),"Chuyên đề")</f>
        <v>Chuyên đề</v>
      </c>
      <c r="K234" s="1" t="str">
        <f ca="1">IFERROR(__xludf.DUMMYFUNCTION("""COMPUTED_VALUE"""),"Premier Village Danang Resort")</f>
        <v>Premier Village Danang Resort</v>
      </c>
      <c r="L234" s="1"/>
      <c r="M234" s="1" t="str">
        <f ca="1">IFERROR(__xludf.DUMMYFUNCTION("""COMPUTED_VALUE"""),"99 Võ Nguyên Giáp , Ngũ Hành Sơn , Đà Nẵng ")</f>
        <v xml:space="preserve">99 Võ Nguyên Giáp , Ngũ Hành Sơn , Đà Nẵng </v>
      </c>
      <c r="N234" s="1" t="str">
        <f ca="1">IFERROR(__xludf.DUMMYFUNCTION("""COMPUTED_VALUE"""),"Đà Nẵng")</f>
        <v>Đà Nẵng</v>
      </c>
      <c r="O234" s="1" t="str">
        <f ca="1">IFERROR(__xludf.DUMMYFUNCTION("""COMPUTED_VALUE"""),"Nhà hàng")</f>
        <v>Nhà hàng</v>
      </c>
      <c r="P234" s="1"/>
      <c r="Q234" s="1" t="str">
        <f ca="1">IFERROR(__xludf.DUMMYFUNCTION("""COMPUTED_VALUE"""),"10/2/2025")</f>
        <v>10/2/2025</v>
      </c>
      <c r="R234" s="1" t="str">
        <f ca="1">IFERROR(__xludf.DUMMYFUNCTION("""COMPUTED_VALUE"""),"cam kết")</f>
        <v>cam kết</v>
      </c>
      <c r="S234" s="1" t="str">
        <f ca="1">IFERROR(__xludf.DUMMYFUNCTION("""COMPUTED_VALUE"""),"Chuyên đề")</f>
        <v>Chuyên đề</v>
      </c>
      <c r="T234" s="1"/>
      <c r="U234" s="4">
        <f ca="1">IFERROR(__xludf.DUMMYFUNCTION("""COMPUTED_VALUE"""),45698)</f>
        <v>45698</v>
      </c>
      <c r="V234" s="4">
        <f ca="1">IFERROR(__xludf.DUMMYFUNCTION("""COMPUTED_VALUE"""),45787)</f>
        <v>45787</v>
      </c>
      <c r="W234" s="1">
        <f ca="1">IFERROR(__xludf.DUMMYFUNCTION("""COMPUTED_VALUE"""),233)</f>
        <v>233</v>
      </c>
      <c r="X234" s="3">
        <f ca="1">IFERROR(__xludf.DUMMYFUNCTION("""COMPUTED_VALUE"""),45963)</f>
        <v>45963</v>
      </c>
      <c r="Y234" s="1" t="str">
        <f ca="1">IFERROR(__xludf.DUMMYFUNCTION("""COMPUTED_VALUE"""),"DUYỆT")</f>
        <v>DUYỆT</v>
      </c>
      <c r="Z234" s="3">
        <f ca="1">IFERROR(__xludf.DUMMYFUNCTION("""COMPUTED_VALUE"""),45963)</f>
        <v>45963</v>
      </c>
      <c r="AA234" s="1" t="str">
        <f ca="1">IFERROR(__xludf.DUMMYFUNCTION("""COMPUTED_VALUE"""),"Premier Village Danang Resort")</f>
        <v>Premier Village Danang Resort</v>
      </c>
      <c r="AB234" s="1" t="str">
        <f ca="1">IFERROR(__xludf.DUMMYFUNCTION("""COMPUTED_VALUE"""),"Nhà hàng")</f>
        <v>Nhà hàng</v>
      </c>
      <c r="AC234" s="1" t="str">
        <f ca="1">IFERROR(__xludf.DUMMYFUNCTION("""COMPUTED_VALUE"""),"ĐÃ NỘP")</f>
        <v>ĐÃ NỘP</v>
      </c>
      <c r="AD234" s="1"/>
      <c r="AE234" s="1" t="str">
        <f ca="1">IFERROR(__xludf.DUMMYFUNCTION("""COMPUTED_VALUE"""),"")</f>
        <v/>
      </c>
    </row>
    <row r="235" spans="1:31" x14ac:dyDescent="0.2">
      <c r="A235" s="6">
        <f ca="1">IFERROR(__xludf.DUMMYFUNCTION("""COMPUTED_VALUE"""),45699.4748978703)</f>
        <v>45699.474897870299</v>
      </c>
      <c r="B235" s="1"/>
      <c r="C235" s="1">
        <f ca="1">IFERROR(__xludf.DUMMYFUNCTION("""COMPUTED_VALUE"""),27207138525)</f>
        <v>27207138525</v>
      </c>
      <c r="D235" s="1" t="str">
        <f ca="1">IFERROR(__xludf.DUMMYFUNCTION("""COMPUTED_VALUE"""),"Đặng Thị Thuý Kiều ")</f>
        <v xml:space="preserve">Đặng Thị Thuý Kiều </v>
      </c>
      <c r="E235" s="4"/>
      <c r="F235" s="1" t="str">
        <f ca="1">IFERROR(__xludf.DUMMYFUNCTION("""COMPUTED_VALUE"""),"K27DLK3")</f>
        <v>K27DLK3</v>
      </c>
      <c r="G235" s="1" t="str">
        <f ca="1">IFERROR(__xludf.DUMMYFUNCTION("""COMPUTED_VALUE"""),"Quản trị Du lịch &amp; Khách sạn")</f>
        <v>Quản trị Du lịch &amp; Khách sạn</v>
      </c>
      <c r="H235" s="1">
        <f ca="1">IFERROR(__xludf.DUMMYFUNCTION("""COMPUTED_VALUE"""),27)</f>
        <v>27</v>
      </c>
      <c r="I235" s="1"/>
      <c r="J235" s="1" t="str">
        <f ca="1">IFERROR(__xludf.DUMMYFUNCTION("""COMPUTED_VALUE"""),"Chuyên đề")</f>
        <v>Chuyên đề</v>
      </c>
      <c r="K235" s="1" t="str">
        <f ca="1">IFERROR(__xludf.DUMMYFUNCTION("""COMPUTED_VALUE"""),"Grand Mercure Đà Nẵng")</f>
        <v>Grand Mercure Đà Nẵng</v>
      </c>
      <c r="L235" s="1"/>
      <c r="M235" s="1" t="str">
        <f ca="1">IFERROR(__xludf.DUMMYFUNCTION("""COMPUTED_VALUE"""),"Lô A1 khu biệt thự Đảo Xanh, phưòng Hoà Cường Bắc, quận Hải Châu, Đà Nẵng, Việt Nam")</f>
        <v>Lô A1 khu biệt thự Đảo Xanh, phưòng Hoà Cường Bắc, quận Hải Châu, Đà Nẵng, Việt Nam</v>
      </c>
      <c r="N235" s="1" t="str">
        <f ca="1">IFERROR(__xludf.DUMMYFUNCTION("""COMPUTED_VALUE"""),"Đà Nẵng")</f>
        <v>Đà Nẵng</v>
      </c>
      <c r="O235" s="1" t="str">
        <f ca="1">IFERROR(__xludf.DUMMYFUNCTION("""COMPUTED_VALUE"""),"Nhà hàng")</f>
        <v>Nhà hàng</v>
      </c>
      <c r="P235" s="1"/>
      <c r="Q235" s="1" t="str">
        <f ca="1">IFERROR(__xludf.DUMMYFUNCTION("""COMPUTED_VALUE"""),"11/2/2025")</f>
        <v>11/2/2025</v>
      </c>
      <c r="R235" s="1" t="str">
        <f ca="1">IFERROR(__xludf.DUMMYFUNCTION("""COMPUTED_VALUE"""),"cam kết")</f>
        <v>cam kết</v>
      </c>
      <c r="S235" s="1" t="str">
        <f ca="1">IFERROR(__xludf.DUMMYFUNCTION("""COMPUTED_VALUE"""),"Chuyên đề")</f>
        <v>Chuyên đề</v>
      </c>
      <c r="T235" s="1" t="str">
        <f ca="1">IFERROR(__xludf.DUMMYFUNCTION("""COMPUTED_VALUE"""),"Phạm Thị Thu Thủy")</f>
        <v>Phạm Thị Thu Thủy</v>
      </c>
      <c r="U235" s="4">
        <f ca="1">IFERROR(__xludf.DUMMYFUNCTION("""COMPUTED_VALUE"""),45698)</f>
        <v>45698</v>
      </c>
      <c r="V235" s="4">
        <f ca="1">IFERROR(__xludf.DUMMYFUNCTION("""COMPUTED_VALUE"""),45807)</f>
        <v>45807</v>
      </c>
      <c r="W235" s="1">
        <f ca="1">IFERROR(__xludf.DUMMYFUNCTION("""COMPUTED_VALUE"""),234)</f>
        <v>234</v>
      </c>
      <c r="X235" s="3">
        <f ca="1">IFERROR(__xludf.DUMMYFUNCTION("""COMPUTED_VALUE"""),45963)</f>
        <v>45963</v>
      </c>
      <c r="Y235" s="1" t="str">
        <f ca="1">IFERROR(__xludf.DUMMYFUNCTION("""COMPUTED_VALUE"""),"DUYỆT")</f>
        <v>DUYỆT</v>
      </c>
      <c r="Z235" s="3">
        <f ca="1">IFERROR(__xludf.DUMMYFUNCTION("""COMPUTED_VALUE"""),45963)</f>
        <v>45963</v>
      </c>
      <c r="AA235" s="1" t="str">
        <f ca="1">IFERROR(__xludf.DUMMYFUNCTION("""COMPUTED_VALUE"""),"Grand Mercure Đà Nẵng")</f>
        <v>Grand Mercure Đà Nẵng</v>
      </c>
      <c r="AB235" s="1" t="str">
        <f ca="1">IFERROR(__xludf.DUMMYFUNCTION("""COMPUTED_VALUE"""),"Nhà hàng")</f>
        <v>Nhà hàng</v>
      </c>
      <c r="AC235" s="1"/>
      <c r="AD235" s="1"/>
      <c r="AE235" s="1" t="str">
        <f ca="1">IFERROR(__xludf.DUMMYFUNCTION("""COMPUTED_VALUE"""),"")</f>
        <v/>
      </c>
    </row>
    <row r="236" spans="1:31" x14ac:dyDescent="0.2">
      <c r="A236" s="6">
        <f ca="1">IFERROR(__xludf.DUMMYFUNCTION("""COMPUTED_VALUE"""),45699.5886122916)</f>
        <v>45699.588612291598</v>
      </c>
      <c r="B236" s="1"/>
      <c r="C236" s="1">
        <f ca="1">IFERROR(__xludf.DUMMYFUNCTION("""COMPUTED_VALUE"""),27207143916)</f>
        <v>27207143916</v>
      </c>
      <c r="D236" s="1" t="str">
        <f ca="1">IFERROR(__xludf.DUMMYFUNCTION("""COMPUTED_VALUE"""),"Hồ Thị Hiếu")</f>
        <v>Hồ Thị Hiếu</v>
      </c>
      <c r="E236" s="4"/>
      <c r="F236" s="1" t="str">
        <f ca="1">IFERROR(__xludf.DUMMYFUNCTION("""COMPUTED_VALUE"""),"K23DLK2")</f>
        <v>K23DLK2</v>
      </c>
      <c r="G236" s="1" t="str">
        <f ca="1">IFERROR(__xludf.DUMMYFUNCTION("""COMPUTED_VALUE"""),"Quản trị Du lịch &amp; Khách sạn")</f>
        <v>Quản trị Du lịch &amp; Khách sạn</v>
      </c>
      <c r="H236" s="1">
        <f ca="1">IFERROR(__xludf.DUMMYFUNCTION("""COMPUTED_VALUE"""),27)</f>
        <v>27</v>
      </c>
      <c r="I236" s="1"/>
      <c r="J236" s="1" t="str">
        <f ca="1">IFERROR(__xludf.DUMMYFUNCTION("""COMPUTED_VALUE"""),"Chuyên đề")</f>
        <v>Chuyên đề</v>
      </c>
      <c r="K236" s="1" t="str">
        <f ca="1">IFERROR(__xludf.DUMMYFUNCTION("""COMPUTED_VALUE"""),"Canvas Hotel")</f>
        <v>Canvas Hotel</v>
      </c>
      <c r="L236" s="1" t="str">
        <f ca="1">IFERROR(__xludf.DUMMYFUNCTION("""COMPUTED_VALUE"""),"Canvas Hotel")</f>
        <v>Canvas Hotel</v>
      </c>
      <c r="M236" s="1" t="str">
        <f ca="1">IFERROR(__xludf.DUMMYFUNCTION("""COMPUTED_VALUE"""),"243 Võ Nguyên Giáp, Phường Phước Mỹ, Sơn Trà, Đà Nẵng")</f>
        <v>243 Võ Nguyên Giáp, Phường Phước Mỹ, Sơn Trà, Đà Nẵng</v>
      </c>
      <c r="N236" s="1" t="str">
        <f ca="1">IFERROR(__xludf.DUMMYFUNCTION("""COMPUTED_VALUE"""),"Đà Nãng")</f>
        <v>Đà Nãng</v>
      </c>
      <c r="O236" s="1" t="str">
        <f ca="1">IFERROR(__xludf.DUMMYFUNCTION("""COMPUTED_VALUE"""),"Buồng phòng")</f>
        <v>Buồng phòng</v>
      </c>
      <c r="P236" s="1"/>
      <c r="Q236" s="1" t="str">
        <f ca="1">IFERROR(__xludf.DUMMYFUNCTION("""COMPUTED_VALUE"""),"Ngày 16/1/2025")</f>
        <v>Ngày 16/1/2025</v>
      </c>
      <c r="R236" s="1" t="str">
        <f ca="1">IFERROR(__xludf.DUMMYFUNCTION("""COMPUTED_VALUE"""),"cam kết")</f>
        <v>cam kết</v>
      </c>
      <c r="S236" s="1" t="str">
        <f ca="1">IFERROR(__xludf.DUMMYFUNCTION("""COMPUTED_VALUE"""),"Chuyên đề")</f>
        <v>Chuyên đề</v>
      </c>
      <c r="T236" s="1"/>
      <c r="U236" s="4">
        <f ca="1">IFERROR(__xludf.DUMMYFUNCTION("""COMPUTED_VALUE"""),45663)</f>
        <v>45663</v>
      </c>
      <c r="V236" s="4">
        <f ca="1">IFERROR(__xludf.DUMMYFUNCTION("""COMPUTED_VALUE"""),45753)</f>
        <v>45753</v>
      </c>
      <c r="W236" s="1">
        <f ca="1">IFERROR(__xludf.DUMMYFUNCTION("""COMPUTED_VALUE"""),235)</f>
        <v>235</v>
      </c>
      <c r="X236" s="3">
        <f ca="1">IFERROR(__xludf.DUMMYFUNCTION("""COMPUTED_VALUE"""),45963)</f>
        <v>45963</v>
      </c>
      <c r="Y236" s="1" t="str">
        <f ca="1">IFERROR(__xludf.DUMMYFUNCTION("""COMPUTED_VALUE"""),"DUYỆT")</f>
        <v>DUYỆT</v>
      </c>
      <c r="Z236" s="3">
        <f ca="1">IFERROR(__xludf.DUMMYFUNCTION("""COMPUTED_VALUE"""),45963)</f>
        <v>45963</v>
      </c>
      <c r="AA236" s="1" t="str">
        <f ca="1">IFERROR(__xludf.DUMMYFUNCTION("""COMPUTED_VALUE"""),"Canvas Hotel")</f>
        <v>Canvas Hotel</v>
      </c>
      <c r="AB236" s="1" t="str">
        <f ca="1">IFERROR(__xludf.DUMMYFUNCTION("""COMPUTED_VALUE"""),"Buồng phòng")</f>
        <v>Buồng phòng</v>
      </c>
      <c r="AC236" s="1"/>
      <c r="AD236" s="1"/>
      <c r="AE236" s="1" t="str">
        <f ca="1">IFERROR(__xludf.DUMMYFUNCTION("""COMPUTED_VALUE"""),"")</f>
        <v/>
      </c>
    </row>
    <row r="237" spans="1:31" x14ac:dyDescent="0.2">
      <c r="A237" s="6">
        <f ca="1">IFERROR(__xludf.DUMMYFUNCTION("""COMPUTED_VALUE"""),45699.6432529513)</f>
        <v>45699.643252951297</v>
      </c>
      <c r="B237" s="1"/>
      <c r="C237" s="1">
        <f ca="1">IFERROR(__xludf.DUMMYFUNCTION("""COMPUTED_VALUE"""),26217122489)</f>
        <v>26217122489</v>
      </c>
      <c r="D237" s="1" t="str">
        <f ca="1">IFERROR(__xludf.DUMMYFUNCTION("""COMPUTED_VALUE"""),"Trương Văn Khánh")</f>
        <v>Trương Văn Khánh</v>
      </c>
      <c r="E237" s="4"/>
      <c r="F237" s="1" t="str">
        <f ca="1">IFERROR(__xludf.DUMMYFUNCTION("""COMPUTED_VALUE"""),"K26DLK4")</f>
        <v>K26DLK4</v>
      </c>
      <c r="G237" s="1" t="str">
        <f ca="1">IFERROR(__xludf.DUMMYFUNCTION("""COMPUTED_VALUE"""),"Quản trị Du lịch &amp; Khách sạn")</f>
        <v>Quản trị Du lịch &amp; Khách sạn</v>
      </c>
      <c r="H237" s="1">
        <f ca="1">IFERROR(__xludf.DUMMYFUNCTION("""COMPUTED_VALUE"""),26)</f>
        <v>26</v>
      </c>
      <c r="I237" s="1"/>
      <c r="J237" s="1" t="str">
        <f ca="1">IFERROR(__xludf.DUMMYFUNCTION("""COMPUTED_VALUE"""),"Chuyên đề")</f>
        <v>Chuyên đề</v>
      </c>
      <c r="K237" s="1" t="str">
        <f ca="1">IFERROR(__xludf.DUMMYFUNCTION("""COMPUTED_VALUE"""),"Grand Tourane Hotel")</f>
        <v>Grand Tourane Hotel</v>
      </c>
      <c r="L237" s="1"/>
      <c r="M237" s="1" t="str">
        <f ca="1">IFERROR(__xludf.DUMMYFUNCTION("""COMPUTED_VALUE"""),"252 Võ Nguyên Giáp, Phước Mỹ, Sơn Trà, Đà Nẵng")</f>
        <v>252 Võ Nguyên Giáp, Phước Mỹ, Sơn Trà, Đà Nẵng</v>
      </c>
      <c r="N237" s="1" t="str">
        <f ca="1">IFERROR(__xludf.DUMMYFUNCTION("""COMPUTED_VALUE"""),"Đà Nẵng")</f>
        <v>Đà Nẵng</v>
      </c>
      <c r="O237" s="1" t="str">
        <f ca="1">IFERROR(__xludf.DUMMYFUNCTION("""COMPUTED_VALUE"""),"Nhà hàng")</f>
        <v>Nhà hàng</v>
      </c>
      <c r="P237" s="1"/>
      <c r="Q237" s="1" t="str">
        <f ca="1">IFERROR(__xludf.DUMMYFUNCTION("""COMPUTED_VALUE"""),"Khoa du lịch nhà hàng và khách sạn")</f>
        <v>Khoa du lịch nhà hàng và khách sạn</v>
      </c>
      <c r="R237" s="1" t="str">
        <f ca="1">IFERROR(__xludf.DUMMYFUNCTION("""COMPUTED_VALUE"""),"cam kết")</f>
        <v>cam kết</v>
      </c>
      <c r="S237" s="1" t="str">
        <f ca="1">IFERROR(__xludf.DUMMYFUNCTION("""COMPUTED_VALUE"""),"Chuyên đề")</f>
        <v>Chuyên đề</v>
      </c>
      <c r="T237" s="1"/>
      <c r="U237" s="4">
        <f ca="1">IFERROR(__xludf.DUMMYFUNCTION("""COMPUTED_VALUE"""),36568)</f>
        <v>36568</v>
      </c>
      <c r="V237" s="4">
        <f ca="1">IFERROR(__xludf.DUMMYFUNCTION("""COMPUTED_VALUE"""),36658)</f>
        <v>36658</v>
      </c>
      <c r="W237" s="1">
        <f ca="1">IFERROR(__xludf.DUMMYFUNCTION("""COMPUTED_VALUE"""),236)</f>
        <v>236</v>
      </c>
      <c r="X237" s="1"/>
      <c r="Y237" s="1" t="str">
        <f ca="1">IFERROR(__xludf.DUMMYFUNCTION("""COMPUTED_VALUE"""),"DUYỆT")</f>
        <v>DUYỆT</v>
      </c>
      <c r="Z237" s="3">
        <f ca="1">IFERROR(__xludf.DUMMYFUNCTION("""COMPUTED_VALUE"""),45963)</f>
        <v>45963</v>
      </c>
      <c r="AA237" s="1" t="str">
        <f ca="1">IFERROR(__xludf.DUMMYFUNCTION("""COMPUTED_VALUE"""),"Grand Tourane Hotel")</f>
        <v>Grand Tourane Hotel</v>
      </c>
      <c r="AB237" s="1" t="str">
        <f ca="1">IFERROR(__xludf.DUMMYFUNCTION("""COMPUTED_VALUE"""),"Nhà hàng")</f>
        <v>Nhà hàng</v>
      </c>
      <c r="AC237" s="1" t="str">
        <f ca="1">IFERROR(__xludf.DUMMYFUNCTION("""COMPUTED_VALUE"""),"ĐÃ NỘP")</f>
        <v>ĐÃ NỘP</v>
      </c>
      <c r="AD237" s="1"/>
      <c r="AE237" s="1" t="str">
        <f ca="1">IFERROR(__xludf.DUMMYFUNCTION("""COMPUTED_VALUE"""),"")</f>
        <v/>
      </c>
    </row>
    <row r="238" spans="1:31" x14ac:dyDescent="0.2">
      <c r="A238" s="6">
        <f ca="1">IFERROR(__xludf.DUMMYFUNCTION("""COMPUTED_VALUE"""),45699.7559281597)</f>
        <v>45699.755928159699</v>
      </c>
      <c r="B238" s="1"/>
      <c r="C238" s="1">
        <f ca="1">IFERROR(__xludf.DUMMYFUNCTION("""COMPUTED_VALUE"""),26207126132)</f>
        <v>26207126132</v>
      </c>
      <c r="D238" s="1" t="str">
        <f ca="1">IFERROR(__xludf.DUMMYFUNCTION("""COMPUTED_VALUE"""),"Nguyễn Lương Nhật Yến ")</f>
        <v xml:space="preserve">Nguyễn Lương Nhật Yến </v>
      </c>
      <c r="E238" s="4"/>
      <c r="F238" s="1" t="str">
        <f ca="1">IFERROR(__xludf.DUMMYFUNCTION("""COMPUTED_VALUE"""),"K26DLK7")</f>
        <v>K26DLK7</v>
      </c>
      <c r="G238" s="1" t="str">
        <f ca="1">IFERROR(__xludf.DUMMYFUNCTION("""COMPUTED_VALUE"""),"Quản trị Du lịch &amp; Khách sạn")</f>
        <v>Quản trị Du lịch &amp; Khách sạn</v>
      </c>
      <c r="H238" s="1">
        <f ca="1">IFERROR(__xludf.DUMMYFUNCTION("""COMPUTED_VALUE"""),26)</f>
        <v>26</v>
      </c>
      <c r="I238" s="1"/>
      <c r="J238" s="1" t="str">
        <f ca="1">IFERROR(__xludf.DUMMYFUNCTION("""COMPUTED_VALUE"""),"Chuyên đề")</f>
        <v>Chuyên đề</v>
      </c>
      <c r="K238" s="1" t="str">
        <f ca="1">IFERROR(__xludf.DUMMYFUNCTION("""COMPUTED_VALUE"""),"Vinh Hung Riverside Resort &amp; Spa")</f>
        <v>Vinh Hung Riverside Resort &amp; Spa</v>
      </c>
      <c r="L238" s="1"/>
      <c r="M238" s="1" t="str">
        <f ca="1">IFERROR(__xludf.DUMMYFUNCTION("""COMPUTED_VALUE"""),"111 Ngô Quyền, Phường Minh An, Hội An, Quảng Nam")</f>
        <v>111 Ngô Quyền, Phường Minh An, Hội An, Quảng Nam</v>
      </c>
      <c r="N238" s="1" t="str">
        <f ca="1">IFERROR(__xludf.DUMMYFUNCTION("""COMPUTED_VALUE"""),"Hội An ")</f>
        <v xml:space="preserve">Hội An </v>
      </c>
      <c r="O238" s="1" t="str">
        <f ca="1">IFERROR(__xludf.DUMMYFUNCTION("""COMPUTED_VALUE"""),"Tiền sảnh")</f>
        <v>Tiền sảnh</v>
      </c>
      <c r="P238" s="1"/>
      <c r="Q238" s="1" t="str">
        <f ca="1">IFERROR(__xludf.DUMMYFUNCTION("""COMPUTED_VALUE"""),"18/1/2025")</f>
        <v>18/1/2025</v>
      </c>
      <c r="R238" s="1" t="str">
        <f ca="1">IFERROR(__xludf.DUMMYFUNCTION("""COMPUTED_VALUE"""),"cam kết")</f>
        <v>cam kết</v>
      </c>
      <c r="S238" s="1" t="str">
        <f ca="1">IFERROR(__xludf.DUMMYFUNCTION("""COMPUTED_VALUE"""),"Chuyên đề")</f>
        <v>Chuyên đề</v>
      </c>
      <c r="T238" s="1" t="str">
        <f ca="1">IFERROR(__xludf.DUMMYFUNCTION("""COMPUTED_VALUE"""),"Võ Đức Hiếu")</f>
        <v>Võ Đức Hiếu</v>
      </c>
      <c r="U238" s="4">
        <f ca="1">IFERROR(__xludf.DUMMYFUNCTION("""COMPUTED_VALUE"""),45698)</f>
        <v>45698</v>
      </c>
      <c r="V238" s="4">
        <f ca="1">IFERROR(__xludf.DUMMYFUNCTION("""COMPUTED_VALUE"""),45787)</f>
        <v>45787</v>
      </c>
      <c r="W238" s="1">
        <f ca="1">IFERROR(__xludf.DUMMYFUNCTION("""COMPUTED_VALUE"""),237)</f>
        <v>237</v>
      </c>
      <c r="X238" s="1"/>
      <c r="Y238" s="1" t="str">
        <f ca="1">IFERROR(__xludf.DUMMYFUNCTION("""COMPUTED_VALUE"""),"DUYỆT")</f>
        <v>DUYỆT</v>
      </c>
      <c r="Z238" s="3">
        <f ca="1">IFERROR(__xludf.DUMMYFUNCTION("""COMPUTED_VALUE"""),45993)</f>
        <v>45993</v>
      </c>
      <c r="AA238" s="1" t="str">
        <f ca="1">IFERROR(__xludf.DUMMYFUNCTION("""COMPUTED_VALUE"""),"Vinh Hung Riverside Resort &amp; Spa")</f>
        <v>Vinh Hung Riverside Resort &amp; Spa</v>
      </c>
      <c r="AB238" s="1" t="str">
        <f ca="1">IFERROR(__xludf.DUMMYFUNCTION("""COMPUTED_VALUE"""),"Tiền sảnh")</f>
        <v>Tiền sảnh</v>
      </c>
      <c r="AC238" s="1" t="str">
        <f ca="1">IFERROR(__xludf.DUMMYFUNCTION("""COMPUTED_VALUE"""),"ĐÃ NỘP")</f>
        <v>ĐÃ NỘP</v>
      </c>
      <c r="AD238" s="1"/>
      <c r="AE238" s="1" t="str">
        <f ca="1">IFERROR(__xludf.DUMMYFUNCTION("""COMPUTED_VALUE"""),"")</f>
        <v/>
      </c>
    </row>
    <row r="239" spans="1:31" x14ac:dyDescent="0.2">
      <c r="A239" s="6">
        <f ca="1">IFERROR(__xludf.DUMMYFUNCTION("""COMPUTED_VALUE"""),45699.7621515509)</f>
        <v>45699.762151550902</v>
      </c>
      <c r="B239" s="1"/>
      <c r="C239" s="1">
        <f ca="1">IFERROR(__xludf.DUMMYFUNCTION("""COMPUTED_VALUE"""),26217123458)</f>
        <v>26217123458</v>
      </c>
      <c r="D239" s="1" t="str">
        <f ca="1">IFERROR(__xludf.DUMMYFUNCTION("""COMPUTED_VALUE"""),"Nguyễn Quang Long")</f>
        <v>Nguyễn Quang Long</v>
      </c>
      <c r="E239" s="4"/>
      <c r="F239" s="1" t="str">
        <f ca="1">IFERROR(__xludf.DUMMYFUNCTION("""COMPUTED_VALUE"""),"K26DLK 16")</f>
        <v>K26DLK 16</v>
      </c>
      <c r="G239" s="1" t="str">
        <f ca="1">IFERROR(__xludf.DUMMYFUNCTION("""COMPUTED_VALUE"""),"Quản trị Du lịch &amp; Khách sạn")</f>
        <v>Quản trị Du lịch &amp; Khách sạn</v>
      </c>
      <c r="H239" s="1">
        <f ca="1">IFERROR(__xludf.DUMMYFUNCTION("""COMPUTED_VALUE"""),26)</f>
        <v>26</v>
      </c>
      <c r="I239" s="1"/>
      <c r="J239" s="1" t="str">
        <f ca="1">IFERROR(__xludf.DUMMYFUNCTION("""COMPUTED_VALUE"""),"Chuyên đề")</f>
        <v>Chuyên đề</v>
      </c>
      <c r="K239" s="1" t="str">
        <f ca="1">IFERROR(__xludf.DUMMYFUNCTION("""COMPUTED_VALUE"""),"Vanda Hotel")</f>
        <v>Vanda Hotel</v>
      </c>
      <c r="L239" s="1"/>
      <c r="M239" s="1" t="str">
        <f ca="1">IFERROR(__xludf.DUMMYFUNCTION("""COMPUTED_VALUE"""),"03 Nguyễn Văn Linh, Bình Hiên, Hải Châu, Đà Nẵng")</f>
        <v>03 Nguyễn Văn Linh, Bình Hiên, Hải Châu, Đà Nẵng</v>
      </c>
      <c r="N239" s="1" t="str">
        <f ca="1">IFERROR(__xludf.DUMMYFUNCTION("""COMPUTED_VALUE"""),"Đà Nẵng")</f>
        <v>Đà Nẵng</v>
      </c>
      <c r="O239" s="1" t="str">
        <f ca="1">IFERROR(__xludf.DUMMYFUNCTION("""COMPUTED_VALUE"""),"Tiền sảnh")</f>
        <v>Tiền sảnh</v>
      </c>
      <c r="P239" s="1"/>
      <c r="Q239" s="1" t="str">
        <f ca="1">IFERROR(__xludf.DUMMYFUNCTION("""COMPUTED_VALUE"""),"03/02/2025")</f>
        <v>03/02/2025</v>
      </c>
      <c r="R239" s="1" t="str">
        <f ca="1">IFERROR(__xludf.DUMMYFUNCTION("""COMPUTED_VALUE"""),"cam kết")</f>
        <v>cam kết</v>
      </c>
      <c r="S239" s="1" t="str">
        <f ca="1">IFERROR(__xludf.DUMMYFUNCTION("""COMPUTED_VALUE"""),"Chuyên đề")</f>
        <v>Chuyên đề</v>
      </c>
      <c r="T239" s="1" t="str">
        <f ca="1">IFERROR(__xludf.DUMMYFUNCTION("""COMPUTED_VALUE"""),"Phạm Thị Thu Thủy")</f>
        <v>Phạm Thị Thu Thủy</v>
      </c>
      <c r="U239" s="4">
        <f ca="1">IFERROR(__xludf.DUMMYFUNCTION("""COMPUTED_VALUE"""),45679)</f>
        <v>45679</v>
      </c>
      <c r="V239" s="4">
        <f ca="1">IFERROR(__xludf.DUMMYFUNCTION("""COMPUTED_VALUE"""),45830)</f>
        <v>45830</v>
      </c>
      <c r="W239" s="1">
        <f ca="1">IFERROR(__xludf.DUMMYFUNCTION("""COMPUTED_VALUE"""),238)</f>
        <v>238</v>
      </c>
      <c r="X239" s="1"/>
      <c r="Y239" s="1" t="str">
        <f ca="1">IFERROR(__xludf.DUMMYFUNCTION("""COMPUTED_VALUE"""),"DUYỆT")</f>
        <v>DUYỆT</v>
      </c>
      <c r="Z239" s="3">
        <f ca="1">IFERROR(__xludf.DUMMYFUNCTION("""COMPUTED_VALUE"""),45993)</f>
        <v>45993</v>
      </c>
      <c r="AA239" s="1" t="str">
        <f ca="1">IFERROR(__xludf.DUMMYFUNCTION("""COMPUTED_VALUE"""),"Vanda Hotel")</f>
        <v>Vanda Hotel</v>
      </c>
      <c r="AB239" s="1" t="str">
        <f ca="1">IFERROR(__xludf.DUMMYFUNCTION("""COMPUTED_VALUE"""),"Tiền sảnh")</f>
        <v>Tiền sảnh</v>
      </c>
      <c r="AC239" s="1" t="str">
        <f ca="1">IFERROR(__xludf.DUMMYFUNCTION("""COMPUTED_VALUE"""),"ĐÃ NỘP")</f>
        <v>ĐÃ NỘP</v>
      </c>
      <c r="AD239" s="1"/>
      <c r="AE239" s="1" t="str">
        <f ca="1">IFERROR(__xludf.DUMMYFUNCTION("""COMPUTED_VALUE"""),"")</f>
        <v/>
      </c>
    </row>
    <row r="240" spans="1:31" x14ac:dyDescent="0.2">
      <c r="A240" s="6">
        <f ca="1">IFERROR(__xludf.DUMMYFUNCTION("""COMPUTED_VALUE"""),45699.767396875)</f>
        <v>45699.767396875002</v>
      </c>
      <c r="B240" s="1"/>
      <c r="C240" s="1">
        <f ca="1">IFERROR(__xludf.DUMMYFUNCTION("""COMPUTED_VALUE"""),27217102336)</f>
        <v>27217102336</v>
      </c>
      <c r="D240" s="1" t="str">
        <f ca="1">IFERROR(__xludf.DUMMYFUNCTION("""COMPUTED_VALUE"""),"Đỗ Lê Tường Vân")</f>
        <v>Đỗ Lê Tường Vân</v>
      </c>
      <c r="E240" s="4"/>
      <c r="F240" s="1" t="str">
        <f ca="1">IFERROR(__xludf.DUMMYFUNCTION("""COMPUTED_VALUE"""),"K27DLK7")</f>
        <v>K27DLK7</v>
      </c>
      <c r="G240" s="1" t="str">
        <f ca="1">IFERROR(__xludf.DUMMYFUNCTION("""COMPUTED_VALUE"""),"Quản trị Du lịch &amp; Khách sạn")</f>
        <v>Quản trị Du lịch &amp; Khách sạn</v>
      </c>
      <c r="H240" s="1">
        <f ca="1">IFERROR(__xludf.DUMMYFUNCTION("""COMPUTED_VALUE"""),27)</f>
        <v>27</v>
      </c>
      <c r="I240" s="1"/>
      <c r="J240" s="1" t="str">
        <f ca="1">IFERROR(__xludf.DUMMYFUNCTION("""COMPUTED_VALUE"""),"Chuyên đề")</f>
        <v>Chuyên đề</v>
      </c>
      <c r="K240" s="1" t="str">
        <f ca="1">IFERROR(__xludf.DUMMYFUNCTION("""COMPUTED_VALUE"""),"Renaissance Hoi An Resort &amp; Spa")</f>
        <v>Renaissance Hoi An Resort &amp; Spa</v>
      </c>
      <c r="L240" s="1" t="str">
        <f ca="1">IFERROR(__xludf.DUMMYFUNCTION("""COMPUTED_VALUE"""),"RENAISSANCE HOI AN RESORT &amp; SPA")</f>
        <v>RENAISSANCE HOI AN RESORT &amp; SPA</v>
      </c>
      <c r="M240" s="1" t="str">
        <f ca="1">IFERROR(__xludf.DUMMYFUNCTION("""COMPUTED_VALUE"""),"Cửa Đại, Tp. Hội An ")</f>
        <v xml:space="preserve">Cửa Đại, Tp. Hội An </v>
      </c>
      <c r="N240" s="1" t="str">
        <f ca="1">IFERROR(__xludf.DUMMYFUNCTION("""COMPUTED_VALUE"""),"Thành phố Hội An")</f>
        <v>Thành phố Hội An</v>
      </c>
      <c r="O240" s="1" t="str">
        <f ca="1">IFERROR(__xludf.DUMMYFUNCTION("""COMPUTED_VALUE"""),"Buồng phòng")</f>
        <v>Buồng phòng</v>
      </c>
      <c r="P240" s="1"/>
      <c r="Q240" s="1" t="str">
        <f ca="1">IFERROR(__xludf.DUMMYFUNCTION("""COMPUTED_VALUE"""),"10/02/2025")</f>
        <v>10/02/2025</v>
      </c>
      <c r="R240" s="1" t="str">
        <f ca="1">IFERROR(__xludf.DUMMYFUNCTION("""COMPUTED_VALUE"""),"cam kết")</f>
        <v>cam kết</v>
      </c>
      <c r="S240" s="1" t="str">
        <f ca="1">IFERROR(__xludf.DUMMYFUNCTION("""COMPUTED_VALUE"""),"Chuyên đề")</f>
        <v>Chuyên đề</v>
      </c>
      <c r="T240" s="1" t="str">
        <f ca="1">IFERROR(__xludf.DUMMYFUNCTION("""COMPUTED_VALUE"""),"Phạm Thị Thu Thủy")</f>
        <v>Phạm Thị Thu Thủy</v>
      </c>
      <c r="U240" s="4">
        <f ca="1">IFERROR(__xludf.DUMMYFUNCTION("""COMPUTED_VALUE"""),45726)</f>
        <v>45726</v>
      </c>
      <c r="V240" s="4">
        <f ca="1">IFERROR(__xludf.DUMMYFUNCTION("""COMPUTED_VALUE"""),37782)</f>
        <v>37782</v>
      </c>
      <c r="W240" s="1">
        <f ca="1">IFERROR(__xludf.DUMMYFUNCTION("""COMPUTED_VALUE"""),239)</f>
        <v>239</v>
      </c>
      <c r="X240" s="1"/>
      <c r="Y240" s="1" t="str">
        <f ca="1">IFERROR(__xludf.DUMMYFUNCTION("""COMPUTED_VALUE"""),"DUYỆT")</f>
        <v>DUYỆT</v>
      </c>
      <c r="Z240" s="3">
        <f ca="1">IFERROR(__xludf.DUMMYFUNCTION("""COMPUTED_VALUE"""),45993)</f>
        <v>45993</v>
      </c>
      <c r="AA240" s="1" t="str">
        <f ca="1">IFERROR(__xludf.DUMMYFUNCTION("""COMPUTED_VALUE"""),"Renaissance Hoi An Resort &amp; Spa")</f>
        <v>Renaissance Hoi An Resort &amp; Spa</v>
      </c>
      <c r="AB240" s="1" t="str">
        <f ca="1">IFERROR(__xludf.DUMMYFUNCTION("""COMPUTED_VALUE"""),"Buồng phòng")</f>
        <v>Buồng phòng</v>
      </c>
      <c r="AC240" s="1"/>
      <c r="AD240" s="1"/>
      <c r="AE240" s="1" t="str">
        <f ca="1">IFERROR(__xludf.DUMMYFUNCTION("""COMPUTED_VALUE"""),"")</f>
        <v/>
      </c>
    </row>
    <row r="241" spans="1:31" x14ac:dyDescent="0.2">
      <c r="A241" s="6">
        <f ca="1">IFERROR(__xludf.DUMMYFUNCTION("""COMPUTED_VALUE"""),45700.4870069791)</f>
        <v>45700.4870069791</v>
      </c>
      <c r="B241" s="1"/>
      <c r="C241" s="1">
        <f ca="1">IFERROR(__xludf.DUMMYFUNCTION("""COMPUTED_VALUE"""),27202821012)</f>
        <v>27202821012</v>
      </c>
      <c r="D241" s="1" t="str">
        <f ca="1">IFERROR(__xludf.DUMMYFUNCTION("""COMPUTED_VALUE"""),"Lưu Nguyễn Cát Tuyên ")</f>
        <v xml:space="preserve">Lưu Nguyễn Cát Tuyên </v>
      </c>
      <c r="E241" s="4"/>
      <c r="F241" s="1" t="str">
        <f ca="1">IFERROR(__xludf.DUMMYFUNCTION("""COMPUTED_VALUE"""),"K27DLK 7")</f>
        <v>K27DLK 7</v>
      </c>
      <c r="G241" s="1" t="str">
        <f ca="1">IFERROR(__xludf.DUMMYFUNCTION("""COMPUTED_VALUE"""),"Quản trị Du lịch &amp; Khách sạn")</f>
        <v>Quản trị Du lịch &amp; Khách sạn</v>
      </c>
      <c r="H241" s="1">
        <f ca="1">IFERROR(__xludf.DUMMYFUNCTION("""COMPUTED_VALUE"""),27)</f>
        <v>27</v>
      </c>
      <c r="I241" s="1"/>
      <c r="J241" s="1" t="str">
        <f ca="1">IFERROR(__xludf.DUMMYFUNCTION("""COMPUTED_VALUE"""),"Chuyên đề")</f>
        <v>Chuyên đề</v>
      </c>
      <c r="K241" s="1" t="str">
        <f ca="1">IFERROR(__xludf.DUMMYFUNCTION("""COMPUTED_VALUE"""),"Renaissance Hoi An Resort &amp; Spa")</f>
        <v>Renaissance Hoi An Resort &amp; Spa</v>
      </c>
      <c r="L241" s="1" t="str">
        <f ca="1">IFERROR(__xludf.DUMMYFUNCTION("""COMPUTED_VALUE"""),"Renaissance Hoi An Resort &amp; Spa")</f>
        <v>Renaissance Hoi An Resort &amp; Spa</v>
      </c>
      <c r="M241" s="1" t="str">
        <f ca="1">IFERROR(__xludf.DUMMYFUNCTION("""COMPUTED_VALUE"""),"Cửa Đại, Tp. Hội An")</f>
        <v>Cửa Đại, Tp. Hội An</v>
      </c>
      <c r="N241" s="1" t="str">
        <f ca="1">IFERROR(__xludf.DUMMYFUNCTION("""COMPUTED_VALUE"""),"Thành phố Hội An")</f>
        <v>Thành phố Hội An</v>
      </c>
      <c r="O241" s="1" t="str">
        <f ca="1">IFERROR(__xludf.DUMMYFUNCTION("""COMPUTED_VALUE"""),"Buồng phòng")</f>
        <v>Buồng phòng</v>
      </c>
      <c r="P241" s="1"/>
      <c r="Q241" s="1" t="str">
        <f ca="1">IFERROR(__xludf.DUMMYFUNCTION("""COMPUTED_VALUE"""),"20/02/2025")</f>
        <v>20/02/2025</v>
      </c>
      <c r="R241" s="1" t="str">
        <f ca="1">IFERROR(__xludf.DUMMYFUNCTION("""COMPUTED_VALUE"""),"cam kết")</f>
        <v>cam kết</v>
      </c>
      <c r="S241" s="1" t="str">
        <f ca="1">IFERROR(__xludf.DUMMYFUNCTION("""COMPUTED_VALUE"""),"Chuyên đề")</f>
        <v>Chuyên đề</v>
      </c>
      <c r="T241" s="1" t="str">
        <f ca="1">IFERROR(__xludf.DUMMYFUNCTION("""COMPUTED_VALUE"""),"Phạm Thị Thu Thủy")</f>
        <v>Phạm Thị Thu Thủy</v>
      </c>
      <c r="U241" s="4">
        <f ca="1">IFERROR(__xludf.DUMMYFUNCTION("""COMPUTED_VALUE"""),45726)</f>
        <v>45726</v>
      </c>
      <c r="V241" s="4">
        <f ca="1">IFERROR(__xludf.DUMMYFUNCTION("""COMPUTED_VALUE"""),45818)</f>
        <v>45818</v>
      </c>
      <c r="W241" s="1"/>
      <c r="X241" s="1"/>
      <c r="Y241" s="1" t="str">
        <f ca="1">IFERROR(__xludf.DUMMYFUNCTION("""COMPUTED_VALUE"""),"DUYỆT")</f>
        <v>DUYỆT</v>
      </c>
      <c r="Z241" s="3">
        <f ca="1">IFERROR(__xludf.DUMMYFUNCTION("""COMPUTED_VALUE"""),45993)</f>
        <v>45993</v>
      </c>
      <c r="AA241" s="1" t="str">
        <f ca="1">IFERROR(__xludf.DUMMYFUNCTION("""COMPUTED_VALUE"""),"Renaissance Hoi An Resort &amp; Spa")</f>
        <v>Renaissance Hoi An Resort &amp; Spa</v>
      </c>
      <c r="AB241" s="1" t="str">
        <f ca="1">IFERROR(__xludf.DUMMYFUNCTION("""COMPUTED_VALUE"""),"Buồng phòng")</f>
        <v>Buồng phòng</v>
      </c>
      <c r="AC241" s="1"/>
      <c r="AD241" s="1"/>
      <c r="AE241" s="1" t="str">
        <f ca="1">IFERROR(__xludf.DUMMYFUNCTION("""COMPUTED_VALUE"""),"")</f>
        <v/>
      </c>
    </row>
    <row r="242" spans="1:31" x14ac:dyDescent="0.2">
      <c r="A242" s="6">
        <f ca="1">IFERROR(__xludf.DUMMYFUNCTION("""COMPUTED_VALUE"""),45700.4896139814)</f>
        <v>45700.489613981401</v>
      </c>
      <c r="B242" s="1"/>
      <c r="C242" s="1">
        <f ca="1">IFERROR(__xludf.DUMMYFUNCTION("""COMPUTED_VALUE"""),27207143177)</f>
        <v>27207143177</v>
      </c>
      <c r="D242" s="1" t="str">
        <f ca="1">IFERROR(__xludf.DUMMYFUNCTION("""COMPUTED_VALUE"""),"Trương Thị Khánh Vân")</f>
        <v>Trương Thị Khánh Vân</v>
      </c>
      <c r="E242" s="4"/>
      <c r="F242" s="1" t="str">
        <f ca="1">IFERROR(__xludf.DUMMYFUNCTION("""COMPUTED_VALUE"""),"K27DLK7")</f>
        <v>K27DLK7</v>
      </c>
      <c r="G242" s="1" t="str">
        <f ca="1">IFERROR(__xludf.DUMMYFUNCTION("""COMPUTED_VALUE"""),"Quản trị Du lịch &amp; Khách sạn")</f>
        <v>Quản trị Du lịch &amp; Khách sạn</v>
      </c>
      <c r="H242" s="1">
        <f ca="1">IFERROR(__xludf.DUMMYFUNCTION("""COMPUTED_VALUE"""),27)</f>
        <v>27</v>
      </c>
      <c r="I242" s="1"/>
      <c r="J242" s="1" t="str">
        <f ca="1">IFERROR(__xludf.DUMMYFUNCTION("""COMPUTED_VALUE"""),"Chuyên đề")</f>
        <v>Chuyên đề</v>
      </c>
      <c r="K242" s="1" t="str">
        <f ca="1">IFERROR(__xludf.DUMMYFUNCTION("""COMPUTED_VALUE"""),"Renaissance Hoi An Resort &amp; Spa")</f>
        <v>Renaissance Hoi An Resort &amp; Spa</v>
      </c>
      <c r="L242" s="1" t="str">
        <f ca="1">IFERROR(__xludf.DUMMYFUNCTION("""COMPUTED_VALUE"""),"Renaissance Hoi An Resort &amp; Spa")</f>
        <v>Renaissance Hoi An Resort &amp; Spa</v>
      </c>
      <c r="M242" s="1" t="str">
        <f ca="1">IFERROR(__xludf.DUMMYFUNCTION("""COMPUTED_VALUE"""),"Hội An, Quảng Nam")</f>
        <v>Hội An, Quảng Nam</v>
      </c>
      <c r="N242" s="1" t="str">
        <f ca="1">IFERROR(__xludf.DUMMYFUNCTION("""COMPUTED_VALUE"""),"Thành Phố Hội An")</f>
        <v>Thành Phố Hội An</v>
      </c>
      <c r="O242" s="1" t="str">
        <f ca="1">IFERROR(__xludf.DUMMYFUNCTION("""COMPUTED_VALUE"""),"Buồng phòng")</f>
        <v>Buồng phòng</v>
      </c>
      <c r="P242" s="1"/>
      <c r="Q242" s="1" t="str">
        <f ca="1">IFERROR(__xludf.DUMMYFUNCTION("""COMPUTED_VALUE"""),"15/02/2025")</f>
        <v>15/02/2025</v>
      </c>
      <c r="R242" s="1" t="str">
        <f ca="1">IFERROR(__xludf.DUMMYFUNCTION("""COMPUTED_VALUE"""),"cam kết")</f>
        <v>cam kết</v>
      </c>
      <c r="S242" s="1" t="str">
        <f ca="1">IFERROR(__xludf.DUMMYFUNCTION("""COMPUTED_VALUE"""),"Chuyên đề")</f>
        <v>Chuyên đề</v>
      </c>
      <c r="T242" s="1" t="str">
        <f ca="1">IFERROR(__xludf.DUMMYFUNCTION("""COMPUTED_VALUE"""),"Phạm Thị Thu Thủy")</f>
        <v>Phạm Thị Thu Thủy</v>
      </c>
      <c r="U242" s="4">
        <f ca="1">IFERROR(__xludf.DUMMYFUNCTION("""COMPUTED_VALUE"""),45726)</f>
        <v>45726</v>
      </c>
      <c r="V242" s="4">
        <f ca="1">IFERROR(__xludf.DUMMYFUNCTION("""COMPUTED_VALUE"""),45818)</f>
        <v>45818</v>
      </c>
      <c r="W242" s="1"/>
      <c r="X242" s="1"/>
      <c r="Y242" s="1" t="str">
        <f ca="1">IFERROR(__xludf.DUMMYFUNCTION("""COMPUTED_VALUE"""),"KHÔNG DUYỆT")</f>
        <v>KHÔNG DUYỆT</v>
      </c>
      <c r="Z242" s="3">
        <f ca="1">IFERROR(__xludf.DUMMYFUNCTION("""COMPUTED_VALUE"""),45993)</f>
        <v>45993</v>
      </c>
      <c r="AA242" s="1" t="str">
        <f ca="1">IFERROR(__xludf.DUMMYFUNCTION("""COMPUTED_VALUE"""),"Renaissance Hoi An Resort &amp; Spa")</f>
        <v>Renaissance Hoi An Resort &amp; Spa</v>
      </c>
      <c r="AB242" s="1" t="str">
        <f ca="1">IFERROR(__xludf.DUMMYFUNCTION("""COMPUTED_VALUE"""),"Buồng phòng")</f>
        <v>Buồng phòng</v>
      </c>
      <c r="AC242" s="1" t="str">
        <f ca="1">IFERROR(__xludf.DUMMYFUNCTION("""COMPUTED_VALUE"""),"#N/A")</f>
        <v>#N/A</v>
      </c>
      <c r="AD242" s="1" t="str">
        <f ca="1">IFERROR(__xludf.DUMMYFUNCTION("""COMPUTED_VALUE"""),"sinh viên chưa đăng ký vào link đăng ký thực tập.
SV đăng ký link thực tập mới duyệt đơn vị thực tập")</f>
        <v>sinh viên chưa đăng ký vào link đăng ký thực tập.
SV đăng ký link thực tập mới duyệt đơn vị thực tập</v>
      </c>
      <c r="AE242" s="1" t="str">
        <f ca="1">IFERROR(__xludf.DUMMYFUNCTION("""COMPUTED_VALUE"""),"")</f>
        <v/>
      </c>
    </row>
    <row r="243" spans="1:31" x14ac:dyDescent="0.2">
      <c r="A243" s="6">
        <f ca="1">IFERROR(__xludf.DUMMYFUNCTION("""COMPUTED_VALUE"""),45700.4903541435)</f>
        <v>45700.490354143498</v>
      </c>
      <c r="B243" s="1"/>
      <c r="C243" s="1">
        <f ca="1">IFERROR(__xludf.DUMMYFUNCTION("""COMPUTED_VALUE"""),27207225415)</f>
        <v>27207225415</v>
      </c>
      <c r="D243" s="1" t="str">
        <f ca="1">IFERROR(__xludf.DUMMYFUNCTION("""COMPUTED_VALUE"""),"Vũ Thị Kim Ngân")</f>
        <v>Vũ Thị Kim Ngân</v>
      </c>
      <c r="E243" s="4"/>
      <c r="F243" s="1" t="str">
        <f ca="1">IFERROR(__xludf.DUMMYFUNCTION("""COMPUTED_VALUE"""),"K27DLK7")</f>
        <v>K27DLK7</v>
      </c>
      <c r="G243" s="1" t="str">
        <f ca="1">IFERROR(__xludf.DUMMYFUNCTION("""COMPUTED_VALUE"""),"Quản trị Du lịch &amp; Khách sạn")</f>
        <v>Quản trị Du lịch &amp; Khách sạn</v>
      </c>
      <c r="H243" s="1">
        <f ca="1">IFERROR(__xludf.DUMMYFUNCTION("""COMPUTED_VALUE"""),27)</f>
        <v>27</v>
      </c>
      <c r="I243" s="1"/>
      <c r="J243" s="1" t="str">
        <f ca="1">IFERROR(__xludf.DUMMYFUNCTION("""COMPUTED_VALUE"""),"Chuyên đề")</f>
        <v>Chuyên đề</v>
      </c>
      <c r="K243" s="1" t="str">
        <f ca="1">IFERROR(__xludf.DUMMYFUNCTION("""COMPUTED_VALUE"""),"Renaissance Hoi An Resort &amp; Spa")</f>
        <v>Renaissance Hoi An Resort &amp; Spa</v>
      </c>
      <c r="L243" s="1" t="str">
        <f ca="1">IFERROR(__xludf.DUMMYFUNCTION("""COMPUTED_VALUE"""),"Renaissance Hội An Resort &amp; Spa ")</f>
        <v xml:space="preserve">Renaissance Hội An Resort &amp; Spa </v>
      </c>
      <c r="M243" s="1" t="str">
        <f ca="1">IFERROR(__xludf.DUMMYFUNCTION("""COMPUTED_VALUE"""),"Block 6, Phuoc Hai Village, Cua Dai Beach, Hoi An ")</f>
        <v xml:space="preserve">Block 6, Phuoc Hai Village, Cua Dai Beach, Hoi An </v>
      </c>
      <c r="N243" s="1" t="str">
        <f ca="1">IFERROR(__xludf.DUMMYFUNCTION("""COMPUTED_VALUE"""),"Thành Phố Hội An")</f>
        <v>Thành Phố Hội An</v>
      </c>
      <c r="O243" s="1" t="str">
        <f ca="1">IFERROR(__xludf.DUMMYFUNCTION("""COMPUTED_VALUE"""),"Buồng phòng")</f>
        <v>Buồng phòng</v>
      </c>
      <c r="P243" s="1"/>
      <c r="Q243" s="1" t="str">
        <f ca="1">IFERROR(__xludf.DUMMYFUNCTION("""COMPUTED_VALUE"""),"12/2")</f>
        <v>12/2</v>
      </c>
      <c r="R243" s="1" t="str">
        <f ca="1">IFERROR(__xludf.DUMMYFUNCTION("""COMPUTED_VALUE"""),"cam kết")</f>
        <v>cam kết</v>
      </c>
      <c r="S243" s="1" t="str">
        <f ca="1">IFERROR(__xludf.DUMMYFUNCTION("""COMPUTED_VALUE"""),"Chuyên đề")</f>
        <v>Chuyên đề</v>
      </c>
      <c r="T243" s="1" t="str">
        <f ca="1">IFERROR(__xludf.DUMMYFUNCTION("""COMPUTED_VALUE"""),"Phạm Thị Thu Thủy")</f>
        <v>Phạm Thị Thu Thủy</v>
      </c>
      <c r="U243" s="4">
        <f ca="1">IFERROR(__xludf.DUMMYFUNCTION("""COMPUTED_VALUE"""),45726)</f>
        <v>45726</v>
      </c>
      <c r="V243" s="4">
        <f ca="1">IFERROR(__xludf.DUMMYFUNCTION("""COMPUTED_VALUE"""),45818)</f>
        <v>45818</v>
      </c>
      <c r="W243" s="1"/>
      <c r="X243" s="1"/>
      <c r="Y243" s="1" t="str">
        <f ca="1">IFERROR(__xludf.DUMMYFUNCTION("""COMPUTED_VALUE"""),"KHÔNG DUYỆT")</f>
        <v>KHÔNG DUYỆT</v>
      </c>
      <c r="Z243" s="3">
        <f ca="1">IFERROR(__xludf.DUMMYFUNCTION("""COMPUTED_VALUE"""),45993)</f>
        <v>45993</v>
      </c>
      <c r="AA243" s="1" t="str">
        <f ca="1">IFERROR(__xludf.DUMMYFUNCTION("""COMPUTED_VALUE"""),"Renaissance Hoi An Resort &amp; Spa")</f>
        <v>Renaissance Hoi An Resort &amp; Spa</v>
      </c>
      <c r="AB243" s="1" t="str">
        <f ca="1">IFERROR(__xludf.DUMMYFUNCTION("""COMPUTED_VALUE"""),"Buồng phòng")</f>
        <v>Buồng phòng</v>
      </c>
      <c r="AC243" s="1" t="str">
        <f ca="1">IFERROR(__xludf.DUMMYFUNCTION("""COMPUTED_VALUE"""),"#N/A")</f>
        <v>#N/A</v>
      </c>
      <c r="AD243" s="1" t="str">
        <f ca="1">IFERROR(__xludf.DUMMYFUNCTION("""COMPUTED_VALUE"""),"sinh viên chưa đăng ký vào link đăng ký thực tập.
SV đăng ký link thực tập mới duyệt đơn vị thực tập")</f>
        <v>sinh viên chưa đăng ký vào link đăng ký thực tập.
SV đăng ký link thực tập mới duyệt đơn vị thực tập</v>
      </c>
      <c r="AE243" s="1" t="str">
        <f ca="1">IFERROR(__xludf.DUMMYFUNCTION("""COMPUTED_VALUE"""),"")</f>
        <v/>
      </c>
    </row>
    <row r="244" spans="1:3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row>
    <row r="245" spans="1:3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row>
    <row r="246" spans="1:3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row>
    <row r="247" spans="1:3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row>
    <row r="248" spans="1:3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row>
    <row r="249" spans="1:3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row>
    <row r="250" spans="1:3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row>
    <row r="251" spans="1:3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row>
    <row r="252" spans="1:3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row>
    <row r="253" spans="1:3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row>
    <row r="254" spans="1:3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row>
    <row r="255" spans="1:3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row>
    <row r="256" spans="1:3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row>
    <row r="257" spans="1:3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row>
    <row r="258" spans="1:3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row>
    <row r="259" spans="1:3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row>
    <row r="260" spans="1:3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row>
    <row r="261" spans="1:3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row>
    <row r="262" spans="1:3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row>
    <row r="263" spans="1:3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row>
    <row r="264" spans="1:3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row>
    <row r="265" spans="1:3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row>
    <row r="266" spans="1:3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row>
    <row r="267" spans="1:3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spans="1:3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row r="269" spans="1:3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row>
    <row r="270" spans="1:3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row>
    <row r="271" spans="1:3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row>
    <row r="272" spans="1:3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row>
    <row r="273" spans="1:3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row>
    <row r="274" spans="1:3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row>
    <row r="275" spans="1:3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row>
    <row r="276" spans="1:3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row>
    <row r="277" spans="1:3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row>
    <row r="278" spans="1:3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row>
    <row r="279" spans="1:3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row>
    <row r="280" spans="1:3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row>
    <row r="281" spans="1:3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row>
    <row r="282" spans="1:3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row>
    <row r="283" spans="1:3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row>
    <row r="284" spans="1:3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row>
    <row r="285" spans="1:3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row>
    <row r="286" spans="1:3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row>
    <row r="287" spans="1:3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row>
    <row r="288" spans="1:3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row>
    <row r="289" spans="1:3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row>
    <row r="290" spans="1:3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row>
    <row r="291" spans="1:3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row>
    <row r="292" spans="1:3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row>
    <row r="293" spans="1:3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row>
    <row r="294" spans="1:3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row>
    <row r="295" spans="1:3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row>
    <row r="296" spans="1:3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row>
    <row r="297" spans="1:3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row>
    <row r="298" spans="1:3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row>
    <row r="299" spans="1:3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row>
    <row r="300" spans="1:3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row>
    <row r="301" spans="1:3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row>
    <row r="302" spans="1:3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row>
    <row r="303" spans="1:3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row>
    <row r="304" spans="1:3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row>
    <row r="305" spans="1:3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row>
    <row r="306" spans="1:3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row>
    <row r="307" spans="1:3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row>
    <row r="308" spans="1:3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row>
    <row r="309" spans="1:3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row>
    <row r="310" spans="1:3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row>
    <row r="311" spans="1:3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row>
    <row r="312" spans="1:3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row>
    <row r="313" spans="1:3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row>
    <row r="314" spans="1:3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row>
    <row r="315" spans="1:3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row>
    <row r="316" spans="1:3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row>
    <row r="317" spans="1:3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row>
    <row r="318" spans="1:3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row>
    <row r="319" spans="1:3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row>
    <row r="320" spans="1:3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row>
    <row r="321" spans="1:3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row>
    <row r="322" spans="1:3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row>
    <row r="323" spans="1:3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row>
    <row r="324" spans="1:3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row>
    <row r="325" spans="1:3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row>
    <row r="326" spans="1:3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row>
    <row r="327" spans="1:3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row>
    <row r="328" spans="1:3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row>
    <row r="329" spans="1:3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row>
    <row r="330" spans="1:3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row>
    <row r="331" spans="1:3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spans="1:3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spans="1:3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spans="1:3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row>
    <row r="335" spans="1:3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row>
    <row r="336" spans="1:3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row>
    <row r="337" spans="1:3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spans="1:3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spans="1:3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spans="1:3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row>
    <row r="341" spans="1:3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row>
    <row r="342" spans="1:3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row>
    <row r="343" spans="1:3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D398"/>
  <sheetViews>
    <sheetView topLeftCell="A337" workbookViewId="0">
      <selection activeCell="E10" sqref="E10:F342"/>
    </sheetView>
  </sheetViews>
  <sheetFormatPr defaultColWidth="12.5703125" defaultRowHeight="15.75" customHeight="1" x14ac:dyDescent="0.2"/>
  <cols>
    <col min="2" max="2" width="7.140625" customWidth="1"/>
    <col min="4" max="4" width="6.140625" customWidth="1"/>
    <col min="5" max="5" width="5.140625" customWidth="1"/>
    <col min="6" max="6" width="16.5703125" customWidth="1"/>
    <col min="7" max="7" width="19" customWidth="1"/>
    <col min="8" max="16" width="7" customWidth="1"/>
    <col min="17" max="17" width="10.42578125" customWidth="1"/>
    <col min="18" max="18" width="8.7109375" customWidth="1"/>
    <col min="19" max="21" width="7" customWidth="1"/>
    <col min="22" max="22" width="13.5703125" customWidth="1"/>
    <col min="23" max="23" width="13.140625" customWidth="1"/>
    <col min="24" max="24" width="13" customWidth="1"/>
    <col min="25" max="25" width="31.5703125" customWidth="1"/>
    <col min="26" max="26" width="10.7109375" customWidth="1"/>
    <col min="30" max="30" width="21.85546875" customWidth="1"/>
  </cols>
  <sheetData>
    <row r="1" spans="1:30" ht="15.75" customHeight="1" x14ac:dyDescent="0.25">
      <c r="A1" s="53" t="s">
        <v>636</v>
      </c>
      <c r="B1" s="54"/>
      <c r="C1" s="54"/>
      <c r="D1" s="54"/>
      <c r="E1" s="54"/>
      <c r="F1" s="54"/>
      <c r="G1" s="55"/>
      <c r="H1" s="7"/>
      <c r="I1" s="7"/>
      <c r="J1" s="7"/>
      <c r="K1" s="7"/>
      <c r="L1" s="7"/>
      <c r="M1" s="7"/>
      <c r="N1" s="8"/>
      <c r="O1" s="7"/>
      <c r="P1" s="7"/>
      <c r="Q1" s="7"/>
      <c r="R1" s="7"/>
      <c r="S1" s="7"/>
      <c r="T1" s="7"/>
      <c r="U1" s="7"/>
      <c r="V1" s="7"/>
      <c r="W1" s="7"/>
      <c r="X1" s="7"/>
      <c r="Y1" s="7"/>
      <c r="Z1" s="7"/>
      <c r="AA1" s="7"/>
      <c r="AB1" s="7"/>
      <c r="AC1" s="7"/>
      <c r="AD1" s="7"/>
    </row>
    <row r="2" spans="1:30" ht="15.75" customHeight="1" x14ac:dyDescent="0.25">
      <c r="A2" s="56"/>
      <c r="B2" s="57"/>
      <c r="C2" s="57"/>
      <c r="D2" s="57"/>
      <c r="E2" s="57"/>
      <c r="F2" s="57"/>
      <c r="G2" s="58"/>
      <c r="H2" s="7"/>
      <c r="I2" s="7"/>
      <c r="J2" s="7"/>
      <c r="K2" s="7"/>
      <c r="L2" s="7"/>
      <c r="M2" s="7"/>
      <c r="N2" s="8"/>
      <c r="O2" s="7"/>
      <c r="P2" s="7"/>
      <c r="Q2" s="7"/>
      <c r="R2" s="7"/>
      <c r="S2" s="7"/>
      <c r="T2" s="7"/>
      <c r="U2" s="7"/>
      <c r="V2" s="7"/>
      <c r="W2" s="7"/>
      <c r="X2" s="7"/>
      <c r="Y2" s="7"/>
      <c r="Z2" s="7"/>
      <c r="AA2" s="7"/>
      <c r="AB2" s="7"/>
      <c r="AC2" s="7"/>
      <c r="AD2" s="7"/>
    </row>
    <row r="3" spans="1:30" ht="15.75" customHeight="1" x14ac:dyDescent="0.25">
      <c r="A3" s="56"/>
      <c r="B3" s="57"/>
      <c r="C3" s="57"/>
      <c r="D3" s="57"/>
      <c r="E3" s="57"/>
      <c r="F3" s="57"/>
      <c r="G3" s="58"/>
      <c r="H3" s="62" t="s">
        <v>637</v>
      </c>
      <c r="I3" s="7"/>
      <c r="J3" s="7"/>
      <c r="K3" s="7"/>
      <c r="L3" s="7"/>
      <c r="M3" s="7"/>
      <c r="N3" s="8"/>
      <c r="O3" s="7"/>
      <c r="P3" s="7"/>
      <c r="Q3" s="7"/>
      <c r="R3" s="7"/>
      <c r="S3" s="7"/>
      <c r="T3" s="7"/>
      <c r="U3" s="7"/>
      <c r="V3" s="7"/>
      <c r="W3" s="7"/>
      <c r="X3" s="7"/>
      <c r="Y3" s="7"/>
      <c r="Z3" s="7"/>
      <c r="AA3" s="7"/>
      <c r="AB3" s="7"/>
      <c r="AC3" s="7"/>
      <c r="AD3" s="7"/>
    </row>
    <row r="4" spans="1:30" ht="15.75" customHeight="1" x14ac:dyDescent="0.25">
      <c r="A4" s="59"/>
      <c r="B4" s="60"/>
      <c r="C4" s="60"/>
      <c r="D4" s="60"/>
      <c r="E4" s="60"/>
      <c r="F4" s="60"/>
      <c r="G4" s="61"/>
      <c r="H4" s="63"/>
      <c r="I4" s="7"/>
      <c r="J4" s="7"/>
      <c r="K4" s="7"/>
      <c r="L4" s="7"/>
      <c r="M4" s="7"/>
      <c r="N4" s="8"/>
      <c r="O4" s="7"/>
      <c r="P4" s="7"/>
      <c r="Q4" s="7"/>
      <c r="R4" s="7"/>
      <c r="S4" s="7"/>
      <c r="T4" s="7"/>
      <c r="U4" s="7"/>
      <c r="V4" s="7"/>
      <c r="W4" s="7"/>
      <c r="X4" s="7"/>
      <c r="Y4" s="7"/>
      <c r="Z4" s="7"/>
      <c r="AA4" s="7"/>
      <c r="AB4" s="7"/>
      <c r="AC4" s="7"/>
      <c r="AD4" s="7"/>
    </row>
    <row r="5" spans="1:30" ht="15.75" customHeight="1" x14ac:dyDescent="0.25">
      <c r="A5" s="9"/>
      <c r="B5" s="10"/>
      <c r="C5" s="10"/>
      <c r="D5" s="10"/>
      <c r="E5" s="10"/>
      <c r="F5" s="10"/>
      <c r="G5" s="10"/>
      <c r="H5" s="10" t="s">
        <v>637</v>
      </c>
      <c r="I5" s="7"/>
      <c r="J5" s="7"/>
      <c r="K5" s="7"/>
      <c r="L5" s="7"/>
      <c r="M5" s="11">
        <v>0</v>
      </c>
      <c r="N5" s="12">
        <v>0</v>
      </c>
      <c r="O5" s="11">
        <v>0</v>
      </c>
      <c r="P5" s="11">
        <v>0</v>
      </c>
      <c r="Q5" s="11">
        <v>0</v>
      </c>
      <c r="R5" s="11">
        <v>0</v>
      </c>
      <c r="S5" s="11">
        <v>0</v>
      </c>
      <c r="T5" s="7"/>
      <c r="U5" s="7"/>
      <c r="V5" s="7"/>
      <c r="W5" s="7"/>
      <c r="X5" s="7"/>
      <c r="Y5" s="7"/>
      <c r="Z5" s="7"/>
      <c r="AA5" s="13"/>
      <c r="AB5" s="13"/>
      <c r="AC5" s="13"/>
      <c r="AD5" s="13"/>
    </row>
    <row r="6" spans="1:30" ht="15.75" customHeight="1" x14ac:dyDescent="0.25">
      <c r="A6" s="9"/>
      <c r="B6" s="10"/>
      <c r="C6" s="10"/>
      <c r="D6" s="10"/>
      <c r="E6" s="10"/>
      <c r="F6" s="10"/>
      <c r="G6" s="10"/>
      <c r="H6" s="10" t="s">
        <v>638</v>
      </c>
      <c r="I6" s="14" t="s">
        <v>639</v>
      </c>
      <c r="J6" s="14" t="s">
        <v>640</v>
      </c>
      <c r="K6" s="14" t="s">
        <v>641</v>
      </c>
      <c r="L6" s="14" t="s">
        <v>642</v>
      </c>
      <c r="M6" s="14" t="s">
        <v>643</v>
      </c>
      <c r="N6" s="15" t="s">
        <v>644</v>
      </c>
      <c r="O6" s="14" t="s">
        <v>645</v>
      </c>
      <c r="P6" s="14" t="s">
        <v>646</v>
      </c>
      <c r="Q6" s="14" t="s">
        <v>647</v>
      </c>
      <c r="R6" s="14" t="s">
        <v>648</v>
      </c>
      <c r="S6" s="14" t="s">
        <v>649</v>
      </c>
      <c r="T6" s="14" t="s">
        <v>650</v>
      </c>
      <c r="U6" s="14" t="s">
        <v>651</v>
      </c>
      <c r="V6" s="14"/>
      <c r="W6" s="14" t="s">
        <v>652</v>
      </c>
      <c r="X6" s="2" t="s">
        <v>17</v>
      </c>
      <c r="Y6" s="14"/>
      <c r="Z6" s="14"/>
      <c r="AA6" s="16"/>
      <c r="AB6" s="13"/>
      <c r="AC6" s="13"/>
      <c r="AD6" s="13"/>
    </row>
    <row r="7" spans="1:30" ht="15.75" customHeight="1" x14ac:dyDescent="0.25">
      <c r="A7" s="9"/>
      <c r="B7" s="10"/>
      <c r="C7" s="10"/>
      <c r="D7" s="10"/>
      <c r="E7" s="10"/>
      <c r="F7" s="10"/>
      <c r="G7" s="10"/>
      <c r="H7" s="10"/>
      <c r="I7" s="7"/>
      <c r="J7" s="7"/>
      <c r="K7" s="7"/>
      <c r="L7" s="7"/>
      <c r="M7" s="7"/>
      <c r="N7" s="8"/>
      <c r="O7" s="7"/>
      <c r="P7" s="7"/>
      <c r="Q7" s="7"/>
      <c r="R7" s="7"/>
      <c r="S7" s="7"/>
      <c r="T7" s="7"/>
      <c r="U7" s="7"/>
      <c r="V7" s="7"/>
      <c r="W7" s="7"/>
      <c r="X7" s="7"/>
      <c r="Y7" s="7"/>
      <c r="Z7" s="7"/>
      <c r="AA7" s="17">
        <v>28</v>
      </c>
      <c r="AB7" s="18"/>
      <c r="AC7" s="19"/>
      <c r="AD7" s="19"/>
    </row>
    <row r="8" spans="1:30" ht="15.75" customHeight="1" x14ac:dyDescent="0.25">
      <c r="A8" s="20">
        <v>1</v>
      </c>
      <c r="B8" s="21">
        <v>2</v>
      </c>
      <c r="C8" s="21">
        <v>3</v>
      </c>
      <c r="D8" s="21">
        <v>4</v>
      </c>
      <c r="E8" s="21">
        <v>5</v>
      </c>
      <c r="F8" s="21">
        <v>6</v>
      </c>
      <c r="G8" s="21">
        <v>7</v>
      </c>
      <c r="H8" s="21">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c r="Z8" s="22">
        <v>26</v>
      </c>
      <c r="AA8" s="13"/>
      <c r="AB8" s="13"/>
      <c r="AC8" s="13"/>
      <c r="AD8" s="13"/>
    </row>
    <row r="9" spans="1:30" ht="15.75" customHeight="1" x14ac:dyDescent="0.25">
      <c r="A9" s="23" t="s">
        <v>653</v>
      </c>
      <c r="B9" s="24" t="s">
        <v>654</v>
      </c>
      <c r="C9" s="24" t="s">
        <v>655</v>
      </c>
      <c r="D9" s="24" t="s">
        <v>432</v>
      </c>
      <c r="E9" s="24" t="s">
        <v>433</v>
      </c>
      <c r="F9" s="24" t="s">
        <v>434</v>
      </c>
      <c r="G9" s="24" t="s">
        <v>656</v>
      </c>
      <c r="H9" s="24">
        <v>2</v>
      </c>
      <c r="I9" s="7"/>
      <c r="J9" s="7"/>
      <c r="K9" s="7"/>
      <c r="L9" s="7"/>
      <c r="M9" s="7"/>
      <c r="N9" s="8"/>
      <c r="O9" s="7"/>
      <c r="P9" s="7"/>
      <c r="Q9" s="7"/>
      <c r="R9" s="7"/>
      <c r="S9" s="7"/>
      <c r="T9" s="7"/>
      <c r="U9" s="7"/>
      <c r="V9" s="7"/>
      <c r="W9" s="7"/>
      <c r="X9" s="7"/>
      <c r="Y9" s="7"/>
      <c r="Z9" s="7"/>
      <c r="AA9" s="13" t="s">
        <v>657</v>
      </c>
      <c r="AB9" s="13"/>
      <c r="AC9" s="25" t="s">
        <v>658</v>
      </c>
      <c r="AD9" s="25" t="s">
        <v>659</v>
      </c>
    </row>
    <row r="10" spans="1:30" ht="15.75" customHeight="1" x14ac:dyDescent="0.25">
      <c r="A10" s="26">
        <v>25217107442</v>
      </c>
      <c r="B10" s="27" t="s">
        <v>660</v>
      </c>
      <c r="C10" s="27" t="s">
        <v>509</v>
      </c>
      <c r="D10" s="27" t="s">
        <v>436</v>
      </c>
      <c r="E10" s="28"/>
      <c r="F10" s="27"/>
      <c r="G10" s="27" t="s">
        <v>661</v>
      </c>
      <c r="H10" s="29">
        <v>6.8</v>
      </c>
      <c r="I10" s="30">
        <v>108</v>
      </c>
      <c r="J10" s="30">
        <v>15</v>
      </c>
      <c r="K10" s="30">
        <v>0</v>
      </c>
      <c r="L10" s="30">
        <v>123</v>
      </c>
      <c r="M10" s="30">
        <v>5.56</v>
      </c>
      <c r="N10" s="31">
        <v>2.13</v>
      </c>
      <c r="O10" s="32">
        <v>0.122</v>
      </c>
      <c r="P10" s="30"/>
      <c r="Q10" s="30"/>
      <c r="R10" s="30"/>
      <c r="S10" s="30" t="s">
        <v>610</v>
      </c>
      <c r="T10" s="32"/>
      <c r="U10" s="30">
        <v>13</v>
      </c>
      <c r="V10" s="30" t="s">
        <v>662</v>
      </c>
      <c r="W10" s="30"/>
      <c r="X10" s="30"/>
      <c r="Y10" s="30" t="s">
        <v>493</v>
      </c>
      <c r="Z10" s="30">
        <v>27</v>
      </c>
      <c r="AA10" s="7" t="e">
        <v>#N/A</v>
      </c>
      <c r="AB10" s="7"/>
      <c r="AC10" s="7"/>
      <c r="AD10" s="7"/>
    </row>
    <row r="11" spans="1:30" ht="15.75" customHeight="1" x14ac:dyDescent="0.25">
      <c r="A11" s="26">
        <v>27207101317</v>
      </c>
      <c r="B11" s="27" t="s">
        <v>631</v>
      </c>
      <c r="C11" s="27" t="s">
        <v>609</v>
      </c>
      <c r="D11" s="27" t="s">
        <v>484</v>
      </c>
      <c r="E11" s="28"/>
      <c r="F11" s="27"/>
      <c r="G11" s="27" t="s">
        <v>661</v>
      </c>
      <c r="H11" s="29">
        <v>7.8</v>
      </c>
      <c r="I11" s="29">
        <v>108</v>
      </c>
      <c r="J11" s="29">
        <v>15</v>
      </c>
      <c r="K11" s="29">
        <v>0</v>
      </c>
      <c r="L11" s="29">
        <v>123</v>
      </c>
      <c r="M11" s="29">
        <v>6.11</v>
      </c>
      <c r="N11" s="33">
        <v>2.5099999999999998</v>
      </c>
      <c r="O11" s="34">
        <v>0.122</v>
      </c>
      <c r="P11" s="29"/>
      <c r="Q11" s="29" t="s">
        <v>610</v>
      </c>
      <c r="R11" s="29" t="s">
        <v>610</v>
      </c>
      <c r="S11" s="29" t="s">
        <v>610</v>
      </c>
      <c r="T11" s="34"/>
      <c r="U11" s="29">
        <v>0</v>
      </c>
      <c r="V11" s="29" t="s">
        <v>662</v>
      </c>
      <c r="W11" s="29"/>
      <c r="X11" s="29"/>
      <c r="Y11" s="30" t="s">
        <v>493</v>
      </c>
      <c r="Z11" s="30">
        <v>27</v>
      </c>
      <c r="AA11" s="7" t="e">
        <v>#N/A</v>
      </c>
      <c r="AB11" s="7"/>
      <c r="AC11" s="7"/>
      <c r="AD11" s="7"/>
    </row>
    <row r="12" spans="1:30" ht="15.75" customHeight="1" x14ac:dyDescent="0.25">
      <c r="A12" s="26">
        <v>27207101729</v>
      </c>
      <c r="B12" s="27" t="s">
        <v>631</v>
      </c>
      <c r="C12" s="27" t="s">
        <v>460</v>
      </c>
      <c r="D12" s="27" t="s">
        <v>484</v>
      </c>
      <c r="E12" s="28"/>
      <c r="F12" s="27"/>
      <c r="G12" s="27" t="s">
        <v>661</v>
      </c>
      <c r="H12" s="29">
        <v>6.2</v>
      </c>
      <c r="I12" s="29">
        <v>56</v>
      </c>
      <c r="J12" s="29">
        <v>67</v>
      </c>
      <c r="K12" s="29">
        <v>0</v>
      </c>
      <c r="L12" s="29">
        <v>123</v>
      </c>
      <c r="M12" s="29">
        <v>2.91</v>
      </c>
      <c r="N12" s="33">
        <v>1.1100000000000001</v>
      </c>
      <c r="O12" s="34">
        <v>0.54500000000000004</v>
      </c>
      <c r="P12" s="29"/>
      <c r="Q12" s="29"/>
      <c r="R12" s="29" t="s">
        <v>610</v>
      </c>
      <c r="S12" s="29" t="s">
        <v>610</v>
      </c>
      <c r="T12" s="34"/>
      <c r="U12" s="29">
        <v>12</v>
      </c>
      <c r="V12" s="29" t="s">
        <v>662</v>
      </c>
      <c r="W12" s="29"/>
      <c r="X12" s="29"/>
      <c r="Y12" s="30" t="s">
        <v>493</v>
      </c>
      <c r="Z12" s="30">
        <v>27</v>
      </c>
      <c r="AA12" s="7" t="e">
        <v>#N/A</v>
      </c>
      <c r="AB12" s="7"/>
      <c r="AC12" s="7"/>
      <c r="AD12" s="7"/>
    </row>
    <row r="13" spans="1:30" ht="15.75" customHeight="1" x14ac:dyDescent="0.25">
      <c r="A13" s="26">
        <v>27207102890</v>
      </c>
      <c r="B13" s="27" t="s">
        <v>663</v>
      </c>
      <c r="C13" s="27" t="s">
        <v>664</v>
      </c>
      <c r="D13" s="27" t="s">
        <v>484</v>
      </c>
      <c r="E13" s="28"/>
      <c r="F13" s="27"/>
      <c r="G13" s="27" t="s">
        <v>661</v>
      </c>
      <c r="H13" s="29">
        <v>7</v>
      </c>
      <c r="I13" s="29">
        <v>120</v>
      </c>
      <c r="J13" s="29">
        <v>3</v>
      </c>
      <c r="K13" s="29">
        <v>0</v>
      </c>
      <c r="L13" s="29">
        <v>123</v>
      </c>
      <c r="M13" s="29">
        <v>6.66</v>
      </c>
      <c r="N13" s="33">
        <v>2.67</v>
      </c>
      <c r="O13" s="34">
        <v>2.4E-2</v>
      </c>
      <c r="P13" s="29"/>
      <c r="Q13" s="29"/>
      <c r="R13" s="29" t="s">
        <v>610</v>
      </c>
      <c r="S13" s="29" t="s">
        <v>610</v>
      </c>
      <c r="T13" s="34"/>
      <c r="U13" s="29">
        <v>3</v>
      </c>
      <c r="V13" s="29" t="s">
        <v>665</v>
      </c>
      <c r="W13" s="29"/>
      <c r="X13" s="29"/>
      <c r="Y13" s="30" t="s">
        <v>493</v>
      </c>
      <c r="Z13" s="30">
        <v>27</v>
      </c>
      <c r="AA13" s="7" t="e">
        <v>#N/A</v>
      </c>
      <c r="AB13" s="7" t="e">
        <v>#N/A</v>
      </c>
      <c r="AC13" s="7" t="s">
        <v>63</v>
      </c>
      <c r="AD13" s="7" t="s">
        <v>565</v>
      </c>
    </row>
    <row r="14" spans="1:30" ht="15.75" customHeight="1" x14ac:dyDescent="0.25">
      <c r="A14" s="26">
        <v>27207127979</v>
      </c>
      <c r="B14" s="27" t="s">
        <v>586</v>
      </c>
      <c r="C14" s="27" t="s">
        <v>666</v>
      </c>
      <c r="D14" s="27" t="s">
        <v>484</v>
      </c>
      <c r="E14" s="28"/>
      <c r="F14" s="27"/>
      <c r="G14" s="27" t="s">
        <v>661</v>
      </c>
      <c r="H14" s="29">
        <v>6.6</v>
      </c>
      <c r="I14" s="29">
        <v>107</v>
      </c>
      <c r="J14" s="29">
        <v>17</v>
      </c>
      <c r="K14" s="29">
        <v>0</v>
      </c>
      <c r="L14" s="29">
        <v>124</v>
      </c>
      <c r="M14" s="29">
        <v>5.42</v>
      </c>
      <c r="N14" s="33">
        <v>2.08</v>
      </c>
      <c r="O14" s="34">
        <v>0.13700000000000001</v>
      </c>
      <c r="P14" s="29"/>
      <c r="Q14" s="29"/>
      <c r="R14" s="29"/>
      <c r="S14" s="29" t="s">
        <v>610</v>
      </c>
      <c r="T14" s="34"/>
      <c r="U14" s="29">
        <v>9</v>
      </c>
      <c r="V14" s="29" t="s">
        <v>662</v>
      </c>
      <c r="W14" s="29"/>
      <c r="X14" s="29"/>
      <c r="Y14" s="30" t="s">
        <v>493</v>
      </c>
      <c r="Z14" s="30">
        <v>27</v>
      </c>
      <c r="AA14" s="7" t="e">
        <v>#N/A</v>
      </c>
      <c r="AB14" s="7"/>
      <c r="AC14" s="7"/>
      <c r="AD14" s="7"/>
    </row>
    <row r="15" spans="1:30" ht="15.75" customHeight="1" x14ac:dyDescent="0.25">
      <c r="A15" s="26">
        <v>27207140924</v>
      </c>
      <c r="B15" s="27" t="s">
        <v>667</v>
      </c>
      <c r="C15" s="27" t="s">
        <v>668</v>
      </c>
      <c r="D15" s="27" t="s">
        <v>484</v>
      </c>
      <c r="E15" s="28"/>
      <c r="F15" s="27"/>
      <c r="G15" s="27" t="s">
        <v>661</v>
      </c>
      <c r="H15" s="29">
        <v>8.3000000000000007</v>
      </c>
      <c r="I15" s="29">
        <v>81</v>
      </c>
      <c r="J15" s="29">
        <v>42</v>
      </c>
      <c r="K15" s="29">
        <v>0</v>
      </c>
      <c r="L15" s="29">
        <v>123</v>
      </c>
      <c r="M15" s="29">
        <v>4.3</v>
      </c>
      <c r="N15" s="33">
        <v>1.68</v>
      </c>
      <c r="O15" s="34">
        <v>0.34100000000000003</v>
      </c>
      <c r="P15" s="29"/>
      <c r="Q15" s="29"/>
      <c r="R15" s="29"/>
      <c r="S15" s="29" t="s">
        <v>610</v>
      </c>
      <c r="T15" s="34"/>
      <c r="U15" s="29">
        <v>15</v>
      </c>
      <c r="V15" s="29" t="s">
        <v>662</v>
      </c>
      <c r="W15" s="29"/>
      <c r="X15" s="29"/>
      <c r="Y15" s="30" t="s">
        <v>493</v>
      </c>
      <c r="Z15" s="30">
        <v>27</v>
      </c>
      <c r="AA15" s="7" t="e">
        <v>#N/A</v>
      </c>
      <c r="AB15" s="7"/>
      <c r="AC15" s="7"/>
      <c r="AD15" s="7"/>
    </row>
    <row r="16" spans="1:30" ht="15.75" customHeight="1" x14ac:dyDescent="0.25">
      <c r="A16" s="26">
        <v>27207600030</v>
      </c>
      <c r="B16" s="27" t="s">
        <v>631</v>
      </c>
      <c r="C16" s="27" t="s">
        <v>579</v>
      </c>
      <c r="D16" s="27" t="s">
        <v>484</v>
      </c>
      <c r="E16" s="28"/>
      <c r="F16" s="27"/>
      <c r="G16" s="27" t="s">
        <v>661</v>
      </c>
      <c r="H16" s="29">
        <v>8.6</v>
      </c>
      <c r="I16" s="29">
        <v>111</v>
      </c>
      <c r="J16" s="29">
        <v>12</v>
      </c>
      <c r="K16" s="29">
        <v>0</v>
      </c>
      <c r="L16" s="29">
        <v>123</v>
      </c>
      <c r="M16" s="29">
        <v>7.4</v>
      </c>
      <c r="N16" s="33">
        <v>3.19</v>
      </c>
      <c r="O16" s="34">
        <v>9.8000000000000004E-2</v>
      </c>
      <c r="P16" s="29"/>
      <c r="Q16" s="29"/>
      <c r="R16" s="29" t="s">
        <v>610</v>
      </c>
      <c r="S16" s="29" t="s">
        <v>610</v>
      </c>
      <c r="T16" s="34"/>
      <c r="U16" s="29">
        <v>12</v>
      </c>
      <c r="V16" s="29" t="s">
        <v>662</v>
      </c>
      <c r="W16" s="29"/>
      <c r="X16" s="29"/>
      <c r="Y16" s="30" t="s">
        <v>493</v>
      </c>
      <c r="Z16" s="30">
        <v>27</v>
      </c>
      <c r="AA16" s="7" t="e">
        <v>#N/A</v>
      </c>
      <c r="AB16" s="7"/>
      <c r="AC16" s="7"/>
      <c r="AD16" s="7"/>
    </row>
    <row r="17" spans="1:30" ht="15.75" customHeight="1" x14ac:dyDescent="0.25">
      <c r="A17" s="26">
        <v>27217101082</v>
      </c>
      <c r="B17" s="27" t="s">
        <v>531</v>
      </c>
      <c r="C17" s="27" t="s">
        <v>554</v>
      </c>
      <c r="D17" s="27" t="s">
        <v>484</v>
      </c>
      <c r="E17" s="28"/>
      <c r="F17" s="27"/>
      <c r="G17" s="27" t="s">
        <v>661</v>
      </c>
      <c r="H17" s="29">
        <v>6.8</v>
      </c>
      <c r="I17" s="29">
        <v>121</v>
      </c>
      <c r="J17" s="29">
        <v>3</v>
      </c>
      <c r="K17" s="29">
        <v>0</v>
      </c>
      <c r="L17" s="29">
        <v>124</v>
      </c>
      <c r="M17" s="29">
        <v>6.57</v>
      </c>
      <c r="N17" s="33">
        <v>2.65</v>
      </c>
      <c r="O17" s="34">
        <v>2.4E-2</v>
      </c>
      <c r="P17" s="29"/>
      <c r="Q17" s="29"/>
      <c r="R17" s="29" t="s">
        <v>610</v>
      </c>
      <c r="S17" s="29" t="s">
        <v>610</v>
      </c>
      <c r="T17" s="34"/>
      <c r="U17" s="29">
        <v>3</v>
      </c>
      <c r="V17" s="29" t="s">
        <v>665</v>
      </c>
      <c r="W17" s="29"/>
      <c r="X17" s="29"/>
      <c r="Y17" s="30" t="s">
        <v>493</v>
      </c>
      <c r="Z17" s="30">
        <v>27</v>
      </c>
      <c r="AA17" s="7" t="s">
        <v>805</v>
      </c>
      <c r="AB17" s="7"/>
      <c r="AC17" s="7"/>
      <c r="AD17" s="7"/>
    </row>
    <row r="18" spans="1:30" ht="15.75" customHeight="1" x14ac:dyDescent="0.25">
      <c r="A18" s="26">
        <v>27217128739</v>
      </c>
      <c r="B18" s="27" t="s">
        <v>531</v>
      </c>
      <c r="C18" s="27" t="s">
        <v>669</v>
      </c>
      <c r="D18" s="27" t="s">
        <v>484</v>
      </c>
      <c r="E18" s="28"/>
      <c r="F18" s="27"/>
      <c r="G18" s="27" t="s">
        <v>661</v>
      </c>
      <c r="H18" s="29">
        <v>9.3000000000000007</v>
      </c>
      <c r="I18" s="29">
        <v>124</v>
      </c>
      <c r="J18" s="29">
        <v>0</v>
      </c>
      <c r="K18" s="29">
        <v>0</v>
      </c>
      <c r="L18" s="29">
        <v>124</v>
      </c>
      <c r="M18" s="29">
        <v>8.4600000000000009</v>
      </c>
      <c r="N18" s="33">
        <v>3.67</v>
      </c>
      <c r="O18" s="34">
        <v>0</v>
      </c>
      <c r="P18" s="29"/>
      <c r="Q18" s="29"/>
      <c r="R18" s="29" t="s">
        <v>610</v>
      </c>
      <c r="S18" s="29" t="s">
        <v>610</v>
      </c>
      <c r="T18" s="34"/>
      <c r="U18" s="29">
        <v>0</v>
      </c>
      <c r="V18" s="29" t="s">
        <v>665</v>
      </c>
      <c r="W18" s="29"/>
      <c r="X18" s="30" t="s">
        <v>23</v>
      </c>
      <c r="Y18" s="30" t="s">
        <v>493</v>
      </c>
      <c r="Z18" s="30">
        <v>27</v>
      </c>
      <c r="AA18" s="7" t="s">
        <v>806</v>
      </c>
      <c r="AB18" s="7"/>
      <c r="AC18" s="7"/>
      <c r="AD18" s="7"/>
    </row>
    <row r="19" spans="1:30" ht="15.75" customHeight="1" x14ac:dyDescent="0.25">
      <c r="A19" s="26">
        <v>27217129959</v>
      </c>
      <c r="B19" s="27" t="s">
        <v>663</v>
      </c>
      <c r="C19" s="27" t="s">
        <v>611</v>
      </c>
      <c r="D19" s="27" t="s">
        <v>484</v>
      </c>
      <c r="E19" s="28"/>
      <c r="F19" s="27"/>
      <c r="G19" s="27" t="s">
        <v>661</v>
      </c>
      <c r="H19" s="29">
        <v>8.1999999999999993</v>
      </c>
      <c r="I19" s="29">
        <v>115</v>
      </c>
      <c r="J19" s="29">
        <v>8</v>
      </c>
      <c r="K19" s="29">
        <v>0</v>
      </c>
      <c r="L19" s="29">
        <v>123</v>
      </c>
      <c r="M19" s="29">
        <v>5.89</v>
      </c>
      <c r="N19" s="33">
        <v>2.2799999999999998</v>
      </c>
      <c r="O19" s="34">
        <v>6.5000000000000002E-2</v>
      </c>
      <c r="P19" s="29"/>
      <c r="Q19" s="29"/>
      <c r="R19" s="29" t="s">
        <v>610</v>
      </c>
      <c r="S19" s="29" t="s">
        <v>610</v>
      </c>
      <c r="T19" s="34"/>
      <c r="U19" s="29">
        <v>5</v>
      </c>
      <c r="V19" s="29" t="s">
        <v>662</v>
      </c>
      <c r="W19" s="29"/>
      <c r="X19" s="29"/>
      <c r="Y19" s="30" t="s">
        <v>493</v>
      </c>
      <c r="Z19" s="30">
        <v>27</v>
      </c>
      <c r="AA19" s="7" t="e">
        <v>#N/A</v>
      </c>
      <c r="AB19" s="7"/>
      <c r="AC19" s="7"/>
      <c r="AD19" s="7"/>
    </row>
    <row r="20" spans="1:30" ht="15.75" customHeight="1" x14ac:dyDescent="0.25">
      <c r="A20" s="26">
        <v>27217130749</v>
      </c>
      <c r="B20" s="27" t="s">
        <v>670</v>
      </c>
      <c r="C20" s="27" t="s">
        <v>671</v>
      </c>
      <c r="D20" s="27" t="s">
        <v>484</v>
      </c>
      <c r="E20" s="28"/>
      <c r="F20" s="27"/>
      <c r="G20" s="27" t="s">
        <v>661</v>
      </c>
      <c r="H20" s="29">
        <v>9</v>
      </c>
      <c r="I20" s="29">
        <v>124</v>
      </c>
      <c r="J20" s="29">
        <v>0</v>
      </c>
      <c r="K20" s="29">
        <v>0</v>
      </c>
      <c r="L20" s="29">
        <v>124</v>
      </c>
      <c r="M20" s="29">
        <v>8.0299999999999994</v>
      </c>
      <c r="N20" s="33">
        <v>3.41</v>
      </c>
      <c r="O20" s="34">
        <v>0</v>
      </c>
      <c r="P20" s="29"/>
      <c r="Q20" s="29" t="s">
        <v>610</v>
      </c>
      <c r="R20" s="29" t="s">
        <v>610</v>
      </c>
      <c r="S20" s="29" t="s">
        <v>610</v>
      </c>
      <c r="T20" s="34"/>
      <c r="U20" s="29">
        <v>0</v>
      </c>
      <c r="V20" s="29" t="s">
        <v>665</v>
      </c>
      <c r="W20" s="29"/>
      <c r="X20" s="30" t="s">
        <v>23</v>
      </c>
      <c r="Y20" s="30" t="s">
        <v>493</v>
      </c>
      <c r="Z20" s="30">
        <v>27</v>
      </c>
      <c r="AA20" s="7" t="s">
        <v>807</v>
      </c>
      <c r="AB20" s="7"/>
      <c r="AC20" s="7"/>
      <c r="AD20" s="7"/>
    </row>
    <row r="21" spans="1:30" ht="15.75" customHeight="1" x14ac:dyDescent="0.25">
      <c r="A21" s="26">
        <v>27217144395</v>
      </c>
      <c r="B21" s="27" t="s">
        <v>663</v>
      </c>
      <c r="C21" s="27" t="s">
        <v>672</v>
      </c>
      <c r="D21" s="27" t="s">
        <v>484</v>
      </c>
      <c r="E21" s="28"/>
      <c r="F21" s="27"/>
      <c r="G21" s="27" t="s">
        <v>661</v>
      </c>
      <c r="H21" s="29">
        <v>8.5</v>
      </c>
      <c r="I21" s="29">
        <v>124</v>
      </c>
      <c r="J21" s="29">
        <v>0</v>
      </c>
      <c r="K21" s="29">
        <v>0</v>
      </c>
      <c r="L21" s="29">
        <v>124</v>
      </c>
      <c r="M21" s="29">
        <v>7.18</v>
      </c>
      <c r="N21" s="33">
        <v>2.98</v>
      </c>
      <c r="O21" s="34">
        <v>0</v>
      </c>
      <c r="P21" s="29"/>
      <c r="Q21" s="29"/>
      <c r="R21" s="29" t="s">
        <v>610</v>
      </c>
      <c r="S21" s="29" t="s">
        <v>610</v>
      </c>
      <c r="T21" s="34"/>
      <c r="U21" s="29">
        <v>0</v>
      </c>
      <c r="V21" s="29" t="s">
        <v>665</v>
      </c>
      <c r="W21" s="29"/>
      <c r="X21" s="29"/>
      <c r="Y21" s="30" t="s">
        <v>493</v>
      </c>
      <c r="Z21" s="30">
        <v>27</v>
      </c>
      <c r="AA21" s="7" t="s">
        <v>808</v>
      </c>
      <c r="AB21" s="7"/>
      <c r="AC21" s="7"/>
      <c r="AD21" s="7"/>
    </row>
    <row r="22" spans="1:30" ht="15.75" customHeight="1" x14ac:dyDescent="0.25">
      <c r="A22" s="26">
        <v>27217146062</v>
      </c>
      <c r="B22" s="27" t="s">
        <v>499</v>
      </c>
      <c r="C22" s="27" t="s">
        <v>613</v>
      </c>
      <c r="D22" s="27" t="s">
        <v>484</v>
      </c>
      <c r="E22" s="28"/>
      <c r="F22" s="27"/>
      <c r="G22" s="27" t="s">
        <v>661</v>
      </c>
      <c r="H22" s="29">
        <v>7.8</v>
      </c>
      <c r="I22" s="29">
        <v>118</v>
      </c>
      <c r="J22" s="29">
        <v>6</v>
      </c>
      <c r="K22" s="29">
        <v>0</v>
      </c>
      <c r="L22" s="29">
        <v>124</v>
      </c>
      <c r="M22" s="29">
        <v>6.95</v>
      </c>
      <c r="N22" s="33">
        <v>2.87</v>
      </c>
      <c r="O22" s="34">
        <v>4.8000000000000001E-2</v>
      </c>
      <c r="P22" s="29"/>
      <c r="Q22" s="29"/>
      <c r="R22" s="29" t="s">
        <v>610</v>
      </c>
      <c r="S22" s="29" t="s">
        <v>610</v>
      </c>
      <c r="T22" s="34"/>
      <c r="U22" s="29">
        <v>6</v>
      </c>
      <c r="V22" s="29" t="s">
        <v>665</v>
      </c>
      <c r="W22" s="29"/>
      <c r="X22" s="29"/>
      <c r="Y22" s="30" t="s">
        <v>493</v>
      </c>
      <c r="Z22" s="30">
        <v>27</v>
      </c>
      <c r="AA22" s="7" t="s">
        <v>809</v>
      </c>
      <c r="AB22" s="7"/>
      <c r="AC22" s="7"/>
      <c r="AD22" s="7"/>
    </row>
    <row r="23" spans="1:30" ht="15.75" customHeight="1" x14ac:dyDescent="0.25">
      <c r="A23" s="26">
        <v>27217100835</v>
      </c>
      <c r="B23" s="27" t="s">
        <v>531</v>
      </c>
      <c r="C23" s="27" t="s">
        <v>673</v>
      </c>
      <c r="D23" s="27" t="s">
        <v>566</v>
      </c>
      <c r="E23" s="28"/>
      <c r="F23" s="27"/>
      <c r="G23" s="27" t="s">
        <v>661</v>
      </c>
      <c r="H23" s="29">
        <v>5.9</v>
      </c>
      <c r="I23" s="29">
        <v>95</v>
      </c>
      <c r="J23" s="29">
        <v>30</v>
      </c>
      <c r="K23" s="29">
        <v>0</v>
      </c>
      <c r="L23" s="29">
        <v>125</v>
      </c>
      <c r="M23" s="29">
        <v>4.4400000000000004</v>
      </c>
      <c r="N23" s="33">
        <v>1.63</v>
      </c>
      <c r="O23" s="34">
        <v>0.24</v>
      </c>
      <c r="P23" s="29"/>
      <c r="Q23" s="29"/>
      <c r="R23" s="29" t="s">
        <v>610</v>
      </c>
      <c r="S23" s="29" t="s">
        <v>610</v>
      </c>
      <c r="T23" s="34"/>
      <c r="U23" s="29">
        <v>0</v>
      </c>
      <c r="V23" s="29" t="s">
        <v>662</v>
      </c>
      <c r="W23" s="29"/>
      <c r="X23" s="29"/>
      <c r="Y23" s="30" t="s">
        <v>493</v>
      </c>
      <c r="Z23" s="30">
        <v>27</v>
      </c>
      <c r="AA23" s="7" t="e">
        <v>#N/A</v>
      </c>
      <c r="AB23" s="7"/>
      <c r="AC23" s="7"/>
      <c r="AD23" s="7"/>
    </row>
    <row r="24" spans="1:30" ht="15.75" customHeight="1" x14ac:dyDescent="0.25">
      <c r="A24" s="26">
        <v>27217152519</v>
      </c>
      <c r="B24" s="27" t="s">
        <v>531</v>
      </c>
      <c r="C24" s="27" t="s">
        <v>564</v>
      </c>
      <c r="D24" s="27" t="s">
        <v>566</v>
      </c>
      <c r="E24" s="28"/>
      <c r="F24" s="27"/>
      <c r="G24" s="27" t="s">
        <v>661</v>
      </c>
      <c r="H24" s="29">
        <v>6.1</v>
      </c>
      <c r="I24" s="29">
        <v>112</v>
      </c>
      <c r="J24" s="29">
        <v>11</v>
      </c>
      <c r="K24" s="29">
        <v>0</v>
      </c>
      <c r="L24" s="29">
        <v>123</v>
      </c>
      <c r="M24" s="29">
        <v>6.31</v>
      </c>
      <c r="N24" s="33">
        <v>2.56</v>
      </c>
      <c r="O24" s="34">
        <v>8.8999999999999996E-2</v>
      </c>
      <c r="P24" s="29"/>
      <c r="Q24" s="29" t="s">
        <v>610</v>
      </c>
      <c r="R24" s="29" t="s">
        <v>610</v>
      </c>
      <c r="S24" s="29" t="s">
        <v>610</v>
      </c>
      <c r="T24" s="34"/>
      <c r="U24" s="29">
        <v>11</v>
      </c>
      <c r="V24" s="29" t="s">
        <v>662</v>
      </c>
      <c r="W24" s="29"/>
      <c r="X24" s="29"/>
      <c r="Y24" s="30" t="s">
        <v>493</v>
      </c>
      <c r="Z24" s="30">
        <v>27</v>
      </c>
      <c r="AA24" s="7" t="s">
        <v>810</v>
      </c>
      <c r="AB24" s="7"/>
      <c r="AC24" s="7"/>
      <c r="AD24" s="7"/>
    </row>
    <row r="25" spans="1:30" ht="15.75" customHeight="1" x14ac:dyDescent="0.25">
      <c r="A25" s="26">
        <v>27207152531</v>
      </c>
      <c r="B25" s="27" t="s">
        <v>674</v>
      </c>
      <c r="C25" s="27" t="s">
        <v>465</v>
      </c>
      <c r="D25" s="27" t="s">
        <v>441</v>
      </c>
      <c r="E25" s="28"/>
      <c r="F25" s="27"/>
      <c r="G25" s="27" t="s">
        <v>661</v>
      </c>
      <c r="H25" s="29">
        <v>8.9</v>
      </c>
      <c r="I25" s="29">
        <v>123</v>
      </c>
      <c r="J25" s="29">
        <v>0</v>
      </c>
      <c r="K25" s="29">
        <v>0</v>
      </c>
      <c r="L25" s="29">
        <v>123</v>
      </c>
      <c r="M25" s="29">
        <v>8.65</v>
      </c>
      <c r="N25" s="33">
        <v>3.77</v>
      </c>
      <c r="O25" s="34">
        <v>0</v>
      </c>
      <c r="P25" s="29"/>
      <c r="Q25" s="29"/>
      <c r="R25" s="29" t="s">
        <v>610</v>
      </c>
      <c r="S25" s="29" t="s">
        <v>610</v>
      </c>
      <c r="T25" s="34"/>
      <c r="U25" s="29">
        <v>0</v>
      </c>
      <c r="V25" s="29" t="s">
        <v>665</v>
      </c>
      <c r="W25" s="29"/>
      <c r="X25" s="30" t="s">
        <v>23</v>
      </c>
      <c r="Y25" s="30" t="s">
        <v>493</v>
      </c>
      <c r="Z25" s="30">
        <v>27</v>
      </c>
      <c r="AA25" s="7" t="s">
        <v>808</v>
      </c>
      <c r="AB25" s="7"/>
      <c r="AC25" s="7"/>
      <c r="AD25" s="7"/>
    </row>
    <row r="26" spans="1:30" ht="15.75" customHeight="1" x14ac:dyDescent="0.25">
      <c r="A26" s="26">
        <v>27203801181</v>
      </c>
      <c r="B26" s="27" t="s">
        <v>531</v>
      </c>
      <c r="C26" s="27" t="s">
        <v>675</v>
      </c>
      <c r="D26" s="27" t="s">
        <v>516</v>
      </c>
      <c r="E26" s="28"/>
      <c r="F26" s="27"/>
      <c r="G26" s="27" t="s">
        <v>661</v>
      </c>
      <c r="H26" s="29">
        <v>9.1999999999999993</v>
      </c>
      <c r="I26" s="29">
        <v>122</v>
      </c>
      <c r="J26" s="29">
        <v>2</v>
      </c>
      <c r="K26" s="29">
        <v>0</v>
      </c>
      <c r="L26" s="29">
        <v>124</v>
      </c>
      <c r="M26" s="29">
        <v>8.06</v>
      </c>
      <c r="N26" s="33">
        <v>3.5</v>
      </c>
      <c r="O26" s="34">
        <v>1.6E-2</v>
      </c>
      <c r="P26" s="29" t="s">
        <v>610</v>
      </c>
      <c r="Q26" s="29" t="s">
        <v>610</v>
      </c>
      <c r="R26" s="29" t="s">
        <v>610</v>
      </c>
      <c r="S26" s="29" t="s">
        <v>610</v>
      </c>
      <c r="T26" s="34"/>
      <c r="U26" s="29">
        <v>2</v>
      </c>
      <c r="V26" s="29" t="s">
        <v>665</v>
      </c>
      <c r="W26" s="29"/>
      <c r="X26" s="30" t="s">
        <v>23</v>
      </c>
      <c r="Y26" s="30" t="s">
        <v>493</v>
      </c>
      <c r="Z26" s="30">
        <v>27</v>
      </c>
      <c r="AA26" s="7" t="s">
        <v>806</v>
      </c>
      <c r="AB26" s="7"/>
      <c r="AC26" s="7"/>
      <c r="AD26" s="7"/>
    </row>
    <row r="27" spans="1:30" ht="15.75" customHeight="1" x14ac:dyDescent="0.25">
      <c r="A27" s="26">
        <v>27207130530</v>
      </c>
      <c r="B27" s="27" t="s">
        <v>676</v>
      </c>
      <c r="C27" s="27" t="s">
        <v>677</v>
      </c>
      <c r="D27" s="27" t="s">
        <v>516</v>
      </c>
      <c r="E27" s="28"/>
      <c r="F27" s="27"/>
      <c r="G27" s="27" t="s">
        <v>661</v>
      </c>
      <c r="H27" s="29">
        <v>6.3</v>
      </c>
      <c r="I27" s="29">
        <v>105</v>
      </c>
      <c r="J27" s="29">
        <v>19</v>
      </c>
      <c r="K27" s="29">
        <v>0</v>
      </c>
      <c r="L27" s="29">
        <v>124</v>
      </c>
      <c r="M27" s="29">
        <v>5.63</v>
      </c>
      <c r="N27" s="33">
        <v>2.23</v>
      </c>
      <c r="O27" s="34">
        <v>0.153</v>
      </c>
      <c r="P27" s="29"/>
      <c r="Q27" s="29"/>
      <c r="R27" s="29"/>
      <c r="S27" s="29" t="s">
        <v>610</v>
      </c>
      <c r="T27" s="34"/>
      <c r="U27" s="29">
        <v>11</v>
      </c>
      <c r="V27" s="29" t="s">
        <v>662</v>
      </c>
      <c r="W27" s="29"/>
      <c r="X27" s="29"/>
      <c r="Y27" s="30" t="s">
        <v>493</v>
      </c>
      <c r="Z27" s="30">
        <v>27</v>
      </c>
      <c r="AA27" s="7" t="e">
        <v>#N/A</v>
      </c>
      <c r="AB27" s="7"/>
      <c r="AC27" s="7"/>
      <c r="AD27" s="7"/>
    </row>
    <row r="28" spans="1:30" ht="15.75" customHeight="1" x14ac:dyDescent="0.25">
      <c r="A28" s="26">
        <v>26211228642</v>
      </c>
      <c r="B28" s="27" t="s">
        <v>631</v>
      </c>
      <c r="C28" s="27" t="s">
        <v>575</v>
      </c>
      <c r="D28" s="27" t="s">
        <v>464</v>
      </c>
      <c r="E28" s="28"/>
      <c r="F28" s="27"/>
      <c r="G28" s="27" t="s">
        <v>661</v>
      </c>
      <c r="H28" s="29">
        <v>5.3</v>
      </c>
      <c r="I28" s="29">
        <v>61</v>
      </c>
      <c r="J28" s="29">
        <v>62</v>
      </c>
      <c r="K28" s="29">
        <v>0</v>
      </c>
      <c r="L28" s="29">
        <v>123</v>
      </c>
      <c r="M28" s="29">
        <v>3.48</v>
      </c>
      <c r="N28" s="33">
        <v>1.44</v>
      </c>
      <c r="O28" s="34">
        <v>0.504</v>
      </c>
      <c r="P28" s="29"/>
      <c r="Q28" s="29"/>
      <c r="R28" s="29"/>
      <c r="S28" s="29" t="s">
        <v>610</v>
      </c>
      <c r="T28" s="34"/>
      <c r="U28" s="29">
        <v>0</v>
      </c>
      <c r="V28" s="29" t="s">
        <v>662</v>
      </c>
      <c r="W28" s="29"/>
      <c r="X28" s="29"/>
      <c r="Y28" s="30" t="s">
        <v>493</v>
      </c>
      <c r="Z28" s="30">
        <v>27</v>
      </c>
      <c r="AA28" s="7" t="e">
        <v>#N/A</v>
      </c>
      <c r="AB28" s="7"/>
      <c r="AC28" s="7"/>
      <c r="AD28" s="7"/>
    </row>
    <row r="29" spans="1:30" ht="15.75" customHeight="1" x14ac:dyDescent="0.25">
      <c r="A29" s="26">
        <v>27217144878</v>
      </c>
      <c r="B29" s="27" t="s">
        <v>499</v>
      </c>
      <c r="C29" s="27" t="s">
        <v>528</v>
      </c>
      <c r="D29" s="27" t="s">
        <v>494</v>
      </c>
      <c r="E29" s="28"/>
      <c r="F29" s="27"/>
      <c r="G29" s="27" t="s">
        <v>661</v>
      </c>
      <c r="H29" s="29">
        <v>8.5</v>
      </c>
      <c r="I29" s="29">
        <v>123</v>
      </c>
      <c r="J29" s="29">
        <v>1</v>
      </c>
      <c r="K29" s="29">
        <v>0</v>
      </c>
      <c r="L29" s="29">
        <v>124</v>
      </c>
      <c r="M29" s="29">
        <v>7.95</v>
      </c>
      <c r="N29" s="33">
        <v>3.38</v>
      </c>
      <c r="O29" s="34">
        <v>8.0000000000000002E-3</v>
      </c>
      <c r="P29" s="29"/>
      <c r="Q29" s="29"/>
      <c r="R29" s="29" t="s">
        <v>610</v>
      </c>
      <c r="S29" s="29" t="s">
        <v>610</v>
      </c>
      <c r="T29" s="34"/>
      <c r="U29" s="29">
        <v>1</v>
      </c>
      <c r="V29" s="29" t="s">
        <v>665</v>
      </c>
      <c r="W29" s="29"/>
      <c r="X29" s="30" t="s">
        <v>23</v>
      </c>
      <c r="Y29" s="30" t="s">
        <v>493</v>
      </c>
      <c r="Z29" s="30">
        <v>27</v>
      </c>
      <c r="AA29" s="7" t="s">
        <v>811</v>
      </c>
      <c r="AB29" s="7"/>
      <c r="AC29" s="7"/>
      <c r="AD29" s="7"/>
    </row>
    <row r="30" spans="1:30" ht="15.75" customHeight="1" x14ac:dyDescent="0.25">
      <c r="A30" s="26">
        <v>27217123680</v>
      </c>
      <c r="B30" s="27" t="s">
        <v>631</v>
      </c>
      <c r="C30" s="27" t="s">
        <v>678</v>
      </c>
      <c r="D30" s="27" t="s">
        <v>578</v>
      </c>
      <c r="E30" s="28"/>
      <c r="F30" s="27"/>
      <c r="G30" s="27" t="s">
        <v>661</v>
      </c>
      <c r="H30" s="29">
        <v>8.4</v>
      </c>
      <c r="I30" s="29">
        <v>120</v>
      </c>
      <c r="J30" s="29">
        <v>3</v>
      </c>
      <c r="K30" s="29">
        <v>0</v>
      </c>
      <c r="L30" s="29">
        <v>123</v>
      </c>
      <c r="M30" s="29">
        <v>6.63</v>
      </c>
      <c r="N30" s="33">
        <v>2.65</v>
      </c>
      <c r="O30" s="34">
        <v>2.4E-2</v>
      </c>
      <c r="P30" s="29"/>
      <c r="Q30" s="29"/>
      <c r="R30" s="29" t="s">
        <v>610</v>
      </c>
      <c r="S30" s="29" t="s">
        <v>610</v>
      </c>
      <c r="T30" s="34"/>
      <c r="U30" s="29">
        <v>3</v>
      </c>
      <c r="V30" s="29" t="s">
        <v>665</v>
      </c>
      <c r="W30" s="29"/>
      <c r="X30" s="29"/>
      <c r="Y30" s="30" t="s">
        <v>493</v>
      </c>
      <c r="Z30" s="30">
        <v>27</v>
      </c>
      <c r="AA30" s="7" t="s">
        <v>812</v>
      </c>
      <c r="AB30" s="7"/>
      <c r="AC30" s="7"/>
      <c r="AD30" s="7"/>
    </row>
    <row r="31" spans="1:30" ht="15.75" customHeight="1" x14ac:dyDescent="0.25">
      <c r="A31" s="26">
        <v>27217152552</v>
      </c>
      <c r="B31" s="27" t="s">
        <v>531</v>
      </c>
      <c r="C31" s="27" t="s">
        <v>586</v>
      </c>
      <c r="D31" s="27" t="s">
        <v>578</v>
      </c>
      <c r="E31" s="28"/>
      <c r="F31" s="27"/>
      <c r="G31" s="27" t="s">
        <v>661</v>
      </c>
      <c r="H31" s="29">
        <v>7.5</v>
      </c>
      <c r="I31" s="29">
        <v>121</v>
      </c>
      <c r="J31" s="29">
        <v>3</v>
      </c>
      <c r="K31" s="29">
        <v>0</v>
      </c>
      <c r="L31" s="29">
        <v>124</v>
      </c>
      <c r="M31" s="29">
        <v>6.64</v>
      </c>
      <c r="N31" s="33">
        <v>2.66</v>
      </c>
      <c r="O31" s="34">
        <v>2.4E-2</v>
      </c>
      <c r="P31" s="29"/>
      <c r="Q31" s="29"/>
      <c r="R31" s="29" t="s">
        <v>610</v>
      </c>
      <c r="S31" s="29" t="s">
        <v>610</v>
      </c>
      <c r="T31" s="34"/>
      <c r="U31" s="29">
        <v>3</v>
      </c>
      <c r="V31" s="29" t="s">
        <v>665</v>
      </c>
      <c r="W31" s="29"/>
      <c r="X31" s="29"/>
      <c r="Y31" s="30" t="s">
        <v>493</v>
      </c>
      <c r="Z31" s="30">
        <v>27</v>
      </c>
      <c r="AA31" s="7" t="s">
        <v>806</v>
      </c>
      <c r="AB31" s="7"/>
      <c r="AC31" s="7"/>
      <c r="AD31" s="7"/>
    </row>
    <row r="32" spans="1:30" ht="15.75" customHeight="1" x14ac:dyDescent="0.25">
      <c r="A32" s="26">
        <v>27217101376</v>
      </c>
      <c r="B32" s="27" t="s">
        <v>499</v>
      </c>
      <c r="C32" s="27" t="s">
        <v>679</v>
      </c>
      <c r="D32" s="27" t="s">
        <v>588</v>
      </c>
      <c r="E32" s="28"/>
      <c r="F32" s="27"/>
      <c r="G32" s="27" t="s">
        <v>661</v>
      </c>
      <c r="H32" s="29">
        <v>6.7</v>
      </c>
      <c r="I32" s="29">
        <v>75</v>
      </c>
      <c r="J32" s="29">
        <v>48</v>
      </c>
      <c r="K32" s="29">
        <v>0</v>
      </c>
      <c r="L32" s="29">
        <v>123</v>
      </c>
      <c r="M32" s="29">
        <v>3.45</v>
      </c>
      <c r="N32" s="33">
        <v>1.21</v>
      </c>
      <c r="O32" s="34">
        <v>0.39</v>
      </c>
      <c r="P32" s="29"/>
      <c r="Q32" s="29"/>
      <c r="R32" s="29"/>
      <c r="S32" s="29" t="s">
        <v>610</v>
      </c>
      <c r="T32" s="34"/>
      <c r="U32" s="29">
        <v>15</v>
      </c>
      <c r="V32" s="29" t="s">
        <v>662</v>
      </c>
      <c r="W32" s="29"/>
      <c r="X32" s="29"/>
      <c r="Y32" s="30" t="s">
        <v>493</v>
      </c>
      <c r="Z32" s="30">
        <v>27</v>
      </c>
      <c r="AA32" s="7" t="e">
        <v>#N/A</v>
      </c>
      <c r="AB32" s="7"/>
      <c r="AC32" s="7"/>
      <c r="AD32" s="7"/>
    </row>
    <row r="33" spans="1:30" ht="15.75" customHeight="1" x14ac:dyDescent="0.25">
      <c r="A33" s="26">
        <v>27207152556</v>
      </c>
      <c r="B33" s="27" t="s">
        <v>680</v>
      </c>
      <c r="C33" s="27" t="s">
        <v>681</v>
      </c>
      <c r="D33" s="27" t="s">
        <v>601</v>
      </c>
      <c r="E33" s="28"/>
      <c r="F33" s="27"/>
      <c r="G33" s="27" t="s">
        <v>661</v>
      </c>
      <c r="H33" s="29">
        <v>7.6</v>
      </c>
      <c r="I33" s="29">
        <v>123</v>
      </c>
      <c r="J33" s="29">
        <v>0</v>
      </c>
      <c r="K33" s="29">
        <v>0</v>
      </c>
      <c r="L33" s="29">
        <v>123</v>
      </c>
      <c r="M33" s="29">
        <v>8.1</v>
      </c>
      <c r="N33" s="33">
        <v>3.44</v>
      </c>
      <c r="O33" s="34">
        <v>0</v>
      </c>
      <c r="P33" s="29"/>
      <c r="Q33" s="29" t="s">
        <v>610</v>
      </c>
      <c r="R33" s="29" t="s">
        <v>610</v>
      </c>
      <c r="S33" s="29" t="s">
        <v>610</v>
      </c>
      <c r="T33" s="34"/>
      <c r="U33" s="29">
        <v>0</v>
      </c>
      <c r="V33" s="29" t="s">
        <v>682</v>
      </c>
      <c r="W33" s="29"/>
      <c r="X33" s="30">
        <v>0</v>
      </c>
      <c r="Y33" s="30" t="s">
        <v>493</v>
      </c>
      <c r="Z33" s="30">
        <v>27</v>
      </c>
      <c r="AA33" s="7" t="s">
        <v>813</v>
      </c>
      <c r="AB33" s="7"/>
      <c r="AC33" s="7"/>
      <c r="AD33" s="7"/>
    </row>
    <row r="34" spans="1:30" ht="15.75" customHeight="1" x14ac:dyDescent="0.25">
      <c r="A34" s="26">
        <v>27217146484</v>
      </c>
      <c r="B34" s="27" t="s">
        <v>631</v>
      </c>
      <c r="C34" s="27" t="s">
        <v>613</v>
      </c>
      <c r="D34" s="27" t="s">
        <v>495</v>
      </c>
      <c r="E34" s="28"/>
      <c r="F34" s="27"/>
      <c r="G34" s="27" t="s">
        <v>661</v>
      </c>
      <c r="H34" s="29">
        <v>9.3000000000000007</v>
      </c>
      <c r="I34" s="29">
        <v>120</v>
      </c>
      <c r="J34" s="29">
        <v>4</v>
      </c>
      <c r="K34" s="29">
        <v>0</v>
      </c>
      <c r="L34" s="29">
        <v>124</v>
      </c>
      <c r="M34" s="29">
        <v>7.98</v>
      </c>
      <c r="N34" s="33">
        <v>3.5</v>
      </c>
      <c r="O34" s="34">
        <v>3.2000000000000001E-2</v>
      </c>
      <c r="P34" s="29"/>
      <c r="Q34" s="29"/>
      <c r="R34" s="29" t="s">
        <v>610</v>
      </c>
      <c r="S34" s="29" t="s">
        <v>610</v>
      </c>
      <c r="T34" s="34"/>
      <c r="U34" s="29">
        <v>4</v>
      </c>
      <c r="V34" s="29" t="s">
        <v>682</v>
      </c>
      <c r="W34" s="29"/>
      <c r="X34" s="30" t="e">
        <v>#N/A</v>
      </c>
      <c r="Y34" s="30" t="s">
        <v>493</v>
      </c>
      <c r="Z34" s="30">
        <v>27</v>
      </c>
      <c r="AA34" s="7" t="s">
        <v>811</v>
      </c>
      <c r="AB34" s="7"/>
      <c r="AC34" s="7"/>
      <c r="AD34" s="7"/>
    </row>
    <row r="35" spans="1:30" ht="15.75" customHeight="1" x14ac:dyDescent="0.25">
      <c r="A35" s="26">
        <v>27217141068</v>
      </c>
      <c r="B35" s="27" t="s">
        <v>499</v>
      </c>
      <c r="C35" s="27" t="s">
        <v>509</v>
      </c>
      <c r="D35" s="27" t="s">
        <v>518</v>
      </c>
      <c r="E35" s="28"/>
      <c r="F35" s="27"/>
      <c r="G35" s="27" t="s">
        <v>661</v>
      </c>
      <c r="H35" s="29">
        <v>7.8</v>
      </c>
      <c r="I35" s="29">
        <v>117</v>
      </c>
      <c r="J35" s="29">
        <v>6</v>
      </c>
      <c r="K35" s="29">
        <v>0</v>
      </c>
      <c r="L35" s="29">
        <v>123</v>
      </c>
      <c r="M35" s="29">
        <v>6.53</v>
      </c>
      <c r="N35" s="33">
        <v>2.64</v>
      </c>
      <c r="O35" s="34">
        <v>4.9000000000000002E-2</v>
      </c>
      <c r="P35" s="29"/>
      <c r="Q35" s="29"/>
      <c r="R35" s="29" t="s">
        <v>610</v>
      </c>
      <c r="S35" s="29" t="s">
        <v>610</v>
      </c>
      <c r="T35" s="34"/>
      <c r="U35" s="29">
        <v>6</v>
      </c>
      <c r="V35" s="29" t="s">
        <v>665</v>
      </c>
      <c r="W35" s="29"/>
      <c r="X35" s="29"/>
      <c r="Y35" s="30" t="s">
        <v>493</v>
      </c>
      <c r="Z35" s="30">
        <v>27</v>
      </c>
      <c r="AA35" s="7" t="e">
        <v>#N/A</v>
      </c>
      <c r="AB35" s="7" t="e">
        <v>#N/A</v>
      </c>
      <c r="AC35" s="7" t="s">
        <v>26</v>
      </c>
      <c r="AD35" s="7" t="s">
        <v>517</v>
      </c>
    </row>
    <row r="36" spans="1:30" ht="15.75" customHeight="1" x14ac:dyDescent="0.25">
      <c r="A36" s="26">
        <v>26217100571</v>
      </c>
      <c r="B36" s="27" t="s">
        <v>663</v>
      </c>
      <c r="C36" s="27" t="s">
        <v>605</v>
      </c>
      <c r="D36" s="27" t="s">
        <v>567</v>
      </c>
      <c r="E36" s="28"/>
      <c r="F36" s="27"/>
      <c r="G36" s="27" t="s">
        <v>661</v>
      </c>
      <c r="H36" s="29">
        <v>6</v>
      </c>
      <c r="I36" s="29">
        <v>93</v>
      </c>
      <c r="J36" s="29">
        <v>31</v>
      </c>
      <c r="K36" s="29">
        <v>0</v>
      </c>
      <c r="L36" s="29">
        <v>124</v>
      </c>
      <c r="M36" s="29">
        <v>4.4400000000000004</v>
      </c>
      <c r="N36" s="33">
        <v>1.63</v>
      </c>
      <c r="O36" s="34">
        <v>0.25</v>
      </c>
      <c r="P36" s="29"/>
      <c r="Q36" s="29"/>
      <c r="R36" s="29"/>
      <c r="S36" s="29" t="s">
        <v>610</v>
      </c>
      <c r="T36" s="34"/>
      <c r="U36" s="29">
        <v>12</v>
      </c>
      <c r="V36" s="29" t="s">
        <v>662</v>
      </c>
      <c r="W36" s="29"/>
      <c r="X36" s="29"/>
      <c r="Y36" s="30" t="s">
        <v>493</v>
      </c>
      <c r="Z36" s="30">
        <v>27</v>
      </c>
      <c r="AA36" s="7" t="e">
        <v>#N/A</v>
      </c>
      <c r="AB36" s="7"/>
      <c r="AC36" s="7"/>
      <c r="AD36" s="7"/>
    </row>
    <row r="37" spans="1:30" ht="15" x14ac:dyDescent="0.25">
      <c r="A37" s="26">
        <v>27207128085</v>
      </c>
      <c r="B37" s="27" t="s">
        <v>660</v>
      </c>
      <c r="C37" s="27" t="s">
        <v>681</v>
      </c>
      <c r="D37" s="27" t="s">
        <v>442</v>
      </c>
      <c r="E37" s="28"/>
      <c r="F37" s="27"/>
      <c r="G37" s="27" t="s">
        <v>661</v>
      </c>
      <c r="H37" s="29">
        <v>9.1</v>
      </c>
      <c r="I37" s="29">
        <v>101</v>
      </c>
      <c r="J37" s="29">
        <v>22</v>
      </c>
      <c r="K37" s="29">
        <v>0</v>
      </c>
      <c r="L37" s="29">
        <v>123</v>
      </c>
      <c r="M37" s="29">
        <v>5.34</v>
      </c>
      <c r="N37" s="33">
        <v>2.0499999999999998</v>
      </c>
      <c r="O37" s="34">
        <v>0.17899999999999999</v>
      </c>
      <c r="P37" s="29"/>
      <c r="Q37" s="29"/>
      <c r="R37" s="29" t="s">
        <v>610</v>
      </c>
      <c r="S37" s="29" t="s">
        <v>610</v>
      </c>
      <c r="T37" s="34"/>
      <c r="U37" s="29">
        <v>19</v>
      </c>
      <c r="V37" s="29" t="s">
        <v>662</v>
      </c>
      <c r="W37" s="29"/>
      <c r="X37" s="29"/>
      <c r="Y37" s="30" t="s">
        <v>493</v>
      </c>
      <c r="Z37" s="30">
        <v>27</v>
      </c>
      <c r="AA37" s="7" t="e">
        <v>#N/A</v>
      </c>
      <c r="AB37" s="7"/>
      <c r="AC37" s="7"/>
      <c r="AD37" s="7"/>
    </row>
    <row r="38" spans="1:30" ht="15" x14ac:dyDescent="0.25">
      <c r="A38" s="26">
        <v>27207128268</v>
      </c>
      <c r="B38" s="27" t="s">
        <v>667</v>
      </c>
      <c r="C38" s="27" t="s">
        <v>683</v>
      </c>
      <c r="D38" s="27" t="s">
        <v>442</v>
      </c>
      <c r="E38" s="28"/>
      <c r="F38" s="27"/>
      <c r="G38" s="27" t="s">
        <v>661</v>
      </c>
      <c r="H38" s="29">
        <v>7.2</v>
      </c>
      <c r="I38" s="29">
        <v>109</v>
      </c>
      <c r="J38" s="29">
        <v>16</v>
      </c>
      <c r="K38" s="29">
        <v>0</v>
      </c>
      <c r="L38" s="29">
        <v>125</v>
      </c>
      <c r="M38" s="29">
        <v>5.6</v>
      </c>
      <c r="N38" s="33">
        <v>2.15</v>
      </c>
      <c r="O38" s="34">
        <v>0.128</v>
      </c>
      <c r="P38" s="29"/>
      <c r="Q38" s="29"/>
      <c r="R38" s="29" t="s">
        <v>610</v>
      </c>
      <c r="S38" s="29" t="s">
        <v>610</v>
      </c>
      <c r="T38" s="34"/>
      <c r="U38" s="29">
        <v>10</v>
      </c>
      <c r="V38" s="29" t="s">
        <v>662</v>
      </c>
      <c r="W38" s="29"/>
      <c r="X38" s="29"/>
      <c r="Y38" s="30" t="s">
        <v>493</v>
      </c>
      <c r="Z38" s="30">
        <v>27</v>
      </c>
      <c r="AA38" s="7" t="e">
        <v>#N/A</v>
      </c>
      <c r="AB38" s="7"/>
      <c r="AC38" s="7"/>
      <c r="AD38" s="7"/>
    </row>
    <row r="39" spans="1:30" ht="15" x14ac:dyDescent="0.25">
      <c r="A39" s="26">
        <v>27207142513</v>
      </c>
      <c r="B39" s="27" t="s">
        <v>684</v>
      </c>
      <c r="C39" s="27" t="s">
        <v>681</v>
      </c>
      <c r="D39" s="27" t="s">
        <v>442</v>
      </c>
      <c r="E39" s="28"/>
      <c r="F39" s="27"/>
      <c r="G39" s="27" t="s">
        <v>661</v>
      </c>
      <c r="H39" s="29">
        <v>6.7</v>
      </c>
      <c r="I39" s="29">
        <v>120</v>
      </c>
      <c r="J39" s="29">
        <v>4</v>
      </c>
      <c r="K39" s="29">
        <v>0</v>
      </c>
      <c r="L39" s="29">
        <v>124</v>
      </c>
      <c r="M39" s="29">
        <v>6.18</v>
      </c>
      <c r="N39" s="33">
        <v>2.4</v>
      </c>
      <c r="O39" s="34">
        <v>3.2000000000000001E-2</v>
      </c>
      <c r="P39" s="29"/>
      <c r="Q39" s="29"/>
      <c r="R39" s="29" t="s">
        <v>610</v>
      </c>
      <c r="S39" s="29" t="s">
        <v>610</v>
      </c>
      <c r="T39" s="34"/>
      <c r="U39" s="29">
        <v>7</v>
      </c>
      <c r="V39" s="29" t="s">
        <v>665</v>
      </c>
      <c r="W39" s="29"/>
      <c r="X39" s="29"/>
      <c r="Y39" s="30" t="s">
        <v>493</v>
      </c>
      <c r="Z39" s="30">
        <v>27</v>
      </c>
      <c r="AA39" s="7" t="s">
        <v>810</v>
      </c>
      <c r="AB39" s="7"/>
      <c r="AC39" s="7"/>
      <c r="AD39" s="7"/>
    </row>
    <row r="40" spans="1:30" ht="15" x14ac:dyDescent="0.25">
      <c r="A40" s="26">
        <v>27217133907</v>
      </c>
      <c r="B40" s="27" t="s">
        <v>631</v>
      </c>
      <c r="C40" s="27" t="s">
        <v>554</v>
      </c>
      <c r="D40" s="27" t="s">
        <v>442</v>
      </c>
      <c r="E40" s="28"/>
      <c r="F40" s="27"/>
      <c r="G40" s="27" t="s">
        <v>661</v>
      </c>
      <c r="H40" s="29">
        <v>8.6999999999999993</v>
      </c>
      <c r="I40" s="29">
        <v>120</v>
      </c>
      <c r="J40" s="29">
        <v>3</v>
      </c>
      <c r="K40" s="29">
        <v>0</v>
      </c>
      <c r="L40" s="29">
        <v>123</v>
      </c>
      <c r="M40" s="29">
        <v>6.82</v>
      </c>
      <c r="N40" s="33">
        <v>2.74</v>
      </c>
      <c r="O40" s="34">
        <v>2.4E-2</v>
      </c>
      <c r="P40" s="29"/>
      <c r="Q40" s="29" t="s">
        <v>610</v>
      </c>
      <c r="R40" s="29" t="s">
        <v>610</v>
      </c>
      <c r="S40" s="29" t="s">
        <v>610</v>
      </c>
      <c r="T40" s="34"/>
      <c r="U40" s="29">
        <v>3</v>
      </c>
      <c r="V40" s="29" t="s">
        <v>665</v>
      </c>
      <c r="W40" s="29"/>
      <c r="X40" s="29"/>
      <c r="Y40" s="30" t="s">
        <v>493</v>
      </c>
      <c r="Z40" s="30">
        <v>27</v>
      </c>
      <c r="AA40" s="7" t="s">
        <v>814</v>
      </c>
      <c r="AB40" s="7"/>
      <c r="AC40" s="7"/>
      <c r="AD40" s="7"/>
    </row>
    <row r="41" spans="1:30" ht="15" x14ac:dyDescent="0.25">
      <c r="A41" s="26">
        <v>27207146213</v>
      </c>
      <c r="B41" s="27" t="s">
        <v>531</v>
      </c>
      <c r="C41" s="27" t="s">
        <v>668</v>
      </c>
      <c r="D41" s="27" t="s">
        <v>445</v>
      </c>
      <c r="E41" s="28"/>
      <c r="F41" s="27"/>
      <c r="G41" s="27" t="s">
        <v>661</v>
      </c>
      <c r="H41" s="29">
        <v>7.5</v>
      </c>
      <c r="I41" s="29">
        <v>109</v>
      </c>
      <c r="J41" s="29">
        <v>14</v>
      </c>
      <c r="K41" s="29">
        <v>0</v>
      </c>
      <c r="L41" s="29">
        <v>123</v>
      </c>
      <c r="M41" s="29">
        <v>5.78</v>
      </c>
      <c r="N41" s="33">
        <v>2.27</v>
      </c>
      <c r="O41" s="34">
        <v>0.114</v>
      </c>
      <c r="P41" s="29"/>
      <c r="Q41" s="29"/>
      <c r="R41" s="29"/>
      <c r="S41" s="29" t="s">
        <v>610</v>
      </c>
      <c r="T41" s="34"/>
      <c r="U41" s="29">
        <v>14</v>
      </c>
      <c r="V41" s="29" t="s">
        <v>662</v>
      </c>
      <c r="W41" s="29"/>
      <c r="X41" s="29"/>
      <c r="Y41" s="30" t="s">
        <v>493</v>
      </c>
      <c r="Z41" s="30">
        <v>27</v>
      </c>
      <c r="AA41" s="7" t="e">
        <v>#N/A</v>
      </c>
      <c r="AB41" s="7"/>
      <c r="AC41" s="7"/>
      <c r="AD41" s="7"/>
    </row>
    <row r="42" spans="1:30" ht="15" x14ac:dyDescent="0.25">
      <c r="A42" s="26">
        <v>27217125794</v>
      </c>
      <c r="B42" s="27" t="s">
        <v>676</v>
      </c>
      <c r="C42" s="27" t="s">
        <v>685</v>
      </c>
      <c r="D42" s="27" t="s">
        <v>488</v>
      </c>
      <c r="E42" s="28"/>
      <c r="F42" s="27"/>
      <c r="G42" s="27" t="s">
        <v>661</v>
      </c>
      <c r="H42" s="29">
        <v>8.9</v>
      </c>
      <c r="I42" s="29">
        <v>119</v>
      </c>
      <c r="J42" s="29">
        <v>5</v>
      </c>
      <c r="K42" s="29">
        <v>0</v>
      </c>
      <c r="L42" s="29">
        <v>124</v>
      </c>
      <c r="M42" s="29">
        <v>6.67</v>
      </c>
      <c r="N42" s="33">
        <v>2.7</v>
      </c>
      <c r="O42" s="34">
        <v>0.04</v>
      </c>
      <c r="P42" s="29"/>
      <c r="Q42" s="29"/>
      <c r="R42" s="29" t="s">
        <v>610</v>
      </c>
      <c r="S42" s="29" t="s">
        <v>610</v>
      </c>
      <c r="T42" s="34"/>
      <c r="U42" s="29">
        <v>1</v>
      </c>
      <c r="V42" s="29" t="s">
        <v>665</v>
      </c>
      <c r="W42" s="29"/>
      <c r="X42" s="29"/>
      <c r="Y42" s="30" t="s">
        <v>493</v>
      </c>
      <c r="Z42" s="30">
        <v>27</v>
      </c>
      <c r="AA42" s="7" t="s">
        <v>809</v>
      </c>
      <c r="AB42" s="7"/>
      <c r="AC42" s="7"/>
      <c r="AD42" s="7"/>
    </row>
    <row r="43" spans="1:30" ht="15" x14ac:dyDescent="0.25">
      <c r="A43" s="26">
        <v>27217243484</v>
      </c>
      <c r="B43" s="27" t="s">
        <v>686</v>
      </c>
      <c r="C43" s="27" t="s">
        <v>687</v>
      </c>
      <c r="D43" s="27" t="s">
        <v>466</v>
      </c>
      <c r="E43" s="28"/>
      <c r="F43" s="27"/>
      <c r="G43" s="27" t="s">
        <v>661</v>
      </c>
      <c r="H43" s="29">
        <v>7.9</v>
      </c>
      <c r="I43" s="29">
        <v>100</v>
      </c>
      <c r="J43" s="29">
        <v>23</v>
      </c>
      <c r="K43" s="29">
        <v>0</v>
      </c>
      <c r="L43" s="29">
        <v>123</v>
      </c>
      <c r="M43" s="29">
        <v>5.13</v>
      </c>
      <c r="N43" s="33">
        <v>1.97</v>
      </c>
      <c r="O43" s="34">
        <v>0.187</v>
      </c>
      <c r="P43" s="29"/>
      <c r="Q43" s="29"/>
      <c r="R43" s="29" t="s">
        <v>610</v>
      </c>
      <c r="S43" s="29" t="s">
        <v>610</v>
      </c>
      <c r="T43" s="34"/>
      <c r="U43" s="29">
        <v>8</v>
      </c>
      <c r="V43" s="29" t="s">
        <v>662</v>
      </c>
      <c r="W43" s="29"/>
      <c r="X43" s="29"/>
      <c r="Y43" s="30" t="s">
        <v>493</v>
      </c>
      <c r="Z43" s="30">
        <v>27</v>
      </c>
      <c r="AA43" s="7" t="e">
        <v>#N/A</v>
      </c>
      <c r="AB43" s="7"/>
      <c r="AC43" s="7"/>
      <c r="AD43" s="7"/>
    </row>
    <row r="44" spans="1:30" ht="15" x14ac:dyDescent="0.25">
      <c r="A44" s="26">
        <v>27207102765</v>
      </c>
      <c r="B44" s="27" t="s">
        <v>531</v>
      </c>
      <c r="C44" s="27" t="s">
        <v>688</v>
      </c>
      <c r="D44" s="27" t="s">
        <v>542</v>
      </c>
      <c r="E44" s="28"/>
      <c r="F44" s="27"/>
      <c r="G44" s="27" t="s">
        <v>661</v>
      </c>
      <c r="H44" s="29">
        <v>7.3</v>
      </c>
      <c r="I44" s="29">
        <v>124</v>
      </c>
      <c r="J44" s="29">
        <v>0</v>
      </c>
      <c r="K44" s="29">
        <v>0</v>
      </c>
      <c r="L44" s="29">
        <v>124</v>
      </c>
      <c r="M44" s="29">
        <v>7.9</v>
      </c>
      <c r="N44" s="33">
        <v>3.38</v>
      </c>
      <c r="O44" s="34">
        <v>0</v>
      </c>
      <c r="P44" s="29"/>
      <c r="Q44" s="29"/>
      <c r="R44" s="29" t="s">
        <v>610</v>
      </c>
      <c r="S44" s="29" t="s">
        <v>610</v>
      </c>
      <c r="T44" s="34"/>
      <c r="U44" s="29">
        <v>0</v>
      </c>
      <c r="V44" s="29" t="s">
        <v>682</v>
      </c>
      <c r="W44" s="29"/>
      <c r="X44" s="30" t="e">
        <v>#N/A</v>
      </c>
      <c r="Y44" s="30" t="s">
        <v>493</v>
      </c>
      <c r="Z44" s="30">
        <v>27</v>
      </c>
      <c r="AA44" s="7" t="s">
        <v>806</v>
      </c>
      <c r="AB44" s="7"/>
      <c r="AC44" s="7"/>
      <c r="AD44" s="7"/>
    </row>
    <row r="45" spans="1:30" ht="15" x14ac:dyDescent="0.25">
      <c r="A45" s="26">
        <v>27207103184</v>
      </c>
      <c r="B45" s="27" t="s">
        <v>631</v>
      </c>
      <c r="C45" s="27" t="s">
        <v>689</v>
      </c>
      <c r="D45" s="27" t="s">
        <v>542</v>
      </c>
      <c r="E45" s="28"/>
      <c r="F45" s="27"/>
      <c r="G45" s="27" t="s">
        <v>661</v>
      </c>
      <c r="H45" s="29">
        <v>9</v>
      </c>
      <c r="I45" s="29">
        <v>121</v>
      </c>
      <c r="J45" s="29">
        <v>3</v>
      </c>
      <c r="K45" s="29">
        <v>0</v>
      </c>
      <c r="L45" s="29">
        <v>124</v>
      </c>
      <c r="M45" s="29">
        <v>7.68</v>
      </c>
      <c r="N45" s="33">
        <v>3.28</v>
      </c>
      <c r="O45" s="34">
        <v>2.4E-2</v>
      </c>
      <c r="P45" s="29"/>
      <c r="Q45" s="29"/>
      <c r="R45" s="29" t="s">
        <v>610</v>
      </c>
      <c r="S45" s="29" t="s">
        <v>610</v>
      </c>
      <c r="T45" s="34"/>
      <c r="U45" s="29">
        <v>3</v>
      </c>
      <c r="V45" s="29" t="s">
        <v>665</v>
      </c>
      <c r="W45" s="29"/>
      <c r="X45" s="30" t="s">
        <v>23</v>
      </c>
      <c r="Y45" s="30" t="s">
        <v>493</v>
      </c>
      <c r="Z45" s="30">
        <v>27</v>
      </c>
      <c r="AA45" s="7" t="s">
        <v>815</v>
      </c>
      <c r="AB45" s="7"/>
      <c r="AC45" s="7"/>
      <c r="AD45" s="7"/>
    </row>
    <row r="46" spans="1:30" ht="15" x14ac:dyDescent="0.25">
      <c r="A46" s="26">
        <v>27207125399</v>
      </c>
      <c r="B46" s="27" t="s">
        <v>531</v>
      </c>
      <c r="C46" s="27" t="s">
        <v>690</v>
      </c>
      <c r="D46" s="27" t="s">
        <v>542</v>
      </c>
      <c r="E46" s="28"/>
      <c r="F46" s="27"/>
      <c r="G46" s="27" t="s">
        <v>661</v>
      </c>
      <c r="H46" s="29">
        <v>7.2</v>
      </c>
      <c r="I46" s="29">
        <v>110</v>
      </c>
      <c r="J46" s="29">
        <v>13</v>
      </c>
      <c r="K46" s="29">
        <v>0</v>
      </c>
      <c r="L46" s="29">
        <v>123</v>
      </c>
      <c r="M46" s="29">
        <v>6.03</v>
      </c>
      <c r="N46" s="33">
        <v>2.42</v>
      </c>
      <c r="O46" s="34">
        <v>0.106</v>
      </c>
      <c r="P46" s="29"/>
      <c r="Q46" s="29"/>
      <c r="R46" s="29" t="s">
        <v>610</v>
      </c>
      <c r="S46" s="29" t="s">
        <v>610</v>
      </c>
      <c r="T46" s="34"/>
      <c r="U46" s="29">
        <v>10</v>
      </c>
      <c r="V46" s="29" t="s">
        <v>662</v>
      </c>
      <c r="W46" s="29"/>
      <c r="X46" s="29"/>
      <c r="Y46" s="30" t="s">
        <v>493</v>
      </c>
      <c r="Z46" s="30">
        <v>27</v>
      </c>
      <c r="AA46" s="7" t="s">
        <v>816</v>
      </c>
      <c r="AB46" s="7"/>
      <c r="AC46" s="7"/>
      <c r="AD46" s="7"/>
    </row>
    <row r="47" spans="1:30" ht="15" x14ac:dyDescent="0.25">
      <c r="A47" s="26">
        <v>27217145582</v>
      </c>
      <c r="B47" s="27" t="s">
        <v>531</v>
      </c>
      <c r="C47" s="27" t="s">
        <v>688</v>
      </c>
      <c r="D47" s="27" t="s">
        <v>542</v>
      </c>
      <c r="E47" s="28"/>
      <c r="F47" s="27"/>
      <c r="G47" s="27" t="s">
        <v>661</v>
      </c>
      <c r="H47" s="29">
        <v>7.7</v>
      </c>
      <c r="I47" s="29">
        <v>123</v>
      </c>
      <c r="J47" s="29">
        <v>0</v>
      </c>
      <c r="K47" s="29">
        <v>0</v>
      </c>
      <c r="L47" s="29">
        <v>123</v>
      </c>
      <c r="M47" s="29">
        <v>7.02</v>
      </c>
      <c r="N47" s="33">
        <v>2.86</v>
      </c>
      <c r="O47" s="34">
        <v>0</v>
      </c>
      <c r="P47" s="29"/>
      <c r="Q47" s="29"/>
      <c r="R47" s="29" t="s">
        <v>610</v>
      </c>
      <c r="S47" s="29" t="s">
        <v>610</v>
      </c>
      <c r="T47" s="34"/>
      <c r="U47" s="29">
        <v>0</v>
      </c>
      <c r="V47" s="29" t="s">
        <v>665</v>
      </c>
      <c r="W47" s="29"/>
      <c r="X47" s="29"/>
      <c r="Y47" s="30" t="s">
        <v>493</v>
      </c>
      <c r="Z47" s="30">
        <v>27</v>
      </c>
      <c r="AA47" s="7" t="s">
        <v>806</v>
      </c>
      <c r="AB47" s="7"/>
      <c r="AC47" s="7"/>
      <c r="AD47" s="7"/>
    </row>
    <row r="48" spans="1:30" ht="15" x14ac:dyDescent="0.25">
      <c r="A48" s="26">
        <v>27207100850</v>
      </c>
      <c r="B48" s="27" t="s">
        <v>488</v>
      </c>
      <c r="C48" s="27" t="s">
        <v>622</v>
      </c>
      <c r="D48" s="27" t="s">
        <v>467</v>
      </c>
      <c r="E48" s="28"/>
      <c r="F48" s="27"/>
      <c r="G48" s="27" t="s">
        <v>661</v>
      </c>
      <c r="H48" s="29">
        <v>8.4</v>
      </c>
      <c r="I48" s="29">
        <v>124</v>
      </c>
      <c r="J48" s="29">
        <v>0</v>
      </c>
      <c r="K48" s="29">
        <v>0</v>
      </c>
      <c r="L48" s="29">
        <v>124</v>
      </c>
      <c r="M48" s="29">
        <v>7.87</v>
      </c>
      <c r="N48" s="33">
        <v>3.35</v>
      </c>
      <c r="O48" s="34">
        <v>0</v>
      </c>
      <c r="P48" s="29"/>
      <c r="Q48" s="29"/>
      <c r="R48" s="29" t="s">
        <v>610</v>
      </c>
      <c r="S48" s="29" t="s">
        <v>610</v>
      </c>
      <c r="T48" s="34"/>
      <c r="U48" s="29">
        <v>0</v>
      </c>
      <c r="V48" s="29" t="s">
        <v>665</v>
      </c>
      <c r="W48" s="29"/>
      <c r="X48" s="30" t="s">
        <v>23</v>
      </c>
      <c r="Y48" s="30" t="s">
        <v>493</v>
      </c>
      <c r="Z48" s="30">
        <v>27</v>
      </c>
      <c r="AA48" s="7" t="s">
        <v>817</v>
      </c>
      <c r="AB48" s="7"/>
      <c r="AC48" s="7"/>
      <c r="AD48" s="7"/>
    </row>
    <row r="49" spans="1:30" ht="15" x14ac:dyDescent="0.25">
      <c r="A49" s="26">
        <v>27207140437</v>
      </c>
      <c r="B49" s="27" t="s">
        <v>621</v>
      </c>
      <c r="C49" s="27" t="s">
        <v>691</v>
      </c>
      <c r="D49" s="27" t="s">
        <v>467</v>
      </c>
      <c r="E49" s="28"/>
      <c r="F49" s="27"/>
      <c r="G49" s="27" t="s">
        <v>661</v>
      </c>
      <c r="H49" s="29">
        <v>7.7</v>
      </c>
      <c r="I49" s="29">
        <v>120</v>
      </c>
      <c r="J49" s="29">
        <v>3</v>
      </c>
      <c r="K49" s="29">
        <v>0</v>
      </c>
      <c r="L49" s="29">
        <v>123</v>
      </c>
      <c r="M49" s="29">
        <v>6.99</v>
      </c>
      <c r="N49" s="33">
        <v>2.87</v>
      </c>
      <c r="O49" s="34">
        <v>2.4E-2</v>
      </c>
      <c r="P49" s="29"/>
      <c r="Q49" s="29"/>
      <c r="R49" s="29" t="s">
        <v>610</v>
      </c>
      <c r="S49" s="29" t="s">
        <v>610</v>
      </c>
      <c r="T49" s="34"/>
      <c r="U49" s="29">
        <v>3</v>
      </c>
      <c r="V49" s="29" t="s">
        <v>665</v>
      </c>
      <c r="W49" s="29"/>
      <c r="X49" s="29"/>
      <c r="Y49" s="30" t="s">
        <v>493</v>
      </c>
      <c r="Z49" s="30">
        <v>27</v>
      </c>
      <c r="AA49" s="7" t="e">
        <v>#N/A</v>
      </c>
      <c r="AB49" s="7" t="e">
        <v>#N/A</v>
      </c>
      <c r="AC49" s="7" t="s">
        <v>19</v>
      </c>
      <c r="AD49" s="7" t="s">
        <v>541</v>
      </c>
    </row>
    <row r="50" spans="1:30" ht="15" x14ac:dyDescent="0.25">
      <c r="A50" s="26">
        <v>27207142120</v>
      </c>
      <c r="B50" s="27" t="s">
        <v>531</v>
      </c>
      <c r="C50" s="27" t="s">
        <v>471</v>
      </c>
      <c r="D50" s="27" t="s">
        <v>467</v>
      </c>
      <c r="E50" s="28"/>
      <c r="F50" s="27"/>
      <c r="G50" s="27" t="s">
        <v>661</v>
      </c>
      <c r="H50" s="29">
        <v>6.6</v>
      </c>
      <c r="I50" s="29">
        <v>80</v>
      </c>
      <c r="J50" s="29">
        <v>44</v>
      </c>
      <c r="K50" s="29">
        <v>0</v>
      </c>
      <c r="L50" s="29">
        <v>124</v>
      </c>
      <c r="M50" s="29">
        <v>4.1100000000000003</v>
      </c>
      <c r="N50" s="33">
        <v>1.6</v>
      </c>
      <c r="O50" s="34">
        <v>0.35499999999999998</v>
      </c>
      <c r="P50" s="29"/>
      <c r="Q50" s="29"/>
      <c r="R50" s="29"/>
      <c r="S50" s="29" t="s">
        <v>610</v>
      </c>
      <c r="T50" s="34"/>
      <c r="U50" s="29">
        <v>17</v>
      </c>
      <c r="V50" s="29" t="s">
        <v>662</v>
      </c>
      <c r="W50" s="29"/>
      <c r="X50" s="29"/>
      <c r="Y50" s="30" t="s">
        <v>493</v>
      </c>
      <c r="Z50" s="30">
        <v>27</v>
      </c>
      <c r="AA50" s="7" t="e">
        <v>#N/A</v>
      </c>
      <c r="AB50" s="7"/>
      <c r="AC50" s="7"/>
      <c r="AD50" s="7"/>
    </row>
    <row r="51" spans="1:30" ht="15" x14ac:dyDescent="0.25">
      <c r="A51" s="26">
        <v>27207124538</v>
      </c>
      <c r="B51" s="27" t="s">
        <v>531</v>
      </c>
      <c r="C51" s="27" t="s">
        <v>460</v>
      </c>
      <c r="D51" s="27" t="s">
        <v>519</v>
      </c>
      <c r="E51" s="28"/>
      <c r="F51" s="27"/>
      <c r="G51" s="27" t="s">
        <v>661</v>
      </c>
      <c r="H51" s="29">
        <v>5.6</v>
      </c>
      <c r="I51" s="29">
        <v>114</v>
      </c>
      <c r="J51" s="29">
        <v>11</v>
      </c>
      <c r="K51" s="29">
        <v>0</v>
      </c>
      <c r="L51" s="29">
        <v>125</v>
      </c>
      <c r="M51" s="29">
        <v>5.67</v>
      </c>
      <c r="N51" s="33">
        <v>2.14</v>
      </c>
      <c r="O51" s="34">
        <v>8.7999999999999995E-2</v>
      </c>
      <c r="P51" s="29"/>
      <c r="Q51" s="29"/>
      <c r="R51" s="29" t="s">
        <v>610</v>
      </c>
      <c r="S51" s="29" t="s">
        <v>610</v>
      </c>
      <c r="T51" s="34"/>
      <c r="U51" s="29">
        <v>5</v>
      </c>
      <c r="V51" s="29" t="s">
        <v>662</v>
      </c>
      <c r="W51" s="29"/>
      <c r="X51" s="29"/>
      <c r="Y51" s="30" t="s">
        <v>493</v>
      </c>
      <c r="Z51" s="30">
        <v>27</v>
      </c>
      <c r="AA51" s="7" t="s">
        <v>814</v>
      </c>
      <c r="AB51" s="7"/>
      <c r="AC51" s="7"/>
      <c r="AD51" s="7"/>
    </row>
    <row r="52" spans="1:30" ht="15" x14ac:dyDescent="0.25">
      <c r="A52" s="26">
        <v>27207127705</v>
      </c>
      <c r="B52" s="27" t="s">
        <v>531</v>
      </c>
      <c r="C52" s="27" t="s">
        <v>692</v>
      </c>
      <c r="D52" s="27" t="s">
        <v>519</v>
      </c>
      <c r="E52" s="28"/>
      <c r="F52" s="27"/>
      <c r="G52" s="27" t="s">
        <v>661</v>
      </c>
      <c r="H52" s="29">
        <v>7.3</v>
      </c>
      <c r="I52" s="29">
        <v>117</v>
      </c>
      <c r="J52" s="29">
        <v>7</v>
      </c>
      <c r="K52" s="29">
        <v>0</v>
      </c>
      <c r="L52" s="29">
        <v>124</v>
      </c>
      <c r="M52" s="29">
        <v>6.81</v>
      </c>
      <c r="N52" s="33">
        <v>2.83</v>
      </c>
      <c r="O52" s="34">
        <v>5.6000000000000001E-2</v>
      </c>
      <c r="P52" s="29"/>
      <c r="Q52" s="29"/>
      <c r="R52" s="29" t="s">
        <v>610</v>
      </c>
      <c r="S52" s="29" t="s">
        <v>610</v>
      </c>
      <c r="T52" s="34"/>
      <c r="U52" s="29">
        <v>7</v>
      </c>
      <c r="V52" s="29" t="s">
        <v>662</v>
      </c>
      <c r="W52" s="29"/>
      <c r="X52" s="29"/>
      <c r="Y52" s="30" t="s">
        <v>493</v>
      </c>
      <c r="Z52" s="30">
        <v>27</v>
      </c>
      <c r="AA52" s="7" t="e">
        <v>#N/A</v>
      </c>
      <c r="AB52" s="7"/>
      <c r="AC52" s="7"/>
      <c r="AD52" s="7"/>
    </row>
    <row r="53" spans="1:30" ht="15" x14ac:dyDescent="0.25">
      <c r="A53" s="26">
        <v>27207130708</v>
      </c>
      <c r="B53" s="27" t="s">
        <v>621</v>
      </c>
      <c r="C53" s="27" t="s">
        <v>558</v>
      </c>
      <c r="D53" s="27" t="s">
        <v>519</v>
      </c>
      <c r="E53" s="28"/>
      <c r="F53" s="27"/>
      <c r="G53" s="27" t="s">
        <v>661</v>
      </c>
      <c r="H53" s="29">
        <v>6.8</v>
      </c>
      <c r="I53" s="29">
        <v>117</v>
      </c>
      <c r="J53" s="29">
        <v>7</v>
      </c>
      <c r="K53" s="29">
        <v>0</v>
      </c>
      <c r="L53" s="29">
        <v>124</v>
      </c>
      <c r="M53" s="29">
        <v>6.24</v>
      </c>
      <c r="N53" s="33">
        <v>2.4700000000000002</v>
      </c>
      <c r="O53" s="34">
        <v>5.6000000000000001E-2</v>
      </c>
      <c r="P53" s="29"/>
      <c r="Q53" s="29"/>
      <c r="R53" s="29" t="s">
        <v>610</v>
      </c>
      <c r="S53" s="29" t="s">
        <v>610</v>
      </c>
      <c r="T53" s="34"/>
      <c r="U53" s="29">
        <v>7</v>
      </c>
      <c r="V53" s="29" t="s">
        <v>662</v>
      </c>
      <c r="W53" s="29"/>
      <c r="X53" s="29"/>
      <c r="Y53" s="30" t="s">
        <v>493</v>
      </c>
      <c r="Z53" s="30">
        <v>27</v>
      </c>
      <c r="AA53" s="7" t="e">
        <v>#N/A</v>
      </c>
      <c r="AB53" s="7"/>
      <c r="AC53" s="7"/>
      <c r="AD53" s="7"/>
    </row>
    <row r="54" spans="1:30" ht="15" x14ac:dyDescent="0.25">
      <c r="A54" s="26">
        <v>27207131162</v>
      </c>
      <c r="B54" s="27" t="s">
        <v>531</v>
      </c>
      <c r="C54" s="27" t="s">
        <v>681</v>
      </c>
      <c r="D54" s="27" t="s">
        <v>519</v>
      </c>
      <c r="E54" s="28"/>
      <c r="F54" s="27"/>
      <c r="G54" s="27" t="s">
        <v>661</v>
      </c>
      <c r="H54" s="29">
        <v>8.1</v>
      </c>
      <c r="I54" s="29">
        <v>118</v>
      </c>
      <c r="J54" s="29">
        <v>5</v>
      </c>
      <c r="K54" s="29">
        <v>0</v>
      </c>
      <c r="L54" s="29">
        <v>123</v>
      </c>
      <c r="M54" s="29">
        <v>6.56</v>
      </c>
      <c r="N54" s="33">
        <v>2.66</v>
      </c>
      <c r="O54" s="34">
        <v>4.1000000000000002E-2</v>
      </c>
      <c r="P54" s="29"/>
      <c r="Q54" s="29" t="s">
        <v>610</v>
      </c>
      <c r="R54" s="29" t="s">
        <v>610</v>
      </c>
      <c r="S54" s="29" t="s">
        <v>610</v>
      </c>
      <c r="T54" s="34"/>
      <c r="U54" s="29">
        <v>2</v>
      </c>
      <c r="V54" s="29" t="s">
        <v>665</v>
      </c>
      <c r="W54" s="29"/>
      <c r="X54" s="29"/>
      <c r="Y54" s="30" t="s">
        <v>493</v>
      </c>
      <c r="Z54" s="30">
        <v>27</v>
      </c>
      <c r="AA54" s="7" t="s">
        <v>818</v>
      </c>
      <c r="AB54" s="7"/>
      <c r="AC54" s="7"/>
      <c r="AD54" s="7"/>
    </row>
    <row r="55" spans="1:30" ht="15" x14ac:dyDescent="0.25">
      <c r="A55" s="26">
        <v>27217123844</v>
      </c>
      <c r="B55" s="27" t="s">
        <v>531</v>
      </c>
      <c r="C55" s="27" t="s">
        <v>693</v>
      </c>
      <c r="D55" s="27" t="s">
        <v>519</v>
      </c>
      <c r="E55" s="28"/>
      <c r="F55" s="27"/>
      <c r="G55" s="27" t="s">
        <v>661</v>
      </c>
      <c r="H55" s="29">
        <v>8.3000000000000007</v>
      </c>
      <c r="I55" s="29">
        <v>121</v>
      </c>
      <c r="J55" s="29">
        <v>2</v>
      </c>
      <c r="K55" s="29">
        <v>0</v>
      </c>
      <c r="L55" s="29">
        <v>123</v>
      </c>
      <c r="M55" s="29">
        <v>7.62</v>
      </c>
      <c r="N55" s="33">
        <v>3.28</v>
      </c>
      <c r="O55" s="34">
        <v>1.6E-2</v>
      </c>
      <c r="P55" s="29"/>
      <c r="Q55" s="29" t="s">
        <v>610</v>
      </c>
      <c r="R55" s="29" t="s">
        <v>610</v>
      </c>
      <c r="S55" s="29" t="s">
        <v>610</v>
      </c>
      <c r="T55" s="34"/>
      <c r="U55" s="29">
        <v>2</v>
      </c>
      <c r="V55" s="29" t="s">
        <v>665</v>
      </c>
      <c r="W55" s="29"/>
      <c r="X55" s="30" t="s">
        <v>23</v>
      </c>
      <c r="Y55" s="30" t="s">
        <v>493</v>
      </c>
      <c r="Z55" s="30">
        <v>27</v>
      </c>
      <c r="AA55" s="7" t="s">
        <v>819</v>
      </c>
      <c r="AB55" s="7"/>
      <c r="AC55" s="7"/>
      <c r="AD55" s="7"/>
    </row>
    <row r="56" spans="1:30" ht="15" x14ac:dyDescent="0.25">
      <c r="A56" s="26">
        <v>27207101085</v>
      </c>
      <c r="B56" s="27" t="s">
        <v>660</v>
      </c>
      <c r="C56" s="27" t="s">
        <v>694</v>
      </c>
      <c r="D56" s="27" t="s">
        <v>544</v>
      </c>
      <c r="E56" s="28"/>
      <c r="F56" s="27"/>
      <c r="G56" s="27" t="s">
        <v>661</v>
      </c>
      <c r="H56" s="29">
        <v>7.5</v>
      </c>
      <c r="I56" s="29">
        <v>109</v>
      </c>
      <c r="J56" s="29">
        <v>15</v>
      </c>
      <c r="K56" s="29">
        <v>0</v>
      </c>
      <c r="L56" s="29">
        <v>124</v>
      </c>
      <c r="M56" s="29">
        <v>5.57</v>
      </c>
      <c r="N56" s="33">
        <v>2.14</v>
      </c>
      <c r="O56" s="34">
        <v>0.121</v>
      </c>
      <c r="P56" s="29"/>
      <c r="Q56" s="29"/>
      <c r="R56" s="29" t="s">
        <v>610</v>
      </c>
      <c r="S56" s="29" t="s">
        <v>610</v>
      </c>
      <c r="T56" s="34"/>
      <c r="U56" s="29">
        <v>10</v>
      </c>
      <c r="V56" s="29" t="s">
        <v>662</v>
      </c>
      <c r="W56" s="29"/>
      <c r="X56" s="29"/>
      <c r="Y56" s="30" t="s">
        <v>493</v>
      </c>
      <c r="Z56" s="30">
        <v>27</v>
      </c>
      <c r="AA56" s="7" t="e">
        <v>#N/A</v>
      </c>
      <c r="AB56" s="7"/>
      <c r="AC56" s="7"/>
      <c r="AD56" s="7"/>
    </row>
    <row r="57" spans="1:30" ht="15" x14ac:dyDescent="0.25">
      <c r="A57" s="26">
        <v>27207128512</v>
      </c>
      <c r="B57" s="27" t="s">
        <v>531</v>
      </c>
      <c r="C57" s="27" t="s">
        <v>695</v>
      </c>
      <c r="D57" s="27" t="s">
        <v>446</v>
      </c>
      <c r="E57" s="28"/>
      <c r="F57" s="27"/>
      <c r="G57" s="27" t="s">
        <v>661</v>
      </c>
      <c r="H57" s="29">
        <v>7.2</v>
      </c>
      <c r="I57" s="29">
        <v>121</v>
      </c>
      <c r="J57" s="29">
        <v>3</v>
      </c>
      <c r="K57" s="29">
        <v>0</v>
      </c>
      <c r="L57" s="29">
        <v>124</v>
      </c>
      <c r="M57" s="29">
        <v>7.56</v>
      </c>
      <c r="N57" s="33">
        <v>3.17</v>
      </c>
      <c r="O57" s="34">
        <v>2.4E-2</v>
      </c>
      <c r="P57" s="29"/>
      <c r="Q57" s="29"/>
      <c r="R57" s="29" t="s">
        <v>610</v>
      </c>
      <c r="S57" s="29" t="s">
        <v>610</v>
      </c>
      <c r="T57" s="34"/>
      <c r="U57" s="29">
        <v>3</v>
      </c>
      <c r="V57" s="29" t="s">
        <v>665</v>
      </c>
      <c r="W57" s="29"/>
      <c r="X57" s="29"/>
      <c r="Y57" s="30" t="s">
        <v>493</v>
      </c>
      <c r="Z57" s="30">
        <v>27</v>
      </c>
      <c r="AA57" s="7" t="s">
        <v>811</v>
      </c>
      <c r="AB57" s="7"/>
      <c r="AC57" s="7"/>
      <c r="AD57" s="7"/>
    </row>
    <row r="58" spans="1:30" ht="15" x14ac:dyDescent="0.25">
      <c r="A58" s="26">
        <v>27207133735</v>
      </c>
      <c r="B58" s="27" t="s">
        <v>531</v>
      </c>
      <c r="C58" s="27" t="s">
        <v>696</v>
      </c>
      <c r="D58" s="27" t="s">
        <v>446</v>
      </c>
      <c r="E58" s="28"/>
      <c r="F58" s="27"/>
      <c r="G58" s="27" t="s">
        <v>661</v>
      </c>
      <c r="H58" s="29">
        <v>8.9</v>
      </c>
      <c r="I58" s="29">
        <v>124</v>
      </c>
      <c r="J58" s="29">
        <v>0</v>
      </c>
      <c r="K58" s="29">
        <v>0</v>
      </c>
      <c r="L58" s="29">
        <v>124</v>
      </c>
      <c r="M58" s="29">
        <v>8.3800000000000008</v>
      </c>
      <c r="N58" s="33">
        <v>3.65</v>
      </c>
      <c r="O58" s="34">
        <v>0</v>
      </c>
      <c r="P58" s="29"/>
      <c r="Q58" s="29" t="s">
        <v>610</v>
      </c>
      <c r="R58" s="29" t="s">
        <v>610</v>
      </c>
      <c r="S58" s="29" t="s">
        <v>610</v>
      </c>
      <c r="T58" s="34"/>
      <c r="U58" s="29">
        <v>0</v>
      </c>
      <c r="V58" s="29" t="s">
        <v>665</v>
      </c>
      <c r="W58" s="29"/>
      <c r="X58" s="30" t="s">
        <v>23</v>
      </c>
      <c r="Y58" s="30" t="s">
        <v>493</v>
      </c>
      <c r="Z58" s="30">
        <v>27</v>
      </c>
      <c r="AA58" s="7" t="s">
        <v>808</v>
      </c>
      <c r="AB58" s="7"/>
      <c r="AC58" s="7"/>
      <c r="AD58" s="7"/>
    </row>
    <row r="59" spans="1:30" ht="15" x14ac:dyDescent="0.25">
      <c r="A59" s="26">
        <v>27217126276</v>
      </c>
      <c r="B59" s="27" t="s">
        <v>531</v>
      </c>
      <c r="C59" s="27" t="s">
        <v>593</v>
      </c>
      <c r="D59" s="27" t="s">
        <v>589</v>
      </c>
      <c r="E59" s="28"/>
      <c r="F59" s="27"/>
      <c r="G59" s="27" t="s">
        <v>661</v>
      </c>
      <c r="H59" s="29">
        <v>6.4</v>
      </c>
      <c r="I59" s="29">
        <v>55</v>
      </c>
      <c r="J59" s="29">
        <v>68</v>
      </c>
      <c r="K59" s="29">
        <v>0</v>
      </c>
      <c r="L59" s="29">
        <v>123</v>
      </c>
      <c r="M59" s="29">
        <v>2.75</v>
      </c>
      <c r="N59" s="33">
        <v>1.04</v>
      </c>
      <c r="O59" s="34">
        <v>0.55300000000000005</v>
      </c>
      <c r="P59" s="29"/>
      <c r="Q59" s="29"/>
      <c r="R59" s="29"/>
      <c r="S59" s="29" t="s">
        <v>610</v>
      </c>
      <c r="T59" s="34"/>
      <c r="U59" s="29">
        <v>19</v>
      </c>
      <c r="V59" s="29" t="s">
        <v>662</v>
      </c>
      <c r="W59" s="29"/>
      <c r="X59" s="29"/>
      <c r="Y59" s="30" t="s">
        <v>493</v>
      </c>
      <c r="Z59" s="30">
        <v>27</v>
      </c>
      <c r="AA59" s="7" t="e">
        <v>#N/A</v>
      </c>
      <c r="AB59" s="7"/>
      <c r="AC59" s="7"/>
      <c r="AD59" s="7"/>
    </row>
    <row r="60" spans="1:30" ht="15" x14ac:dyDescent="0.25">
      <c r="A60" s="26">
        <v>27207143916</v>
      </c>
      <c r="B60" s="27" t="s">
        <v>684</v>
      </c>
      <c r="C60" s="27" t="s">
        <v>681</v>
      </c>
      <c r="D60" s="27" t="s">
        <v>520</v>
      </c>
      <c r="E60" s="28"/>
      <c r="F60" s="27"/>
      <c r="G60" s="27" t="s">
        <v>661</v>
      </c>
      <c r="H60" s="29">
        <v>8.1999999999999993</v>
      </c>
      <c r="I60" s="29">
        <v>123</v>
      </c>
      <c r="J60" s="29">
        <v>1</v>
      </c>
      <c r="K60" s="29">
        <v>0</v>
      </c>
      <c r="L60" s="29">
        <v>124</v>
      </c>
      <c r="M60" s="29">
        <v>7.31</v>
      </c>
      <c r="N60" s="33">
        <v>3.06</v>
      </c>
      <c r="O60" s="34">
        <v>8.0000000000000002E-3</v>
      </c>
      <c r="P60" s="29"/>
      <c r="Q60" s="29"/>
      <c r="R60" s="29" t="s">
        <v>610</v>
      </c>
      <c r="S60" s="29" t="s">
        <v>610</v>
      </c>
      <c r="T60" s="34"/>
      <c r="U60" s="29">
        <v>1</v>
      </c>
      <c r="V60" s="29" t="s">
        <v>665</v>
      </c>
      <c r="W60" s="29"/>
      <c r="X60" s="29"/>
      <c r="Y60" s="30" t="s">
        <v>493</v>
      </c>
      <c r="Z60" s="30">
        <v>27</v>
      </c>
      <c r="AA60" s="7" t="e">
        <v>#N/A</v>
      </c>
      <c r="AB60" s="7" t="e">
        <v>#N/A</v>
      </c>
      <c r="AC60" s="7" t="s">
        <v>26</v>
      </c>
      <c r="AD60" s="7" t="s">
        <v>517</v>
      </c>
    </row>
    <row r="61" spans="1:30" ht="15" x14ac:dyDescent="0.25">
      <c r="A61" s="26">
        <v>27217102218</v>
      </c>
      <c r="B61" s="27" t="s">
        <v>499</v>
      </c>
      <c r="C61" s="27" t="s">
        <v>558</v>
      </c>
      <c r="D61" s="27" t="s">
        <v>520</v>
      </c>
      <c r="E61" s="28"/>
      <c r="F61" s="27"/>
      <c r="G61" s="27" t="s">
        <v>661</v>
      </c>
      <c r="H61" s="29">
        <v>9.1</v>
      </c>
      <c r="I61" s="29">
        <v>119</v>
      </c>
      <c r="J61" s="29">
        <v>4</v>
      </c>
      <c r="K61" s="29">
        <v>0</v>
      </c>
      <c r="L61" s="29">
        <v>123</v>
      </c>
      <c r="M61" s="29">
        <v>6.86</v>
      </c>
      <c r="N61" s="33">
        <v>2.77</v>
      </c>
      <c r="O61" s="34">
        <v>3.3000000000000002E-2</v>
      </c>
      <c r="P61" s="29"/>
      <c r="Q61" s="29"/>
      <c r="R61" s="29" t="s">
        <v>610</v>
      </c>
      <c r="S61" s="29" t="s">
        <v>610</v>
      </c>
      <c r="T61" s="34"/>
      <c r="U61" s="29">
        <v>4</v>
      </c>
      <c r="V61" s="29" t="s">
        <v>665</v>
      </c>
      <c r="W61" s="29"/>
      <c r="X61" s="29"/>
      <c r="Y61" s="30" t="s">
        <v>493</v>
      </c>
      <c r="Z61" s="30">
        <v>27</v>
      </c>
      <c r="AA61" s="7" t="s">
        <v>811</v>
      </c>
      <c r="AB61" s="7"/>
      <c r="AC61" s="7"/>
      <c r="AD61" s="7"/>
    </row>
    <row r="62" spans="1:30" ht="15" x14ac:dyDescent="0.25">
      <c r="A62" s="26">
        <v>27217132618</v>
      </c>
      <c r="B62" s="27" t="s">
        <v>697</v>
      </c>
      <c r="C62" s="27" t="s">
        <v>629</v>
      </c>
      <c r="D62" s="27" t="s">
        <v>470</v>
      </c>
      <c r="E62" s="28"/>
      <c r="F62" s="27"/>
      <c r="G62" s="27" t="s">
        <v>661</v>
      </c>
      <c r="H62" s="29">
        <v>7.5</v>
      </c>
      <c r="I62" s="29">
        <v>114</v>
      </c>
      <c r="J62" s="29">
        <v>10</v>
      </c>
      <c r="K62" s="29">
        <v>0</v>
      </c>
      <c r="L62" s="29">
        <v>124</v>
      </c>
      <c r="M62" s="29">
        <v>6.45</v>
      </c>
      <c r="N62" s="33">
        <v>2.63</v>
      </c>
      <c r="O62" s="34">
        <v>8.1000000000000003E-2</v>
      </c>
      <c r="P62" s="29"/>
      <c r="Q62" s="29"/>
      <c r="R62" s="29" t="s">
        <v>610</v>
      </c>
      <c r="S62" s="29" t="s">
        <v>610</v>
      </c>
      <c r="T62" s="34"/>
      <c r="U62" s="29">
        <v>8</v>
      </c>
      <c r="V62" s="29" t="s">
        <v>662</v>
      </c>
      <c r="W62" s="29"/>
      <c r="X62" s="29"/>
      <c r="Y62" s="30" t="s">
        <v>493</v>
      </c>
      <c r="Z62" s="30">
        <v>27</v>
      </c>
      <c r="AA62" s="7" t="e">
        <v>#N/A</v>
      </c>
      <c r="AB62" s="7"/>
      <c r="AC62" s="7"/>
      <c r="AD62" s="7"/>
    </row>
    <row r="63" spans="1:30" ht="15" x14ac:dyDescent="0.25">
      <c r="A63" s="26">
        <v>27202141732</v>
      </c>
      <c r="B63" s="27" t="s">
        <v>680</v>
      </c>
      <c r="C63" s="27" t="s">
        <v>698</v>
      </c>
      <c r="D63" s="27" t="s">
        <v>496</v>
      </c>
      <c r="E63" s="28"/>
      <c r="F63" s="27"/>
      <c r="G63" s="27" t="s">
        <v>661</v>
      </c>
      <c r="H63" s="29">
        <v>6.9</v>
      </c>
      <c r="I63" s="29">
        <v>89</v>
      </c>
      <c r="J63" s="29">
        <v>34</v>
      </c>
      <c r="K63" s="29">
        <v>0</v>
      </c>
      <c r="L63" s="29">
        <v>123</v>
      </c>
      <c r="M63" s="29">
        <v>4.22</v>
      </c>
      <c r="N63" s="33">
        <v>1.53</v>
      </c>
      <c r="O63" s="34">
        <v>0.27600000000000002</v>
      </c>
      <c r="P63" s="29"/>
      <c r="Q63" s="29"/>
      <c r="R63" s="29"/>
      <c r="S63" s="29" t="s">
        <v>610</v>
      </c>
      <c r="T63" s="34"/>
      <c r="U63" s="29">
        <v>20</v>
      </c>
      <c r="V63" s="29" t="s">
        <v>662</v>
      </c>
      <c r="W63" s="29"/>
      <c r="X63" s="29"/>
      <c r="Y63" s="30" t="s">
        <v>493</v>
      </c>
      <c r="Z63" s="30">
        <v>27</v>
      </c>
      <c r="AA63" s="7" t="e">
        <v>#N/A</v>
      </c>
      <c r="AB63" s="7"/>
      <c r="AC63" s="7"/>
      <c r="AD63" s="7"/>
    </row>
    <row r="64" spans="1:30" ht="15" x14ac:dyDescent="0.25">
      <c r="A64" s="26">
        <v>27207120147</v>
      </c>
      <c r="B64" s="27" t="s">
        <v>660</v>
      </c>
      <c r="C64" s="27" t="s">
        <v>695</v>
      </c>
      <c r="D64" s="27" t="s">
        <v>496</v>
      </c>
      <c r="E64" s="28"/>
      <c r="F64" s="27"/>
      <c r="G64" s="27" t="s">
        <v>661</v>
      </c>
      <c r="H64" s="29">
        <v>7.1</v>
      </c>
      <c r="I64" s="29">
        <v>123</v>
      </c>
      <c r="J64" s="29">
        <v>0</v>
      </c>
      <c r="K64" s="29">
        <v>0</v>
      </c>
      <c r="L64" s="29">
        <v>123</v>
      </c>
      <c r="M64" s="29">
        <v>7.27</v>
      </c>
      <c r="N64" s="33">
        <v>3</v>
      </c>
      <c r="O64" s="34">
        <v>0</v>
      </c>
      <c r="P64" s="29"/>
      <c r="Q64" s="29"/>
      <c r="R64" s="29" t="s">
        <v>610</v>
      </c>
      <c r="S64" s="29" t="s">
        <v>610</v>
      </c>
      <c r="T64" s="34"/>
      <c r="U64" s="29">
        <v>0</v>
      </c>
      <c r="V64" s="29" t="s">
        <v>665</v>
      </c>
      <c r="W64" s="29"/>
      <c r="X64" s="29"/>
      <c r="Y64" s="30" t="s">
        <v>493</v>
      </c>
      <c r="Z64" s="30">
        <v>27</v>
      </c>
      <c r="AA64" s="7" t="s">
        <v>808</v>
      </c>
      <c r="AB64" s="7"/>
      <c r="AC64" s="7"/>
      <c r="AD64" s="7"/>
    </row>
    <row r="65" spans="1:30" ht="15" x14ac:dyDescent="0.25">
      <c r="A65" s="26">
        <v>27207142571</v>
      </c>
      <c r="B65" s="27" t="s">
        <v>699</v>
      </c>
      <c r="C65" s="27" t="s">
        <v>695</v>
      </c>
      <c r="D65" s="27" t="s">
        <v>496</v>
      </c>
      <c r="E65" s="28"/>
      <c r="F65" s="27"/>
      <c r="G65" s="27" t="s">
        <v>661</v>
      </c>
      <c r="H65" s="29">
        <v>8.9</v>
      </c>
      <c r="I65" s="29">
        <v>120</v>
      </c>
      <c r="J65" s="29">
        <v>3</v>
      </c>
      <c r="K65" s="29">
        <v>0</v>
      </c>
      <c r="L65" s="29">
        <v>123</v>
      </c>
      <c r="M65" s="29">
        <v>7.46</v>
      </c>
      <c r="N65" s="33">
        <v>3.1</v>
      </c>
      <c r="O65" s="34">
        <v>2.4E-2</v>
      </c>
      <c r="P65" s="29"/>
      <c r="Q65" s="29"/>
      <c r="R65" s="29" t="s">
        <v>610</v>
      </c>
      <c r="S65" s="29" t="s">
        <v>610</v>
      </c>
      <c r="T65" s="34"/>
      <c r="U65" s="29">
        <v>3</v>
      </c>
      <c r="V65" s="29" t="s">
        <v>665</v>
      </c>
      <c r="W65" s="29"/>
      <c r="X65" s="29"/>
      <c r="Y65" s="30" t="s">
        <v>493</v>
      </c>
      <c r="Z65" s="30">
        <v>27</v>
      </c>
      <c r="AA65" s="7" t="s">
        <v>820</v>
      </c>
      <c r="AB65" s="7"/>
      <c r="AC65" s="7"/>
      <c r="AD65" s="7"/>
    </row>
    <row r="66" spans="1:30" ht="15" x14ac:dyDescent="0.25">
      <c r="A66" s="26">
        <v>27217144470</v>
      </c>
      <c r="B66" s="27" t="s">
        <v>700</v>
      </c>
      <c r="C66" s="27" t="s">
        <v>701</v>
      </c>
      <c r="D66" s="27" t="s">
        <v>496</v>
      </c>
      <c r="E66" s="28"/>
      <c r="F66" s="27"/>
      <c r="G66" s="27" t="s">
        <v>661</v>
      </c>
      <c r="H66" s="29">
        <v>5.6</v>
      </c>
      <c r="I66" s="29">
        <v>52</v>
      </c>
      <c r="J66" s="29">
        <v>71</v>
      </c>
      <c r="K66" s="29">
        <v>0</v>
      </c>
      <c r="L66" s="29">
        <v>123</v>
      </c>
      <c r="M66" s="29">
        <v>2.56</v>
      </c>
      <c r="N66" s="33">
        <v>0.97</v>
      </c>
      <c r="O66" s="34">
        <v>0.57699999999999996</v>
      </c>
      <c r="P66" s="29"/>
      <c r="Q66" s="29"/>
      <c r="R66" s="29"/>
      <c r="S66" s="29"/>
      <c r="T66" s="34"/>
      <c r="U66" s="29">
        <v>1</v>
      </c>
      <c r="V66" s="29" t="s">
        <v>662</v>
      </c>
      <c r="W66" s="29"/>
      <c r="X66" s="29"/>
      <c r="Y66" s="30" t="s">
        <v>493</v>
      </c>
      <c r="Z66" s="30">
        <v>27</v>
      </c>
      <c r="AA66" s="7" t="e">
        <v>#N/A</v>
      </c>
      <c r="AB66" s="7"/>
      <c r="AC66" s="7"/>
      <c r="AD66" s="7"/>
    </row>
    <row r="67" spans="1:30" ht="15" x14ac:dyDescent="0.25">
      <c r="A67" s="26">
        <v>27207100174</v>
      </c>
      <c r="B67" s="27" t="s">
        <v>531</v>
      </c>
      <c r="C67" s="27" t="s">
        <v>677</v>
      </c>
      <c r="D67" s="27" t="s">
        <v>545</v>
      </c>
      <c r="E67" s="28"/>
      <c r="F67" s="27"/>
      <c r="G67" s="27" t="s">
        <v>661</v>
      </c>
      <c r="H67" s="29">
        <v>8.6</v>
      </c>
      <c r="I67" s="29">
        <v>111</v>
      </c>
      <c r="J67" s="29">
        <v>13</v>
      </c>
      <c r="K67" s="29">
        <v>0</v>
      </c>
      <c r="L67" s="29">
        <v>124</v>
      </c>
      <c r="M67" s="29">
        <v>6.32</v>
      </c>
      <c r="N67" s="33">
        <v>2.58</v>
      </c>
      <c r="O67" s="34">
        <v>0.105</v>
      </c>
      <c r="P67" s="29"/>
      <c r="Q67" s="29"/>
      <c r="R67" s="29" t="s">
        <v>610</v>
      </c>
      <c r="S67" s="29" t="s">
        <v>610</v>
      </c>
      <c r="T67" s="34"/>
      <c r="U67" s="29">
        <v>7</v>
      </c>
      <c r="V67" s="29" t="s">
        <v>662</v>
      </c>
      <c r="W67" s="29"/>
      <c r="X67" s="29"/>
      <c r="Y67" s="30" t="s">
        <v>493</v>
      </c>
      <c r="Z67" s="30">
        <v>27</v>
      </c>
      <c r="AA67" s="7" t="e">
        <v>#N/A</v>
      </c>
      <c r="AB67" s="7"/>
      <c r="AC67" s="7"/>
      <c r="AD67" s="7"/>
    </row>
    <row r="68" spans="1:30" ht="15" x14ac:dyDescent="0.25">
      <c r="A68" s="26">
        <v>27217124848</v>
      </c>
      <c r="B68" s="27" t="s">
        <v>531</v>
      </c>
      <c r="C68" s="27" t="s">
        <v>702</v>
      </c>
      <c r="D68" s="27" t="s">
        <v>590</v>
      </c>
      <c r="E68" s="28"/>
      <c r="F68" s="27"/>
      <c r="G68" s="27" t="s">
        <v>661</v>
      </c>
      <c r="H68" s="29">
        <v>6.1</v>
      </c>
      <c r="I68" s="29">
        <v>108</v>
      </c>
      <c r="J68" s="29">
        <v>15</v>
      </c>
      <c r="K68" s="29">
        <v>0</v>
      </c>
      <c r="L68" s="29">
        <v>123</v>
      </c>
      <c r="M68" s="29">
        <v>5.66</v>
      </c>
      <c r="N68" s="33">
        <v>2.19</v>
      </c>
      <c r="O68" s="34">
        <v>0.122</v>
      </c>
      <c r="P68" s="29"/>
      <c r="Q68" s="29"/>
      <c r="R68" s="29" t="s">
        <v>610</v>
      </c>
      <c r="S68" s="29" t="s">
        <v>610</v>
      </c>
      <c r="T68" s="34"/>
      <c r="U68" s="29">
        <v>10</v>
      </c>
      <c r="V68" s="29" t="s">
        <v>662</v>
      </c>
      <c r="W68" s="29"/>
      <c r="X68" s="29"/>
      <c r="Y68" s="30" t="s">
        <v>493</v>
      </c>
      <c r="Z68" s="30">
        <v>27</v>
      </c>
      <c r="AA68" s="7" t="e">
        <v>#N/A</v>
      </c>
      <c r="AB68" s="7"/>
      <c r="AC68" s="7"/>
      <c r="AD68" s="7"/>
    </row>
    <row r="69" spans="1:30" ht="15" x14ac:dyDescent="0.25">
      <c r="A69" s="26">
        <v>27211231051</v>
      </c>
      <c r="B69" s="27" t="s">
        <v>631</v>
      </c>
      <c r="C69" s="27" t="s">
        <v>613</v>
      </c>
      <c r="D69" s="27" t="s">
        <v>521</v>
      </c>
      <c r="E69" s="28"/>
      <c r="F69" s="27"/>
      <c r="G69" s="27" t="s">
        <v>661</v>
      </c>
      <c r="H69" s="29">
        <v>8.5</v>
      </c>
      <c r="I69" s="29">
        <v>96</v>
      </c>
      <c r="J69" s="29">
        <v>27</v>
      </c>
      <c r="K69" s="29">
        <v>0</v>
      </c>
      <c r="L69" s="29">
        <v>123</v>
      </c>
      <c r="M69" s="29">
        <v>4.91</v>
      </c>
      <c r="N69" s="33">
        <v>1.9</v>
      </c>
      <c r="O69" s="34">
        <v>0.22</v>
      </c>
      <c r="P69" s="29"/>
      <c r="Q69" s="29"/>
      <c r="R69" s="29"/>
      <c r="S69" s="29" t="s">
        <v>610</v>
      </c>
      <c r="T69" s="34"/>
      <c r="U69" s="29">
        <v>15</v>
      </c>
      <c r="V69" s="29" t="s">
        <v>662</v>
      </c>
      <c r="W69" s="29"/>
      <c r="X69" s="29"/>
      <c r="Y69" s="30" t="s">
        <v>493</v>
      </c>
      <c r="Z69" s="30">
        <v>27</v>
      </c>
      <c r="AA69" s="7" t="e">
        <v>#N/A</v>
      </c>
      <c r="AB69" s="7"/>
      <c r="AC69" s="7"/>
      <c r="AD69" s="7"/>
    </row>
    <row r="70" spans="1:30" ht="15" x14ac:dyDescent="0.25">
      <c r="A70" s="26">
        <v>27217126810</v>
      </c>
      <c r="B70" s="27" t="s">
        <v>531</v>
      </c>
      <c r="C70" s="27" t="s">
        <v>586</v>
      </c>
      <c r="D70" s="27" t="s">
        <v>521</v>
      </c>
      <c r="E70" s="28"/>
      <c r="F70" s="27"/>
      <c r="G70" s="27" t="s">
        <v>661</v>
      </c>
      <c r="H70" s="29">
        <v>9</v>
      </c>
      <c r="I70" s="29">
        <v>120</v>
      </c>
      <c r="J70" s="29">
        <v>3</v>
      </c>
      <c r="K70" s="29">
        <v>0</v>
      </c>
      <c r="L70" s="29">
        <v>123</v>
      </c>
      <c r="M70" s="29">
        <v>8.3000000000000007</v>
      </c>
      <c r="N70" s="33">
        <v>3.56</v>
      </c>
      <c r="O70" s="34">
        <v>2.4E-2</v>
      </c>
      <c r="P70" s="29"/>
      <c r="Q70" s="29"/>
      <c r="R70" s="29"/>
      <c r="S70" s="29" t="s">
        <v>610</v>
      </c>
      <c r="T70" s="34"/>
      <c r="U70" s="29">
        <v>4</v>
      </c>
      <c r="V70" s="29" t="s">
        <v>665</v>
      </c>
      <c r="W70" s="29"/>
      <c r="X70" s="30" t="s">
        <v>23</v>
      </c>
      <c r="Y70" s="30" t="s">
        <v>493</v>
      </c>
      <c r="Z70" s="30">
        <v>27</v>
      </c>
      <c r="AA70" s="7" t="s">
        <v>808</v>
      </c>
      <c r="AB70" s="7"/>
      <c r="AC70" s="7"/>
      <c r="AD70" s="7"/>
    </row>
    <row r="71" spans="1:30" ht="15" x14ac:dyDescent="0.25">
      <c r="A71" s="26">
        <v>27207124777</v>
      </c>
      <c r="B71" s="27" t="s">
        <v>539</v>
      </c>
      <c r="C71" s="27" t="s">
        <v>476</v>
      </c>
      <c r="D71" s="27" t="s">
        <v>546</v>
      </c>
      <c r="E71" s="28"/>
      <c r="F71" s="27"/>
      <c r="G71" s="27" t="s">
        <v>661</v>
      </c>
      <c r="H71" s="29">
        <v>5.7</v>
      </c>
      <c r="I71" s="29">
        <v>124</v>
      </c>
      <c r="J71" s="29">
        <v>0</v>
      </c>
      <c r="K71" s="29">
        <v>0</v>
      </c>
      <c r="L71" s="29">
        <v>124</v>
      </c>
      <c r="M71" s="29">
        <v>6.91</v>
      </c>
      <c r="N71" s="33">
        <v>2.79</v>
      </c>
      <c r="O71" s="34">
        <v>0</v>
      </c>
      <c r="P71" s="29" t="s">
        <v>610</v>
      </c>
      <c r="Q71" s="29" t="s">
        <v>610</v>
      </c>
      <c r="R71" s="29" t="s">
        <v>610</v>
      </c>
      <c r="S71" s="29" t="s">
        <v>610</v>
      </c>
      <c r="T71" s="29" t="s">
        <v>703</v>
      </c>
      <c r="U71" s="29" t="e">
        <v>#N/A</v>
      </c>
      <c r="V71" s="29" t="s">
        <v>665</v>
      </c>
      <c r="W71" s="29"/>
      <c r="X71" s="29"/>
      <c r="Y71" s="30" t="s">
        <v>493</v>
      </c>
      <c r="Z71" s="30">
        <v>27</v>
      </c>
      <c r="AA71" s="7" t="e">
        <v>#N/A</v>
      </c>
      <c r="AB71" s="7"/>
      <c r="AC71" s="7"/>
      <c r="AD71" s="7"/>
    </row>
    <row r="72" spans="1:30" ht="15" x14ac:dyDescent="0.25">
      <c r="A72" s="26">
        <v>27207140629</v>
      </c>
      <c r="B72" s="27" t="s">
        <v>631</v>
      </c>
      <c r="C72" s="27" t="s">
        <v>681</v>
      </c>
      <c r="D72" s="27" t="s">
        <v>546</v>
      </c>
      <c r="E72" s="28"/>
      <c r="F72" s="27"/>
      <c r="G72" s="27" t="s">
        <v>661</v>
      </c>
      <c r="H72" s="29">
        <v>9.6</v>
      </c>
      <c r="I72" s="29">
        <v>120</v>
      </c>
      <c r="J72" s="29">
        <v>4</v>
      </c>
      <c r="K72" s="29">
        <v>0</v>
      </c>
      <c r="L72" s="29">
        <v>124</v>
      </c>
      <c r="M72" s="29">
        <v>7.88</v>
      </c>
      <c r="N72" s="33">
        <v>3.37</v>
      </c>
      <c r="O72" s="34">
        <v>3.2000000000000001E-2</v>
      </c>
      <c r="P72" s="29"/>
      <c r="Q72" s="29"/>
      <c r="R72" s="29" t="s">
        <v>610</v>
      </c>
      <c r="S72" s="29" t="s">
        <v>610</v>
      </c>
      <c r="T72" s="34"/>
      <c r="U72" s="29">
        <v>4</v>
      </c>
      <c r="V72" s="29" t="s">
        <v>665</v>
      </c>
      <c r="W72" s="29"/>
      <c r="X72" s="30" t="s">
        <v>23</v>
      </c>
      <c r="Y72" s="30" t="s">
        <v>493</v>
      </c>
      <c r="Z72" s="30">
        <v>27</v>
      </c>
      <c r="AA72" s="7" t="s">
        <v>821</v>
      </c>
      <c r="AB72" s="7"/>
      <c r="AC72" s="7"/>
      <c r="AD72" s="7"/>
    </row>
    <row r="73" spans="1:30" ht="15" x14ac:dyDescent="0.25">
      <c r="A73" s="26">
        <v>27207141358</v>
      </c>
      <c r="B73" s="27" t="s">
        <v>631</v>
      </c>
      <c r="C73" s="27" t="s">
        <v>704</v>
      </c>
      <c r="D73" s="27" t="s">
        <v>546</v>
      </c>
      <c r="E73" s="28"/>
      <c r="F73" s="27"/>
      <c r="G73" s="27" t="s">
        <v>661</v>
      </c>
      <c r="H73" s="29">
        <v>9.1</v>
      </c>
      <c r="I73" s="29">
        <v>122</v>
      </c>
      <c r="J73" s="29">
        <v>2</v>
      </c>
      <c r="K73" s="29">
        <v>0</v>
      </c>
      <c r="L73" s="29">
        <v>124</v>
      </c>
      <c r="M73" s="29">
        <v>7.69</v>
      </c>
      <c r="N73" s="33">
        <v>3.28</v>
      </c>
      <c r="O73" s="34">
        <v>1.6E-2</v>
      </c>
      <c r="P73" s="29" t="s">
        <v>610</v>
      </c>
      <c r="Q73" s="29" t="s">
        <v>610</v>
      </c>
      <c r="R73" s="29" t="s">
        <v>610</v>
      </c>
      <c r="S73" s="29" t="s">
        <v>610</v>
      </c>
      <c r="T73" s="34"/>
      <c r="U73" s="29">
        <v>2</v>
      </c>
      <c r="V73" s="29" t="s">
        <v>665</v>
      </c>
      <c r="W73" s="29"/>
      <c r="X73" s="30" t="s">
        <v>23</v>
      </c>
      <c r="Y73" s="30" t="s">
        <v>493</v>
      </c>
      <c r="Z73" s="30">
        <v>27</v>
      </c>
      <c r="AA73" s="7" t="s">
        <v>809</v>
      </c>
      <c r="AB73" s="7"/>
      <c r="AC73" s="7"/>
      <c r="AD73" s="7"/>
    </row>
    <row r="74" spans="1:30" ht="15" x14ac:dyDescent="0.25">
      <c r="A74" s="26">
        <v>27217129033</v>
      </c>
      <c r="B74" s="27" t="s">
        <v>499</v>
      </c>
      <c r="C74" s="27" t="s">
        <v>465</v>
      </c>
      <c r="D74" s="27" t="s">
        <v>522</v>
      </c>
      <c r="E74" s="28"/>
      <c r="F74" s="27"/>
      <c r="G74" s="27" t="s">
        <v>661</v>
      </c>
      <c r="H74" s="29">
        <v>6.7</v>
      </c>
      <c r="I74" s="29">
        <v>77</v>
      </c>
      <c r="J74" s="29">
        <v>47</v>
      </c>
      <c r="K74" s="29">
        <v>0</v>
      </c>
      <c r="L74" s="29">
        <v>124</v>
      </c>
      <c r="M74" s="29">
        <v>4.05</v>
      </c>
      <c r="N74" s="33">
        <v>1.6</v>
      </c>
      <c r="O74" s="34">
        <v>0.379</v>
      </c>
      <c r="P74" s="29"/>
      <c r="Q74" s="29"/>
      <c r="R74" s="29" t="s">
        <v>610</v>
      </c>
      <c r="S74" s="29" t="s">
        <v>610</v>
      </c>
      <c r="T74" s="34"/>
      <c r="U74" s="29">
        <v>13</v>
      </c>
      <c r="V74" s="29" t="s">
        <v>662</v>
      </c>
      <c r="W74" s="29"/>
      <c r="X74" s="29"/>
      <c r="Y74" s="30" t="s">
        <v>493</v>
      </c>
      <c r="Z74" s="30">
        <v>27</v>
      </c>
      <c r="AA74" s="7" t="e">
        <v>#N/A</v>
      </c>
      <c r="AB74" s="7"/>
      <c r="AC74" s="7"/>
      <c r="AD74" s="7"/>
    </row>
    <row r="75" spans="1:30" ht="15" x14ac:dyDescent="0.25">
      <c r="A75" s="26">
        <v>27217140939</v>
      </c>
      <c r="B75" s="27" t="s">
        <v>499</v>
      </c>
      <c r="C75" s="27" t="s">
        <v>607</v>
      </c>
      <c r="D75" s="27" t="s">
        <v>522</v>
      </c>
      <c r="E75" s="28"/>
      <c r="F75" s="27"/>
      <c r="G75" s="27" t="s">
        <v>661</v>
      </c>
      <c r="H75" s="29">
        <v>6.3</v>
      </c>
      <c r="I75" s="29">
        <v>119</v>
      </c>
      <c r="J75" s="29">
        <v>5</v>
      </c>
      <c r="K75" s="29">
        <v>0</v>
      </c>
      <c r="L75" s="29">
        <v>124</v>
      </c>
      <c r="M75" s="29">
        <v>6.68</v>
      </c>
      <c r="N75" s="33">
        <v>2.74</v>
      </c>
      <c r="O75" s="34">
        <v>0.04</v>
      </c>
      <c r="P75" s="29"/>
      <c r="Q75" s="29"/>
      <c r="R75" s="29" t="s">
        <v>610</v>
      </c>
      <c r="S75" s="29" t="s">
        <v>610</v>
      </c>
      <c r="T75" s="34"/>
      <c r="U75" s="29">
        <v>5</v>
      </c>
      <c r="V75" s="29" t="s">
        <v>665</v>
      </c>
      <c r="W75" s="29"/>
      <c r="X75" s="29"/>
      <c r="Y75" s="30" t="s">
        <v>493</v>
      </c>
      <c r="Z75" s="30">
        <v>27</v>
      </c>
      <c r="AA75" s="7" t="s">
        <v>805</v>
      </c>
      <c r="AB75" s="7"/>
      <c r="AC75" s="7"/>
      <c r="AD75" s="7"/>
    </row>
    <row r="76" spans="1:30" ht="15" x14ac:dyDescent="0.25">
      <c r="A76" s="26">
        <v>27217144396</v>
      </c>
      <c r="B76" s="27" t="s">
        <v>680</v>
      </c>
      <c r="C76" s="27" t="s">
        <v>705</v>
      </c>
      <c r="D76" s="27" t="s">
        <v>522</v>
      </c>
      <c r="E76" s="28"/>
      <c r="F76" s="27"/>
      <c r="G76" s="27" t="s">
        <v>661</v>
      </c>
      <c r="H76" s="29">
        <v>6.9</v>
      </c>
      <c r="I76" s="29">
        <v>71</v>
      </c>
      <c r="J76" s="29">
        <v>52</v>
      </c>
      <c r="K76" s="29">
        <v>0</v>
      </c>
      <c r="L76" s="29">
        <v>123</v>
      </c>
      <c r="M76" s="29">
        <v>3.62</v>
      </c>
      <c r="N76" s="33">
        <v>1.38</v>
      </c>
      <c r="O76" s="34">
        <v>0.42299999999999999</v>
      </c>
      <c r="P76" s="29"/>
      <c r="Q76" s="29"/>
      <c r="R76" s="29"/>
      <c r="S76" s="29" t="s">
        <v>610</v>
      </c>
      <c r="T76" s="34"/>
      <c r="U76" s="29">
        <v>0</v>
      </c>
      <c r="V76" s="29" t="s">
        <v>662</v>
      </c>
      <c r="W76" s="29"/>
      <c r="X76" s="29"/>
      <c r="Y76" s="30" t="s">
        <v>493</v>
      </c>
      <c r="Z76" s="30">
        <v>27</v>
      </c>
      <c r="AA76" s="7" t="e">
        <v>#N/A</v>
      </c>
      <c r="AB76" s="7"/>
      <c r="AC76" s="7"/>
      <c r="AD76" s="7"/>
    </row>
    <row r="77" spans="1:30" ht="15" x14ac:dyDescent="0.25">
      <c r="A77" s="26">
        <v>27217145233</v>
      </c>
      <c r="B77" s="27" t="s">
        <v>499</v>
      </c>
      <c r="C77" s="27" t="s">
        <v>613</v>
      </c>
      <c r="D77" s="27" t="s">
        <v>522</v>
      </c>
      <c r="E77" s="28"/>
      <c r="F77" s="27"/>
      <c r="G77" s="27" t="s">
        <v>661</v>
      </c>
      <c r="H77" s="29">
        <v>7.9</v>
      </c>
      <c r="I77" s="29">
        <v>116</v>
      </c>
      <c r="J77" s="29">
        <v>7</v>
      </c>
      <c r="K77" s="29">
        <v>0</v>
      </c>
      <c r="L77" s="29">
        <v>123</v>
      </c>
      <c r="M77" s="29">
        <v>6.88</v>
      </c>
      <c r="N77" s="33">
        <v>2.9</v>
      </c>
      <c r="O77" s="34">
        <v>5.7000000000000002E-2</v>
      </c>
      <c r="P77" s="29"/>
      <c r="Q77" s="29"/>
      <c r="R77" s="29" t="s">
        <v>610</v>
      </c>
      <c r="S77" s="29" t="s">
        <v>610</v>
      </c>
      <c r="T77" s="34"/>
      <c r="U77" s="29">
        <v>4</v>
      </c>
      <c r="V77" s="29" t="s">
        <v>662</v>
      </c>
      <c r="W77" s="29"/>
      <c r="X77" s="29"/>
      <c r="Y77" s="30" t="s">
        <v>493</v>
      </c>
      <c r="Z77" s="30">
        <v>27</v>
      </c>
      <c r="AA77" s="7" t="s">
        <v>808</v>
      </c>
      <c r="AB77" s="7"/>
      <c r="AC77" s="7"/>
      <c r="AD77" s="7"/>
    </row>
    <row r="78" spans="1:30" ht="15" x14ac:dyDescent="0.25">
      <c r="A78" s="26">
        <v>24207107664</v>
      </c>
      <c r="B78" s="27" t="s">
        <v>676</v>
      </c>
      <c r="C78" s="27" t="s">
        <v>706</v>
      </c>
      <c r="D78" s="27" t="s">
        <v>497</v>
      </c>
      <c r="E78" s="28"/>
      <c r="F78" s="27"/>
      <c r="G78" s="27" t="s">
        <v>661</v>
      </c>
      <c r="H78" s="29">
        <v>6.6</v>
      </c>
      <c r="I78" s="29">
        <v>121</v>
      </c>
      <c r="J78" s="29">
        <v>2</v>
      </c>
      <c r="K78" s="29">
        <v>0</v>
      </c>
      <c r="L78" s="29">
        <v>123</v>
      </c>
      <c r="M78" s="29">
        <v>7.33</v>
      </c>
      <c r="N78" s="33">
        <v>3.1</v>
      </c>
      <c r="O78" s="34">
        <v>1.6E-2</v>
      </c>
      <c r="P78" s="29" t="s">
        <v>610</v>
      </c>
      <c r="Q78" s="29" t="s">
        <v>610</v>
      </c>
      <c r="R78" s="29" t="s">
        <v>610</v>
      </c>
      <c r="S78" s="29" t="s">
        <v>610</v>
      </c>
      <c r="T78" s="34"/>
      <c r="U78" s="29">
        <v>2</v>
      </c>
      <c r="V78" s="29" t="s">
        <v>665</v>
      </c>
      <c r="W78" s="29"/>
      <c r="X78" s="29"/>
      <c r="Y78" s="30" t="s">
        <v>493</v>
      </c>
      <c r="Z78" s="30">
        <v>27</v>
      </c>
      <c r="AA78" s="7" t="e">
        <v>#N/A</v>
      </c>
      <c r="AB78" s="7" t="e">
        <v>#N/A</v>
      </c>
      <c r="AC78" s="7" t="s">
        <v>116</v>
      </c>
      <c r="AD78" s="7" t="s">
        <v>492</v>
      </c>
    </row>
    <row r="79" spans="1:30" ht="15" x14ac:dyDescent="0.25">
      <c r="A79" s="26">
        <v>27207139716</v>
      </c>
      <c r="B79" s="27" t="s">
        <v>676</v>
      </c>
      <c r="C79" s="27" t="s">
        <v>692</v>
      </c>
      <c r="D79" s="27" t="s">
        <v>497</v>
      </c>
      <c r="E79" s="28"/>
      <c r="F79" s="27"/>
      <c r="G79" s="27" t="s">
        <v>661</v>
      </c>
      <c r="H79" s="29">
        <v>7.6</v>
      </c>
      <c r="I79" s="29">
        <v>124</v>
      </c>
      <c r="J79" s="29">
        <v>0</v>
      </c>
      <c r="K79" s="29">
        <v>0</v>
      </c>
      <c r="L79" s="29">
        <v>124</v>
      </c>
      <c r="M79" s="29">
        <v>7.55</v>
      </c>
      <c r="N79" s="33">
        <v>3.2</v>
      </c>
      <c r="O79" s="34">
        <v>0</v>
      </c>
      <c r="P79" s="29"/>
      <c r="Q79" s="29"/>
      <c r="R79" s="29" t="s">
        <v>610</v>
      </c>
      <c r="S79" s="29" t="s">
        <v>610</v>
      </c>
      <c r="T79" s="34"/>
      <c r="U79" s="29">
        <v>0</v>
      </c>
      <c r="V79" s="29" t="s">
        <v>665</v>
      </c>
      <c r="W79" s="29"/>
      <c r="X79" s="30" t="s">
        <v>23</v>
      </c>
      <c r="Y79" s="30" t="s">
        <v>493</v>
      </c>
      <c r="Z79" s="30">
        <v>27</v>
      </c>
      <c r="AA79" s="7" t="s">
        <v>805</v>
      </c>
      <c r="AB79" s="7"/>
      <c r="AC79" s="7"/>
      <c r="AD79" s="7"/>
    </row>
    <row r="80" spans="1:30" ht="15" x14ac:dyDescent="0.25">
      <c r="A80" s="26">
        <v>27207143366</v>
      </c>
      <c r="B80" s="27" t="s">
        <v>700</v>
      </c>
      <c r="C80" s="27" t="s">
        <v>692</v>
      </c>
      <c r="D80" s="27" t="s">
        <v>497</v>
      </c>
      <c r="E80" s="28"/>
      <c r="F80" s="27"/>
      <c r="G80" s="27" t="s">
        <v>661</v>
      </c>
      <c r="H80" s="29">
        <v>8.8000000000000007</v>
      </c>
      <c r="I80" s="29">
        <v>123</v>
      </c>
      <c r="J80" s="29">
        <v>0</v>
      </c>
      <c r="K80" s="29">
        <v>0</v>
      </c>
      <c r="L80" s="29">
        <v>123</v>
      </c>
      <c r="M80" s="29">
        <v>7.2</v>
      </c>
      <c r="N80" s="33">
        <v>2.93</v>
      </c>
      <c r="O80" s="34">
        <v>0</v>
      </c>
      <c r="P80" s="29"/>
      <c r="Q80" s="29"/>
      <c r="R80" s="29" t="s">
        <v>610</v>
      </c>
      <c r="S80" s="29" t="s">
        <v>610</v>
      </c>
      <c r="T80" s="34"/>
      <c r="U80" s="29">
        <v>0</v>
      </c>
      <c r="V80" s="29" t="s">
        <v>665</v>
      </c>
      <c r="W80" s="29"/>
      <c r="X80" s="29"/>
      <c r="Y80" s="30" t="s">
        <v>493</v>
      </c>
      <c r="Z80" s="30">
        <v>27</v>
      </c>
      <c r="AA80" s="7" t="s">
        <v>822</v>
      </c>
      <c r="AB80" s="7"/>
      <c r="AC80" s="7"/>
      <c r="AD80" s="7"/>
    </row>
    <row r="81" spans="1:30" ht="15" x14ac:dyDescent="0.25">
      <c r="A81" s="26">
        <v>27217133018</v>
      </c>
      <c r="B81" s="27" t="s">
        <v>631</v>
      </c>
      <c r="C81" s="27" t="s">
        <v>602</v>
      </c>
      <c r="D81" s="27" t="s">
        <v>497</v>
      </c>
      <c r="E81" s="28"/>
      <c r="F81" s="27"/>
      <c r="G81" s="27" t="s">
        <v>661</v>
      </c>
      <c r="H81" s="29">
        <v>9</v>
      </c>
      <c r="I81" s="29">
        <v>123</v>
      </c>
      <c r="J81" s="29">
        <v>0</v>
      </c>
      <c r="K81" s="29">
        <v>0</v>
      </c>
      <c r="L81" s="29">
        <v>123</v>
      </c>
      <c r="M81" s="29">
        <v>7.37</v>
      </c>
      <c r="N81" s="33">
        <v>3.06</v>
      </c>
      <c r="O81" s="34">
        <v>0</v>
      </c>
      <c r="P81" s="29"/>
      <c r="Q81" s="29"/>
      <c r="R81" s="29" t="s">
        <v>610</v>
      </c>
      <c r="S81" s="29" t="s">
        <v>610</v>
      </c>
      <c r="T81" s="34"/>
      <c r="U81" s="29">
        <v>0</v>
      </c>
      <c r="V81" s="29" t="s">
        <v>665</v>
      </c>
      <c r="W81" s="29"/>
      <c r="X81" s="29"/>
      <c r="Y81" s="30" t="s">
        <v>493</v>
      </c>
      <c r="Z81" s="30">
        <v>27</v>
      </c>
      <c r="AA81" s="7" t="s">
        <v>807</v>
      </c>
      <c r="AB81" s="7"/>
      <c r="AC81" s="7"/>
      <c r="AD81" s="7"/>
    </row>
    <row r="82" spans="1:30" ht="15" x14ac:dyDescent="0.25">
      <c r="A82" s="26">
        <v>27217128480</v>
      </c>
      <c r="B82" s="27" t="s">
        <v>707</v>
      </c>
      <c r="C82" s="27" t="s">
        <v>455</v>
      </c>
      <c r="D82" s="27" t="s">
        <v>591</v>
      </c>
      <c r="E82" s="28"/>
      <c r="F82" s="27"/>
      <c r="G82" s="27" t="s">
        <v>661</v>
      </c>
      <c r="H82" s="29">
        <v>7.3</v>
      </c>
      <c r="I82" s="29">
        <v>121</v>
      </c>
      <c r="J82" s="29">
        <v>2</v>
      </c>
      <c r="K82" s="29">
        <v>0</v>
      </c>
      <c r="L82" s="29">
        <v>123</v>
      </c>
      <c r="M82" s="29">
        <v>6.77</v>
      </c>
      <c r="N82" s="33">
        <v>2.75</v>
      </c>
      <c r="O82" s="34">
        <v>1.6E-2</v>
      </c>
      <c r="P82" s="29"/>
      <c r="Q82" s="29"/>
      <c r="R82" s="29" t="s">
        <v>610</v>
      </c>
      <c r="S82" s="29" t="s">
        <v>610</v>
      </c>
      <c r="T82" s="34"/>
      <c r="U82" s="29">
        <v>2</v>
      </c>
      <c r="V82" s="29" t="s">
        <v>665</v>
      </c>
      <c r="W82" s="29"/>
      <c r="X82" s="29"/>
      <c r="Y82" s="30" t="s">
        <v>493</v>
      </c>
      <c r="Z82" s="30">
        <v>27</v>
      </c>
      <c r="AA82" s="7" t="s">
        <v>805</v>
      </c>
      <c r="AB82" s="7"/>
      <c r="AC82" s="7"/>
      <c r="AD82" s="7"/>
    </row>
    <row r="83" spans="1:30" ht="15" x14ac:dyDescent="0.25">
      <c r="A83" s="26">
        <v>27217136620</v>
      </c>
      <c r="B83" s="27" t="s">
        <v>631</v>
      </c>
      <c r="C83" s="27" t="s">
        <v>708</v>
      </c>
      <c r="D83" s="27" t="s">
        <v>592</v>
      </c>
      <c r="E83" s="28"/>
      <c r="F83" s="27"/>
      <c r="G83" s="27" t="s">
        <v>661</v>
      </c>
      <c r="H83" s="29">
        <v>7.3</v>
      </c>
      <c r="I83" s="29">
        <v>111</v>
      </c>
      <c r="J83" s="29">
        <v>12</v>
      </c>
      <c r="K83" s="29">
        <v>0</v>
      </c>
      <c r="L83" s="29">
        <v>123</v>
      </c>
      <c r="M83" s="29">
        <v>5.56</v>
      </c>
      <c r="N83" s="33">
        <v>2.13</v>
      </c>
      <c r="O83" s="34">
        <v>9.8000000000000004E-2</v>
      </c>
      <c r="P83" s="29"/>
      <c r="Q83" s="29"/>
      <c r="R83" s="29" t="s">
        <v>610</v>
      </c>
      <c r="S83" s="29" t="s">
        <v>610</v>
      </c>
      <c r="T83" s="34"/>
      <c r="U83" s="29">
        <v>5</v>
      </c>
      <c r="V83" s="29" t="s">
        <v>662</v>
      </c>
      <c r="W83" s="29"/>
      <c r="X83" s="29"/>
      <c r="Y83" s="30" t="s">
        <v>493</v>
      </c>
      <c r="Z83" s="30">
        <v>27</v>
      </c>
      <c r="AA83" s="7" t="e">
        <v>#N/A</v>
      </c>
      <c r="AB83" s="7"/>
      <c r="AC83" s="7"/>
      <c r="AD83" s="7"/>
    </row>
    <row r="84" spans="1:30" ht="15" x14ac:dyDescent="0.25">
      <c r="A84" s="26">
        <v>27217134003</v>
      </c>
      <c r="B84" s="27" t="s">
        <v>631</v>
      </c>
      <c r="C84" s="27" t="s">
        <v>709</v>
      </c>
      <c r="D84" s="27" t="s">
        <v>447</v>
      </c>
      <c r="E84" s="28"/>
      <c r="F84" s="27"/>
      <c r="G84" s="27" t="s">
        <v>661</v>
      </c>
      <c r="H84" s="29">
        <v>7.5</v>
      </c>
      <c r="I84" s="29">
        <v>118</v>
      </c>
      <c r="J84" s="29">
        <v>5</v>
      </c>
      <c r="K84" s="29">
        <v>0</v>
      </c>
      <c r="L84" s="29">
        <v>123</v>
      </c>
      <c r="M84" s="29">
        <v>7.1</v>
      </c>
      <c r="N84" s="33">
        <v>2.99</v>
      </c>
      <c r="O84" s="34">
        <v>4.1000000000000002E-2</v>
      </c>
      <c r="P84" s="29"/>
      <c r="Q84" s="29"/>
      <c r="R84" s="29" t="s">
        <v>610</v>
      </c>
      <c r="S84" s="29" t="s">
        <v>610</v>
      </c>
      <c r="T84" s="34"/>
      <c r="U84" s="29">
        <v>5</v>
      </c>
      <c r="V84" s="29" t="s">
        <v>665</v>
      </c>
      <c r="W84" s="29"/>
      <c r="X84" s="29"/>
      <c r="Y84" s="30" t="s">
        <v>493</v>
      </c>
      <c r="Z84" s="30">
        <v>27</v>
      </c>
      <c r="AA84" s="7" t="s">
        <v>822</v>
      </c>
      <c r="AB84" s="7"/>
      <c r="AC84" s="7"/>
      <c r="AD84" s="7"/>
    </row>
    <row r="85" spans="1:30" ht="15" x14ac:dyDescent="0.25">
      <c r="A85" s="26">
        <v>27207141751</v>
      </c>
      <c r="B85" s="27" t="s">
        <v>531</v>
      </c>
      <c r="C85" s="27" t="s">
        <v>710</v>
      </c>
      <c r="D85" s="27" t="s">
        <v>498</v>
      </c>
      <c r="E85" s="28"/>
      <c r="F85" s="27"/>
      <c r="G85" s="27" t="s">
        <v>661</v>
      </c>
      <c r="H85" s="29">
        <v>8.9</v>
      </c>
      <c r="I85" s="29">
        <v>121</v>
      </c>
      <c r="J85" s="29">
        <v>2</v>
      </c>
      <c r="K85" s="29">
        <v>0</v>
      </c>
      <c r="L85" s="29">
        <v>123</v>
      </c>
      <c r="M85" s="29">
        <v>8.09</v>
      </c>
      <c r="N85" s="33">
        <v>3.5</v>
      </c>
      <c r="O85" s="34">
        <v>1.6E-2</v>
      </c>
      <c r="P85" s="29"/>
      <c r="Q85" s="29"/>
      <c r="R85" s="29" t="s">
        <v>610</v>
      </c>
      <c r="S85" s="29" t="s">
        <v>610</v>
      </c>
      <c r="T85" s="34"/>
      <c r="U85" s="29">
        <v>2</v>
      </c>
      <c r="V85" s="29" t="s">
        <v>665</v>
      </c>
      <c r="W85" s="29"/>
      <c r="X85" s="30" t="s">
        <v>23</v>
      </c>
      <c r="Y85" s="30" t="s">
        <v>493</v>
      </c>
      <c r="Z85" s="30">
        <v>27</v>
      </c>
      <c r="AA85" s="7" t="s">
        <v>817</v>
      </c>
      <c r="AB85" s="7"/>
      <c r="AC85" s="7"/>
      <c r="AD85" s="7"/>
    </row>
    <row r="86" spans="1:30" ht="15" x14ac:dyDescent="0.25">
      <c r="A86" s="26">
        <v>27217153816</v>
      </c>
      <c r="B86" s="27" t="s">
        <v>621</v>
      </c>
      <c r="C86" s="27" t="s">
        <v>711</v>
      </c>
      <c r="D86" s="27" t="s">
        <v>498</v>
      </c>
      <c r="E86" s="28"/>
      <c r="F86" s="27"/>
      <c r="G86" s="27" t="s">
        <v>661</v>
      </c>
      <c r="H86" s="29">
        <v>7.8</v>
      </c>
      <c r="I86" s="29">
        <v>114</v>
      </c>
      <c r="J86" s="29">
        <v>10</v>
      </c>
      <c r="K86" s="29">
        <v>0</v>
      </c>
      <c r="L86" s="29">
        <v>124</v>
      </c>
      <c r="M86" s="29">
        <v>6.09</v>
      </c>
      <c r="N86" s="33">
        <v>2.41</v>
      </c>
      <c r="O86" s="34">
        <v>8.1000000000000003E-2</v>
      </c>
      <c r="P86" s="29"/>
      <c r="Q86" s="29"/>
      <c r="R86" s="29" t="s">
        <v>610</v>
      </c>
      <c r="S86" s="29" t="s">
        <v>610</v>
      </c>
      <c r="T86" s="34"/>
      <c r="U86" s="29">
        <v>9</v>
      </c>
      <c r="V86" s="29" t="s">
        <v>662</v>
      </c>
      <c r="W86" s="29"/>
      <c r="X86" s="29"/>
      <c r="Y86" s="30" t="s">
        <v>493</v>
      </c>
      <c r="Z86" s="30">
        <v>27</v>
      </c>
      <c r="AA86" s="7" t="e">
        <v>#N/A</v>
      </c>
      <c r="AB86" s="7"/>
      <c r="AC86" s="7"/>
      <c r="AD86" s="7"/>
    </row>
    <row r="87" spans="1:30" ht="15" x14ac:dyDescent="0.25">
      <c r="A87" s="26">
        <v>27217100634</v>
      </c>
      <c r="B87" s="27" t="s">
        <v>621</v>
      </c>
      <c r="C87" s="27" t="s">
        <v>629</v>
      </c>
      <c r="D87" s="27" t="s">
        <v>547</v>
      </c>
      <c r="E87" s="28"/>
      <c r="F87" s="27"/>
      <c r="G87" s="27" t="s">
        <v>661</v>
      </c>
      <c r="H87" s="29">
        <v>6.4</v>
      </c>
      <c r="I87" s="29">
        <v>115</v>
      </c>
      <c r="J87" s="29">
        <v>8</v>
      </c>
      <c r="K87" s="29">
        <v>0</v>
      </c>
      <c r="L87" s="29">
        <v>123</v>
      </c>
      <c r="M87" s="29">
        <v>6.08</v>
      </c>
      <c r="N87" s="33">
        <v>2.34</v>
      </c>
      <c r="O87" s="34">
        <v>6.5000000000000002E-2</v>
      </c>
      <c r="P87" s="29"/>
      <c r="Q87" s="29" t="s">
        <v>610</v>
      </c>
      <c r="R87" s="29" t="s">
        <v>610</v>
      </c>
      <c r="S87" s="29" t="s">
        <v>610</v>
      </c>
      <c r="T87" s="34"/>
      <c r="U87" s="29">
        <v>5</v>
      </c>
      <c r="V87" s="29" t="s">
        <v>662</v>
      </c>
      <c r="W87" s="29"/>
      <c r="X87" s="29"/>
      <c r="Y87" s="30" t="s">
        <v>493</v>
      </c>
      <c r="Z87" s="30">
        <v>27</v>
      </c>
      <c r="AA87" s="7" t="e">
        <v>#N/A</v>
      </c>
      <c r="AB87" s="7"/>
      <c r="AC87" s="7"/>
      <c r="AD87" s="7"/>
    </row>
    <row r="88" spans="1:30" ht="15" x14ac:dyDescent="0.25">
      <c r="A88" s="26">
        <v>27207138525</v>
      </c>
      <c r="B88" s="27" t="s">
        <v>660</v>
      </c>
      <c r="C88" s="27" t="s">
        <v>696</v>
      </c>
      <c r="D88" s="27" t="s">
        <v>548</v>
      </c>
      <c r="E88" s="28"/>
      <c r="F88" s="27"/>
      <c r="G88" s="27" t="s">
        <v>661</v>
      </c>
      <c r="H88" s="29">
        <v>8.3000000000000007</v>
      </c>
      <c r="I88" s="29">
        <v>119</v>
      </c>
      <c r="J88" s="29">
        <v>5</v>
      </c>
      <c r="K88" s="29">
        <v>0</v>
      </c>
      <c r="L88" s="29">
        <v>124</v>
      </c>
      <c r="M88" s="29">
        <v>7.33</v>
      </c>
      <c r="N88" s="33">
        <v>3.1</v>
      </c>
      <c r="O88" s="34">
        <v>0.04</v>
      </c>
      <c r="P88" s="29"/>
      <c r="Q88" s="29"/>
      <c r="R88" s="29" t="s">
        <v>610</v>
      </c>
      <c r="S88" s="29" t="s">
        <v>610</v>
      </c>
      <c r="T88" s="34"/>
      <c r="U88" s="29">
        <v>2</v>
      </c>
      <c r="V88" s="29" t="s">
        <v>665</v>
      </c>
      <c r="W88" s="29"/>
      <c r="X88" s="29"/>
      <c r="Y88" s="30" t="s">
        <v>493</v>
      </c>
      <c r="Z88" s="30">
        <v>27</v>
      </c>
      <c r="AA88" s="7" t="e">
        <v>#N/A</v>
      </c>
      <c r="AB88" s="7" t="e">
        <v>#N/A</v>
      </c>
      <c r="AC88" s="7" t="s">
        <v>19</v>
      </c>
      <c r="AD88" s="7" t="s">
        <v>541</v>
      </c>
    </row>
    <row r="89" spans="1:30" ht="15" x14ac:dyDescent="0.25">
      <c r="A89" s="26">
        <v>27207121356</v>
      </c>
      <c r="B89" s="27" t="s">
        <v>531</v>
      </c>
      <c r="C89" s="27" t="s">
        <v>712</v>
      </c>
      <c r="D89" s="27" t="s">
        <v>579</v>
      </c>
      <c r="E89" s="28"/>
      <c r="F89" s="27"/>
      <c r="G89" s="27" t="s">
        <v>661</v>
      </c>
      <c r="H89" s="29">
        <v>7.1</v>
      </c>
      <c r="I89" s="29">
        <v>118</v>
      </c>
      <c r="J89" s="29">
        <v>5</v>
      </c>
      <c r="K89" s="29">
        <v>0</v>
      </c>
      <c r="L89" s="29">
        <v>123</v>
      </c>
      <c r="M89" s="29">
        <v>6.32</v>
      </c>
      <c r="N89" s="33">
        <v>2.4900000000000002</v>
      </c>
      <c r="O89" s="34">
        <v>4.1000000000000002E-2</v>
      </c>
      <c r="P89" s="29"/>
      <c r="Q89" s="29"/>
      <c r="R89" s="29" t="s">
        <v>610</v>
      </c>
      <c r="S89" s="29" t="s">
        <v>610</v>
      </c>
      <c r="T89" s="34"/>
      <c r="U89" s="29">
        <v>4</v>
      </c>
      <c r="V89" s="29" t="s">
        <v>665</v>
      </c>
      <c r="W89" s="29"/>
      <c r="X89" s="29"/>
      <c r="Y89" s="30" t="s">
        <v>493</v>
      </c>
      <c r="Z89" s="30">
        <v>27</v>
      </c>
      <c r="AA89" s="7" t="s">
        <v>823</v>
      </c>
      <c r="AB89" s="7"/>
      <c r="AC89" s="7"/>
      <c r="AD89" s="7"/>
    </row>
    <row r="90" spans="1:30" ht="15" x14ac:dyDescent="0.25">
      <c r="A90" s="26">
        <v>27217131784</v>
      </c>
      <c r="B90" s="27" t="s">
        <v>713</v>
      </c>
      <c r="C90" s="27" t="s">
        <v>586</v>
      </c>
      <c r="D90" s="27" t="s">
        <v>568</v>
      </c>
      <c r="E90" s="28"/>
      <c r="F90" s="27"/>
      <c r="G90" s="27" t="s">
        <v>661</v>
      </c>
      <c r="H90" s="29">
        <v>7.6</v>
      </c>
      <c r="I90" s="29">
        <v>124</v>
      </c>
      <c r="J90" s="29">
        <v>0</v>
      </c>
      <c r="K90" s="29">
        <v>0</v>
      </c>
      <c r="L90" s="29">
        <v>124</v>
      </c>
      <c r="M90" s="29">
        <v>7.2</v>
      </c>
      <c r="N90" s="33">
        <v>2.94</v>
      </c>
      <c r="O90" s="34">
        <v>0</v>
      </c>
      <c r="P90" s="29"/>
      <c r="Q90" s="29"/>
      <c r="R90" s="29" t="s">
        <v>610</v>
      </c>
      <c r="S90" s="29" t="s">
        <v>610</v>
      </c>
      <c r="T90" s="34"/>
      <c r="U90" s="29">
        <v>0</v>
      </c>
      <c r="V90" s="29" t="s">
        <v>665</v>
      </c>
      <c r="W90" s="29"/>
      <c r="X90" s="29"/>
      <c r="Y90" s="30" t="s">
        <v>493</v>
      </c>
      <c r="Z90" s="30">
        <v>27</v>
      </c>
      <c r="AA90" s="7" t="s">
        <v>824</v>
      </c>
      <c r="AB90" s="7"/>
      <c r="AC90" s="7"/>
      <c r="AD90" s="7"/>
    </row>
    <row r="91" spans="1:30" ht="15" x14ac:dyDescent="0.25">
      <c r="A91" s="26">
        <v>27207128591</v>
      </c>
      <c r="B91" s="27" t="s">
        <v>700</v>
      </c>
      <c r="C91" s="27" t="s">
        <v>714</v>
      </c>
      <c r="D91" s="27" t="s">
        <v>448</v>
      </c>
      <c r="E91" s="28"/>
      <c r="F91" s="27"/>
      <c r="G91" s="27" t="s">
        <v>661</v>
      </c>
      <c r="H91" s="29">
        <v>9.6</v>
      </c>
      <c r="I91" s="29">
        <v>122</v>
      </c>
      <c r="J91" s="29">
        <v>2</v>
      </c>
      <c r="K91" s="29">
        <v>0</v>
      </c>
      <c r="L91" s="29">
        <v>124</v>
      </c>
      <c r="M91" s="29">
        <v>7.6</v>
      </c>
      <c r="N91" s="33">
        <v>3.21</v>
      </c>
      <c r="O91" s="34">
        <v>1.6E-2</v>
      </c>
      <c r="P91" s="29"/>
      <c r="Q91" s="29"/>
      <c r="R91" s="29" t="s">
        <v>610</v>
      </c>
      <c r="S91" s="29" t="s">
        <v>610</v>
      </c>
      <c r="T91" s="34"/>
      <c r="U91" s="29">
        <v>2</v>
      </c>
      <c r="V91" s="29" t="s">
        <v>665</v>
      </c>
      <c r="W91" s="29"/>
      <c r="X91" s="30" t="s">
        <v>23</v>
      </c>
      <c r="Y91" s="30" t="s">
        <v>493</v>
      </c>
      <c r="Z91" s="30">
        <v>27</v>
      </c>
      <c r="AA91" s="7" t="s">
        <v>817</v>
      </c>
      <c r="AB91" s="7"/>
      <c r="AC91" s="7"/>
      <c r="AD91" s="7"/>
    </row>
    <row r="92" spans="1:30" ht="15" x14ac:dyDescent="0.25">
      <c r="A92" s="26">
        <v>27207123321</v>
      </c>
      <c r="B92" s="27" t="s">
        <v>631</v>
      </c>
      <c r="C92" s="27" t="s">
        <v>692</v>
      </c>
      <c r="D92" s="27" t="s">
        <v>499</v>
      </c>
      <c r="E92" s="28"/>
      <c r="F92" s="27"/>
      <c r="G92" s="27" t="s">
        <v>661</v>
      </c>
      <c r="H92" s="29">
        <v>8.9</v>
      </c>
      <c r="I92" s="29">
        <v>123</v>
      </c>
      <c r="J92" s="29">
        <v>0</v>
      </c>
      <c r="K92" s="29">
        <v>0</v>
      </c>
      <c r="L92" s="29">
        <v>123</v>
      </c>
      <c r="M92" s="29">
        <v>7.74</v>
      </c>
      <c r="N92" s="33">
        <v>3.28</v>
      </c>
      <c r="O92" s="34">
        <v>0</v>
      </c>
      <c r="P92" s="29"/>
      <c r="Q92" s="29"/>
      <c r="R92" s="29" t="s">
        <v>610</v>
      </c>
      <c r="S92" s="29" t="s">
        <v>610</v>
      </c>
      <c r="T92" s="34"/>
      <c r="U92" s="29">
        <v>0</v>
      </c>
      <c r="V92" s="29" t="s">
        <v>665</v>
      </c>
      <c r="W92" s="29"/>
      <c r="X92" s="30" t="s">
        <v>23</v>
      </c>
      <c r="Y92" s="30" t="s">
        <v>493</v>
      </c>
      <c r="Z92" s="30">
        <v>27</v>
      </c>
      <c r="AA92" s="7" t="s">
        <v>808</v>
      </c>
      <c r="AB92" s="7"/>
      <c r="AC92" s="7"/>
      <c r="AD92" s="7"/>
    </row>
    <row r="93" spans="1:30" ht="15" x14ac:dyDescent="0.25">
      <c r="A93" s="26">
        <v>27207143817</v>
      </c>
      <c r="B93" s="27" t="s">
        <v>680</v>
      </c>
      <c r="C93" s="27" t="s">
        <v>715</v>
      </c>
      <c r="D93" s="27" t="s">
        <v>500</v>
      </c>
      <c r="E93" s="28"/>
      <c r="F93" s="27"/>
      <c r="G93" s="27" t="s">
        <v>661</v>
      </c>
      <c r="H93" s="29">
        <v>7.6</v>
      </c>
      <c r="I93" s="29">
        <v>85</v>
      </c>
      <c r="J93" s="29">
        <v>38</v>
      </c>
      <c r="K93" s="29">
        <v>0</v>
      </c>
      <c r="L93" s="29">
        <v>123</v>
      </c>
      <c r="M93" s="29">
        <v>4.99</v>
      </c>
      <c r="N93" s="33">
        <v>2.0499999999999998</v>
      </c>
      <c r="O93" s="34">
        <v>0.309</v>
      </c>
      <c r="P93" s="29"/>
      <c r="Q93" s="29"/>
      <c r="R93" s="29"/>
      <c r="S93" s="29" t="s">
        <v>610</v>
      </c>
      <c r="T93" s="34"/>
      <c r="U93" s="29">
        <v>19</v>
      </c>
      <c r="V93" s="29" t="s">
        <v>662</v>
      </c>
      <c r="W93" s="29"/>
      <c r="X93" s="29"/>
      <c r="Y93" s="30" t="s">
        <v>493</v>
      </c>
      <c r="Z93" s="30">
        <v>27</v>
      </c>
      <c r="AA93" s="7" t="e">
        <v>#N/A</v>
      </c>
      <c r="AB93" s="7"/>
      <c r="AC93" s="7"/>
      <c r="AD93" s="7"/>
    </row>
    <row r="94" spans="1:30" ht="15" x14ac:dyDescent="0.25">
      <c r="A94" s="26">
        <v>27207134467</v>
      </c>
      <c r="B94" s="27" t="s">
        <v>531</v>
      </c>
      <c r="C94" s="27" t="s">
        <v>677</v>
      </c>
      <c r="D94" s="27" t="s">
        <v>549</v>
      </c>
      <c r="E94" s="28"/>
      <c r="F94" s="27"/>
      <c r="G94" s="27" t="s">
        <v>661</v>
      </c>
      <c r="H94" s="29">
        <v>8.8000000000000007</v>
      </c>
      <c r="I94" s="29">
        <v>123</v>
      </c>
      <c r="J94" s="29">
        <v>0</v>
      </c>
      <c r="K94" s="29">
        <v>0</v>
      </c>
      <c r="L94" s="29">
        <v>123</v>
      </c>
      <c r="M94" s="29">
        <v>7.44</v>
      </c>
      <c r="N94" s="33">
        <v>3.1</v>
      </c>
      <c r="O94" s="34">
        <v>0</v>
      </c>
      <c r="P94" s="29"/>
      <c r="Q94" s="29" t="s">
        <v>610</v>
      </c>
      <c r="R94" s="29" t="s">
        <v>610</v>
      </c>
      <c r="S94" s="29" t="s">
        <v>610</v>
      </c>
      <c r="T94" s="34"/>
      <c r="U94" s="29">
        <v>0</v>
      </c>
      <c r="V94" s="29" t="s">
        <v>665</v>
      </c>
      <c r="W94" s="29"/>
      <c r="X94" s="29"/>
      <c r="Y94" s="30" t="s">
        <v>493</v>
      </c>
      <c r="Z94" s="30">
        <v>27</v>
      </c>
      <c r="AA94" s="7" t="s">
        <v>825</v>
      </c>
      <c r="AB94" s="7"/>
      <c r="AC94" s="7"/>
      <c r="AD94" s="7"/>
    </row>
    <row r="95" spans="1:30" ht="15" x14ac:dyDescent="0.25">
      <c r="A95" s="26">
        <v>25207100932</v>
      </c>
      <c r="B95" s="27" t="s">
        <v>531</v>
      </c>
      <c r="C95" s="27" t="s">
        <v>716</v>
      </c>
      <c r="D95" s="27" t="s">
        <v>449</v>
      </c>
      <c r="E95" s="28"/>
      <c r="F95" s="27"/>
      <c r="G95" s="27" t="s">
        <v>661</v>
      </c>
      <c r="H95" s="29">
        <v>8.1</v>
      </c>
      <c r="I95" s="29">
        <v>120</v>
      </c>
      <c r="J95" s="29">
        <v>3</v>
      </c>
      <c r="K95" s="29">
        <v>0</v>
      </c>
      <c r="L95" s="29">
        <v>123</v>
      </c>
      <c r="M95" s="29">
        <v>7.52</v>
      </c>
      <c r="N95" s="33">
        <v>3.16</v>
      </c>
      <c r="O95" s="34">
        <v>2.4E-2</v>
      </c>
      <c r="P95" s="29"/>
      <c r="Q95" s="29"/>
      <c r="R95" s="29"/>
      <c r="S95" s="29" t="s">
        <v>610</v>
      </c>
      <c r="T95" s="34"/>
      <c r="U95" s="29">
        <v>3</v>
      </c>
      <c r="V95" s="29" t="s">
        <v>665</v>
      </c>
      <c r="W95" s="29"/>
      <c r="X95" s="29"/>
      <c r="Y95" s="30" t="s">
        <v>493</v>
      </c>
      <c r="Z95" s="30">
        <v>27</v>
      </c>
      <c r="AA95" s="7" t="e">
        <v>#N/A</v>
      </c>
      <c r="AB95" s="7" t="e">
        <v>#N/A</v>
      </c>
      <c r="AC95" s="7" t="s">
        <v>120</v>
      </c>
      <c r="AD95" s="7" t="s">
        <v>587</v>
      </c>
    </row>
    <row r="96" spans="1:30" ht="15" x14ac:dyDescent="0.25">
      <c r="A96" s="26">
        <v>27207129929</v>
      </c>
      <c r="B96" s="27" t="s">
        <v>676</v>
      </c>
      <c r="C96" s="27" t="s">
        <v>498</v>
      </c>
      <c r="D96" s="27" t="s">
        <v>449</v>
      </c>
      <c r="E96" s="28"/>
      <c r="F96" s="27"/>
      <c r="G96" s="27" t="s">
        <v>661</v>
      </c>
      <c r="H96" s="29">
        <v>8.5</v>
      </c>
      <c r="I96" s="29">
        <v>120</v>
      </c>
      <c r="J96" s="29">
        <v>3</v>
      </c>
      <c r="K96" s="29">
        <v>0</v>
      </c>
      <c r="L96" s="29">
        <v>123</v>
      </c>
      <c r="M96" s="29">
        <v>7.33</v>
      </c>
      <c r="N96" s="33">
        <v>3.08</v>
      </c>
      <c r="O96" s="34">
        <v>2.4E-2</v>
      </c>
      <c r="P96" s="29"/>
      <c r="Q96" s="29"/>
      <c r="R96" s="29" t="s">
        <v>610</v>
      </c>
      <c r="S96" s="29" t="s">
        <v>610</v>
      </c>
      <c r="T96" s="34"/>
      <c r="U96" s="29">
        <v>3</v>
      </c>
      <c r="V96" s="29" t="s">
        <v>665</v>
      </c>
      <c r="W96" s="29"/>
      <c r="X96" s="29"/>
      <c r="Y96" s="30" t="s">
        <v>493</v>
      </c>
      <c r="Z96" s="30">
        <v>27</v>
      </c>
      <c r="AA96" s="7" t="s">
        <v>822</v>
      </c>
      <c r="AB96" s="7"/>
      <c r="AC96" s="7"/>
      <c r="AD96" s="7"/>
    </row>
    <row r="97" spans="1:30" ht="15" x14ac:dyDescent="0.25">
      <c r="A97" s="26">
        <v>27207100474</v>
      </c>
      <c r="B97" s="27" t="s">
        <v>717</v>
      </c>
      <c r="C97" s="27" t="s">
        <v>630</v>
      </c>
      <c r="D97" s="27" t="s">
        <v>523</v>
      </c>
      <c r="E97" s="28"/>
      <c r="F97" s="27"/>
      <c r="G97" s="27" t="s">
        <v>661</v>
      </c>
      <c r="H97" s="29">
        <v>7.7</v>
      </c>
      <c r="I97" s="29">
        <v>113</v>
      </c>
      <c r="J97" s="29">
        <v>11</v>
      </c>
      <c r="K97" s="29">
        <v>0</v>
      </c>
      <c r="L97" s="29">
        <v>124</v>
      </c>
      <c r="M97" s="29">
        <v>6.01</v>
      </c>
      <c r="N97" s="33">
        <v>2.37</v>
      </c>
      <c r="O97" s="34">
        <v>8.8999999999999996E-2</v>
      </c>
      <c r="P97" s="29"/>
      <c r="Q97" s="29"/>
      <c r="R97" s="29" t="s">
        <v>610</v>
      </c>
      <c r="S97" s="29" t="s">
        <v>610</v>
      </c>
      <c r="T97" s="34"/>
      <c r="U97" s="29">
        <v>11</v>
      </c>
      <c r="V97" s="29" t="s">
        <v>662</v>
      </c>
      <c r="W97" s="29"/>
      <c r="X97" s="29"/>
      <c r="Y97" s="30" t="s">
        <v>493</v>
      </c>
      <c r="Z97" s="30">
        <v>27</v>
      </c>
      <c r="AA97" s="7" t="e">
        <v>#N/A</v>
      </c>
      <c r="AB97" s="7"/>
      <c r="AC97" s="7"/>
      <c r="AD97" s="7"/>
    </row>
    <row r="98" spans="1:30" ht="15" x14ac:dyDescent="0.25">
      <c r="A98" s="26">
        <v>27217127461</v>
      </c>
      <c r="B98" s="27" t="s">
        <v>667</v>
      </c>
      <c r="C98" s="27" t="s">
        <v>586</v>
      </c>
      <c r="D98" s="27" t="s">
        <v>501</v>
      </c>
      <c r="E98" s="28"/>
      <c r="F98" s="27"/>
      <c r="G98" s="27" t="s">
        <v>661</v>
      </c>
      <c r="H98" s="29">
        <v>8.8000000000000007</v>
      </c>
      <c r="I98" s="29">
        <v>124</v>
      </c>
      <c r="J98" s="29">
        <v>0</v>
      </c>
      <c r="K98" s="29">
        <v>0</v>
      </c>
      <c r="L98" s="29">
        <v>124</v>
      </c>
      <c r="M98" s="29">
        <v>7.75</v>
      </c>
      <c r="N98" s="33">
        <v>3.28</v>
      </c>
      <c r="O98" s="34">
        <v>0</v>
      </c>
      <c r="P98" s="29"/>
      <c r="Q98" s="29"/>
      <c r="R98" s="29" t="s">
        <v>610</v>
      </c>
      <c r="S98" s="29" t="s">
        <v>610</v>
      </c>
      <c r="T98" s="34"/>
      <c r="U98" s="29">
        <v>0</v>
      </c>
      <c r="V98" s="29" t="s">
        <v>665</v>
      </c>
      <c r="W98" s="29"/>
      <c r="X98" s="30" t="s">
        <v>23</v>
      </c>
      <c r="Y98" s="30" t="s">
        <v>493</v>
      </c>
      <c r="Z98" s="30">
        <v>27</v>
      </c>
      <c r="AA98" s="7" t="s">
        <v>822</v>
      </c>
      <c r="AB98" s="7"/>
      <c r="AC98" s="7"/>
      <c r="AD98" s="7"/>
    </row>
    <row r="99" spans="1:30" ht="15" x14ac:dyDescent="0.25">
      <c r="A99" s="26">
        <v>27217146090</v>
      </c>
      <c r="B99" s="27" t="s">
        <v>519</v>
      </c>
      <c r="C99" s="27" t="s">
        <v>718</v>
      </c>
      <c r="D99" s="27" t="s">
        <v>501</v>
      </c>
      <c r="E99" s="28"/>
      <c r="F99" s="27"/>
      <c r="G99" s="27" t="s">
        <v>661</v>
      </c>
      <c r="H99" s="29">
        <v>5.2</v>
      </c>
      <c r="I99" s="29">
        <v>72</v>
      </c>
      <c r="J99" s="29">
        <v>51</v>
      </c>
      <c r="K99" s="29">
        <v>0</v>
      </c>
      <c r="L99" s="29">
        <v>123</v>
      </c>
      <c r="M99" s="29">
        <v>3.43</v>
      </c>
      <c r="N99" s="33">
        <v>1.25</v>
      </c>
      <c r="O99" s="34">
        <v>0.41499999999999998</v>
      </c>
      <c r="P99" s="29"/>
      <c r="Q99" s="29"/>
      <c r="R99" s="29"/>
      <c r="S99" s="29" t="s">
        <v>610</v>
      </c>
      <c r="T99" s="34"/>
      <c r="U99" s="29">
        <v>19</v>
      </c>
      <c r="V99" s="29" t="s">
        <v>662</v>
      </c>
      <c r="W99" s="29"/>
      <c r="X99" s="29"/>
      <c r="Y99" s="30" t="s">
        <v>493</v>
      </c>
      <c r="Z99" s="30">
        <v>27</v>
      </c>
      <c r="AA99" s="7" t="e">
        <v>#N/A</v>
      </c>
      <c r="AB99" s="7"/>
      <c r="AC99" s="7"/>
      <c r="AD99" s="7"/>
    </row>
    <row r="100" spans="1:30" ht="15" x14ac:dyDescent="0.25">
      <c r="A100" s="26">
        <v>27217133248</v>
      </c>
      <c r="B100" s="27" t="s">
        <v>499</v>
      </c>
      <c r="C100" s="27" t="s">
        <v>471</v>
      </c>
      <c r="D100" s="27" t="s">
        <v>594</v>
      </c>
      <c r="E100" s="28"/>
      <c r="F100" s="27"/>
      <c r="G100" s="27" t="s">
        <v>661</v>
      </c>
      <c r="H100" s="29">
        <v>8.1999999999999993</v>
      </c>
      <c r="I100" s="29">
        <v>114</v>
      </c>
      <c r="J100" s="29">
        <v>10</v>
      </c>
      <c r="K100" s="29">
        <v>0</v>
      </c>
      <c r="L100" s="29">
        <v>124</v>
      </c>
      <c r="M100" s="29">
        <v>6.58</v>
      </c>
      <c r="N100" s="33">
        <v>2.74</v>
      </c>
      <c r="O100" s="34">
        <v>8.1000000000000003E-2</v>
      </c>
      <c r="P100" s="29"/>
      <c r="Q100" s="29"/>
      <c r="R100" s="29" t="s">
        <v>610</v>
      </c>
      <c r="S100" s="29" t="s">
        <v>610</v>
      </c>
      <c r="T100" s="34"/>
      <c r="U100" s="29">
        <v>4</v>
      </c>
      <c r="V100" s="29" t="s">
        <v>662</v>
      </c>
      <c r="W100" s="29"/>
      <c r="X100" s="29"/>
      <c r="Y100" s="30" t="s">
        <v>493</v>
      </c>
      <c r="Z100" s="30">
        <v>27</v>
      </c>
      <c r="AA100" s="7" t="s">
        <v>824</v>
      </c>
      <c r="AB100" s="7"/>
      <c r="AC100" s="7"/>
      <c r="AD100" s="7"/>
    </row>
    <row r="101" spans="1:30" ht="15" x14ac:dyDescent="0.25">
      <c r="A101" s="26">
        <v>25207108703</v>
      </c>
      <c r="B101" s="27" t="s">
        <v>617</v>
      </c>
      <c r="C101" s="27" t="s">
        <v>714</v>
      </c>
      <c r="D101" s="27" t="s">
        <v>502</v>
      </c>
      <c r="E101" s="28"/>
      <c r="F101" s="27"/>
      <c r="G101" s="27" t="s">
        <v>661</v>
      </c>
      <c r="H101" s="29">
        <v>6.1</v>
      </c>
      <c r="I101" s="29">
        <v>121</v>
      </c>
      <c r="J101" s="29">
        <v>2</v>
      </c>
      <c r="K101" s="29">
        <v>0</v>
      </c>
      <c r="L101" s="29">
        <v>123</v>
      </c>
      <c r="M101" s="29">
        <v>6.44</v>
      </c>
      <c r="N101" s="33">
        <v>2.54</v>
      </c>
      <c r="O101" s="34">
        <v>1.6E-2</v>
      </c>
      <c r="P101" s="29"/>
      <c r="Q101" s="29" t="s">
        <v>610</v>
      </c>
      <c r="R101" s="29" t="s">
        <v>610</v>
      </c>
      <c r="S101" s="29" t="s">
        <v>610</v>
      </c>
      <c r="T101" s="34"/>
      <c r="U101" s="29">
        <v>0</v>
      </c>
      <c r="V101" s="29" t="s">
        <v>665</v>
      </c>
      <c r="W101" s="29"/>
      <c r="X101" s="29"/>
      <c r="Y101" s="30" t="s">
        <v>493</v>
      </c>
      <c r="Z101" s="30">
        <v>27</v>
      </c>
      <c r="AA101" s="7" t="e">
        <v>#N/A</v>
      </c>
      <c r="AB101" s="7" t="e">
        <v>#N/A</v>
      </c>
      <c r="AC101" s="7" t="s">
        <v>63</v>
      </c>
      <c r="AD101" s="7" t="s">
        <v>565</v>
      </c>
    </row>
    <row r="102" spans="1:30" ht="15" x14ac:dyDescent="0.25">
      <c r="A102" s="26">
        <v>27207140635</v>
      </c>
      <c r="B102" s="27" t="s">
        <v>531</v>
      </c>
      <c r="C102" s="27" t="s">
        <v>719</v>
      </c>
      <c r="D102" s="27" t="s">
        <v>502</v>
      </c>
      <c r="E102" s="28"/>
      <c r="F102" s="27"/>
      <c r="G102" s="27" t="s">
        <v>661</v>
      </c>
      <c r="H102" s="29">
        <v>8.3000000000000007</v>
      </c>
      <c r="I102" s="29">
        <v>126</v>
      </c>
      <c r="J102" s="29">
        <v>0</v>
      </c>
      <c r="K102" s="29">
        <v>0</v>
      </c>
      <c r="L102" s="29">
        <v>126</v>
      </c>
      <c r="M102" s="29">
        <v>7.08</v>
      </c>
      <c r="N102" s="33">
        <v>2.86</v>
      </c>
      <c r="O102" s="34">
        <v>0</v>
      </c>
      <c r="P102" s="29"/>
      <c r="Q102" s="29"/>
      <c r="R102" s="29" t="s">
        <v>610</v>
      </c>
      <c r="S102" s="29" t="s">
        <v>610</v>
      </c>
      <c r="T102" s="34"/>
      <c r="U102" s="29">
        <v>0</v>
      </c>
      <c r="V102" s="29" t="s">
        <v>665</v>
      </c>
      <c r="W102" s="29"/>
      <c r="X102" s="29"/>
      <c r="Y102" s="30" t="s">
        <v>493</v>
      </c>
      <c r="Z102" s="30">
        <v>27</v>
      </c>
      <c r="AA102" s="7" t="s">
        <v>823</v>
      </c>
      <c r="AB102" s="7"/>
      <c r="AC102" s="7"/>
      <c r="AD102" s="7"/>
    </row>
    <row r="103" spans="1:30" ht="15" x14ac:dyDescent="0.25">
      <c r="A103" s="26">
        <v>27217126224</v>
      </c>
      <c r="B103" s="27" t="s">
        <v>621</v>
      </c>
      <c r="C103" s="27" t="s">
        <v>720</v>
      </c>
      <c r="D103" s="27" t="s">
        <v>502</v>
      </c>
      <c r="E103" s="28"/>
      <c r="F103" s="27"/>
      <c r="G103" s="27" t="s">
        <v>661</v>
      </c>
      <c r="H103" s="29">
        <v>7.2</v>
      </c>
      <c r="I103" s="29">
        <v>105</v>
      </c>
      <c r="J103" s="29">
        <v>18</v>
      </c>
      <c r="K103" s="29">
        <v>0</v>
      </c>
      <c r="L103" s="29">
        <v>123</v>
      </c>
      <c r="M103" s="29">
        <v>5.82</v>
      </c>
      <c r="N103" s="33">
        <v>2.34</v>
      </c>
      <c r="O103" s="34">
        <v>0.14599999999999999</v>
      </c>
      <c r="P103" s="29"/>
      <c r="Q103" s="29" t="s">
        <v>610</v>
      </c>
      <c r="R103" s="29" t="s">
        <v>610</v>
      </c>
      <c r="S103" s="29" t="s">
        <v>610</v>
      </c>
      <c r="T103" s="34"/>
      <c r="U103" s="29">
        <v>8</v>
      </c>
      <c r="V103" s="29" t="s">
        <v>662</v>
      </c>
      <c r="W103" s="29"/>
      <c r="X103" s="29"/>
      <c r="Y103" s="30" t="s">
        <v>493</v>
      </c>
      <c r="Z103" s="30">
        <v>27</v>
      </c>
      <c r="AA103" s="7" t="e">
        <v>#N/A</v>
      </c>
      <c r="AB103" s="7"/>
      <c r="AC103" s="7"/>
      <c r="AD103" s="7"/>
    </row>
    <row r="104" spans="1:30" ht="15" x14ac:dyDescent="0.25">
      <c r="A104" s="26">
        <v>27207144021</v>
      </c>
      <c r="B104" s="27" t="s">
        <v>631</v>
      </c>
      <c r="C104" s="27" t="s">
        <v>695</v>
      </c>
      <c r="D104" s="27" t="s">
        <v>580</v>
      </c>
      <c r="E104" s="28"/>
      <c r="F104" s="27"/>
      <c r="G104" s="27" t="s">
        <v>661</v>
      </c>
      <c r="H104" s="29">
        <v>8.5</v>
      </c>
      <c r="I104" s="29">
        <v>116</v>
      </c>
      <c r="J104" s="29">
        <v>7</v>
      </c>
      <c r="K104" s="29">
        <v>0</v>
      </c>
      <c r="L104" s="29">
        <v>123</v>
      </c>
      <c r="M104" s="29">
        <v>6.63</v>
      </c>
      <c r="N104" s="33">
        <v>2.7</v>
      </c>
      <c r="O104" s="34">
        <v>5.7000000000000002E-2</v>
      </c>
      <c r="P104" s="29"/>
      <c r="Q104" s="29"/>
      <c r="R104" s="29" t="s">
        <v>610</v>
      </c>
      <c r="S104" s="29" t="s">
        <v>610</v>
      </c>
      <c r="T104" s="34"/>
      <c r="U104" s="29">
        <v>7</v>
      </c>
      <c r="V104" s="29" t="s">
        <v>662</v>
      </c>
      <c r="W104" s="29"/>
      <c r="X104" s="29"/>
      <c r="Y104" s="30" t="s">
        <v>493</v>
      </c>
      <c r="Z104" s="30">
        <v>27</v>
      </c>
      <c r="AA104" s="7" t="e">
        <v>#N/A</v>
      </c>
      <c r="AB104" s="7"/>
      <c r="AC104" s="7"/>
      <c r="AD104" s="7"/>
    </row>
    <row r="105" spans="1:30" ht="15" x14ac:dyDescent="0.25">
      <c r="A105" s="26">
        <v>27207142782</v>
      </c>
      <c r="B105" s="27" t="s">
        <v>471</v>
      </c>
      <c r="C105" s="27" t="s">
        <v>721</v>
      </c>
      <c r="D105" s="27" t="s">
        <v>569</v>
      </c>
      <c r="E105" s="28"/>
      <c r="F105" s="27"/>
      <c r="G105" s="27" t="s">
        <v>661</v>
      </c>
      <c r="H105" s="29">
        <v>8.9</v>
      </c>
      <c r="I105" s="29">
        <v>109</v>
      </c>
      <c r="J105" s="29">
        <v>15</v>
      </c>
      <c r="K105" s="29">
        <v>0</v>
      </c>
      <c r="L105" s="29">
        <v>124</v>
      </c>
      <c r="M105" s="29">
        <v>6.28</v>
      </c>
      <c r="N105" s="33">
        <v>2.5499999999999998</v>
      </c>
      <c r="O105" s="34">
        <v>0.121</v>
      </c>
      <c r="P105" s="29"/>
      <c r="Q105" s="29"/>
      <c r="R105" s="29" t="s">
        <v>610</v>
      </c>
      <c r="S105" s="29" t="s">
        <v>610</v>
      </c>
      <c r="T105" s="34"/>
      <c r="U105" s="29">
        <v>10</v>
      </c>
      <c r="V105" s="29" t="s">
        <v>662</v>
      </c>
      <c r="W105" s="29"/>
      <c r="X105" s="29"/>
      <c r="Y105" s="30" t="s">
        <v>493</v>
      </c>
      <c r="Z105" s="30">
        <v>27</v>
      </c>
      <c r="AA105" s="7" t="e">
        <v>#N/A</v>
      </c>
      <c r="AB105" s="7"/>
      <c r="AC105" s="7"/>
      <c r="AD105" s="7"/>
    </row>
    <row r="106" spans="1:30" ht="15" x14ac:dyDescent="0.25">
      <c r="A106" s="26">
        <v>27217136125</v>
      </c>
      <c r="B106" s="27" t="s">
        <v>598</v>
      </c>
      <c r="C106" s="27" t="s">
        <v>443</v>
      </c>
      <c r="D106" s="27" t="s">
        <v>550</v>
      </c>
      <c r="E106" s="28"/>
      <c r="F106" s="27"/>
      <c r="G106" s="27" t="s">
        <v>661</v>
      </c>
      <c r="H106" s="29">
        <v>6.7</v>
      </c>
      <c r="I106" s="29">
        <v>124</v>
      </c>
      <c r="J106" s="29">
        <v>0</v>
      </c>
      <c r="K106" s="29">
        <v>0</v>
      </c>
      <c r="L106" s="29">
        <v>124</v>
      </c>
      <c r="M106" s="29">
        <v>7.62</v>
      </c>
      <c r="N106" s="33">
        <v>3.18</v>
      </c>
      <c r="O106" s="34">
        <v>0</v>
      </c>
      <c r="P106" s="29"/>
      <c r="Q106" s="29" t="s">
        <v>610</v>
      </c>
      <c r="R106" s="29" t="s">
        <v>610</v>
      </c>
      <c r="S106" s="29" t="s">
        <v>610</v>
      </c>
      <c r="T106" s="34"/>
      <c r="U106" s="29">
        <v>0</v>
      </c>
      <c r="V106" s="29" t="s">
        <v>665</v>
      </c>
      <c r="W106" s="29"/>
      <c r="X106" s="29"/>
      <c r="Y106" s="30" t="s">
        <v>493</v>
      </c>
      <c r="Z106" s="30">
        <v>27</v>
      </c>
      <c r="AA106" s="7" t="s">
        <v>826</v>
      </c>
      <c r="AB106" s="7"/>
      <c r="AC106" s="7"/>
      <c r="AD106" s="7"/>
    </row>
    <row r="107" spans="1:30" ht="15" x14ac:dyDescent="0.25">
      <c r="A107" s="26">
        <v>27207125392</v>
      </c>
      <c r="B107" s="27" t="s">
        <v>531</v>
      </c>
      <c r="C107" s="27" t="s">
        <v>722</v>
      </c>
      <c r="D107" s="27" t="s">
        <v>503</v>
      </c>
      <c r="E107" s="28"/>
      <c r="F107" s="27"/>
      <c r="G107" s="27" t="s">
        <v>661</v>
      </c>
      <c r="H107" s="29">
        <v>7.9</v>
      </c>
      <c r="I107" s="29">
        <v>113</v>
      </c>
      <c r="J107" s="29">
        <v>10</v>
      </c>
      <c r="K107" s="29">
        <v>0</v>
      </c>
      <c r="L107" s="29">
        <v>123</v>
      </c>
      <c r="M107" s="29">
        <v>6.46</v>
      </c>
      <c r="N107" s="33">
        <v>2.63</v>
      </c>
      <c r="O107" s="34">
        <v>8.1000000000000003E-2</v>
      </c>
      <c r="P107" s="29"/>
      <c r="Q107" s="29" t="s">
        <v>610</v>
      </c>
      <c r="R107" s="29" t="s">
        <v>610</v>
      </c>
      <c r="S107" s="29" t="s">
        <v>610</v>
      </c>
      <c r="T107" s="34"/>
      <c r="U107" s="29">
        <v>7</v>
      </c>
      <c r="V107" s="29" t="s">
        <v>662</v>
      </c>
      <c r="W107" s="29"/>
      <c r="X107" s="29"/>
      <c r="Y107" s="30" t="s">
        <v>493</v>
      </c>
      <c r="Z107" s="30">
        <v>27</v>
      </c>
      <c r="AA107" s="7" t="e">
        <v>#N/A</v>
      </c>
      <c r="AB107" s="7"/>
      <c r="AC107" s="7"/>
      <c r="AD107" s="7"/>
    </row>
    <row r="108" spans="1:30" ht="15" x14ac:dyDescent="0.25">
      <c r="A108" s="26">
        <v>27217128728</v>
      </c>
      <c r="B108" s="27" t="s">
        <v>524</v>
      </c>
      <c r="C108" s="27"/>
      <c r="D108" s="27" t="s">
        <v>525</v>
      </c>
      <c r="E108" s="28"/>
      <c r="F108" s="27"/>
      <c r="G108" s="27" t="s">
        <v>661</v>
      </c>
      <c r="H108" s="29">
        <v>7.5</v>
      </c>
      <c r="I108" s="29">
        <v>123</v>
      </c>
      <c r="J108" s="29">
        <v>0</v>
      </c>
      <c r="K108" s="29">
        <v>0</v>
      </c>
      <c r="L108" s="29">
        <v>123</v>
      </c>
      <c r="M108" s="29">
        <v>8.34</v>
      </c>
      <c r="N108" s="33">
        <v>3.64</v>
      </c>
      <c r="O108" s="34">
        <v>0</v>
      </c>
      <c r="P108" s="29"/>
      <c r="Q108" s="29"/>
      <c r="R108" s="29" t="s">
        <v>610</v>
      </c>
      <c r="S108" s="29" t="s">
        <v>610</v>
      </c>
      <c r="T108" s="34"/>
      <c r="U108" s="29">
        <v>0</v>
      </c>
      <c r="V108" s="29" t="s">
        <v>665</v>
      </c>
      <c r="W108" s="29"/>
      <c r="X108" s="30" t="s">
        <v>23</v>
      </c>
      <c r="Y108" s="30" t="s">
        <v>493</v>
      </c>
      <c r="Z108" s="30">
        <v>27</v>
      </c>
      <c r="AA108" s="7" t="s">
        <v>822</v>
      </c>
      <c r="AB108" s="7"/>
      <c r="AC108" s="7"/>
      <c r="AD108" s="7"/>
    </row>
    <row r="109" spans="1:30" ht="15" x14ac:dyDescent="0.25">
      <c r="A109" s="26">
        <v>27217143497</v>
      </c>
      <c r="B109" s="27" t="s">
        <v>634</v>
      </c>
      <c r="C109" s="27" t="s">
        <v>471</v>
      </c>
      <c r="D109" s="27" t="s">
        <v>473</v>
      </c>
      <c r="E109" s="28"/>
      <c r="F109" s="27"/>
      <c r="G109" s="27" t="s">
        <v>661</v>
      </c>
      <c r="H109" s="29">
        <v>6.8</v>
      </c>
      <c r="I109" s="29">
        <v>124</v>
      </c>
      <c r="J109" s="29">
        <v>0</v>
      </c>
      <c r="K109" s="29">
        <v>0</v>
      </c>
      <c r="L109" s="29">
        <v>124</v>
      </c>
      <c r="M109" s="29">
        <v>7.82</v>
      </c>
      <c r="N109" s="33">
        <v>3.34</v>
      </c>
      <c r="O109" s="34">
        <v>0</v>
      </c>
      <c r="P109" s="29"/>
      <c r="Q109" s="29"/>
      <c r="R109" s="29" t="s">
        <v>610</v>
      </c>
      <c r="S109" s="29" t="s">
        <v>610</v>
      </c>
      <c r="T109" s="34"/>
      <c r="U109" s="29">
        <v>0</v>
      </c>
      <c r="V109" s="29" t="s">
        <v>682</v>
      </c>
      <c r="W109" s="29"/>
      <c r="X109" s="30" t="e">
        <v>#N/A</v>
      </c>
      <c r="Y109" s="30" t="s">
        <v>493</v>
      </c>
      <c r="Z109" s="30">
        <v>27</v>
      </c>
      <c r="AA109" s="7" t="s">
        <v>827</v>
      </c>
      <c r="AB109" s="7"/>
      <c r="AC109" s="7"/>
      <c r="AD109" s="7"/>
    </row>
    <row r="110" spans="1:30" ht="15" x14ac:dyDescent="0.25">
      <c r="A110" s="26">
        <v>27207152647</v>
      </c>
      <c r="B110" s="27" t="s">
        <v>676</v>
      </c>
      <c r="C110" s="27" t="s">
        <v>714</v>
      </c>
      <c r="D110" s="27" t="s">
        <v>526</v>
      </c>
      <c r="E110" s="28"/>
      <c r="F110" s="27"/>
      <c r="G110" s="27" t="s">
        <v>661</v>
      </c>
      <c r="H110" s="29">
        <v>9</v>
      </c>
      <c r="I110" s="29">
        <v>120</v>
      </c>
      <c r="J110" s="29">
        <v>3</v>
      </c>
      <c r="K110" s="29">
        <v>0</v>
      </c>
      <c r="L110" s="29">
        <v>123</v>
      </c>
      <c r="M110" s="29">
        <v>7.56</v>
      </c>
      <c r="N110" s="33">
        <v>3.23</v>
      </c>
      <c r="O110" s="34">
        <v>2.4E-2</v>
      </c>
      <c r="P110" s="29"/>
      <c r="Q110" s="29"/>
      <c r="R110" s="29" t="s">
        <v>610</v>
      </c>
      <c r="S110" s="29" t="s">
        <v>610</v>
      </c>
      <c r="T110" s="34"/>
      <c r="U110" s="29">
        <v>3</v>
      </c>
      <c r="V110" s="29" t="s">
        <v>682</v>
      </c>
      <c r="W110" s="29"/>
      <c r="X110" s="30" t="e">
        <v>#N/A</v>
      </c>
      <c r="Y110" s="30" t="s">
        <v>493</v>
      </c>
      <c r="Z110" s="30">
        <v>27</v>
      </c>
      <c r="AA110" s="7" t="s">
        <v>811</v>
      </c>
      <c r="AB110" s="7"/>
      <c r="AC110" s="7"/>
      <c r="AD110" s="7"/>
    </row>
    <row r="111" spans="1:30" ht="15" x14ac:dyDescent="0.25">
      <c r="A111" s="26">
        <v>27207101634</v>
      </c>
      <c r="B111" s="27" t="s">
        <v>499</v>
      </c>
      <c r="C111" s="27" t="s">
        <v>723</v>
      </c>
      <c r="D111" s="27" t="s">
        <v>504</v>
      </c>
      <c r="E111" s="28"/>
      <c r="F111" s="27"/>
      <c r="G111" s="27" t="s">
        <v>661</v>
      </c>
      <c r="H111" s="29">
        <v>8.9</v>
      </c>
      <c r="I111" s="29">
        <v>123</v>
      </c>
      <c r="J111" s="29">
        <v>0</v>
      </c>
      <c r="K111" s="29">
        <v>0</v>
      </c>
      <c r="L111" s="29">
        <v>123</v>
      </c>
      <c r="M111" s="29">
        <v>8.4499999999999993</v>
      </c>
      <c r="N111" s="33">
        <v>3.67</v>
      </c>
      <c r="O111" s="34">
        <v>0</v>
      </c>
      <c r="P111" s="29"/>
      <c r="Q111" s="29"/>
      <c r="R111" s="29" t="s">
        <v>610</v>
      </c>
      <c r="S111" s="29" t="s">
        <v>610</v>
      </c>
      <c r="T111" s="34"/>
      <c r="U111" s="29">
        <v>0</v>
      </c>
      <c r="V111" s="29" t="s">
        <v>665</v>
      </c>
      <c r="W111" s="29"/>
      <c r="X111" s="30" t="s">
        <v>23</v>
      </c>
      <c r="Y111" s="30" t="s">
        <v>493</v>
      </c>
      <c r="Z111" s="30">
        <v>27</v>
      </c>
      <c r="AA111" s="7" t="s">
        <v>808</v>
      </c>
      <c r="AB111" s="7"/>
      <c r="AC111" s="7"/>
      <c r="AD111" s="7"/>
    </row>
    <row r="112" spans="1:30" ht="15" x14ac:dyDescent="0.25">
      <c r="A112" s="26">
        <v>27207121752</v>
      </c>
      <c r="B112" s="27" t="s">
        <v>676</v>
      </c>
      <c r="C112" s="27" t="s">
        <v>608</v>
      </c>
      <c r="D112" s="27" t="s">
        <v>504</v>
      </c>
      <c r="E112" s="28"/>
      <c r="F112" s="27"/>
      <c r="G112" s="27" t="s">
        <v>661</v>
      </c>
      <c r="H112" s="29">
        <v>6.1</v>
      </c>
      <c r="I112" s="29">
        <v>96</v>
      </c>
      <c r="J112" s="29">
        <v>28</v>
      </c>
      <c r="K112" s="29">
        <v>0</v>
      </c>
      <c r="L112" s="29">
        <v>124</v>
      </c>
      <c r="M112" s="29">
        <v>5.0199999999999996</v>
      </c>
      <c r="N112" s="33">
        <v>1.92</v>
      </c>
      <c r="O112" s="34">
        <v>0.22600000000000001</v>
      </c>
      <c r="P112" s="29"/>
      <c r="Q112" s="29"/>
      <c r="R112" s="29" t="s">
        <v>610</v>
      </c>
      <c r="S112" s="29" t="s">
        <v>610</v>
      </c>
      <c r="T112" s="34"/>
      <c r="U112" s="29">
        <v>18</v>
      </c>
      <c r="V112" s="29" t="s">
        <v>662</v>
      </c>
      <c r="W112" s="29"/>
      <c r="X112" s="29"/>
      <c r="Y112" s="30" t="s">
        <v>493</v>
      </c>
      <c r="Z112" s="30">
        <v>27</v>
      </c>
      <c r="AA112" s="7" t="e">
        <v>#N/A</v>
      </c>
      <c r="AB112" s="7"/>
      <c r="AC112" s="7"/>
      <c r="AD112" s="7"/>
    </row>
    <row r="113" spans="1:30" ht="15" x14ac:dyDescent="0.25">
      <c r="A113" s="26">
        <v>27207122720</v>
      </c>
      <c r="B113" s="27" t="s">
        <v>531</v>
      </c>
      <c r="C113" s="27" t="s">
        <v>724</v>
      </c>
      <c r="D113" s="27" t="s">
        <v>504</v>
      </c>
      <c r="E113" s="28"/>
      <c r="F113" s="27"/>
      <c r="G113" s="27" t="s">
        <v>661</v>
      </c>
      <c r="H113" s="29">
        <v>9.1999999999999993</v>
      </c>
      <c r="I113" s="29">
        <v>119</v>
      </c>
      <c r="J113" s="29">
        <v>5</v>
      </c>
      <c r="K113" s="29">
        <v>0</v>
      </c>
      <c r="L113" s="29">
        <v>124</v>
      </c>
      <c r="M113" s="29">
        <v>6.63</v>
      </c>
      <c r="N113" s="33">
        <v>2.7</v>
      </c>
      <c r="O113" s="34">
        <v>0.04</v>
      </c>
      <c r="P113" s="29"/>
      <c r="Q113" s="29"/>
      <c r="R113" s="29" t="s">
        <v>610</v>
      </c>
      <c r="S113" s="29" t="s">
        <v>610</v>
      </c>
      <c r="T113" s="34"/>
      <c r="U113" s="29">
        <v>2</v>
      </c>
      <c r="V113" s="29" t="s">
        <v>665</v>
      </c>
      <c r="W113" s="29"/>
      <c r="X113" s="29"/>
      <c r="Y113" s="30" t="s">
        <v>493</v>
      </c>
      <c r="Z113" s="30">
        <v>27</v>
      </c>
      <c r="AA113" s="7" t="s">
        <v>824</v>
      </c>
      <c r="AB113" s="7"/>
      <c r="AC113" s="7"/>
      <c r="AD113" s="7"/>
    </row>
    <row r="114" spans="1:30" ht="15" x14ac:dyDescent="0.25">
      <c r="A114" s="26">
        <v>27207125326</v>
      </c>
      <c r="B114" s="27" t="s">
        <v>499</v>
      </c>
      <c r="C114" s="27" t="s">
        <v>725</v>
      </c>
      <c r="D114" s="27" t="s">
        <v>504</v>
      </c>
      <c r="E114" s="28"/>
      <c r="F114" s="27"/>
      <c r="G114" s="27" t="s">
        <v>661</v>
      </c>
      <c r="H114" s="29">
        <v>8.1</v>
      </c>
      <c r="I114" s="29">
        <v>118</v>
      </c>
      <c r="J114" s="29">
        <v>5</v>
      </c>
      <c r="K114" s="29">
        <v>0</v>
      </c>
      <c r="L114" s="29">
        <v>123</v>
      </c>
      <c r="M114" s="29">
        <v>7.39</v>
      </c>
      <c r="N114" s="33">
        <v>3.14</v>
      </c>
      <c r="O114" s="34">
        <v>4.1000000000000002E-2</v>
      </c>
      <c r="P114" s="29"/>
      <c r="Q114" s="29"/>
      <c r="R114" s="29" t="s">
        <v>610</v>
      </c>
      <c r="S114" s="29" t="s">
        <v>610</v>
      </c>
      <c r="T114" s="34"/>
      <c r="U114" s="29">
        <v>2</v>
      </c>
      <c r="V114" s="29" t="s">
        <v>665</v>
      </c>
      <c r="W114" s="29"/>
      <c r="X114" s="29"/>
      <c r="Y114" s="30" t="s">
        <v>493</v>
      </c>
      <c r="Z114" s="30">
        <v>27</v>
      </c>
      <c r="AA114" s="7" t="s">
        <v>828</v>
      </c>
      <c r="AB114" s="7"/>
      <c r="AC114" s="7"/>
      <c r="AD114" s="7"/>
    </row>
    <row r="115" spans="1:30" ht="15" x14ac:dyDescent="0.25">
      <c r="A115" s="26">
        <v>27207140315</v>
      </c>
      <c r="B115" s="27" t="s">
        <v>531</v>
      </c>
      <c r="C115" s="27" t="s">
        <v>726</v>
      </c>
      <c r="D115" s="27" t="s">
        <v>504</v>
      </c>
      <c r="E115" s="28"/>
      <c r="F115" s="27"/>
      <c r="G115" s="27" t="s">
        <v>661</v>
      </c>
      <c r="H115" s="29">
        <v>7.2</v>
      </c>
      <c r="I115" s="29">
        <v>123</v>
      </c>
      <c r="J115" s="29">
        <v>0</v>
      </c>
      <c r="K115" s="29">
        <v>0</v>
      </c>
      <c r="L115" s="29">
        <v>123</v>
      </c>
      <c r="M115" s="29">
        <v>7.18</v>
      </c>
      <c r="N115" s="33">
        <v>2.94</v>
      </c>
      <c r="O115" s="34">
        <v>0</v>
      </c>
      <c r="P115" s="29"/>
      <c r="Q115" s="29"/>
      <c r="R115" s="29" t="s">
        <v>610</v>
      </c>
      <c r="S115" s="29" t="s">
        <v>610</v>
      </c>
      <c r="T115" s="34"/>
      <c r="U115" s="29">
        <v>0</v>
      </c>
      <c r="V115" s="29" t="s">
        <v>665</v>
      </c>
      <c r="W115" s="29"/>
      <c r="X115" s="29"/>
      <c r="Y115" s="30" t="s">
        <v>493</v>
      </c>
      <c r="Z115" s="30">
        <v>27</v>
      </c>
      <c r="AA115" s="7" t="e">
        <v>#N/A</v>
      </c>
      <c r="AB115" s="7" t="e">
        <v>#N/A</v>
      </c>
      <c r="AC115" s="7" t="s">
        <v>19</v>
      </c>
      <c r="AD115" s="7" t="s">
        <v>541</v>
      </c>
    </row>
    <row r="116" spans="1:30" ht="15" x14ac:dyDescent="0.25">
      <c r="A116" s="26">
        <v>27213324100</v>
      </c>
      <c r="B116" s="27" t="s">
        <v>727</v>
      </c>
      <c r="C116" s="27" t="s">
        <v>728</v>
      </c>
      <c r="D116" s="27" t="s">
        <v>504</v>
      </c>
      <c r="E116" s="28"/>
      <c r="F116" s="27"/>
      <c r="G116" s="27" t="s">
        <v>661</v>
      </c>
      <c r="H116" s="29">
        <v>8</v>
      </c>
      <c r="I116" s="29">
        <v>123</v>
      </c>
      <c r="J116" s="29">
        <v>0</v>
      </c>
      <c r="K116" s="29">
        <v>0</v>
      </c>
      <c r="L116" s="29">
        <v>123</v>
      </c>
      <c r="M116" s="29">
        <v>7.27</v>
      </c>
      <c r="N116" s="33">
        <v>3.02</v>
      </c>
      <c r="O116" s="34">
        <v>0</v>
      </c>
      <c r="P116" s="29" t="s">
        <v>610</v>
      </c>
      <c r="Q116" s="29"/>
      <c r="R116" s="29" t="s">
        <v>610</v>
      </c>
      <c r="S116" s="29" t="s">
        <v>610</v>
      </c>
      <c r="T116" s="34"/>
      <c r="U116" s="29">
        <v>0</v>
      </c>
      <c r="V116" s="29" t="s">
        <v>665</v>
      </c>
      <c r="W116" s="29"/>
      <c r="X116" s="29"/>
      <c r="Y116" s="30" t="s">
        <v>493</v>
      </c>
      <c r="Z116" s="30">
        <v>27</v>
      </c>
      <c r="AA116" s="7" t="s">
        <v>829</v>
      </c>
      <c r="AB116" s="7"/>
      <c r="AC116" s="7"/>
      <c r="AD116" s="7"/>
    </row>
    <row r="117" spans="1:30" ht="15" x14ac:dyDescent="0.25">
      <c r="A117" s="26">
        <v>27203841651</v>
      </c>
      <c r="B117" s="27" t="s">
        <v>631</v>
      </c>
      <c r="C117" s="27" t="s">
        <v>729</v>
      </c>
      <c r="D117" s="27" t="s">
        <v>570</v>
      </c>
      <c r="E117" s="28"/>
      <c r="F117" s="27"/>
      <c r="G117" s="27" t="s">
        <v>661</v>
      </c>
      <c r="H117" s="29">
        <v>8.1999999999999993</v>
      </c>
      <c r="I117" s="29">
        <v>117</v>
      </c>
      <c r="J117" s="29">
        <v>7</v>
      </c>
      <c r="K117" s="29">
        <v>0</v>
      </c>
      <c r="L117" s="29">
        <v>124</v>
      </c>
      <c r="M117" s="29">
        <v>7.39</v>
      </c>
      <c r="N117" s="33">
        <v>3.19</v>
      </c>
      <c r="O117" s="34">
        <v>5.6000000000000001E-2</v>
      </c>
      <c r="P117" s="29"/>
      <c r="Q117" s="29" t="s">
        <v>610</v>
      </c>
      <c r="R117" s="29" t="s">
        <v>610</v>
      </c>
      <c r="S117" s="29" t="s">
        <v>610</v>
      </c>
      <c r="T117" s="34"/>
      <c r="U117" s="29">
        <v>3</v>
      </c>
      <c r="V117" s="29" t="s">
        <v>662</v>
      </c>
      <c r="W117" s="29"/>
      <c r="X117" s="29"/>
      <c r="Y117" s="30" t="s">
        <v>493</v>
      </c>
      <c r="Z117" s="30">
        <v>27</v>
      </c>
      <c r="AA117" s="7" t="s">
        <v>823</v>
      </c>
      <c r="AB117" s="7"/>
      <c r="AC117" s="7"/>
      <c r="AD117" s="7"/>
    </row>
    <row r="118" spans="1:30" ht="15" x14ac:dyDescent="0.25">
      <c r="A118" s="26">
        <v>27207236197</v>
      </c>
      <c r="B118" s="27" t="s">
        <v>499</v>
      </c>
      <c r="C118" s="27" t="s">
        <v>730</v>
      </c>
      <c r="D118" s="27" t="s">
        <v>444</v>
      </c>
      <c r="E118" s="28"/>
      <c r="F118" s="27"/>
      <c r="G118" s="27" t="s">
        <v>661</v>
      </c>
      <c r="H118" s="29">
        <v>6.6</v>
      </c>
      <c r="I118" s="29">
        <v>117</v>
      </c>
      <c r="J118" s="29">
        <v>7</v>
      </c>
      <c r="K118" s="29">
        <v>0</v>
      </c>
      <c r="L118" s="29">
        <v>124</v>
      </c>
      <c r="M118" s="29">
        <v>6.3</v>
      </c>
      <c r="N118" s="33">
        <v>2.48</v>
      </c>
      <c r="O118" s="34">
        <v>5.6000000000000001E-2</v>
      </c>
      <c r="P118" s="29"/>
      <c r="Q118" s="29"/>
      <c r="R118" s="29" t="s">
        <v>610</v>
      </c>
      <c r="S118" s="29" t="s">
        <v>610</v>
      </c>
      <c r="T118" s="34"/>
      <c r="U118" s="29">
        <v>7</v>
      </c>
      <c r="V118" s="29" t="s">
        <v>662</v>
      </c>
      <c r="W118" s="29"/>
      <c r="X118" s="29"/>
      <c r="Y118" s="30" t="s">
        <v>493</v>
      </c>
      <c r="Z118" s="30">
        <v>27</v>
      </c>
      <c r="AA118" s="7" t="e">
        <v>#N/A</v>
      </c>
      <c r="AB118" s="7"/>
      <c r="AC118" s="7"/>
      <c r="AD118" s="7"/>
    </row>
    <row r="119" spans="1:30" ht="15" x14ac:dyDescent="0.25">
      <c r="A119" s="26">
        <v>27217101754</v>
      </c>
      <c r="B119" s="27" t="s">
        <v>531</v>
      </c>
      <c r="C119" s="27" t="s">
        <v>575</v>
      </c>
      <c r="D119" s="27" t="s">
        <v>444</v>
      </c>
      <c r="E119" s="28"/>
      <c r="F119" s="27"/>
      <c r="G119" s="27" t="s">
        <v>661</v>
      </c>
      <c r="H119" s="29">
        <v>7.9</v>
      </c>
      <c r="I119" s="29">
        <v>115</v>
      </c>
      <c r="J119" s="29">
        <v>8</v>
      </c>
      <c r="K119" s="29">
        <v>0</v>
      </c>
      <c r="L119" s="29">
        <v>123</v>
      </c>
      <c r="M119" s="29">
        <v>6.49</v>
      </c>
      <c r="N119" s="33">
        <v>2.63</v>
      </c>
      <c r="O119" s="34">
        <v>6.5000000000000002E-2</v>
      </c>
      <c r="P119" s="29"/>
      <c r="Q119" s="29"/>
      <c r="R119" s="29" t="s">
        <v>610</v>
      </c>
      <c r="S119" s="29" t="s">
        <v>610</v>
      </c>
      <c r="T119" s="34"/>
      <c r="U119" s="29">
        <v>6</v>
      </c>
      <c r="V119" s="29" t="s">
        <v>662</v>
      </c>
      <c r="W119" s="29"/>
      <c r="X119" s="29"/>
      <c r="Y119" s="30" t="s">
        <v>493</v>
      </c>
      <c r="Z119" s="30">
        <v>27</v>
      </c>
      <c r="AA119" s="7" t="e">
        <v>#N/A</v>
      </c>
      <c r="AB119" s="7"/>
      <c r="AC119" s="7"/>
      <c r="AD119" s="7"/>
    </row>
    <row r="120" spans="1:30" ht="15" x14ac:dyDescent="0.25">
      <c r="A120" s="26">
        <v>27217142356</v>
      </c>
      <c r="B120" s="27" t="s">
        <v>499</v>
      </c>
      <c r="C120" s="27" t="s">
        <v>586</v>
      </c>
      <c r="D120" s="27" t="s">
        <v>444</v>
      </c>
      <c r="E120" s="28"/>
      <c r="F120" s="27"/>
      <c r="G120" s="27" t="s">
        <v>661</v>
      </c>
      <c r="H120" s="29">
        <v>8.1</v>
      </c>
      <c r="I120" s="29">
        <v>119</v>
      </c>
      <c r="J120" s="29">
        <v>4</v>
      </c>
      <c r="K120" s="29">
        <v>0</v>
      </c>
      <c r="L120" s="29">
        <v>123</v>
      </c>
      <c r="M120" s="29">
        <v>6.21</v>
      </c>
      <c r="N120" s="33">
        <v>2.42</v>
      </c>
      <c r="O120" s="34">
        <v>3.3000000000000002E-2</v>
      </c>
      <c r="P120" s="29"/>
      <c r="Q120" s="29"/>
      <c r="R120" s="29" t="s">
        <v>610</v>
      </c>
      <c r="S120" s="29" t="s">
        <v>610</v>
      </c>
      <c r="T120" s="34"/>
      <c r="U120" s="29">
        <v>4</v>
      </c>
      <c r="V120" s="29" t="s">
        <v>665</v>
      </c>
      <c r="W120" s="29"/>
      <c r="X120" s="29"/>
      <c r="Y120" s="30" t="s">
        <v>493</v>
      </c>
      <c r="Z120" s="30">
        <v>27</v>
      </c>
      <c r="AA120" s="7" t="e">
        <v>#N/A</v>
      </c>
      <c r="AB120" s="7" t="e">
        <v>#N/A</v>
      </c>
      <c r="AC120" s="7" t="s">
        <v>63</v>
      </c>
      <c r="AD120" s="7" t="s">
        <v>565</v>
      </c>
    </row>
    <row r="121" spans="1:30" ht="15" x14ac:dyDescent="0.25">
      <c r="A121" s="26">
        <v>27207100408</v>
      </c>
      <c r="B121" s="27" t="s">
        <v>499</v>
      </c>
      <c r="C121" s="27" t="s">
        <v>558</v>
      </c>
      <c r="D121" s="27" t="s">
        <v>571</v>
      </c>
      <c r="E121" s="28"/>
      <c r="F121" s="27"/>
      <c r="G121" s="27" t="s">
        <v>661</v>
      </c>
      <c r="H121" s="29">
        <v>8.3000000000000007</v>
      </c>
      <c r="I121" s="29">
        <v>115</v>
      </c>
      <c r="J121" s="29">
        <v>8</v>
      </c>
      <c r="K121" s="29">
        <v>0</v>
      </c>
      <c r="L121" s="29">
        <v>123</v>
      </c>
      <c r="M121" s="29">
        <v>6.6</v>
      </c>
      <c r="N121" s="33">
        <v>2.71</v>
      </c>
      <c r="O121" s="34">
        <v>6.5000000000000002E-2</v>
      </c>
      <c r="P121" s="29"/>
      <c r="Q121" s="29"/>
      <c r="R121" s="29"/>
      <c r="S121" s="29" t="s">
        <v>610</v>
      </c>
      <c r="T121" s="34"/>
      <c r="U121" s="29">
        <v>4</v>
      </c>
      <c r="V121" s="29" t="s">
        <v>662</v>
      </c>
      <c r="W121" s="29"/>
      <c r="X121" s="29"/>
      <c r="Y121" s="30" t="s">
        <v>493</v>
      </c>
      <c r="Z121" s="30">
        <v>27</v>
      </c>
      <c r="AA121" s="7" t="e">
        <v>#N/A</v>
      </c>
      <c r="AB121" s="7"/>
      <c r="AC121" s="7"/>
      <c r="AD121" s="7"/>
    </row>
    <row r="122" spans="1:30" ht="15" x14ac:dyDescent="0.25">
      <c r="A122" s="26">
        <v>27207140573</v>
      </c>
      <c r="B122" s="27" t="s">
        <v>667</v>
      </c>
      <c r="C122" s="27" t="s">
        <v>668</v>
      </c>
      <c r="D122" s="27" t="s">
        <v>571</v>
      </c>
      <c r="E122" s="28"/>
      <c r="F122" s="27"/>
      <c r="G122" s="27" t="s">
        <v>661</v>
      </c>
      <c r="H122" s="29">
        <v>9.1</v>
      </c>
      <c r="I122" s="29">
        <v>122</v>
      </c>
      <c r="J122" s="29">
        <v>2</v>
      </c>
      <c r="K122" s="29">
        <v>0</v>
      </c>
      <c r="L122" s="29">
        <v>124</v>
      </c>
      <c r="M122" s="29">
        <v>7.34</v>
      </c>
      <c r="N122" s="33">
        <v>3.06</v>
      </c>
      <c r="O122" s="34">
        <v>1.6E-2</v>
      </c>
      <c r="P122" s="29"/>
      <c r="Q122" s="29"/>
      <c r="R122" s="29"/>
      <c r="S122" s="29" t="s">
        <v>610</v>
      </c>
      <c r="T122" s="34"/>
      <c r="U122" s="29">
        <v>3</v>
      </c>
      <c r="V122" s="29" t="s">
        <v>665</v>
      </c>
      <c r="W122" s="29"/>
      <c r="X122" s="29"/>
      <c r="Y122" s="30" t="s">
        <v>493</v>
      </c>
      <c r="Z122" s="30">
        <v>27</v>
      </c>
      <c r="AA122" s="7" t="s">
        <v>805</v>
      </c>
      <c r="AB122" s="7"/>
      <c r="AC122" s="7"/>
      <c r="AD122" s="7"/>
    </row>
    <row r="123" spans="1:30" ht="15" x14ac:dyDescent="0.25">
      <c r="A123" s="26">
        <v>27207140181</v>
      </c>
      <c r="B123" s="27" t="s">
        <v>667</v>
      </c>
      <c r="C123" s="27" t="s">
        <v>628</v>
      </c>
      <c r="D123" s="27" t="s">
        <v>527</v>
      </c>
      <c r="E123" s="28"/>
      <c r="F123" s="27"/>
      <c r="G123" s="27" t="s">
        <v>661</v>
      </c>
      <c r="H123" s="29">
        <v>7.3</v>
      </c>
      <c r="I123" s="29">
        <v>123</v>
      </c>
      <c r="J123" s="29">
        <v>0</v>
      </c>
      <c r="K123" s="29">
        <v>0</v>
      </c>
      <c r="L123" s="29">
        <v>123</v>
      </c>
      <c r="M123" s="29">
        <v>7.49</v>
      </c>
      <c r="N123" s="33">
        <v>3.19</v>
      </c>
      <c r="O123" s="34">
        <v>0</v>
      </c>
      <c r="P123" s="29"/>
      <c r="Q123" s="29"/>
      <c r="R123" s="29" t="s">
        <v>610</v>
      </c>
      <c r="S123" s="29" t="s">
        <v>610</v>
      </c>
      <c r="T123" s="34"/>
      <c r="U123" s="29">
        <v>0</v>
      </c>
      <c r="V123" s="29" t="s">
        <v>665</v>
      </c>
      <c r="W123" s="29"/>
      <c r="X123" s="29"/>
      <c r="Y123" s="30" t="s">
        <v>493</v>
      </c>
      <c r="Z123" s="30">
        <v>27</v>
      </c>
      <c r="AA123" s="7" t="s">
        <v>808</v>
      </c>
      <c r="AB123" s="7"/>
      <c r="AC123" s="7"/>
      <c r="AD123" s="7"/>
    </row>
    <row r="124" spans="1:30" ht="15" x14ac:dyDescent="0.25">
      <c r="A124" s="26">
        <v>27207146875</v>
      </c>
      <c r="B124" s="27" t="s">
        <v>680</v>
      </c>
      <c r="C124" s="27" t="s">
        <v>731</v>
      </c>
      <c r="D124" s="27" t="s">
        <v>527</v>
      </c>
      <c r="E124" s="28"/>
      <c r="F124" s="27"/>
      <c r="G124" s="27" t="s">
        <v>661</v>
      </c>
      <c r="H124" s="29">
        <v>9.6</v>
      </c>
      <c r="I124" s="29">
        <v>123</v>
      </c>
      <c r="J124" s="29">
        <v>0</v>
      </c>
      <c r="K124" s="29">
        <v>0</v>
      </c>
      <c r="L124" s="29">
        <v>123</v>
      </c>
      <c r="M124" s="29">
        <v>8</v>
      </c>
      <c r="N124" s="33">
        <v>3.47</v>
      </c>
      <c r="O124" s="34">
        <v>0</v>
      </c>
      <c r="P124" s="29"/>
      <c r="Q124" s="29" t="s">
        <v>610</v>
      </c>
      <c r="R124" s="29" t="s">
        <v>610</v>
      </c>
      <c r="S124" s="29" t="s">
        <v>610</v>
      </c>
      <c r="T124" s="34"/>
      <c r="U124" s="29">
        <v>0</v>
      </c>
      <c r="V124" s="29" t="s">
        <v>665</v>
      </c>
      <c r="W124" s="29"/>
      <c r="X124" s="30" t="s">
        <v>23</v>
      </c>
      <c r="Y124" s="30" t="s">
        <v>493</v>
      </c>
      <c r="Z124" s="30">
        <v>27</v>
      </c>
      <c r="AA124" s="7" t="s">
        <v>817</v>
      </c>
      <c r="AB124" s="7"/>
      <c r="AC124" s="7"/>
      <c r="AD124" s="7"/>
    </row>
    <row r="125" spans="1:30" ht="15" x14ac:dyDescent="0.25">
      <c r="A125" s="26">
        <v>27207225415</v>
      </c>
      <c r="B125" s="27" t="s">
        <v>539</v>
      </c>
      <c r="C125" s="27" t="s">
        <v>677</v>
      </c>
      <c r="D125" s="27" t="s">
        <v>527</v>
      </c>
      <c r="E125" s="28"/>
      <c r="F125" s="27"/>
      <c r="G125" s="27" t="s">
        <v>661</v>
      </c>
      <c r="H125" s="29">
        <v>5.4</v>
      </c>
      <c r="I125" s="29">
        <v>114</v>
      </c>
      <c r="J125" s="29">
        <v>10</v>
      </c>
      <c r="K125" s="29">
        <v>0</v>
      </c>
      <c r="L125" s="29">
        <v>124</v>
      </c>
      <c r="M125" s="29">
        <v>5.74</v>
      </c>
      <c r="N125" s="33">
        <v>2.1800000000000002</v>
      </c>
      <c r="O125" s="34">
        <v>8.1000000000000003E-2</v>
      </c>
      <c r="P125" s="29"/>
      <c r="Q125" s="29"/>
      <c r="R125" s="29"/>
      <c r="S125" s="29" t="s">
        <v>610</v>
      </c>
      <c r="T125" s="34"/>
      <c r="U125" s="29">
        <v>6</v>
      </c>
      <c r="V125" s="29" t="s">
        <v>662</v>
      </c>
      <c r="W125" s="29"/>
      <c r="X125" s="29"/>
      <c r="Y125" s="30" t="s">
        <v>493</v>
      </c>
      <c r="Z125" s="30">
        <v>27</v>
      </c>
      <c r="AA125" s="7" t="e">
        <v>#N/A</v>
      </c>
      <c r="AB125" s="7"/>
      <c r="AC125" s="7"/>
      <c r="AD125" s="7"/>
    </row>
    <row r="126" spans="1:30" ht="15" x14ac:dyDescent="0.25">
      <c r="A126" s="26">
        <v>27207101733</v>
      </c>
      <c r="B126" s="27" t="s">
        <v>531</v>
      </c>
      <c r="C126" s="27" t="s">
        <v>732</v>
      </c>
      <c r="D126" s="27" t="s">
        <v>528</v>
      </c>
      <c r="E126" s="28"/>
      <c r="F126" s="27"/>
      <c r="G126" s="27" t="s">
        <v>661</v>
      </c>
      <c r="H126" s="29">
        <v>6.8</v>
      </c>
      <c r="I126" s="29">
        <v>121</v>
      </c>
      <c r="J126" s="29">
        <v>2</v>
      </c>
      <c r="K126" s="29">
        <v>0</v>
      </c>
      <c r="L126" s="29">
        <v>123</v>
      </c>
      <c r="M126" s="29">
        <v>7.12</v>
      </c>
      <c r="N126" s="33">
        <v>2.94</v>
      </c>
      <c r="O126" s="34">
        <v>1.6E-2</v>
      </c>
      <c r="P126" s="29"/>
      <c r="Q126" s="29"/>
      <c r="R126" s="29" t="s">
        <v>610</v>
      </c>
      <c r="S126" s="29" t="s">
        <v>610</v>
      </c>
      <c r="T126" s="34"/>
      <c r="U126" s="29">
        <v>2</v>
      </c>
      <c r="V126" s="29" t="s">
        <v>665</v>
      </c>
      <c r="W126" s="29"/>
      <c r="X126" s="29"/>
      <c r="Y126" s="30" t="s">
        <v>493</v>
      </c>
      <c r="Z126" s="30">
        <v>27</v>
      </c>
      <c r="AA126" s="7" t="s">
        <v>830</v>
      </c>
      <c r="AB126" s="7"/>
      <c r="AC126" s="7"/>
      <c r="AD126" s="7"/>
    </row>
    <row r="127" spans="1:30" ht="15" x14ac:dyDescent="0.25">
      <c r="A127" s="26">
        <v>27207101865</v>
      </c>
      <c r="B127" s="27" t="s">
        <v>499</v>
      </c>
      <c r="C127" s="27" t="s">
        <v>695</v>
      </c>
      <c r="D127" s="27" t="s">
        <v>528</v>
      </c>
      <c r="E127" s="28"/>
      <c r="F127" s="27"/>
      <c r="G127" s="27" t="s">
        <v>661</v>
      </c>
      <c r="H127" s="29">
        <v>5.0999999999999996</v>
      </c>
      <c r="I127" s="29">
        <v>120</v>
      </c>
      <c r="J127" s="29">
        <v>3</v>
      </c>
      <c r="K127" s="29">
        <v>0</v>
      </c>
      <c r="L127" s="29">
        <v>123</v>
      </c>
      <c r="M127" s="29">
        <v>5.92</v>
      </c>
      <c r="N127" s="33">
        <v>2.2000000000000002</v>
      </c>
      <c r="O127" s="34">
        <v>2.4E-2</v>
      </c>
      <c r="P127" s="29"/>
      <c r="Q127" s="29"/>
      <c r="R127" s="29" t="s">
        <v>610</v>
      </c>
      <c r="S127" s="29" t="s">
        <v>610</v>
      </c>
      <c r="T127" s="34"/>
      <c r="U127" s="29">
        <v>3</v>
      </c>
      <c r="V127" s="29" t="s">
        <v>665</v>
      </c>
      <c r="W127" s="29"/>
      <c r="X127" s="29"/>
      <c r="Y127" s="30" t="s">
        <v>493</v>
      </c>
      <c r="Z127" s="30">
        <v>27</v>
      </c>
      <c r="AA127" s="7" t="s">
        <v>808</v>
      </c>
      <c r="AB127" s="7"/>
      <c r="AC127" s="7"/>
      <c r="AD127" s="7"/>
    </row>
    <row r="128" spans="1:30" ht="15" x14ac:dyDescent="0.25">
      <c r="A128" s="26">
        <v>27207102070</v>
      </c>
      <c r="B128" s="27" t="s">
        <v>569</v>
      </c>
      <c r="C128" s="27" t="s">
        <v>677</v>
      </c>
      <c r="D128" s="27" t="s">
        <v>528</v>
      </c>
      <c r="E128" s="28"/>
      <c r="F128" s="27"/>
      <c r="G128" s="27" t="s">
        <v>661</v>
      </c>
      <c r="H128" s="29">
        <v>9.4</v>
      </c>
      <c r="I128" s="29">
        <v>120</v>
      </c>
      <c r="J128" s="29">
        <v>3</v>
      </c>
      <c r="K128" s="29">
        <v>0</v>
      </c>
      <c r="L128" s="29">
        <v>123</v>
      </c>
      <c r="M128" s="29">
        <v>8.44</v>
      </c>
      <c r="N128" s="33">
        <v>3.65</v>
      </c>
      <c r="O128" s="34">
        <v>2.4E-2</v>
      </c>
      <c r="P128" s="29"/>
      <c r="Q128" s="29"/>
      <c r="R128" s="29" t="s">
        <v>610</v>
      </c>
      <c r="S128" s="29" t="s">
        <v>610</v>
      </c>
      <c r="T128" s="34"/>
      <c r="U128" s="29">
        <v>3</v>
      </c>
      <c r="V128" s="29" t="s">
        <v>682</v>
      </c>
      <c r="W128" s="29"/>
      <c r="X128" s="30" t="e">
        <v>#N/A</v>
      </c>
      <c r="Y128" s="30" t="s">
        <v>493</v>
      </c>
      <c r="Z128" s="30">
        <v>27</v>
      </c>
      <c r="AA128" s="7" t="s">
        <v>830</v>
      </c>
      <c r="AB128" s="7"/>
      <c r="AC128" s="7"/>
      <c r="AD128" s="7"/>
    </row>
    <row r="129" spans="1:30" ht="15" x14ac:dyDescent="0.25">
      <c r="A129" s="26">
        <v>27207122888</v>
      </c>
      <c r="B129" s="27" t="s">
        <v>680</v>
      </c>
      <c r="C129" s="27" t="s">
        <v>733</v>
      </c>
      <c r="D129" s="27" t="s">
        <v>528</v>
      </c>
      <c r="E129" s="28"/>
      <c r="F129" s="27"/>
      <c r="G129" s="27" t="s">
        <v>661</v>
      </c>
      <c r="H129" s="29">
        <v>7.8</v>
      </c>
      <c r="I129" s="29">
        <v>121</v>
      </c>
      <c r="J129" s="29">
        <v>2</v>
      </c>
      <c r="K129" s="29">
        <v>0</v>
      </c>
      <c r="L129" s="29">
        <v>123</v>
      </c>
      <c r="M129" s="29">
        <v>7.15</v>
      </c>
      <c r="N129" s="33">
        <v>2.97</v>
      </c>
      <c r="O129" s="34">
        <v>1.6E-2</v>
      </c>
      <c r="P129" s="29"/>
      <c r="Q129" s="29"/>
      <c r="R129" s="29" t="s">
        <v>610</v>
      </c>
      <c r="S129" s="29" t="s">
        <v>610</v>
      </c>
      <c r="T129" s="34"/>
      <c r="U129" s="29">
        <v>2</v>
      </c>
      <c r="V129" s="29" t="s">
        <v>665</v>
      </c>
      <c r="W129" s="29"/>
      <c r="X129" s="29"/>
      <c r="Y129" s="30" t="s">
        <v>493</v>
      </c>
      <c r="Z129" s="30">
        <v>27</v>
      </c>
      <c r="AA129" s="7" t="s">
        <v>822</v>
      </c>
      <c r="AB129" s="7"/>
      <c r="AC129" s="7"/>
      <c r="AD129" s="7"/>
    </row>
    <row r="130" spans="1:30" ht="15" x14ac:dyDescent="0.25">
      <c r="A130" s="26">
        <v>27207144974</v>
      </c>
      <c r="B130" s="27" t="s">
        <v>531</v>
      </c>
      <c r="C130" s="27" t="s">
        <v>732</v>
      </c>
      <c r="D130" s="27" t="s">
        <v>528</v>
      </c>
      <c r="E130" s="28"/>
      <c r="F130" s="27"/>
      <c r="G130" s="27" t="s">
        <v>661</v>
      </c>
      <c r="H130" s="29">
        <v>8.1</v>
      </c>
      <c r="I130" s="29">
        <v>123</v>
      </c>
      <c r="J130" s="29">
        <v>0</v>
      </c>
      <c r="K130" s="29">
        <v>0</v>
      </c>
      <c r="L130" s="29">
        <v>123</v>
      </c>
      <c r="M130" s="29">
        <v>7.33</v>
      </c>
      <c r="N130" s="33">
        <v>3.06</v>
      </c>
      <c r="O130" s="34">
        <v>0</v>
      </c>
      <c r="P130" s="29"/>
      <c r="Q130" s="29" t="s">
        <v>610</v>
      </c>
      <c r="R130" s="29" t="s">
        <v>610</v>
      </c>
      <c r="S130" s="29" t="s">
        <v>610</v>
      </c>
      <c r="T130" s="34"/>
      <c r="U130" s="29">
        <v>0</v>
      </c>
      <c r="V130" s="29" t="s">
        <v>665</v>
      </c>
      <c r="W130" s="29"/>
      <c r="X130" s="29"/>
      <c r="Y130" s="30" t="s">
        <v>493</v>
      </c>
      <c r="Z130" s="30">
        <v>27</v>
      </c>
      <c r="AA130" s="7" t="s">
        <v>831</v>
      </c>
      <c r="AB130" s="7"/>
      <c r="AC130" s="7"/>
      <c r="AD130" s="7"/>
    </row>
    <row r="131" spans="1:30" ht="15" x14ac:dyDescent="0.25">
      <c r="A131" s="26">
        <v>27217147160</v>
      </c>
      <c r="B131" s="27" t="s">
        <v>531</v>
      </c>
      <c r="C131" s="27" t="s">
        <v>489</v>
      </c>
      <c r="D131" s="27" t="s">
        <v>551</v>
      </c>
      <c r="E131" s="28"/>
      <c r="F131" s="27"/>
      <c r="G131" s="27" t="s">
        <v>661</v>
      </c>
      <c r="H131" s="29">
        <v>8.1999999999999993</v>
      </c>
      <c r="I131" s="29">
        <v>91</v>
      </c>
      <c r="J131" s="29">
        <v>35</v>
      </c>
      <c r="K131" s="29">
        <v>0</v>
      </c>
      <c r="L131" s="29">
        <v>126</v>
      </c>
      <c r="M131" s="29">
        <v>4.72</v>
      </c>
      <c r="N131" s="33">
        <v>1.84</v>
      </c>
      <c r="O131" s="34">
        <v>0.27800000000000002</v>
      </c>
      <c r="P131" s="29"/>
      <c r="Q131" s="29"/>
      <c r="R131" s="29" t="s">
        <v>610</v>
      </c>
      <c r="S131" s="29" t="s">
        <v>610</v>
      </c>
      <c r="T131" s="34"/>
      <c r="U131" s="29">
        <v>15</v>
      </c>
      <c r="V131" s="29" t="s">
        <v>662</v>
      </c>
      <c r="W131" s="29"/>
      <c r="X131" s="29"/>
      <c r="Y131" s="30" t="s">
        <v>493</v>
      </c>
      <c r="Z131" s="30">
        <v>27</v>
      </c>
      <c r="AA131" s="7" t="e">
        <v>#N/A</v>
      </c>
      <c r="AB131" s="7"/>
      <c r="AC131" s="7"/>
      <c r="AD131" s="7"/>
    </row>
    <row r="132" spans="1:30" ht="15" x14ac:dyDescent="0.25">
      <c r="A132" s="26">
        <v>27207121852</v>
      </c>
      <c r="B132" s="27" t="s">
        <v>700</v>
      </c>
      <c r="C132" s="27" t="s">
        <v>734</v>
      </c>
      <c r="D132" s="27" t="s">
        <v>489</v>
      </c>
      <c r="E132" s="28"/>
      <c r="F132" s="27"/>
      <c r="G132" s="27" t="s">
        <v>661</v>
      </c>
      <c r="H132" s="29">
        <v>8.6999999999999993</v>
      </c>
      <c r="I132" s="29">
        <v>121</v>
      </c>
      <c r="J132" s="29">
        <v>3</v>
      </c>
      <c r="K132" s="29">
        <v>0</v>
      </c>
      <c r="L132" s="29">
        <v>124</v>
      </c>
      <c r="M132" s="29">
        <v>6.91</v>
      </c>
      <c r="N132" s="33">
        <v>2.83</v>
      </c>
      <c r="O132" s="34">
        <v>2.4E-2</v>
      </c>
      <c r="P132" s="29" t="s">
        <v>610</v>
      </c>
      <c r="Q132" s="29"/>
      <c r="R132" s="29" t="s">
        <v>610</v>
      </c>
      <c r="S132" s="29" t="s">
        <v>610</v>
      </c>
      <c r="T132" s="34"/>
      <c r="U132" s="29">
        <v>3</v>
      </c>
      <c r="V132" s="29" t="s">
        <v>665</v>
      </c>
      <c r="W132" s="29"/>
      <c r="X132" s="29"/>
      <c r="Y132" s="30" t="s">
        <v>493</v>
      </c>
      <c r="Z132" s="30">
        <v>27</v>
      </c>
      <c r="AA132" s="7" t="s">
        <v>807</v>
      </c>
      <c r="AB132" s="7"/>
      <c r="AC132" s="7"/>
      <c r="AD132" s="7"/>
    </row>
    <row r="133" spans="1:30" ht="15" x14ac:dyDescent="0.25">
      <c r="A133" s="26">
        <v>27207130473</v>
      </c>
      <c r="B133" s="27" t="s">
        <v>531</v>
      </c>
      <c r="C133" s="27" t="s">
        <v>677</v>
      </c>
      <c r="D133" s="27" t="s">
        <v>489</v>
      </c>
      <c r="E133" s="28"/>
      <c r="F133" s="27"/>
      <c r="G133" s="27" t="s">
        <v>661</v>
      </c>
      <c r="H133" s="29">
        <v>7.8</v>
      </c>
      <c r="I133" s="29">
        <v>124</v>
      </c>
      <c r="J133" s="29">
        <v>0</v>
      </c>
      <c r="K133" s="29">
        <v>0</v>
      </c>
      <c r="L133" s="29">
        <v>124</v>
      </c>
      <c r="M133" s="29">
        <v>7.55</v>
      </c>
      <c r="N133" s="33">
        <v>3.12</v>
      </c>
      <c r="O133" s="34">
        <v>0</v>
      </c>
      <c r="P133" s="29"/>
      <c r="Q133" s="29"/>
      <c r="R133" s="29" t="s">
        <v>610</v>
      </c>
      <c r="S133" s="29" t="s">
        <v>610</v>
      </c>
      <c r="T133" s="34"/>
      <c r="U133" s="29">
        <v>0</v>
      </c>
      <c r="V133" s="29" t="s">
        <v>665</v>
      </c>
      <c r="W133" s="29"/>
      <c r="X133" s="29"/>
      <c r="Y133" s="30" t="s">
        <v>493</v>
      </c>
      <c r="Z133" s="30">
        <v>27</v>
      </c>
      <c r="AA133" s="7" t="s">
        <v>832</v>
      </c>
      <c r="AB133" s="7"/>
      <c r="AC133" s="7"/>
      <c r="AD133" s="7"/>
    </row>
    <row r="134" spans="1:30" ht="15" x14ac:dyDescent="0.25">
      <c r="A134" s="26">
        <v>27207142071</v>
      </c>
      <c r="B134" s="27" t="s">
        <v>531</v>
      </c>
      <c r="C134" s="27" t="s">
        <v>456</v>
      </c>
      <c r="D134" s="27" t="s">
        <v>489</v>
      </c>
      <c r="E134" s="28"/>
      <c r="F134" s="27"/>
      <c r="G134" s="27" t="s">
        <v>661</v>
      </c>
      <c r="H134" s="29">
        <v>7.4</v>
      </c>
      <c r="I134" s="29">
        <v>124</v>
      </c>
      <c r="J134" s="29">
        <v>0</v>
      </c>
      <c r="K134" s="29">
        <v>0</v>
      </c>
      <c r="L134" s="29">
        <v>124</v>
      </c>
      <c r="M134" s="29">
        <v>7.82</v>
      </c>
      <c r="N134" s="33">
        <v>3.34</v>
      </c>
      <c r="O134" s="34">
        <v>0</v>
      </c>
      <c r="P134" s="29" t="s">
        <v>610</v>
      </c>
      <c r="Q134" s="29" t="s">
        <v>610</v>
      </c>
      <c r="R134" s="29" t="s">
        <v>610</v>
      </c>
      <c r="S134" s="29" t="s">
        <v>610</v>
      </c>
      <c r="T134" s="29" t="s">
        <v>735</v>
      </c>
      <c r="U134" s="29" t="e">
        <v>#N/A</v>
      </c>
      <c r="V134" s="29" t="s">
        <v>682</v>
      </c>
      <c r="W134" s="29"/>
      <c r="X134" s="30" t="e">
        <v>#N/A</v>
      </c>
      <c r="Y134" s="30" t="s">
        <v>493</v>
      </c>
      <c r="Z134" s="30">
        <v>27</v>
      </c>
      <c r="AA134" s="7" t="e">
        <v>#N/A</v>
      </c>
      <c r="AB134" s="7"/>
      <c r="AC134" s="7"/>
      <c r="AD134" s="7"/>
    </row>
    <row r="135" spans="1:30" ht="15" x14ac:dyDescent="0.25">
      <c r="A135" s="26">
        <v>27202237832</v>
      </c>
      <c r="B135" s="27" t="s">
        <v>680</v>
      </c>
      <c r="C135" s="27" t="s">
        <v>503</v>
      </c>
      <c r="D135" s="27" t="s">
        <v>450</v>
      </c>
      <c r="E135" s="28"/>
      <c r="F135" s="27"/>
      <c r="G135" s="27" t="s">
        <v>661</v>
      </c>
      <c r="H135" s="29">
        <v>8.6999999999999993</v>
      </c>
      <c r="I135" s="29">
        <v>120</v>
      </c>
      <c r="J135" s="29">
        <v>3</v>
      </c>
      <c r="K135" s="29">
        <v>0</v>
      </c>
      <c r="L135" s="29">
        <v>123</v>
      </c>
      <c r="M135" s="29">
        <v>7.86</v>
      </c>
      <c r="N135" s="33">
        <v>3.4</v>
      </c>
      <c r="O135" s="34">
        <v>2.4E-2</v>
      </c>
      <c r="P135" s="29"/>
      <c r="Q135" s="29"/>
      <c r="R135" s="29" t="s">
        <v>610</v>
      </c>
      <c r="S135" s="29" t="s">
        <v>610</v>
      </c>
      <c r="T135" s="34"/>
      <c r="U135" s="29">
        <v>3</v>
      </c>
      <c r="V135" s="29" t="s">
        <v>682</v>
      </c>
      <c r="W135" s="29"/>
      <c r="X135" s="30" t="e">
        <v>#N/A</v>
      </c>
      <c r="Y135" s="30" t="s">
        <v>493</v>
      </c>
      <c r="Z135" s="30">
        <v>27</v>
      </c>
      <c r="AA135" s="7" t="s">
        <v>830</v>
      </c>
      <c r="AB135" s="7"/>
      <c r="AC135" s="7"/>
      <c r="AD135" s="7"/>
    </row>
    <row r="136" spans="1:30" ht="15" x14ac:dyDescent="0.25">
      <c r="A136" s="26">
        <v>27217120413</v>
      </c>
      <c r="B136" s="27" t="s">
        <v>531</v>
      </c>
      <c r="C136" s="27" t="s">
        <v>529</v>
      </c>
      <c r="D136" s="27" t="s">
        <v>505</v>
      </c>
      <c r="E136" s="28"/>
      <c r="F136" s="27"/>
      <c r="G136" s="27" t="s">
        <v>661</v>
      </c>
      <c r="H136" s="29">
        <v>9.6</v>
      </c>
      <c r="I136" s="29">
        <v>123</v>
      </c>
      <c r="J136" s="29">
        <v>0</v>
      </c>
      <c r="K136" s="29">
        <v>0</v>
      </c>
      <c r="L136" s="29">
        <v>123</v>
      </c>
      <c r="M136" s="29">
        <v>8.02</v>
      </c>
      <c r="N136" s="33">
        <v>3.45</v>
      </c>
      <c r="O136" s="34">
        <v>0</v>
      </c>
      <c r="P136" s="29"/>
      <c r="Q136" s="29" t="s">
        <v>610</v>
      </c>
      <c r="R136" s="29" t="s">
        <v>610</v>
      </c>
      <c r="S136" s="29" t="s">
        <v>610</v>
      </c>
      <c r="T136" s="34"/>
      <c r="U136" s="29">
        <v>0</v>
      </c>
      <c r="V136" s="29" t="s">
        <v>665</v>
      </c>
      <c r="W136" s="29"/>
      <c r="X136" s="30" t="s">
        <v>23</v>
      </c>
      <c r="Y136" s="30" t="s">
        <v>493</v>
      </c>
      <c r="Z136" s="30">
        <v>27</v>
      </c>
      <c r="AA136" s="7" t="s">
        <v>808</v>
      </c>
      <c r="AB136" s="7"/>
      <c r="AC136" s="7"/>
      <c r="AD136" s="7"/>
    </row>
    <row r="137" spans="1:30" ht="15" x14ac:dyDescent="0.25">
      <c r="A137" s="26">
        <v>27203444311</v>
      </c>
      <c r="B137" s="27" t="s">
        <v>660</v>
      </c>
      <c r="C137" s="27" t="s">
        <v>736</v>
      </c>
      <c r="D137" s="27" t="s">
        <v>452</v>
      </c>
      <c r="E137" s="28"/>
      <c r="F137" s="27"/>
      <c r="G137" s="27" t="s">
        <v>661</v>
      </c>
      <c r="H137" s="29">
        <v>7.4</v>
      </c>
      <c r="I137" s="29">
        <v>121</v>
      </c>
      <c r="J137" s="29">
        <v>2</v>
      </c>
      <c r="K137" s="29">
        <v>0</v>
      </c>
      <c r="L137" s="29">
        <v>123</v>
      </c>
      <c r="M137" s="29">
        <v>7.09</v>
      </c>
      <c r="N137" s="33">
        <v>2.89</v>
      </c>
      <c r="O137" s="34">
        <v>1.6E-2</v>
      </c>
      <c r="P137" s="29"/>
      <c r="Q137" s="29"/>
      <c r="R137" s="29" t="s">
        <v>610</v>
      </c>
      <c r="S137" s="29" t="s">
        <v>610</v>
      </c>
      <c r="T137" s="34"/>
      <c r="U137" s="29">
        <v>2</v>
      </c>
      <c r="V137" s="29" t="s">
        <v>665</v>
      </c>
      <c r="W137" s="29"/>
      <c r="X137" s="29"/>
      <c r="Y137" s="30" t="s">
        <v>493</v>
      </c>
      <c r="Z137" s="30">
        <v>27</v>
      </c>
      <c r="AA137" s="7" t="e">
        <v>#N/A</v>
      </c>
      <c r="AB137" s="7" t="e">
        <v>#N/A</v>
      </c>
      <c r="AC137" s="7" t="s">
        <v>108</v>
      </c>
      <c r="AD137" s="7" t="s">
        <v>565</v>
      </c>
    </row>
    <row r="138" spans="1:30" ht="15" x14ac:dyDescent="0.25">
      <c r="A138" s="26">
        <v>27207100842</v>
      </c>
      <c r="B138" s="27" t="s">
        <v>617</v>
      </c>
      <c r="C138" s="27" t="s">
        <v>737</v>
      </c>
      <c r="D138" s="27" t="s">
        <v>452</v>
      </c>
      <c r="E138" s="28"/>
      <c r="F138" s="27"/>
      <c r="G138" s="27" t="s">
        <v>661</v>
      </c>
      <c r="H138" s="29">
        <v>8.8000000000000007</v>
      </c>
      <c r="I138" s="29">
        <v>121</v>
      </c>
      <c r="J138" s="29">
        <v>3</v>
      </c>
      <c r="K138" s="29">
        <v>0</v>
      </c>
      <c r="L138" s="29">
        <v>124</v>
      </c>
      <c r="M138" s="29">
        <v>7.25</v>
      </c>
      <c r="N138" s="33">
        <v>3.04</v>
      </c>
      <c r="O138" s="34">
        <v>2.4E-2</v>
      </c>
      <c r="P138" s="29"/>
      <c r="Q138" s="29"/>
      <c r="R138" s="29" t="s">
        <v>610</v>
      </c>
      <c r="S138" s="29" t="s">
        <v>610</v>
      </c>
      <c r="T138" s="34"/>
      <c r="U138" s="29">
        <v>3</v>
      </c>
      <c r="V138" s="29" t="s">
        <v>665</v>
      </c>
      <c r="W138" s="29"/>
      <c r="X138" s="29"/>
      <c r="Y138" s="30" t="s">
        <v>493</v>
      </c>
      <c r="Z138" s="30">
        <v>27</v>
      </c>
      <c r="AA138" s="7" t="s">
        <v>821</v>
      </c>
      <c r="AB138" s="7"/>
      <c r="AC138" s="7"/>
      <c r="AD138" s="7"/>
    </row>
    <row r="139" spans="1:30" ht="15" x14ac:dyDescent="0.25">
      <c r="A139" s="26">
        <v>27207101069</v>
      </c>
      <c r="B139" s="27" t="s">
        <v>621</v>
      </c>
      <c r="C139" s="27" t="s">
        <v>453</v>
      </c>
      <c r="D139" s="27" t="s">
        <v>452</v>
      </c>
      <c r="E139" s="28"/>
      <c r="F139" s="27"/>
      <c r="G139" s="27" t="s">
        <v>661</v>
      </c>
      <c r="H139" s="29">
        <v>9</v>
      </c>
      <c r="I139" s="29">
        <v>115</v>
      </c>
      <c r="J139" s="29">
        <v>9</v>
      </c>
      <c r="K139" s="29">
        <v>0</v>
      </c>
      <c r="L139" s="29">
        <v>124</v>
      </c>
      <c r="M139" s="29">
        <v>6.79</v>
      </c>
      <c r="N139" s="33">
        <v>2.82</v>
      </c>
      <c r="O139" s="34">
        <v>7.2999999999999995E-2</v>
      </c>
      <c r="P139" s="29"/>
      <c r="Q139" s="29"/>
      <c r="R139" s="29"/>
      <c r="S139" s="29" t="s">
        <v>610</v>
      </c>
      <c r="T139" s="34"/>
      <c r="U139" s="29">
        <v>4</v>
      </c>
      <c r="V139" s="29" t="s">
        <v>662</v>
      </c>
      <c r="W139" s="29"/>
      <c r="X139" s="29"/>
      <c r="Y139" s="30" t="s">
        <v>493</v>
      </c>
      <c r="Z139" s="30">
        <v>27</v>
      </c>
      <c r="AA139" s="7" t="e">
        <v>#N/A</v>
      </c>
      <c r="AB139" s="7"/>
      <c r="AC139" s="7"/>
      <c r="AD139" s="7"/>
    </row>
    <row r="140" spans="1:30" ht="15" x14ac:dyDescent="0.25">
      <c r="A140" s="26">
        <v>27207101221</v>
      </c>
      <c r="B140" s="27" t="s">
        <v>620</v>
      </c>
      <c r="C140" s="27" t="s">
        <v>738</v>
      </c>
      <c r="D140" s="27" t="s">
        <v>452</v>
      </c>
      <c r="E140" s="28"/>
      <c r="F140" s="27"/>
      <c r="G140" s="27" t="s">
        <v>661</v>
      </c>
      <c r="H140" s="29">
        <v>8.3000000000000007</v>
      </c>
      <c r="I140" s="29">
        <v>121</v>
      </c>
      <c r="J140" s="29">
        <v>2</v>
      </c>
      <c r="K140" s="29">
        <v>0</v>
      </c>
      <c r="L140" s="29">
        <v>123</v>
      </c>
      <c r="M140" s="29">
        <v>7.34</v>
      </c>
      <c r="N140" s="33">
        <v>3.04</v>
      </c>
      <c r="O140" s="34">
        <v>1.6E-2</v>
      </c>
      <c r="P140" s="29"/>
      <c r="Q140" s="29"/>
      <c r="R140" s="29" t="s">
        <v>610</v>
      </c>
      <c r="S140" s="29" t="s">
        <v>610</v>
      </c>
      <c r="T140" s="34"/>
      <c r="U140" s="29">
        <v>2</v>
      </c>
      <c r="V140" s="29" t="s">
        <v>665</v>
      </c>
      <c r="W140" s="29"/>
      <c r="X140" s="29"/>
      <c r="Y140" s="30" t="s">
        <v>493</v>
      </c>
      <c r="Z140" s="30">
        <v>27</v>
      </c>
      <c r="AA140" s="7" t="s">
        <v>817</v>
      </c>
      <c r="AB140" s="7"/>
      <c r="AC140" s="7"/>
      <c r="AD140" s="7"/>
    </row>
    <row r="141" spans="1:30" ht="15" x14ac:dyDescent="0.25">
      <c r="A141" s="26">
        <v>27207120204</v>
      </c>
      <c r="B141" s="27" t="s">
        <v>739</v>
      </c>
      <c r="C141" s="27" t="s">
        <v>726</v>
      </c>
      <c r="D141" s="27" t="s">
        <v>452</v>
      </c>
      <c r="E141" s="28"/>
      <c r="F141" s="27"/>
      <c r="G141" s="27" t="s">
        <v>661</v>
      </c>
      <c r="H141" s="29">
        <v>6.9</v>
      </c>
      <c r="I141" s="29">
        <v>123</v>
      </c>
      <c r="J141" s="29">
        <v>0</v>
      </c>
      <c r="K141" s="29">
        <v>0</v>
      </c>
      <c r="L141" s="29">
        <v>123</v>
      </c>
      <c r="M141" s="29">
        <v>7.14</v>
      </c>
      <c r="N141" s="33">
        <v>2.94</v>
      </c>
      <c r="O141" s="34">
        <v>0</v>
      </c>
      <c r="P141" s="29"/>
      <c r="Q141" s="29"/>
      <c r="R141" s="29" t="s">
        <v>610</v>
      </c>
      <c r="S141" s="29" t="s">
        <v>610</v>
      </c>
      <c r="T141" s="34"/>
      <c r="U141" s="29">
        <v>0</v>
      </c>
      <c r="V141" s="29" t="s">
        <v>665</v>
      </c>
      <c r="W141" s="29"/>
      <c r="X141" s="29"/>
      <c r="Y141" s="30" t="s">
        <v>493</v>
      </c>
      <c r="Z141" s="30">
        <v>27</v>
      </c>
      <c r="AA141" s="7" t="s">
        <v>816</v>
      </c>
      <c r="AB141" s="7"/>
      <c r="AC141" s="7"/>
      <c r="AD141" s="7"/>
    </row>
    <row r="142" spans="1:30" ht="15" x14ac:dyDescent="0.25">
      <c r="A142" s="26">
        <v>27207128195</v>
      </c>
      <c r="B142" s="27" t="s">
        <v>531</v>
      </c>
      <c r="C142" s="27" t="s">
        <v>714</v>
      </c>
      <c r="D142" s="27" t="s">
        <v>452</v>
      </c>
      <c r="E142" s="28"/>
      <c r="F142" s="27"/>
      <c r="G142" s="27" t="s">
        <v>661</v>
      </c>
      <c r="H142" s="29">
        <v>8.1999999999999993</v>
      </c>
      <c r="I142" s="29">
        <v>121</v>
      </c>
      <c r="J142" s="29">
        <v>5</v>
      </c>
      <c r="K142" s="29">
        <v>0</v>
      </c>
      <c r="L142" s="29">
        <v>126</v>
      </c>
      <c r="M142" s="29">
        <v>6.38</v>
      </c>
      <c r="N142" s="33">
        <v>2.5499999999999998</v>
      </c>
      <c r="O142" s="34">
        <v>0.04</v>
      </c>
      <c r="P142" s="29"/>
      <c r="Q142" s="29"/>
      <c r="R142" s="29" t="s">
        <v>610</v>
      </c>
      <c r="S142" s="29" t="s">
        <v>610</v>
      </c>
      <c r="T142" s="34"/>
      <c r="U142" s="29">
        <v>5</v>
      </c>
      <c r="V142" s="29" t="s">
        <v>665</v>
      </c>
      <c r="W142" s="29"/>
      <c r="X142" s="29"/>
      <c r="Y142" s="30" t="s">
        <v>493</v>
      </c>
      <c r="Z142" s="30">
        <v>27</v>
      </c>
      <c r="AA142" s="7" t="s">
        <v>833</v>
      </c>
      <c r="AB142" s="7"/>
      <c r="AC142" s="7"/>
      <c r="AD142" s="7"/>
    </row>
    <row r="143" spans="1:30" ht="15" x14ac:dyDescent="0.25">
      <c r="A143" s="26">
        <v>27207134401</v>
      </c>
      <c r="B143" s="27" t="s">
        <v>676</v>
      </c>
      <c r="C143" s="27" t="s">
        <v>608</v>
      </c>
      <c r="D143" s="27" t="s">
        <v>452</v>
      </c>
      <c r="E143" s="28"/>
      <c r="F143" s="27"/>
      <c r="G143" s="27" t="s">
        <v>661</v>
      </c>
      <c r="H143" s="29">
        <v>6.5</v>
      </c>
      <c r="I143" s="29">
        <v>103</v>
      </c>
      <c r="J143" s="29">
        <v>21</v>
      </c>
      <c r="K143" s="29">
        <v>0</v>
      </c>
      <c r="L143" s="29">
        <v>124</v>
      </c>
      <c r="M143" s="29">
        <v>5.42</v>
      </c>
      <c r="N143" s="33">
        <v>2.12</v>
      </c>
      <c r="O143" s="34">
        <v>0.16900000000000001</v>
      </c>
      <c r="P143" s="29"/>
      <c r="Q143" s="29"/>
      <c r="R143" s="29" t="s">
        <v>610</v>
      </c>
      <c r="S143" s="29" t="s">
        <v>610</v>
      </c>
      <c r="T143" s="34"/>
      <c r="U143" s="29">
        <v>13</v>
      </c>
      <c r="V143" s="29" t="s">
        <v>662</v>
      </c>
      <c r="W143" s="29"/>
      <c r="X143" s="29"/>
      <c r="Y143" s="30" t="s">
        <v>493</v>
      </c>
      <c r="Z143" s="30">
        <v>27</v>
      </c>
      <c r="AA143" s="7" t="e">
        <v>#N/A</v>
      </c>
      <c r="AB143" s="7"/>
      <c r="AC143" s="7"/>
      <c r="AD143" s="7"/>
    </row>
    <row r="144" spans="1:30" ht="15" x14ac:dyDescent="0.25">
      <c r="A144" s="26">
        <v>27207147294</v>
      </c>
      <c r="B144" s="27" t="s">
        <v>717</v>
      </c>
      <c r="C144" s="27" t="s">
        <v>740</v>
      </c>
      <c r="D144" s="27" t="s">
        <v>452</v>
      </c>
      <c r="E144" s="28"/>
      <c r="F144" s="27"/>
      <c r="G144" s="27" t="s">
        <v>661</v>
      </c>
      <c r="H144" s="29">
        <v>7.8</v>
      </c>
      <c r="I144" s="29">
        <v>116</v>
      </c>
      <c r="J144" s="29">
        <v>8</v>
      </c>
      <c r="K144" s="29">
        <v>0</v>
      </c>
      <c r="L144" s="29">
        <v>124</v>
      </c>
      <c r="M144" s="29">
        <v>6.78</v>
      </c>
      <c r="N144" s="33">
        <v>2.79</v>
      </c>
      <c r="O144" s="34">
        <v>6.5000000000000002E-2</v>
      </c>
      <c r="P144" s="29"/>
      <c r="Q144" s="29"/>
      <c r="R144" s="29" t="s">
        <v>610</v>
      </c>
      <c r="S144" s="29" t="s">
        <v>610</v>
      </c>
      <c r="T144" s="34"/>
      <c r="U144" s="29">
        <v>5</v>
      </c>
      <c r="V144" s="29" t="s">
        <v>662</v>
      </c>
      <c r="W144" s="29"/>
      <c r="X144" s="29"/>
      <c r="Y144" s="30" t="s">
        <v>493</v>
      </c>
      <c r="Z144" s="30">
        <v>27</v>
      </c>
      <c r="AA144" s="7" t="s">
        <v>834</v>
      </c>
      <c r="AB144" s="7"/>
      <c r="AC144" s="7"/>
      <c r="AD144" s="7"/>
    </row>
    <row r="145" spans="1:30" ht="15" x14ac:dyDescent="0.25">
      <c r="A145" s="26">
        <v>27207147400</v>
      </c>
      <c r="B145" s="27" t="s">
        <v>499</v>
      </c>
      <c r="C145" s="27" t="s">
        <v>736</v>
      </c>
      <c r="D145" s="27" t="s">
        <v>452</v>
      </c>
      <c r="E145" s="28"/>
      <c r="F145" s="27"/>
      <c r="G145" s="27" t="s">
        <v>661</v>
      </c>
      <c r="H145" s="29">
        <v>7.6</v>
      </c>
      <c r="I145" s="29">
        <v>121</v>
      </c>
      <c r="J145" s="29">
        <v>2</v>
      </c>
      <c r="K145" s="29">
        <v>0</v>
      </c>
      <c r="L145" s="29">
        <v>123</v>
      </c>
      <c r="M145" s="29">
        <v>6.38</v>
      </c>
      <c r="N145" s="33">
        <v>2.48</v>
      </c>
      <c r="O145" s="34">
        <v>1.6E-2</v>
      </c>
      <c r="P145" s="29"/>
      <c r="Q145" s="29"/>
      <c r="R145" s="29" t="s">
        <v>610</v>
      </c>
      <c r="S145" s="29" t="s">
        <v>610</v>
      </c>
      <c r="T145" s="34"/>
      <c r="U145" s="29">
        <v>2</v>
      </c>
      <c r="V145" s="29" t="s">
        <v>665</v>
      </c>
      <c r="W145" s="29"/>
      <c r="X145" s="29"/>
      <c r="Y145" s="30" t="s">
        <v>493</v>
      </c>
      <c r="Z145" s="30">
        <v>27</v>
      </c>
      <c r="AA145" s="7" t="s">
        <v>835</v>
      </c>
      <c r="AB145" s="7"/>
      <c r="AC145" s="7"/>
      <c r="AD145" s="7"/>
    </row>
    <row r="146" spans="1:30" ht="15" x14ac:dyDescent="0.25">
      <c r="A146" s="26">
        <v>27207147439</v>
      </c>
      <c r="B146" s="27" t="s">
        <v>631</v>
      </c>
      <c r="C146" s="27" t="s">
        <v>563</v>
      </c>
      <c r="D146" s="27" t="s">
        <v>452</v>
      </c>
      <c r="E146" s="28"/>
      <c r="F146" s="27"/>
      <c r="G146" s="27" t="s">
        <v>661</v>
      </c>
      <c r="H146" s="29">
        <v>7</v>
      </c>
      <c r="I146" s="29">
        <v>115</v>
      </c>
      <c r="J146" s="29">
        <v>8</v>
      </c>
      <c r="K146" s="29">
        <v>0</v>
      </c>
      <c r="L146" s="29">
        <v>123</v>
      </c>
      <c r="M146" s="29">
        <v>7.28</v>
      </c>
      <c r="N146" s="33">
        <v>3.12</v>
      </c>
      <c r="O146" s="34">
        <v>6.5000000000000002E-2</v>
      </c>
      <c r="P146" s="29"/>
      <c r="Q146" s="29"/>
      <c r="R146" s="29"/>
      <c r="S146" s="29" t="s">
        <v>610</v>
      </c>
      <c r="T146" s="34"/>
      <c r="U146" s="29">
        <v>5</v>
      </c>
      <c r="V146" s="29" t="s">
        <v>662</v>
      </c>
      <c r="W146" s="29"/>
      <c r="X146" s="29"/>
      <c r="Y146" s="30" t="s">
        <v>493</v>
      </c>
      <c r="Z146" s="30">
        <v>27</v>
      </c>
      <c r="AA146" s="7" t="s">
        <v>814</v>
      </c>
      <c r="AB146" s="7"/>
      <c r="AC146" s="7"/>
      <c r="AD146" s="7"/>
    </row>
    <row r="147" spans="1:30" ht="15" x14ac:dyDescent="0.25">
      <c r="A147" s="26">
        <v>27217100922</v>
      </c>
      <c r="B147" s="27" t="s">
        <v>531</v>
      </c>
      <c r="C147" s="27" t="s">
        <v>736</v>
      </c>
      <c r="D147" s="27" t="s">
        <v>452</v>
      </c>
      <c r="E147" s="28"/>
      <c r="F147" s="27"/>
      <c r="G147" s="27" t="s">
        <v>661</v>
      </c>
      <c r="H147" s="29">
        <v>8</v>
      </c>
      <c r="I147" s="29">
        <v>116</v>
      </c>
      <c r="J147" s="29">
        <v>7</v>
      </c>
      <c r="K147" s="29">
        <v>0</v>
      </c>
      <c r="L147" s="29">
        <v>123</v>
      </c>
      <c r="M147" s="29">
        <v>6.61</v>
      </c>
      <c r="N147" s="33">
        <v>2.68</v>
      </c>
      <c r="O147" s="34">
        <v>5.7000000000000002E-2</v>
      </c>
      <c r="P147" s="29"/>
      <c r="Q147" s="29"/>
      <c r="R147" s="29" t="s">
        <v>610</v>
      </c>
      <c r="S147" s="29" t="s">
        <v>610</v>
      </c>
      <c r="T147" s="34"/>
      <c r="U147" s="29">
        <v>2</v>
      </c>
      <c r="V147" s="29" t="s">
        <v>662</v>
      </c>
      <c r="W147" s="29"/>
      <c r="X147" s="29"/>
      <c r="Y147" s="30" t="s">
        <v>493</v>
      </c>
      <c r="Z147" s="30">
        <v>27</v>
      </c>
      <c r="AA147" s="7" t="s">
        <v>822</v>
      </c>
      <c r="AB147" s="7"/>
      <c r="AC147" s="7"/>
      <c r="AD147" s="7"/>
    </row>
    <row r="148" spans="1:30" ht="15" x14ac:dyDescent="0.25">
      <c r="A148" s="26">
        <v>27217101593</v>
      </c>
      <c r="B148" s="27" t="s">
        <v>531</v>
      </c>
      <c r="C148" s="27" t="s">
        <v>632</v>
      </c>
      <c r="D148" s="27" t="s">
        <v>452</v>
      </c>
      <c r="E148" s="28"/>
      <c r="F148" s="27"/>
      <c r="G148" s="27" t="s">
        <v>661</v>
      </c>
      <c r="H148" s="29">
        <v>8.1999999999999993</v>
      </c>
      <c r="I148" s="29">
        <v>123</v>
      </c>
      <c r="J148" s="29">
        <v>0</v>
      </c>
      <c r="K148" s="29">
        <v>0</v>
      </c>
      <c r="L148" s="29">
        <v>123</v>
      </c>
      <c r="M148" s="29">
        <v>8.02</v>
      </c>
      <c r="N148" s="33">
        <v>3.43</v>
      </c>
      <c r="O148" s="34">
        <v>0</v>
      </c>
      <c r="P148" s="29"/>
      <c r="Q148" s="29"/>
      <c r="R148" s="29" t="s">
        <v>610</v>
      </c>
      <c r="S148" s="29" t="s">
        <v>610</v>
      </c>
      <c r="T148" s="29"/>
      <c r="U148" s="29">
        <v>0</v>
      </c>
      <c r="V148" s="29" t="s">
        <v>665</v>
      </c>
      <c r="W148" s="29"/>
      <c r="X148" s="30" t="s">
        <v>23</v>
      </c>
      <c r="Y148" s="30" t="s">
        <v>493</v>
      </c>
      <c r="Z148" s="30">
        <v>27</v>
      </c>
      <c r="AA148" s="7" t="s">
        <v>808</v>
      </c>
      <c r="AB148" s="7"/>
      <c r="AC148" s="7"/>
      <c r="AD148" s="7"/>
    </row>
    <row r="149" spans="1:30" ht="15" x14ac:dyDescent="0.25">
      <c r="A149" s="26">
        <v>27217200882</v>
      </c>
      <c r="B149" s="27" t="s">
        <v>700</v>
      </c>
      <c r="C149" s="27" t="s">
        <v>609</v>
      </c>
      <c r="D149" s="27" t="s">
        <v>452</v>
      </c>
      <c r="E149" s="28"/>
      <c r="F149" s="27"/>
      <c r="G149" s="27" t="s">
        <v>661</v>
      </c>
      <c r="H149" s="29">
        <v>7.2</v>
      </c>
      <c r="I149" s="29">
        <v>123</v>
      </c>
      <c r="J149" s="29">
        <v>0</v>
      </c>
      <c r="K149" s="29">
        <v>0</v>
      </c>
      <c r="L149" s="29">
        <v>123</v>
      </c>
      <c r="M149" s="29">
        <v>6.81</v>
      </c>
      <c r="N149" s="33">
        <v>2.73</v>
      </c>
      <c r="O149" s="34">
        <v>0</v>
      </c>
      <c r="P149" s="29"/>
      <c r="Q149" s="29"/>
      <c r="R149" s="29" t="s">
        <v>610</v>
      </c>
      <c r="S149" s="29" t="s">
        <v>610</v>
      </c>
      <c r="T149" s="34"/>
      <c r="U149" s="29">
        <v>0</v>
      </c>
      <c r="V149" s="29" t="s">
        <v>665</v>
      </c>
      <c r="W149" s="29"/>
      <c r="X149" s="29"/>
      <c r="Y149" s="30" t="s">
        <v>493</v>
      </c>
      <c r="Z149" s="30">
        <v>27</v>
      </c>
      <c r="AA149" s="7" t="s">
        <v>819</v>
      </c>
      <c r="AB149" s="7"/>
      <c r="AC149" s="7"/>
      <c r="AD149" s="7"/>
    </row>
    <row r="150" spans="1:30" ht="15" x14ac:dyDescent="0.25">
      <c r="A150" s="26">
        <v>26207135208</v>
      </c>
      <c r="B150" s="27" t="s">
        <v>499</v>
      </c>
      <c r="C150" s="27" t="s">
        <v>625</v>
      </c>
      <c r="D150" s="27" t="s">
        <v>474</v>
      </c>
      <c r="E150" s="28"/>
      <c r="F150" s="27"/>
      <c r="G150" s="27" t="s">
        <v>661</v>
      </c>
      <c r="H150" s="29">
        <v>6.4</v>
      </c>
      <c r="I150" s="29">
        <v>124</v>
      </c>
      <c r="J150" s="29">
        <v>0</v>
      </c>
      <c r="K150" s="29">
        <v>0</v>
      </c>
      <c r="L150" s="29">
        <v>124</v>
      </c>
      <c r="M150" s="29">
        <v>6.23</v>
      </c>
      <c r="N150" s="33">
        <v>2.36</v>
      </c>
      <c r="O150" s="34">
        <v>0</v>
      </c>
      <c r="P150" s="29" t="s">
        <v>610</v>
      </c>
      <c r="Q150" s="29"/>
      <c r="R150" s="29" t="s">
        <v>610</v>
      </c>
      <c r="S150" s="29" t="s">
        <v>610</v>
      </c>
      <c r="T150" s="29" t="s">
        <v>741</v>
      </c>
      <c r="U150" s="29">
        <v>0</v>
      </c>
      <c r="V150" s="29" t="s">
        <v>665</v>
      </c>
      <c r="W150" s="29"/>
      <c r="X150" s="29"/>
      <c r="Y150" s="30" t="s">
        <v>493</v>
      </c>
      <c r="Z150" s="30">
        <v>27</v>
      </c>
      <c r="AA150" s="7"/>
      <c r="AB150" s="7"/>
      <c r="AC150" s="7"/>
      <c r="AD150" s="7"/>
    </row>
    <row r="151" spans="1:30" ht="15" x14ac:dyDescent="0.25">
      <c r="A151" s="26">
        <v>27207100650</v>
      </c>
      <c r="B151" s="27" t="s">
        <v>499</v>
      </c>
      <c r="C151" s="27" t="s">
        <v>689</v>
      </c>
      <c r="D151" s="27" t="s">
        <v>474</v>
      </c>
      <c r="E151" s="28"/>
      <c r="F151" s="27"/>
      <c r="G151" s="27" t="s">
        <v>661</v>
      </c>
      <c r="H151" s="29">
        <v>6.7</v>
      </c>
      <c r="I151" s="29">
        <v>122</v>
      </c>
      <c r="J151" s="29">
        <v>3</v>
      </c>
      <c r="K151" s="29">
        <v>0</v>
      </c>
      <c r="L151" s="29">
        <v>125</v>
      </c>
      <c r="M151" s="29">
        <v>6.3</v>
      </c>
      <c r="N151" s="33">
        <v>2.46</v>
      </c>
      <c r="O151" s="34">
        <v>2.4E-2</v>
      </c>
      <c r="P151" s="29"/>
      <c r="Q151" s="29"/>
      <c r="R151" s="29" t="s">
        <v>610</v>
      </c>
      <c r="S151" s="29" t="s">
        <v>610</v>
      </c>
      <c r="T151" s="34"/>
      <c r="U151" s="29">
        <v>3</v>
      </c>
      <c r="V151" s="29" t="s">
        <v>665</v>
      </c>
      <c r="W151" s="29"/>
      <c r="X151" s="29"/>
      <c r="Y151" s="30" t="s">
        <v>493</v>
      </c>
      <c r="Z151" s="30">
        <v>27</v>
      </c>
      <c r="AA151" s="7" t="s">
        <v>836</v>
      </c>
      <c r="AB151" s="7"/>
      <c r="AC151" s="7"/>
      <c r="AD151" s="7"/>
    </row>
    <row r="152" spans="1:30" ht="15" x14ac:dyDescent="0.25">
      <c r="A152" s="26">
        <v>27207100874</v>
      </c>
      <c r="B152" s="27" t="s">
        <v>531</v>
      </c>
      <c r="C152" s="27" t="s">
        <v>742</v>
      </c>
      <c r="D152" s="27" t="s">
        <v>474</v>
      </c>
      <c r="E152" s="28"/>
      <c r="F152" s="27"/>
      <c r="G152" s="27" t="s">
        <v>661</v>
      </c>
      <c r="H152" s="29">
        <v>7.4</v>
      </c>
      <c r="I152" s="29">
        <v>106</v>
      </c>
      <c r="J152" s="29">
        <v>18</v>
      </c>
      <c r="K152" s="29">
        <v>0</v>
      </c>
      <c r="L152" s="29">
        <v>124</v>
      </c>
      <c r="M152" s="29">
        <v>5.57</v>
      </c>
      <c r="N152" s="33">
        <v>2.1800000000000002</v>
      </c>
      <c r="O152" s="34">
        <v>0.14499999999999999</v>
      </c>
      <c r="P152" s="29"/>
      <c r="Q152" s="29"/>
      <c r="R152" s="29"/>
      <c r="S152" s="29" t="s">
        <v>610</v>
      </c>
      <c r="T152" s="34"/>
      <c r="U152" s="29">
        <v>5</v>
      </c>
      <c r="V152" s="29" t="s">
        <v>662</v>
      </c>
      <c r="W152" s="29"/>
      <c r="X152" s="29"/>
      <c r="Y152" s="30" t="s">
        <v>493</v>
      </c>
      <c r="Z152" s="30">
        <v>27</v>
      </c>
      <c r="AA152" s="7" t="s">
        <v>836</v>
      </c>
      <c r="AB152" s="7"/>
      <c r="AC152" s="7"/>
      <c r="AD152" s="7"/>
    </row>
    <row r="153" spans="1:30" ht="15" x14ac:dyDescent="0.25">
      <c r="A153" s="26">
        <v>27207142512</v>
      </c>
      <c r="B153" s="27" t="s">
        <v>660</v>
      </c>
      <c r="C153" s="27" t="s">
        <v>742</v>
      </c>
      <c r="D153" s="27" t="s">
        <v>474</v>
      </c>
      <c r="E153" s="28"/>
      <c r="F153" s="27"/>
      <c r="G153" s="27" t="s">
        <v>661</v>
      </c>
      <c r="H153" s="29">
        <v>7.7</v>
      </c>
      <c r="I153" s="29">
        <v>119</v>
      </c>
      <c r="J153" s="29">
        <v>4</v>
      </c>
      <c r="K153" s="29">
        <v>0</v>
      </c>
      <c r="L153" s="29">
        <v>123</v>
      </c>
      <c r="M153" s="29">
        <v>6.44</v>
      </c>
      <c r="N153" s="33">
        <v>2.54</v>
      </c>
      <c r="O153" s="34">
        <v>3.3000000000000002E-2</v>
      </c>
      <c r="P153" s="29"/>
      <c r="Q153" s="29" t="s">
        <v>610</v>
      </c>
      <c r="R153" s="29" t="s">
        <v>610</v>
      </c>
      <c r="S153" s="29" t="s">
        <v>610</v>
      </c>
      <c r="T153" s="34"/>
      <c r="U153" s="29">
        <v>2</v>
      </c>
      <c r="V153" s="29" t="s">
        <v>665</v>
      </c>
      <c r="W153" s="29"/>
      <c r="X153" s="29"/>
      <c r="Y153" s="30" t="s">
        <v>493</v>
      </c>
      <c r="Z153" s="30">
        <v>27</v>
      </c>
      <c r="AA153" s="7" t="s">
        <v>837</v>
      </c>
      <c r="AB153" s="7"/>
      <c r="AC153" s="7"/>
      <c r="AD153" s="7"/>
    </row>
    <row r="154" spans="1:30" ht="15" x14ac:dyDescent="0.25">
      <c r="A154" s="26">
        <v>27217145408</v>
      </c>
      <c r="B154" s="27" t="s">
        <v>676</v>
      </c>
      <c r="C154" s="27" t="s">
        <v>635</v>
      </c>
      <c r="D154" s="27" t="s">
        <v>474</v>
      </c>
      <c r="E154" s="28"/>
      <c r="F154" s="27"/>
      <c r="G154" s="27" t="s">
        <v>661</v>
      </c>
      <c r="H154" s="29">
        <v>4.8</v>
      </c>
      <c r="I154" s="29">
        <v>71</v>
      </c>
      <c r="J154" s="29">
        <v>52</v>
      </c>
      <c r="K154" s="29">
        <v>0</v>
      </c>
      <c r="L154" s="29">
        <v>123</v>
      </c>
      <c r="M154" s="29">
        <v>3.69</v>
      </c>
      <c r="N154" s="33">
        <v>1.43</v>
      </c>
      <c r="O154" s="34">
        <v>0.42299999999999999</v>
      </c>
      <c r="P154" s="29"/>
      <c r="Q154" s="29"/>
      <c r="R154" s="29"/>
      <c r="S154" s="29" t="s">
        <v>610</v>
      </c>
      <c r="T154" s="34"/>
      <c r="U154" s="29">
        <v>19</v>
      </c>
      <c r="V154" s="29" t="s">
        <v>662</v>
      </c>
      <c r="W154" s="29"/>
      <c r="X154" s="29"/>
      <c r="Y154" s="30" t="s">
        <v>493</v>
      </c>
      <c r="Z154" s="30">
        <v>27</v>
      </c>
      <c r="AA154" s="7" t="e">
        <v>#N/A</v>
      </c>
      <c r="AB154" s="7"/>
      <c r="AC154" s="7"/>
      <c r="AD154" s="7"/>
    </row>
    <row r="155" spans="1:30" ht="15" x14ac:dyDescent="0.25">
      <c r="A155" s="26">
        <v>27207133206</v>
      </c>
      <c r="B155" s="27" t="s">
        <v>531</v>
      </c>
      <c r="C155" s="27" t="s">
        <v>692</v>
      </c>
      <c r="D155" s="27" t="s">
        <v>490</v>
      </c>
      <c r="E155" s="28"/>
      <c r="F155" s="27"/>
      <c r="G155" s="27" t="s">
        <v>661</v>
      </c>
      <c r="H155" s="29">
        <v>8.6999999999999993</v>
      </c>
      <c r="I155" s="29">
        <v>122</v>
      </c>
      <c r="J155" s="29">
        <v>2</v>
      </c>
      <c r="K155" s="29">
        <v>0</v>
      </c>
      <c r="L155" s="29">
        <v>124</v>
      </c>
      <c r="M155" s="29">
        <v>7.47</v>
      </c>
      <c r="N155" s="33">
        <v>3.11</v>
      </c>
      <c r="O155" s="34">
        <v>1.6E-2</v>
      </c>
      <c r="P155" s="29"/>
      <c r="Q155" s="29" t="s">
        <v>610</v>
      </c>
      <c r="R155" s="29" t="s">
        <v>610</v>
      </c>
      <c r="S155" s="29" t="s">
        <v>610</v>
      </c>
      <c r="T155" s="34"/>
      <c r="U155" s="29">
        <v>2</v>
      </c>
      <c r="V155" s="29" t="s">
        <v>665</v>
      </c>
      <c r="W155" s="29"/>
      <c r="X155" s="29"/>
      <c r="Y155" s="30" t="s">
        <v>493</v>
      </c>
      <c r="Z155" s="30">
        <v>27</v>
      </c>
      <c r="AA155" s="7" t="s">
        <v>822</v>
      </c>
      <c r="AB155" s="7"/>
      <c r="AC155" s="7"/>
      <c r="AD155" s="7"/>
    </row>
    <row r="156" spans="1:30" ht="15" x14ac:dyDescent="0.25">
      <c r="A156" s="26">
        <v>27207142526</v>
      </c>
      <c r="B156" s="27" t="s">
        <v>620</v>
      </c>
      <c r="C156" s="27" t="s">
        <v>668</v>
      </c>
      <c r="D156" s="27" t="s">
        <v>490</v>
      </c>
      <c r="E156" s="28"/>
      <c r="F156" s="27"/>
      <c r="G156" s="27" t="s">
        <v>661</v>
      </c>
      <c r="H156" s="29">
        <v>7.7</v>
      </c>
      <c r="I156" s="29">
        <v>112</v>
      </c>
      <c r="J156" s="29">
        <v>11</v>
      </c>
      <c r="K156" s="29">
        <v>0</v>
      </c>
      <c r="L156" s="29">
        <v>123</v>
      </c>
      <c r="M156" s="29">
        <v>6.47</v>
      </c>
      <c r="N156" s="33">
        <v>2.65</v>
      </c>
      <c r="O156" s="34">
        <v>8.8999999999999996E-2</v>
      </c>
      <c r="P156" s="29"/>
      <c r="Q156" s="29"/>
      <c r="R156" s="29" t="s">
        <v>610</v>
      </c>
      <c r="S156" s="29" t="s">
        <v>610</v>
      </c>
      <c r="T156" s="34"/>
      <c r="U156" s="29">
        <v>6</v>
      </c>
      <c r="V156" s="29" t="s">
        <v>662</v>
      </c>
      <c r="W156" s="29"/>
      <c r="X156" s="29"/>
      <c r="Y156" s="30" t="s">
        <v>493</v>
      </c>
      <c r="Z156" s="30">
        <v>27</v>
      </c>
      <c r="AA156" s="7" t="e">
        <v>#N/A</v>
      </c>
      <c r="AB156" s="7"/>
      <c r="AC156" s="7"/>
      <c r="AD156" s="7"/>
    </row>
    <row r="157" spans="1:30" ht="15" x14ac:dyDescent="0.25">
      <c r="A157" s="26">
        <v>27217130618</v>
      </c>
      <c r="B157" s="27" t="s">
        <v>660</v>
      </c>
      <c r="C157" s="27" t="s">
        <v>743</v>
      </c>
      <c r="D157" s="27" t="s">
        <v>437</v>
      </c>
      <c r="E157" s="28"/>
      <c r="F157" s="27"/>
      <c r="G157" s="27" t="s">
        <v>661</v>
      </c>
      <c r="H157" s="29">
        <v>7.7</v>
      </c>
      <c r="I157" s="29">
        <v>118</v>
      </c>
      <c r="J157" s="29">
        <v>5</v>
      </c>
      <c r="K157" s="29">
        <v>0</v>
      </c>
      <c r="L157" s="29">
        <v>123</v>
      </c>
      <c r="M157" s="29">
        <v>7.34</v>
      </c>
      <c r="N157" s="33">
        <v>3.1</v>
      </c>
      <c r="O157" s="34">
        <v>4.1000000000000002E-2</v>
      </c>
      <c r="P157" s="29"/>
      <c r="Q157" s="29"/>
      <c r="R157" s="29" t="s">
        <v>610</v>
      </c>
      <c r="S157" s="29" t="s">
        <v>610</v>
      </c>
      <c r="T157" s="34"/>
      <c r="U157" s="29">
        <v>2</v>
      </c>
      <c r="V157" s="29" t="s">
        <v>665</v>
      </c>
      <c r="W157" s="29"/>
      <c r="X157" s="29"/>
      <c r="Y157" s="30" t="s">
        <v>493</v>
      </c>
      <c r="Z157" s="30">
        <v>27</v>
      </c>
      <c r="AA157" s="7" t="s">
        <v>806</v>
      </c>
      <c r="AB157" s="7"/>
      <c r="AC157" s="7"/>
      <c r="AD157" s="7"/>
    </row>
    <row r="158" spans="1:30" ht="15" x14ac:dyDescent="0.25">
      <c r="A158" s="26">
        <v>27207128299</v>
      </c>
      <c r="B158" s="27" t="s">
        <v>620</v>
      </c>
      <c r="C158" s="27" t="s">
        <v>688</v>
      </c>
      <c r="D158" s="27" t="s">
        <v>552</v>
      </c>
      <c r="E158" s="28"/>
      <c r="F158" s="27"/>
      <c r="G158" s="27" t="s">
        <v>661</v>
      </c>
      <c r="H158" s="29">
        <v>6.9</v>
      </c>
      <c r="I158" s="29">
        <v>124</v>
      </c>
      <c r="J158" s="29">
        <v>0</v>
      </c>
      <c r="K158" s="29">
        <v>0</v>
      </c>
      <c r="L158" s="29">
        <v>124</v>
      </c>
      <c r="M158" s="29">
        <v>7.51</v>
      </c>
      <c r="N158" s="33">
        <v>3.13</v>
      </c>
      <c r="O158" s="34">
        <v>0</v>
      </c>
      <c r="P158" s="29"/>
      <c r="Q158" s="29"/>
      <c r="R158" s="29" t="s">
        <v>610</v>
      </c>
      <c r="S158" s="29" t="s">
        <v>610</v>
      </c>
      <c r="T158" s="34"/>
      <c r="U158" s="29">
        <v>0</v>
      </c>
      <c r="V158" s="29" t="s">
        <v>665</v>
      </c>
      <c r="W158" s="29"/>
      <c r="X158" s="29"/>
      <c r="Y158" s="30" t="s">
        <v>493</v>
      </c>
      <c r="Z158" s="30">
        <v>27</v>
      </c>
      <c r="AA158" s="7" t="s">
        <v>826</v>
      </c>
      <c r="AB158" s="7"/>
      <c r="AC158" s="7"/>
      <c r="AD158" s="7"/>
    </row>
    <row r="159" spans="1:30" ht="15" x14ac:dyDescent="0.25">
      <c r="A159" s="26">
        <v>27217143544</v>
      </c>
      <c r="B159" s="27" t="s">
        <v>620</v>
      </c>
      <c r="C159" s="27" t="s">
        <v>627</v>
      </c>
      <c r="D159" s="27" t="s">
        <v>595</v>
      </c>
      <c r="E159" s="28"/>
      <c r="F159" s="27"/>
      <c r="G159" s="27" t="s">
        <v>661</v>
      </c>
      <c r="H159" s="29">
        <v>5.2</v>
      </c>
      <c r="I159" s="29">
        <v>64</v>
      </c>
      <c r="J159" s="29">
        <v>59</v>
      </c>
      <c r="K159" s="29">
        <v>0</v>
      </c>
      <c r="L159" s="29">
        <v>123</v>
      </c>
      <c r="M159" s="29">
        <v>3.19</v>
      </c>
      <c r="N159" s="33">
        <v>1.21</v>
      </c>
      <c r="O159" s="34">
        <v>0.48</v>
      </c>
      <c r="P159" s="29"/>
      <c r="Q159" s="29"/>
      <c r="R159" s="29" t="s">
        <v>610</v>
      </c>
      <c r="S159" s="29"/>
      <c r="T159" s="34"/>
      <c r="U159" s="29">
        <v>0</v>
      </c>
      <c r="V159" s="29" t="s">
        <v>662</v>
      </c>
      <c r="W159" s="29"/>
      <c r="X159" s="29"/>
      <c r="Y159" s="30" t="s">
        <v>493</v>
      </c>
      <c r="Z159" s="30">
        <v>27</v>
      </c>
      <c r="AA159" s="7" t="e">
        <v>#N/A</v>
      </c>
      <c r="AB159" s="7"/>
      <c r="AC159" s="7"/>
      <c r="AD159" s="7"/>
    </row>
    <row r="160" spans="1:30" ht="15" x14ac:dyDescent="0.25">
      <c r="A160" s="26">
        <v>25217109434</v>
      </c>
      <c r="B160" s="27" t="s">
        <v>631</v>
      </c>
      <c r="C160" s="27" t="s">
        <v>580</v>
      </c>
      <c r="D160" s="27" t="s">
        <v>506</v>
      </c>
      <c r="E160" s="28"/>
      <c r="F160" s="27"/>
      <c r="G160" s="27" t="s">
        <v>661</v>
      </c>
      <c r="H160" s="29">
        <v>5.6</v>
      </c>
      <c r="I160" s="29">
        <v>116</v>
      </c>
      <c r="J160" s="29">
        <v>8</v>
      </c>
      <c r="K160" s="29">
        <v>0</v>
      </c>
      <c r="L160" s="29">
        <v>124</v>
      </c>
      <c r="M160" s="29">
        <v>6.74</v>
      </c>
      <c r="N160" s="33">
        <v>2.78</v>
      </c>
      <c r="O160" s="34">
        <v>6.5000000000000002E-2</v>
      </c>
      <c r="P160" s="29"/>
      <c r="Q160" s="29"/>
      <c r="R160" s="29" t="s">
        <v>610</v>
      </c>
      <c r="S160" s="29" t="s">
        <v>610</v>
      </c>
      <c r="T160" s="34"/>
      <c r="U160" s="29">
        <v>0</v>
      </c>
      <c r="V160" s="29" t="s">
        <v>662</v>
      </c>
      <c r="W160" s="29"/>
      <c r="X160" s="29"/>
      <c r="Y160" s="30" t="s">
        <v>493</v>
      </c>
      <c r="Z160" s="30">
        <v>27</v>
      </c>
      <c r="AA160" s="7" t="e">
        <v>#N/A</v>
      </c>
      <c r="AB160" s="7"/>
      <c r="AC160" s="7"/>
      <c r="AD160" s="7"/>
    </row>
    <row r="161" spans="1:30" ht="15" x14ac:dyDescent="0.25">
      <c r="A161" s="26">
        <v>27217138091</v>
      </c>
      <c r="B161" s="27" t="s">
        <v>667</v>
      </c>
      <c r="C161" s="27" t="s">
        <v>586</v>
      </c>
      <c r="D161" s="27" t="s">
        <v>553</v>
      </c>
      <c r="E161" s="28"/>
      <c r="F161" s="27"/>
      <c r="G161" s="27" t="s">
        <v>661</v>
      </c>
      <c r="H161" s="29">
        <v>7.9</v>
      </c>
      <c r="I161" s="29">
        <v>122</v>
      </c>
      <c r="J161" s="29">
        <v>2</v>
      </c>
      <c r="K161" s="29">
        <v>0</v>
      </c>
      <c r="L161" s="29">
        <v>124</v>
      </c>
      <c r="M161" s="29">
        <v>6.94</v>
      </c>
      <c r="N161" s="33">
        <v>2.84</v>
      </c>
      <c r="O161" s="34">
        <v>1.6E-2</v>
      </c>
      <c r="P161" s="29"/>
      <c r="Q161" s="29" t="s">
        <v>610</v>
      </c>
      <c r="R161" s="29" t="s">
        <v>610</v>
      </c>
      <c r="S161" s="29" t="s">
        <v>610</v>
      </c>
      <c r="T161" s="34"/>
      <c r="U161" s="29">
        <v>0</v>
      </c>
      <c r="V161" s="29" t="s">
        <v>665</v>
      </c>
      <c r="W161" s="29"/>
      <c r="X161" s="29"/>
      <c r="Y161" s="30" t="s">
        <v>493</v>
      </c>
      <c r="Z161" s="30">
        <v>27</v>
      </c>
      <c r="AA161" s="7" t="s">
        <v>826</v>
      </c>
      <c r="AB161" s="7"/>
      <c r="AC161" s="7"/>
      <c r="AD161" s="7"/>
    </row>
    <row r="162" spans="1:30" ht="15" x14ac:dyDescent="0.25">
      <c r="A162" s="26">
        <v>27218622482</v>
      </c>
      <c r="B162" s="27" t="s">
        <v>744</v>
      </c>
      <c r="C162" s="27" t="s">
        <v>471</v>
      </c>
      <c r="D162" s="27" t="s">
        <v>553</v>
      </c>
      <c r="E162" s="28"/>
      <c r="F162" s="27"/>
      <c r="G162" s="27" t="s">
        <v>661</v>
      </c>
      <c r="H162" s="29">
        <v>7.2</v>
      </c>
      <c r="I162" s="29">
        <v>116</v>
      </c>
      <c r="J162" s="29">
        <v>7</v>
      </c>
      <c r="K162" s="29">
        <v>0</v>
      </c>
      <c r="L162" s="29">
        <v>123</v>
      </c>
      <c r="M162" s="29">
        <v>6.25</v>
      </c>
      <c r="N162" s="33">
        <v>2.5</v>
      </c>
      <c r="O162" s="34">
        <v>5.7000000000000002E-2</v>
      </c>
      <c r="P162" s="29"/>
      <c r="Q162" s="29"/>
      <c r="R162" s="29" t="s">
        <v>610</v>
      </c>
      <c r="S162" s="29" t="s">
        <v>610</v>
      </c>
      <c r="T162" s="34"/>
      <c r="U162" s="29">
        <v>5</v>
      </c>
      <c r="V162" s="29" t="s">
        <v>662</v>
      </c>
      <c r="W162" s="29"/>
      <c r="X162" s="29"/>
      <c r="Y162" s="30" t="s">
        <v>493</v>
      </c>
      <c r="Z162" s="30">
        <v>27</v>
      </c>
      <c r="AA162" s="7" t="e">
        <v>#N/A</v>
      </c>
      <c r="AB162" s="7"/>
      <c r="AC162" s="7"/>
      <c r="AD162" s="7"/>
    </row>
    <row r="163" spans="1:30" ht="15" x14ac:dyDescent="0.25">
      <c r="A163" s="26">
        <v>27217130082</v>
      </c>
      <c r="B163" s="27" t="s">
        <v>499</v>
      </c>
      <c r="C163" s="27" t="s">
        <v>586</v>
      </c>
      <c r="D163" s="27" t="s">
        <v>529</v>
      </c>
      <c r="E163" s="28"/>
      <c r="F163" s="27"/>
      <c r="G163" s="27" t="s">
        <v>661</v>
      </c>
      <c r="H163" s="29">
        <v>6.8</v>
      </c>
      <c r="I163" s="29">
        <v>99</v>
      </c>
      <c r="J163" s="29">
        <v>24</v>
      </c>
      <c r="K163" s="29">
        <v>0</v>
      </c>
      <c r="L163" s="29">
        <v>123</v>
      </c>
      <c r="M163" s="29">
        <v>4.96</v>
      </c>
      <c r="N163" s="33">
        <v>1.88</v>
      </c>
      <c r="O163" s="34">
        <v>0.19500000000000001</v>
      </c>
      <c r="P163" s="29"/>
      <c r="Q163" s="29"/>
      <c r="R163" s="29"/>
      <c r="S163" s="29" t="s">
        <v>610</v>
      </c>
      <c r="T163" s="34"/>
      <c r="U163" s="29">
        <v>20</v>
      </c>
      <c r="V163" s="29" t="s">
        <v>662</v>
      </c>
      <c r="W163" s="29"/>
      <c r="X163" s="29"/>
      <c r="Y163" s="30" t="s">
        <v>493</v>
      </c>
      <c r="Z163" s="30">
        <v>27</v>
      </c>
      <c r="AA163" s="7" t="e">
        <v>#N/A</v>
      </c>
      <c r="AB163" s="7"/>
      <c r="AC163" s="7"/>
      <c r="AD163" s="7"/>
    </row>
    <row r="164" spans="1:30" ht="15" x14ac:dyDescent="0.25">
      <c r="A164" s="26">
        <v>27217140342</v>
      </c>
      <c r="B164" s="27" t="s">
        <v>615</v>
      </c>
      <c r="C164" s="27" t="s">
        <v>482</v>
      </c>
      <c r="D164" s="27" t="s">
        <v>529</v>
      </c>
      <c r="E164" s="28"/>
      <c r="F164" s="27"/>
      <c r="G164" s="27" t="s">
        <v>661</v>
      </c>
      <c r="H164" s="29">
        <v>5.8</v>
      </c>
      <c r="I164" s="29">
        <v>64</v>
      </c>
      <c r="J164" s="29">
        <v>59</v>
      </c>
      <c r="K164" s="29">
        <v>0</v>
      </c>
      <c r="L164" s="29">
        <v>123</v>
      </c>
      <c r="M164" s="29">
        <v>3.22</v>
      </c>
      <c r="N164" s="33">
        <v>1.21</v>
      </c>
      <c r="O164" s="34">
        <v>0.48</v>
      </c>
      <c r="P164" s="29"/>
      <c r="Q164" s="29"/>
      <c r="R164" s="29" t="s">
        <v>610</v>
      </c>
      <c r="S164" s="29" t="s">
        <v>610</v>
      </c>
      <c r="T164" s="34"/>
      <c r="U164" s="29">
        <v>17</v>
      </c>
      <c r="V164" s="29" t="s">
        <v>662</v>
      </c>
      <c r="W164" s="29"/>
      <c r="X164" s="29"/>
      <c r="Y164" s="30" t="s">
        <v>493</v>
      </c>
      <c r="Z164" s="30">
        <v>27</v>
      </c>
      <c r="AA164" s="7" t="e">
        <v>#N/A</v>
      </c>
      <c r="AB164" s="7"/>
      <c r="AC164" s="7"/>
      <c r="AD164" s="7"/>
    </row>
    <row r="165" spans="1:30" ht="15" x14ac:dyDescent="0.25">
      <c r="A165" s="26">
        <v>26217241667</v>
      </c>
      <c r="B165" s="27" t="s">
        <v>531</v>
      </c>
      <c r="C165" s="27"/>
      <c r="D165" s="27" t="s">
        <v>507</v>
      </c>
      <c r="E165" s="28"/>
      <c r="F165" s="27"/>
      <c r="G165" s="27" t="s">
        <v>661</v>
      </c>
      <c r="H165" s="29">
        <v>8.6999999999999993</v>
      </c>
      <c r="I165" s="29">
        <v>122</v>
      </c>
      <c r="J165" s="29">
        <v>2</v>
      </c>
      <c r="K165" s="29">
        <v>0</v>
      </c>
      <c r="L165" s="29">
        <v>124</v>
      </c>
      <c r="M165" s="29">
        <v>8.14</v>
      </c>
      <c r="N165" s="33">
        <v>3.54</v>
      </c>
      <c r="O165" s="34">
        <v>1.6E-2</v>
      </c>
      <c r="P165" s="29"/>
      <c r="Q165" s="29" t="s">
        <v>610</v>
      </c>
      <c r="R165" s="29" t="s">
        <v>610</v>
      </c>
      <c r="S165" s="29" t="s">
        <v>610</v>
      </c>
      <c r="T165" s="34"/>
      <c r="U165" s="29">
        <v>0</v>
      </c>
      <c r="V165" s="29" t="s">
        <v>682</v>
      </c>
      <c r="W165" s="29"/>
      <c r="X165" s="30" t="e">
        <v>#N/A</v>
      </c>
      <c r="Y165" s="30" t="s">
        <v>493</v>
      </c>
      <c r="Z165" s="30">
        <v>27</v>
      </c>
      <c r="AA165" s="7" t="s">
        <v>806</v>
      </c>
      <c r="AB165" s="7"/>
      <c r="AC165" s="7"/>
      <c r="AD165" s="7"/>
    </row>
    <row r="166" spans="1:30" ht="15" x14ac:dyDescent="0.25">
      <c r="A166" s="26">
        <v>27207102577</v>
      </c>
      <c r="B166" s="27" t="s">
        <v>631</v>
      </c>
      <c r="C166" s="27" t="s">
        <v>745</v>
      </c>
      <c r="D166" s="27" t="s">
        <v>507</v>
      </c>
      <c r="E166" s="28"/>
      <c r="F166" s="27"/>
      <c r="G166" s="27" t="s">
        <v>661</v>
      </c>
      <c r="H166" s="29">
        <v>8.1999999999999993</v>
      </c>
      <c r="I166" s="29">
        <v>118</v>
      </c>
      <c r="J166" s="29">
        <v>5</v>
      </c>
      <c r="K166" s="29">
        <v>0</v>
      </c>
      <c r="L166" s="29">
        <v>123</v>
      </c>
      <c r="M166" s="29">
        <v>6.77</v>
      </c>
      <c r="N166" s="33">
        <v>2.79</v>
      </c>
      <c r="O166" s="34">
        <v>4.1000000000000002E-2</v>
      </c>
      <c r="P166" s="29" t="s">
        <v>610</v>
      </c>
      <c r="Q166" s="29"/>
      <c r="R166" s="29" t="s">
        <v>610</v>
      </c>
      <c r="S166" s="29" t="s">
        <v>610</v>
      </c>
      <c r="T166" s="34"/>
      <c r="U166" s="29">
        <v>2</v>
      </c>
      <c r="V166" s="29" t="s">
        <v>665</v>
      </c>
      <c r="W166" s="29"/>
      <c r="X166" s="29"/>
      <c r="Y166" s="30" t="s">
        <v>493</v>
      </c>
      <c r="Z166" s="30">
        <v>27</v>
      </c>
      <c r="AA166" s="7" t="s">
        <v>817</v>
      </c>
      <c r="AB166" s="7"/>
      <c r="AC166" s="7"/>
      <c r="AD166" s="7"/>
    </row>
    <row r="167" spans="1:30" ht="15" x14ac:dyDescent="0.25">
      <c r="A167" s="26">
        <v>27207230840</v>
      </c>
      <c r="B167" s="27" t="s">
        <v>676</v>
      </c>
      <c r="C167" s="27" t="s">
        <v>746</v>
      </c>
      <c r="D167" s="27" t="s">
        <v>507</v>
      </c>
      <c r="E167" s="28"/>
      <c r="F167" s="27"/>
      <c r="G167" s="27" t="s">
        <v>661</v>
      </c>
      <c r="H167" s="29">
        <v>7.8</v>
      </c>
      <c r="I167" s="29">
        <v>42</v>
      </c>
      <c r="J167" s="29">
        <v>81</v>
      </c>
      <c r="K167" s="29">
        <v>0</v>
      </c>
      <c r="L167" s="29">
        <v>123</v>
      </c>
      <c r="M167" s="29">
        <v>2.4900000000000002</v>
      </c>
      <c r="N167" s="33">
        <v>1.03</v>
      </c>
      <c r="O167" s="34">
        <v>0.65900000000000003</v>
      </c>
      <c r="P167" s="29"/>
      <c r="Q167" s="29"/>
      <c r="R167" s="29"/>
      <c r="S167" s="29" t="s">
        <v>610</v>
      </c>
      <c r="T167" s="34"/>
      <c r="U167" s="29">
        <v>19</v>
      </c>
      <c r="V167" s="29" t="s">
        <v>662</v>
      </c>
      <c r="W167" s="29"/>
      <c r="X167" s="29"/>
      <c r="Y167" s="30" t="s">
        <v>493</v>
      </c>
      <c r="Z167" s="30">
        <v>27</v>
      </c>
      <c r="AA167" s="7" t="e">
        <v>#N/A</v>
      </c>
      <c r="AB167" s="7"/>
      <c r="AC167" s="7"/>
      <c r="AD167" s="7"/>
    </row>
    <row r="168" spans="1:30" ht="15" x14ac:dyDescent="0.25">
      <c r="A168" s="26">
        <v>27217101134</v>
      </c>
      <c r="B168" s="27" t="s">
        <v>536</v>
      </c>
      <c r="C168" s="27" t="s">
        <v>503</v>
      </c>
      <c r="D168" s="27" t="s">
        <v>507</v>
      </c>
      <c r="E168" s="28"/>
      <c r="F168" s="27"/>
      <c r="G168" s="27" t="s">
        <v>661</v>
      </c>
      <c r="H168" s="29">
        <v>8.8000000000000007</v>
      </c>
      <c r="I168" s="29">
        <v>119</v>
      </c>
      <c r="J168" s="29">
        <v>4</v>
      </c>
      <c r="K168" s="29">
        <v>0</v>
      </c>
      <c r="L168" s="29">
        <v>123</v>
      </c>
      <c r="M168" s="29">
        <v>6.67</v>
      </c>
      <c r="N168" s="33">
        <v>2.71</v>
      </c>
      <c r="O168" s="34">
        <v>3.3000000000000002E-2</v>
      </c>
      <c r="P168" s="29"/>
      <c r="Q168" s="29"/>
      <c r="R168" s="29" t="s">
        <v>610</v>
      </c>
      <c r="S168" s="29" t="s">
        <v>610</v>
      </c>
      <c r="T168" s="34"/>
      <c r="U168" s="29">
        <v>4</v>
      </c>
      <c r="V168" s="29" t="s">
        <v>665</v>
      </c>
      <c r="W168" s="29"/>
      <c r="X168" s="29"/>
      <c r="Y168" s="30" t="s">
        <v>493</v>
      </c>
      <c r="Z168" s="30">
        <v>27</v>
      </c>
      <c r="AA168" s="7" t="s">
        <v>831</v>
      </c>
      <c r="AB168" s="7"/>
      <c r="AC168" s="7"/>
      <c r="AD168" s="7"/>
    </row>
    <row r="169" spans="1:30" ht="15" x14ac:dyDescent="0.25">
      <c r="A169" s="26">
        <v>27217131544</v>
      </c>
      <c r="B169" s="27" t="s">
        <v>531</v>
      </c>
      <c r="C169" s="27" t="s">
        <v>471</v>
      </c>
      <c r="D169" s="27" t="s">
        <v>507</v>
      </c>
      <c r="E169" s="28"/>
      <c r="F169" s="27"/>
      <c r="G169" s="27" t="s">
        <v>661</v>
      </c>
      <c r="H169" s="29">
        <v>7.2</v>
      </c>
      <c r="I169" s="29">
        <v>111</v>
      </c>
      <c r="J169" s="29">
        <v>13</v>
      </c>
      <c r="K169" s="29">
        <v>0</v>
      </c>
      <c r="L169" s="29">
        <v>124</v>
      </c>
      <c r="M169" s="29">
        <v>6.57</v>
      </c>
      <c r="N169" s="33">
        <v>2.77</v>
      </c>
      <c r="O169" s="34">
        <v>0.105</v>
      </c>
      <c r="P169" s="29"/>
      <c r="Q169" s="29"/>
      <c r="R169" s="29" t="s">
        <v>610</v>
      </c>
      <c r="S169" s="29" t="s">
        <v>610</v>
      </c>
      <c r="T169" s="34"/>
      <c r="U169" s="29">
        <v>8</v>
      </c>
      <c r="V169" s="29" t="s">
        <v>662</v>
      </c>
      <c r="W169" s="29"/>
      <c r="X169" s="29"/>
      <c r="Y169" s="30" t="s">
        <v>493</v>
      </c>
      <c r="Z169" s="30">
        <v>27</v>
      </c>
      <c r="AA169" s="7" t="e">
        <v>#N/A</v>
      </c>
      <c r="AB169" s="7"/>
      <c r="AC169" s="7"/>
      <c r="AD169" s="7"/>
    </row>
    <row r="170" spans="1:30" ht="15" x14ac:dyDescent="0.25">
      <c r="A170" s="26">
        <v>27207100747</v>
      </c>
      <c r="B170" s="27" t="s">
        <v>616</v>
      </c>
      <c r="C170" s="27" t="s">
        <v>747</v>
      </c>
      <c r="D170" s="27" t="s">
        <v>554</v>
      </c>
      <c r="E170" s="28"/>
      <c r="F170" s="27"/>
      <c r="G170" s="27" t="s">
        <v>661</v>
      </c>
      <c r="H170" s="29">
        <v>7.5</v>
      </c>
      <c r="I170" s="29">
        <v>67</v>
      </c>
      <c r="J170" s="29">
        <v>56</v>
      </c>
      <c r="K170" s="29">
        <v>0</v>
      </c>
      <c r="L170" s="29">
        <v>123</v>
      </c>
      <c r="M170" s="29">
        <v>3.57</v>
      </c>
      <c r="N170" s="33">
        <v>1.39</v>
      </c>
      <c r="O170" s="34">
        <v>0.45500000000000002</v>
      </c>
      <c r="P170" s="29"/>
      <c r="Q170" s="29"/>
      <c r="R170" s="29" t="s">
        <v>610</v>
      </c>
      <c r="S170" s="29" t="s">
        <v>610</v>
      </c>
      <c r="T170" s="34"/>
      <c r="U170" s="29">
        <v>0</v>
      </c>
      <c r="V170" s="29" t="s">
        <v>662</v>
      </c>
      <c r="W170" s="29"/>
      <c r="X170" s="29"/>
      <c r="Y170" s="30" t="s">
        <v>493</v>
      </c>
      <c r="Z170" s="30">
        <v>27</v>
      </c>
      <c r="AA170" s="7" t="e">
        <v>#N/A</v>
      </c>
      <c r="AB170" s="7"/>
      <c r="AC170" s="7"/>
      <c r="AD170" s="7"/>
    </row>
    <row r="171" spans="1:30" ht="15" x14ac:dyDescent="0.25">
      <c r="A171" s="26">
        <v>27207140233</v>
      </c>
      <c r="B171" s="27" t="s">
        <v>531</v>
      </c>
      <c r="C171" s="27" t="s">
        <v>456</v>
      </c>
      <c r="D171" s="27" t="s">
        <v>554</v>
      </c>
      <c r="E171" s="28"/>
      <c r="F171" s="27"/>
      <c r="G171" s="27" t="s">
        <v>661</v>
      </c>
      <c r="H171" s="29">
        <v>5.5</v>
      </c>
      <c r="I171" s="29">
        <v>88</v>
      </c>
      <c r="J171" s="29">
        <v>36</v>
      </c>
      <c r="K171" s="29">
        <v>0</v>
      </c>
      <c r="L171" s="29">
        <v>124</v>
      </c>
      <c r="M171" s="29">
        <v>4.5199999999999996</v>
      </c>
      <c r="N171" s="33">
        <v>1.74</v>
      </c>
      <c r="O171" s="34">
        <v>0.28999999999999998</v>
      </c>
      <c r="P171" s="29"/>
      <c r="Q171" s="29"/>
      <c r="R171" s="29" t="s">
        <v>610</v>
      </c>
      <c r="S171" s="29" t="s">
        <v>610</v>
      </c>
      <c r="T171" s="34"/>
      <c r="U171" s="29">
        <v>18</v>
      </c>
      <c r="V171" s="29" t="s">
        <v>662</v>
      </c>
      <c r="W171" s="29"/>
      <c r="X171" s="29"/>
      <c r="Y171" s="30" t="s">
        <v>493</v>
      </c>
      <c r="Z171" s="30">
        <v>27</v>
      </c>
      <c r="AA171" s="7" t="e">
        <v>#N/A</v>
      </c>
      <c r="AB171" s="7"/>
      <c r="AC171" s="7"/>
      <c r="AD171" s="7"/>
    </row>
    <row r="172" spans="1:30" ht="15" x14ac:dyDescent="0.25">
      <c r="A172" s="26">
        <v>27207147707</v>
      </c>
      <c r="B172" s="27" t="s">
        <v>531</v>
      </c>
      <c r="C172" s="27" t="s">
        <v>716</v>
      </c>
      <c r="D172" s="27" t="s">
        <v>554</v>
      </c>
      <c r="E172" s="28"/>
      <c r="F172" s="27"/>
      <c r="G172" s="27" t="s">
        <v>661</v>
      </c>
      <c r="H172" s="29">
        <v>6.3</v>
      </c>
      <c r="I172" s="29">
        <v>117</v>
      </c>
      <c r="J172" s="29">
        <v>6</v>
      </c>
      <c r="K172" s="29">
        <v>0</v>
      </c>
      <c r="L172" s="29">
        <v>123</v>
      </c>
      <c r="M172" s="29">
        <v>5.56</v>
      </c>
      <c r="N172" s="33">
        <v>2.06</v>
      </c>
      <c r="O172" s="34">
        <v>4.9000000000000002E-2</v>
      </c>
      <c r="P172" s="29"/>
      <c r="Q172" s="29"/>
      <c r="R172" s="29" t="s">
        <v>610</v>
      </c>
      <c r="S172" s="29" t="s">
        <v>610</v>
      </c>
      <c r="T172" s="34"/>
      <c r="U172" s="29">
        <v>6</v>
      </c>
      <c r="V172" s="29" t="s">
        <v>665</v>
      </c>
      <c r="W172" s="29"/>
      <c r="X172" s="29"/>
      <c r="Y172" s="30" t="s">
        <v>493</v>
      </c>
      <c r="Z172" s="30">
        <v>27</v>
      </c>
      <c r="AA172" s="7" t="e">
        <v>#N/A</v>
      </c>
      <c r="AB172" s="7" t="e">
        <v>#N/A</v>
      </c>
      <c r="AC172" s="7" t="s">
        <v>48</v>
      </c>
      <c r="AD172" s="7" t="s">
        <v>600</v>
      </c>
    </row>
    <row r="173" spans="1:30" ht="15" x14ac:dyDescent="0.25">
      <c r="A173" s="26">
        <v>27207147747</v>
      </c>
      <c r="B173" s="27" t="s">
        <v>531</v>
      </c>
      <c r="C173" s="27" t="s">
        <v>626</v>
      </c>
      <c r="D173" s="27" t="s">
        <v>554</v>
      </c>
      <c r="E173" s="28"/>
      <c r="F173" s="27"/>
      <c r="G173" s="27" t="s">
        <v>661</v>
      </c>
      <c r="H173" s="29">
        <v>9.4</v>
      </c>
      <c r="I173" s="29">
        <v>121</v>
      </c>
      <c r="J173" s="29">
        <v>2</v>
      </c>
      <c r="K173" s="29">
        <v>0</v>
      </c>
      <c r="L173" s="29">
        <v>123</v>
      </c>
      <c r="M173" s="29">
        <v>8.02</v>
      </c>
      <c r="N173" s="33">
        <v>3.47</v>
      </c>
      <c r="O173" s="34">
        <v>1.6E-2</v>
      </c>
      <c r="P173" s="29"/>
      <c r="Q173" s="29"/>
      <c r="R173" s="29" t="s">
        <v>610</v>
      </c>
      <c r="S173" s="29" t="s">
        <v>610</v>
      </c>
      <c r="T173" s="34"/>
      <c r="U173" s="29">
        <v>2</v>
      </c>
      <c r="V173" s="29" t="s">
        <v>665</v>
      </c>
      <c r="W173" s="29"/>
      <c r="X173" s="30" t="s">
        <v>23</v>
      </c>
      <c r="Y173" s="30" t="s">
        <v>493</v>
      </c>
      <c r="Z173" s="30">
        <v>27</v>
      </c>
      <c r="AA173" s="7" t="s">
        <v>817</v>
      </c>
      <c r="AB173" s="7"/>
      <c r="AC173" s="7"/>
      <c r="AD173" s="7"/>
    </row>
    <row r="174" spans="1:30" ht="15" x14ac:dyDescent="0.25">
      <c r="A174" s="26">
        <v>27207152769</v>
      </c>
      <c r="B174" s="27" t="s">
        <v>531</v>
      </c>
      <c r="C174" s="27" t="s">
        <v>714</v>
      </c>
      <c r="D174" s="27" t="s">
        <v>554</v>
      </c>
      <c r="E174" s="28"/>
      <c r="F174" s="27"/>
      <c r="G174" s="27" t="s">
        <v>661</v>
      </c>
      <c r="H174" s="29">
        <v>7.9</v>
      </c>
      <c r="I174" s="29">
        <v>124</v>
      </c>
      <c r="J174" s="29">
        <v>0</v>
      </c>
      <c r="K174" s="29">
        <v>0</v>
      </c>
      <c r="L174" s="29">
        <v>124</v>
      </c>
      <c r="M174" s="29">
        <v>7.4</v>
      </c>
      <c r="N174" s="33">
        <v>3.04</v>
      </c>
      <c r="O174" s="34">
        <v>0</v>
      </c>
      <c r="P174" s="29"/>
      <c r="Q174" s="29"/>
      <c r="R174" s="29" t="s">
        <v>610</v>
      </c>
      <c r="S174" s="29" t="s">
        <v>610</v>
      </c>
      <c r="T174" s="34"/>
      <c r="U174" s="29">
        <v>0</v>
      </c>
      <c r="V174" s="29" t="s">
        <v>665</v>
      </c>
      <c r="W174" s="29"/>
      <c r="X174" s="29"/>
      <c r="Y174" s="30" t="s">
        <v>493</v>
      </c>
      <c r="Z174" s="30">
        <v>27</v>
      </c>
      <c r="AA174" s="7" t="s">
        <v>837</v>
      </c>
      <c r="AB174" s="7"/>
      <c r="AC174" s="7"/>
      <c r="AD174" s="7"/>
    </row>
    <row r="175" spans="1:30" ht="15" x14ac:dyDescent="0.25">
      <c r="A175" s="26">
        <v>27217102556</v>
      </c>
      <c r="B175" s="27" t="s">
        <v>660</v>
      </c>
      <c r="C175" s="27" t="s">
        <v>626</v>
      </c>
      <c r="D175" s="27" t="s">
        <v>554</v>
      </c>
      <c r="E175" s="28"/>
      <c r="F175" s="27"/>
      <c r="G175" s="27" t="s">
        <v>661</v>
      </c>
      <c r="H175" s="29">
        <v>8.1999999999999993</v>
      </c>
      <c r="I175" s="29">
        <v>123</v>
      </c>
      <c r="J175" s="29">
        <v>0</v>
      </c>
      <c r="K175" s="29">
        <v>0</v>
      </c>
      <c r="L175" s="29">
        <v>123</v>
      </c>
      <c r="M175" s="29">
        <v>7.96</v>
      </c>
      <c r="N175" s="33">
        <v>3.39</v>
      </c>
      <c r="O175" s="34">
        <v>0</v>
      </c>
      <c r="P175" s="29"/>
      <c r="Q175" s="29"/>
      <c r="R175" s="29" t="s">
        <v>610</v>
      </c>
      <c r="S175" s="29" t="s">
        <v>610</v>
      </c>
      <c r="T175" s="34"/>
      <c r="U175" s="29">
        <v>0</v>
      </c>
      <c r="V175" s="29" t="s">
        <v>665</v>
      </c>
      <c r="W175" s="29"/>
      <c r="X175" s="30" t="s">
        <v>23</v>
      </c>
      <c r="Y175" s="30" t="s">
        <v>493</v>
      </c>
      <c r="Z175" s="30">
        <v>27</v>
      </c>
      <c r="AA175" s="7" t="s">
        <v>806</v>
      </c>
      <c r="AB175" s="7"/>
      <c r="AC175" s="7"/>
      <c r="AD175" s="7"/>
    </row>
    <row r="176" spans="1:30" ht="15" x14ac:dyDescent="0.25">
      <c r="A176" s="26">
        <v>27217142556</v>
      </c>
      <c r="B176" s="27" t="s">
        <v>631</v>
      </c>
      <c r="C176" s="27" t="s">
        <v>626</v>
      </c>
      <c r="D176" s="27" t="s">
        <v>554</v>
      </c>
      <c r="E176" s="28"/>
      <c r="F176" s="27"/>
      <c r="G176" s="27" t="s">
        <v>661</v>
      </c>
      <c r="H176" s="29">
        <v>8.6999999999999993</v>
      </c>
      <c r="I176" s="29">
        <v>122</v>
      </c>
      <c r="J176" s="29">
        <v>2</v>
      </c>
      <c r="K176" s="29">
        <v>0</v>
      </c>
      <c r="L176" s="29">
        <v>124</v>
      </c>
      <c r="M176" s="29">
        <v>7.63</v>
      </c>
      <c r="N176" s="33">
        <v>3.24</v>
      </c>
      <c r="O176" s="34">
        <v>1.6E-2</v>
      </c>
      <c r="P176" s="29"/>
      <c r="Q176" s="29"/>
      <c r="R176" s="29" t="s">
        <v>610</v>
      </c>
      <c r="S176" s="29" t="s">
        <v>610</v>
      </c>
      <c r="T176" s="34"/>
      <c r="U176" s="29">
        <v>2</v>
      </c>
      <c r="V176" s="29" t="s">
        <v>665</v>
      </c>
      <c r="W176" s="29"/>
      <c r="X176" s="30" t="s">
        <v>23</v>
      </c>
      <c r="Y176" s="30" t="s">
        <v>493</v>
      </c>
      <c r="Z176" s="30">
        <v>27</v>
      </c>
      <c r="AA176" s="7" t="s">
        <v>806</v>
      </c>
      <c r="AB176" s="7"/>
      <c r="AC176" s="7"/>
      <c r="AD176" s="7"/>
    </row>
    <row r="177" spans="1:30" ht="15" x14ac:dyDescent="0.25">
      <c r="A177" s="26">
        <v>27217137258</v>
      </c>
      <c r="B177" s="27" t="s">
        <v>621</v>
      </c>
      <c r="C177" s="27" t="s">
        <v>748</v>
      </c>
      <c r="D177" s="27" t="s">
        <v>572</v>
      </c>
      <c r="E177" s="28"/>
      <c r="F177" s="27"/>
      <c r="G177" s="27" t="s">
        <v>661</v>
      </c>
      <c r="H177" s="29">
        <v>8.1</v>
      </c>
      <c r="I177" s="29">
        <v>25</v>
      </c>
      <c r="J177" s="29">
        <v>98</v>
      </c>
      <c r="K177" s="29">
        <v>0</v>
      </c>
      <c r="L177" s="29">
        <v>123</v>
      </c>
      <c r="M177" s="29">
        <v>1.57</v>
      </c>
      <c r="N177" s="33">
        <v>0.68</v>
      </c>
      <c r="O177" s="34">
        <v>0.79700000000000004</v>
      </c>
      <c r="P177" s="29"/>
      <c r="Q177" s="29"/>
      <c r="R177" s="29"/>
      <c r="S177" s="29"/>
      <c r="T177" s="34"/>
      <c r="U177" s="29">
        <v>8</v>
      </c>
      <c r="V177" s="29" t="s">
        <v>662</v>
      </c>
      <c r="W177" s="29"/>
      <c r="X177" s="29"/>
      <c r="Y177" s="30" t="s">
        <v>493</v>
      </c>
      <c r="Z177" s="30">
        <v>27</v>
      </c>
      <c r="AA177" s="7" t="e">
        <v>#N/A</v>
      </c>
      <c r="AB177" s="7"/>
      <c r="AC177" s="7"/>
      <c r="AD177" s="7"/>
    </row>
    <row r="178" spans="1:30" ht="15" x14ac:dyDescent="0.25">
      <c r="A178" s="26">
        <v>27217139845</v>
      </c>
      <c r="B178" s="27" t="s">
        <v>660</v>
      </c>
      <c r="C178" s="27" t="s">
        <v>560</v>
      </c>
      <c r="D178" s="27" t="s">
        <v>572</v>
      </c>
      <c r="E178" s="28"/>
      <c r="F178" s="27"/>
      <c r="G178" s="27" t="s">
        <v>661</v>
      </c>
      <c r="H178" s="29">
        <v>6.9</v>
      </c>
      <c r="I178" s="29">
        <v>123</v>
      </c>
      <c r="J178" s="29">
        <v>0</v>
      </c>
      <c r="K178" s="29">
        <v>0</v>
      </c>
      <c r="L178" s="29">
        <v>123</v>
      </c>
      <c r="M178" s="29">
        <v>6.53</v>
      </c>
      <c r="N178" s="33">
        <v>2.57</v>
      </c>
      <c r="O178" s="34">
        <v>0</v>
      </c>
      <c r="P178" s="29"/>
      <c r="Q178" s="29"/>
      <c r="R178" s="29"/>
      <c r="S178" s="29" t="s">
        <v>610</v>
      </c>
      <c r="T178" s="34"/>
      <c r="U178" s="29">
        <v>0</v>
      </c>
      <c r="V178" s="29" t="s">
        <v>665</v>
      </c>
      <c r="W178" s="29"/>
      <c r="X178" s="29"/>
      <c r="Y178" s="30" t="s">
        <v>493</v>
      </c>
      <c r="Z178" s="30">
        <v>27</v>
      </c>
      <c r="AA178" s="7" t="s">
        <v>809</v>
      </c>
      <c r="AB178" s="7"/>
      <c r="AC178" s="7"/>
      <c r="AD178" s="7"/>
    </row>
    <row r="179" spans="1:30" ht="15" x14ac:dyDescent="0.25">
      <c r="A179" s="26">
        <v>27207131271</v>
      </c>
      <c r="B179" s="27" t="s">
        <v>684</v>
      </c>
      <c r="C179" s="27" t="s">
        <v>681</v>
      </c>
      <c r="D179" s="27" t="s">
        <v>555</v>
      </c>
      <c r="E179" s="28"/>
      <c r="F179" s="27"/>
      <c r="G179" s="27" t="s">
        <v>661</v>
      </c>
      <c r="H179" s="29">
        <v>7.8</v>
      </c>
      <c r="I179" s="29">
        <v>119</v>
      </c>
      <c r="J179" s="29">
        <v>4</v>
      </c>
      <c r="K179" s="29">
        <v>0</v>
      </c>
      <c r="L179" s="29">
        <v>123</v>
      </c>
      <c r="M179" s="29">
        <v>6.64</v>
      </c>
      <c r="N179" s="33">
        <v>2.66</v>
      </c>
      <c r="O179" s="34">
        <v>3.3000000000000002E-2</v>
      </c>
      <c r="P179" s="29"/>
      <c r="Q179" s="29" t="s">
        <v>610</v>
      </c>
      <c r="R179" s="29" t="s">
        <v>610</v>
      </c>
      <c r="S179" s="29" t="s">
        <v>610</v>
      </c>
      <c r="T179" s="34"/>
      <c r="U179" s="29">
        <v>5</v>
      </c>
      <c r="V179" s="29" t="s">
        <v>665</v>
      </c>
      <c r="W179" s="29"/>
      <c r="X179" s="29"/>
      <c r="Y179" s="30" t="s">
        <v>493</v>
      </c>
      <c r="Z179" s="30">
        <v>27</v>
      </c>
      <c r="AA179" s="7" t="s">
        <v>818</v>
      </c>
      <c r="AB179" s="7"/>
      <c r="AC179" s="7"/>
      <c r="AD179" s="7"/>
    </row>
    <row r="180" spans="1:30" ht="15" x14ac:dyDescent="0.25">
      <c r="A180" s="26">
        <v>27217100262</v>
      </c>
      <c r="B180" s="27" t="s">
        <v>621</v>
      </c>
      <c r="C180" s="27" t="s">
        <v>443</v>
      </c>
      <c r="D180" s="27" t="s">
        <v>555</v>
      </c>
      <c r="E180" s="28"/>
      <c r="F180" s="27"/>
      <c r="G180" s="27" t="s">
        <v>661</v>
      </c>
      <c r="H180" s="29">
        <v>8.4</v>
      </c>
      <c r="I180" s="29">
        <v>124</v>
      </c>
      <c r="J180" s="29">
        <v>2</v>
      </c>
      <c r="K180" s="29">
        <v>0</v>
      </c>
      <c r="L180" s="29">
        <v>126</v>
      </c>
      <c r="M180" s="29">
        <v>6.74</v>
      </c>
      <c r="N180" s="33">
        <v>2.72</v>
      </c>
      <c r="O180" s="34">
        <v>1.6E-2</v>
      </c>
      <c r="P180" s="29"/>
      <c r="Q180" s="29"/>
      <c r="R180" s="29"/>
      <c r="S180" s="29" t="s">
        <v>610</v>
      </c>
      <c r="T180" s="34"/>
      <c r="U180" s="29">
        <v>2</v>
      </c>
      <c r="V180" s="29" t="s">
        <v>665</v>
      </c>
      <c r="W180" s="29"/>
      <c r="X180" s="29"/>
      <c r="Y180" s="30" t="s">
        <v>493</v>
      </c>
      <c r="Z180" s="30">
        <v>27</v>
      </c>
      <c r="AA180" s="7" t="s">
        <v>838</v>
      </c>
      <c r="AB180" s="7"/>
      <c r="AC180" s="7"/>
      <c r="AD180" s="7"/>
    </row>
    <row r="181" spans="1:30" ht="15" x14ac:dyDescent="0.25">
      <c r="A181" s="26">
        <v>27202202820</v>
      </c>
      <c r="B181" s="27" t="s">
        <v>631</v>
      </c>
      <c r="C181" s="27" t="s">
        <v>749</v>
      </c>
      <c r="D181" s="27" t="s">
        <v>508</v>
      </c>
      <c r="E181" s="28"/>
      <c r="F181" s="27"/>
      <c r="G181" s="27" t="s">
        <v>661</v>
      </c>
      <c r="H181" s="29">
        <v>7.7</v>
      </c>
      <c r="I181" s="29">
        <v>117</v>
      </c>
      <c r="J181" s="29">
        <v>6</v>
      </c>
      <c r="K181" s="29">
        <v>0</v>
      </c>
      <c r="L181" s="29">
        <v>123</v>
      </c>
      <c r="M181" s="29">
        <v>7.01</v>
      </c>
      <c r="N181" s="33">
        <v>2.93</v>
      </c>
      <c r="O181" s="34">
        <v>4.9000000000000002E-2</v>
      </c>
      <c r="P181" s="29"/>
      <c r="Q181" s="29"/>
      <c r="R181" s="29" t="s">
        <v>610</v>
      </c>
      <c r="S181" s="29" t="s">
        <v>610</v>
      </c>
      <c r="T181" s="34"/>
      <c r="U181" s="29">
        <v>6</v>
      </c>
      <c r="V181" s="29" t="s">
        <v>665</v>
      </c>
      <c r="W181" s="29"/>
      <c r="X181" s="29"/>
      <c r="Y181" s="30" t="s">
        <v>493</v>
      </c>
      <c r="Z181" s="30">
        <v>27</v>
      </c>
      <c r="AA181" s="7" t="e">
        <v>#N/A</v>
      </c>
      <c r="AB181" s="7" t="e">
        <v>#N/A</v>
      </c>
      <c r="AC181" s="7" t="s">
        <v>116</v>
      </c>
      <c r="AD181" s="7" t="s">
        <v>492</v>
      </c>
    </row>
    <row r="182" spans="1:30" ht="15" x14ac:dyDescent="0.25">
      <c r="A182" s="26">
        <v>27207231125</v>
      </c>
      <c r="B182" s="27" t="s">
        <v>531</v>
      </c>
      <c r="C182" s="27" t="s">
        <v>503</v>
      </c>
      <c r="D182" s="27" t="s">
        <v>508</v>
      </c>
      <c r="E182" s="28"/>
      <c r="F182" s="27"/>
      <c r="G182" s="27" t="s">
        <v>661</v>
      </c>
      <c r="H182" s="29">
        <v>7.3</v>
      </c>
      <c r="I182" s="29">
        <v>89</v>
      </c>
      <c r="J182" s="29">
        <v>35</v>
      </c>
      <c r="K182" s="29">
        <v>0</v>
      </c>
      <c r="L182" s="29">
        <v>124</v>
      </c>
      <c r="M182" s="29">
        <v>4.78</v>
      </c>
      <c r="N182" s="33">
        <v>1.9</v>
      </c>
      <c r="O182" s="34">
        <v>0.28199999999999997</v>
      </c>
      <c r="P182" s="29"/>
      <c r="Q182" s="29"/>
      <c r="R182" s="29" t="s">
        <v>610</v>
      </c>
      <c r="S182" s="29" t="s">
        <v>610</v>
      </c>
      <c r="T182" s="34"/>
      <c r="U182" s="29">
        <v>13</v>
      </c>
      <c r="V182" s="29" t="s">
        <v>662</v>
      </c>
      <c r="W182" s="29"/>
      <c r="X182" s="29"/>
      <c r="Y182" s="30" t="s">
        <v>493</v>
      </c>
      <c r="Z182" s="30">
        <v>27</v>
      </c>
      <c r="AA182" s="7" t="e">
        <v>#N/A</v>
      </c>
      <c r="AB182" s="7"/>
      <c r="AC182" s="7"/>
      <c r="AD182" s="7"/>
    </row>
    <row r="183" spans="1:30" ht="15" x14ac:dyDescent="0.25">
      <c r="A183" s="26">
        <v>27217133352</v>
      </c>
      <c r="B183" s="27" t="s">
        <v>750</v>
      </c>
      <c r="C183" s="27" t="s">
        <v>751</v>
      </c>
      <c r="D183" s="27" t="s">
        <v>508</v>
      </c>
      <c r="E183" s="28"/>
      <c r="F183" s="27"/>
      <c r="G183" s="27" t="s">
        <v>661</v>
      </c>
      <c r="H183" s="29">
        <v>9</v>
      </c>
      <c r="I183" s="29">
        <v>120</v>
      </c>
      <c r="J183" s="29">
        <v>3</v>
      </c>
      <c r="K183" s="29">
        <v>0</v>
      </c>
      <c r="L183" s="29">
        <v>123</v>
      </c>
      <c r="M183" s="29">
        <v>7.02</v>
      </c>
      <c r="N183" s="33">
        <v>2.88</v>
      </c>
      <c r="O183" s="34">
        <v>2.4E-2</v>
      </c>
      <c r="P183" s="29"/>
      <c r="Q183" s="29"/>
      <c r="R183" s="29" t="s">
        <v>610</v>
      </c>
      <c r="S183" s="29" t="s">
        <v>610</v>
      </c>
      <c r="T183" s="34"/>
      <c r="U183" s="29">
        <v>3</v>
      </c>
      <c r="V183" s="29" t="s">
        <v>665</v>
      </c>
      <c r="W183" s="29"/>
      <c r="X183" s="29"/>
      <c r="Y183" s="30" t="s">
        <v>493</v>
      </c>
      <c r="Z183" s="30">
        <v>27</v>
      </c>
      <c r="AA183" s="7" t="s">
        <v>818</v>
      </c>
      <c r="AB183" s="7"/>
      <c r="AC183" s="7"/>
      <c r="AD183" s="7"/>
    </row>
    <row r="184" spans="1:30" ht="15" x14ac:dyDescent="0.25">
      <c r="A184" s="26">
        <v>27207101478</v>
      </c>
      <c r="B184" s="27" t="s">
        <v>663</v>
      </c>
      <c r="C184" s="27" t="s">
        <v>569</v>
      </c>
      <c r="D184" s="27" t="s">
        <v>476</v>
      </c>
      <c r="E184" s="28"/>
      <c r="F184" s="27"/>
      <c r="G184" s="27" t="s">
        <v>661</v>
      </c>
      <c r="H184" s="29">
        <v>5.7</v>
      </c>
      <c r="I184" s="29">
        <v>97</v>
      </c>
      <c r="J184" s="29">
        <v>29</v>
      </c>
      <c r="K184" s="29">
        <v>0</v>
      </c>
      <c r="L184" s="29">
        <v>126</v>
      </c>
      <c r="M184" s="29">
        <v>5.0599999999999996</v>
      </c>
      <c r="N184" s="33">
        <v>1.99</v>
      </c>
      <c r="O184" s="34">
        <v>0.23</v>
      </c>
      <c r="P184" s="29"/>
      <c r="Q184" s="29"/>
      <c r="R184" s="29"/>
      <c r="S184" s="29" t="s">
        <v>610</v>
      </c>
      <c r="T184" s="34"/>
      <c r="U184" s="29">
        <v>18</v>
      </c>
      <c r="V184" s="29" t="s">
        <v>662</v>
      </c>
      <c r="W184" s="29"/>
      <c r="X184" s="29"/>
      <c r="Y184" s="30" t="s">
        <v>493</v>
      </c>
      <c r="Z184" s="30">
        <v>27</v>
      </c>
      <c r="AA184" s="7" t="e">
        <v>#N/A</v>
      </c>
      <c r="AB184" s="7"/>
      <c r="AC184" s="7"/>
      <c r="AD184" s="7"/>
    </row>
    <row r="185" spans="1:30" ht="15" x14ac:dyDescent="0.25">
      <c r="A185" s="26">
        <v>27207103121</v>
      </c>
      <c r="B185" s="27" t="s">
        <v>620</v>
      </c>
      <c r="C185" s="27" t="s">
        <v>752</v>
      </c>
      <c r="D185" s="27" t="s">
        <v>476</v>
      </c>
      <c r="E185" s="28"/>
      <c r="F185" s="27"/>
      <c r="G185" s="27" t="s">
        <v>661</v>
      </c>
      <c r="H185" s="29">
        <v>9.6999999999999993</v>
      </c>
      <c r="I185" s="29">
        <v>117</v>
      </c>
      <c r="J185" s="29">
        <v>6</v>
      </c>
      <c r="K185" s="29">
        <v>0</v>
      </c>
      <c r="L185" s="29">
        <v>123</v>
      </c>
      <c r="M185" s="29">
        <v>7.95</v>
      </c>
      <c r="N185" s="33">
        <v>3.48</v>
      </c>
      <c r="O185" s="34">
        <v>4.9000000000000002E-2</v>
      </c>
      <c r="P185" s="29"/>
      <c r="Q185" s="29"/>
      <c r="R185" s="29" t="s">
        <v>610</v>
      </c>
      <c r="S185" s="29" t="s">
        <v>610</v>
      </c>
      <c r="T185" s="34"/>
      <c r="U185" s="29">
        <v>6</v>
      </c>
      <c r="V185" s="29" t="s">
        <v>665</v>
      </c>
      <c r="W185" s="29"/>
      <c r="X185" s="30" t="s">
        <v>23</v>
      </c>
      <c r="Y185" s="30" t="s">
        <v>493</v>
      </c>
      <c r="Z185" s="30">
        <v>27</v>
      </c>
      <c r="AA185" s="7" t="e">
        <v>#N/A</v>
      </c>
      <c r="AB185" s="7" t="e">
        <v>#N/A</v>
      </c>
      <c r="AC185" s="7" t="s">
        <v>116</v>
      </c>
      <c r="AD185" s="7" t="s">
        <v>492</v>
      </c>
    </row>
    <row r="186" spans="1:30" ht="15" x14ac:dyDescent="0.25">
      <c r="A186" s="26">
        <v>27217101377</v>
      </c>
      <c r="B186" s="27" t="s">
        <v>499</v>
      </c>
      <c r="C186" s="27" t="s">
        <v>753</v>
      </c>
      <c r="D186" s="27" t="s">
        <v>556</v>
      </c>
      <c r="E186" s="28"/>
      <c r="F186" s="27"/>
      <c r="G186" s="27" t="s">
        <v>661</v>
      </c>
      <c r="H186" s="29">
        <v>4.9000000000000004</v>
      </c>
      <c r="I186" s="29">
        <v>89</v>
      </c>
      <c r="J186" s="29">
        <v>35</v>
      </c>
      <c r="K186" s="29">
        <v>0</v>
      </c>
      <c r="L186" s="29">
        <v>124</v>
      </c>
      <c r="M186" s="29">
        <v>4.3499999999999996</v>
      </c>
      <c r="N186" s="33">
        <v>1.63</v>
      </c>
      <c r="O186" s="34">
        <v>0.28199999999999997</v>
      </c>
      <c r="P186" s="29"/>
      <c r="Q186" s="29"/>
      <c r="R186" s="29"/>
      <c r="S186" s="29" t="s">
        <v>610</v>
      </c>
      <c r="T186" s="29"/>
      <c r="U186" s="29">
        <v>19</v>
      </c>
      <c r="V186" s="29" t="s">
        <v>662</v>
      </c>
      <c r="W186" s="29"/>
      <c r="X186" s="29"/>
      <c r="Y186" s="30" t="s">
        <v>493</v>
      </c>
      <c r="Z186" s="30">
        <v>27</v>
      </c>
      <c r="AA186" s="7" t="e">
        <v>#N/A</v>
      </c>
      <c r="AB186" s="7"/>
      <c r="AC186" s="7"/>
      <c r="AD186" s="7"/>
    </row>
    <row r="187" spans="1:30" ht="15" x14ac:dyDescent="0.25">
      <c r="A187" s="26">
        <v>27217137887</v>
      </c>
      <c r="B187" s="27" t="s">
        <v>499</v>
      </c>
      <c r="C187" s="27" t="s">
        <v>612</v>
      </c>
      <c r="D187" s="27" t="s">
        <v>556</v>
      </c>
      <c r="E187" s="28"/>
      <c r="F187" s="27"/>
      <c r="G187" s="27" t="s">
        <v>661</v>
      </c>
      <c r="H187" s="29">
        <v>8</v>
      </c>
      <c r="I187" s="29">
        <v>115</v>
      </c>
      <c r="J187" s="29">
        <v>8</v>
      </c>
      <c r="K187" s="29">
        <v>0</v>
      </c>
      <c r="L187" s="29">
        <v>123</v>
      </c>
      <c r="M187" s="29">
        <v>6.33</v>
      </c>
      <c r="N187" s="33">
        <v>2.56</v>
      </c>
      <c r="O187" s="34">
        <v>6.5000000000000002E-2</v>
      </c>
      <c r="P187" s="29"/>
      <c r="Q187" s="29"/>
      <c r="R187" s="29" t="s">
        <v>610</v>
      </c>
      <c r="S187" s="29" t="s">
        <v>610</v>
      </c>
      <c r="T187" s="34"/>
      <c r="U187" s="29">
        <v>8</v>
      </c>
      <c r="V187" s="29" t="s">
        <v>662</v>
      </c>
      <c r="W187" s="29"/>
      <c r="X187" s="29"/>
      <c r="Y187" s="30" t="s">
        <v>493</v>
      </c>
      <c r="Z187" s="30">
        <v>27</v>
      </c>
      <c r="AA187" s="7" t="s">
        <v>839</v>
      </c>
      <c r="AB187" s="7"/>
      <c r="AC187" s="7"/>
      <c r="AD187" s="7"/>
    </row>
    <row r="188" spans="1:30" ht="15" x14ac:dyDescent="0.25">
      <c r="A188" s="26">
        <v>25207201266</v>
      </c>
      <c r="B188" s="27" t="s">
        <v>631</v>
      </c>
      <c r="C188" s="27" t="s">
        <v>681</v>
      </c>
      <c r="D188" s="27" t="s">
        <v>557</v>
      </c>
      <c r="E188" s="28"/>
      <c r="F188" s="27"/>
      <c r="G188" s="27" t="s">
        <v>661</v>
      </c>
      <c r="H188" s="29">
        <v>8.1</v>
      </c>
      <c r="I188" s="29">
        <v>122</v>
      </c>
      <c r="J188" s="29">
        <v>2</v>
      </c>
      <c r="K188" s="29">
        <v>0</v>
      </c>
      <c r="L188" s="29">
        <v>124</v>
      </c>
      <c r="M188" s="29">
        <v>7.95</v>
      </c>
      <c r="N188" s="33">
        <v>3.44</v>
      </c>
      <c r="O188" s="34">
        <v>1.6E-2</v>
      </c>
      <c r="P188" s="29" t="s">
        <v>610</v>
      </c>
      <c r="Q188" s="29" t="s">
        <v>610</v>
      </c>
      <c r="R188" s="29"/>
      <c r="S188" s="29" t="s">
        <v>610</v>
      </c>
      <c r="T188" s="29" t="s">
        <v>741</v>
      </c>
      <c r="U188" s="29">
        <v>0</v>
      </c>
      <c r="V188" s="29" t="s">
        <v>682</v>
      </c>
      <c r="W188" s="29"/>
      <c r="X188" s="30" t="e">
        <v>#N/A</v>
      </c>
      <c r="Y188" s="30" t="s">
        <v>493</v>
      </c>
      <c r="Z188" s="30">
        <v>27</v>
      </c>
      <c r="AA188" s="7" t="e">
        <v>#N/A</v>
      </c>
      <c r="AB188" s="7" t="e">
        <v>#N/A</v>
      </c>
      <c r="AC188" s="7" t="s">
        <v>63</v>
      </c>
      <c r="AD188" s="7" t="s">
        <v>565</v>
      </c>
    </row>
    <row r="189" spans="1:30" ht="15" x14ac:dyDescent="0.25">
      <c r="A189" s="26">
        <v>27207122499</v>
      </c>
      <c r="B189" s="27" t="s">
        <v>569</v>
      </c>
      <c r="C189" s="27" t="s">
        <v>736</v>
      </c>
      <c r="D189" s="27" t="s">
        <v>557</v>
      </c>
      <c r="E189" s="28"/>
      <c r="F189" s="27"/>
      <c r="G189" s="27" t="s">
        <v>661</v>
      </c>
      <c r="H189" s="29">
        <v>7.3</v>
      </c>
      <c r="I189" s="29">
        <v>122</v>
      </c>
      <c r="J189" s="29">
        <v>2</v>
      </c>
      <c r="K189" s="29">
        <v>0</v>
      </c>
      <c r="L189" s="29">
        <v>124</v>
      </c>
      <c r="M189" s="29">
        <v>6.75</v>
      </c>
      <c r="N189" s="33">
        <v>2.72</v>
      </c>
      <c r="O189" s="34">
        <v>1.6E-2</v>
      </c>
      <c r="P189" s="29"/>
      <c r="Q189" s="29" t="s">
        <v>610</v>
      </c>
      <c r="R189" s="29" t="s">
        <v>610</v>
      </c>
      <c r="S189" s="29" t="s">
        <v>610</v>
      </c>
      <c r="T189" s="34"/>
      <c r="U189" s="29">
        <v>0</v>
      </c>
      <c r="V189" s="29" t="s">
        <v>665</v>
      </c>
      <c r="W189" s="29"/>
      <c r="X189" s="29"/>
      <c r="Y189" s="30" t="s">
        <v>493</v>
      </c>
      <c r="Z189" s="30">
        <v>27</v>
      </c>
      <c r="AA189" s="7" t="s">
        <v>807</v>
      </c>
      <c r="AB189" s="7"/>
      <c r="AC189" s="7"/>
      <c r="AD189" s="7"/>
    </row>
    <row r="190" spans="1:30" ht="15" x14ac:dyDescent="0.25">
      <c r="A190" s="26">
        <v>27217127410</v>
      </c>
      <c r="B190" s="27" t="s">
        <v>680</v>
      </c>
      <c r="C190" s="27" t="s">
        <v>754</v>
      </c>
      <c r="D190" s="27" t="s">
        <v>596</v>
      </c>
      <c r="E190" s="28"/>
      <c r="F190" s="27"/>
      <c r="G190" s="27" t="s">
        <v>661</v>
      </c>
      <c r="H190" s="29">
        <v>6.1</v>
      </c>
      <c r="I190" s="29">
        <v>26</v>
      </c>
      <c r="J190" s="29">
        <v>97</v>
      </c>
      <c r="K190" s="29">
        <v>0</v>
      </c>
      <c r="L190" s="29">
        <v>123</v>
      </c>
      <c r="M190" s="29">
        <v>1.22</v>
      </c>
      <c r="N190" s="33">
        <v>0.45</v>
      </c>
      <c r="O190" s="34">
        <v>0.78900000000000003</v>
      </c>
      <c r="P190" s="29"/>
      <c r="Q190" s="29"/>
      <c r="R190" s="29"/>
      <c r="S190" s="29" t="s">
        <v>610</v>
      </c>
      <c r="T190" s="34"/>
      <c r="U190" s="29">
        <v>19</v>
      </c>
      <c r="V190" s="29" t="s">
        <v>662</v>
      </c>
      <c r="W190" s="29"/>
      <c r="X190" s="29"/>
      <c r="Y190" s="30" t="s">
        <v>493</v>
      </c>
      <c r="Z190" s="30">
        <v>27</v>
      </c>
      <c r="AA190" s="7" t="e">
        <v>#N/A</v>
      </c>
      <c r="AB190" s="7"/>
      <c r="AC190" s="7"/>
      <c r="AD190" s="7"/>
    </row>
    <row r="191" spans="1:30" ht="15" x14ac:dyDescent="0.25">
      <c r="A191" s="26">
        <v>27203449750</v>
      </c>
      <c r="B191" s="27" t="s">
        <v>617</v>
      </c>
      <c r="C191" s="27" t="s">
        <v>747</v>
      </c>
      <c r="D191" s="27" t="s">
        <v>455</v>
      </c>
      <c r="E191" s="28"/>
      <c r="F191" s="27"/>
      <c r="G191" s="27" t="s">
        <v>661</v>
      </c>
      <c r="H191" s="29">
        <v>9.1</v>
      </c>
      <c r="I191" s="29">
        <v>124</v>
      </c>
      <c r="J191" s="29">
        <v>0</v>
      </c>
      <c r="K191" s="29">
        <v>0</v>
      </c>
      <c r="L191" s="29">
        <v>124</v>
      </c>
      <c r="M191" s="29">
        <v>8.0500000000000007</v>
      </c>
      <c r="N191" s="33">
        <v>3.47</v>
      </c>
      <c r="O191" s="34">
        <v>0</v>
      </c>
      <c r="P191" s="29"/>
      <c r="Q191" s="29"/>
      <c r="R191" s="29" t="s">
        <v>610</v>
      </c>
      <c r="S191" s="29" t="s">
        <v>610</v>
      </c>
      <c r="T191" s="34"/>
      <c r="U191" s="29">
        <v>0</v>
      </c>
      <c r="V191" s="29" t="s">
        <v>665</v>
      </c>
      <c r="W191" s="29"/>
      <c r="X191" s="30" t="s">
        <v>23</v>
      </c>
      <c r="Y191" s="30" t="s">
        <v>493</v>
      </c>
      <c r="Z191" s="30">
        <v>27</v>
      </c>
      <c r="AA191" s="7" t="s">
        <v>808</v>
      </c>
      <c r="AB191" s="7"/>
      <c r="AC191" s="7"/>
      <c r="AD191" s="7"/>
    </row>
    <row r="192" spans="1:30" ht="15" x14ac:dyDescent="0.25">
      <c r="A192" s="26">
        <v>27207152986</v>
      </c>
      <c r="B192" s="27" t="s">
        <v>620</v>
      </c>
      <c r="C192" s="27" t="s">
        <v>692</v>
      </c>
      <c r="D192" s="27" t="s">
        <v>455</v>
      </c>
      <c r="E192" s="28"/>
      <c r="F192" s="27"/>
      <c r="G192" s="27" t="s">
        <v>661</v>
      </c>
      <c r="H192" s="29">
        <v>9.6999999999999993</v>
      </c>
      <c r="I192" s="29">
        <v>124</v>
      </c>
      <c r="J192" s="29">
        <v>0</v>
      </c>
      <c r="K192" s="29">
        <v>0</v>
      </c>
      <c r="L192" s="29">
        <v>124</v>
      </c>
      <c r="M192" s="29">
        <v>8.31</v>
      </c>
      <c r="N192" s="33">
        <v>3.56</v>
      </c>
      <c r="O192" s="34">
        <v>0</v>
      </c>
      <c r="P192" s="29"/>
      <c r="Q192" s="29"/>
      <c r="R192" s="29" t="s">
        <v>610</v>
      </c>
      <c r="S192" s="29" t="s">
        <v>610</v>
      </c>
      <c r="T192" s="34"/>
      <c r="U192" s="29">
        <v>0</v>
      </c>
      <c r="V192" s="29" t="s">
        <v>665</v>
      </c>
      <c r="W192" s="29"/>
      <c r="X192" s="30" t="s">
        <v>23</v>
      </c>
      <c r="Y192" s="30" t="s">
        <v>493</v>
      </c>
      <c r="Z192" s="30">
        <v>27</v>
      </c>
      <c r="AA192" s="7" t="s">
        <v>840</v>
      </c>
      <c r="AB192" s="7"/>
      <c r="AC192" s="7"/>
      <c r="AD192" s="7"/>
    </row>
    <row r="193" spans="1:30" ht="15" x14ac:dyDescent="0.25">
      <c r="A193" s="26">
        <v>27217100902</v>
      </c>
      <c r="B193" s="27" t="s">
        <v>713</v>
      </c>
      <c r="C193" s="27" t="s">
        <v>466</v>
      </c>
      <c r="D193" s="27" t="s">
        <v>455</v>
      </c>
      <c r="E193" s="28"/>
      <c r="F193" s="27"/>
      <c r="G193" s="27" t="s">
        <v>661</v>
      </c>
      <c r="H193" s="29">
        <v>7.9</v>
      </c>
      <c r="I193" s="29">
        <v>58</v>
      </c>
      <c r="J193" s="29">
        <v>65</v>
      </c>
      <c r="K193" s="29">
        <v>0</v>
      </c>
      <c r="L193" s="29">
        <v>123</v>
      </c>
      <c r="M193" s="29">
        <v>2.92</v>
      </c>
      <c r="N193" s="33">
        <v>1.1399999999999999</v>
      </c>
      <c r="O193" s="34">
        <v>0.52800000000000002</v>
      </c>
      <c r="P193" s="29"/>
      <c r="Q193" s="29"/>
      <c r="R193" s="29"/>
      <c r="S193" s="29"/>
      <c r="T193" s="34"/>
      <c r="U193" s="29">
        <v>0</v>
      </c>
      <c r="V193" s="29" t="s">
        <v>662</v>
      </c>
      <c r="W193" s="29"/>
      <c r="X193" s="29"/>
      <c r="Y193" s="30" t="s">
        <v>493</v>
      </c>
      <c r="Z193" s="30">
        <v>27</v>
      </c>
      <c r="AA193" s="7" t="e">
        <v>#N/A</v>
      </c>
      <c r="AB193" s="7"/>
      <c r="AC193" s="7"/>
      <c r="AD193" s="7"/>
    </row>
    <row r="194" spans="1:30" ht="15" x14ac:dyDescent="0.25">
      <c r="A194" s="26">
        <v>27217143521</v>
      </c>
      <c r="B194" s="27" t="s">
        <v>471</v>
      </c>
      <c r="C194" s="27" t="s">
        <v>569</v>
      </c>
      <c r="D194" s="27" t="s">
        <v>455</v>
      </c>
      <c r="E194" s="28"/>
      <c r="F194" s="27"/>
      <c r="G194" s="27" t="s">
        <v>661</v>
      </c>
      <c r="H194" s="29">
        <v>8.1999999999999993</v>
      </c>
      <c r="I194" s="29">
        <v>121</v>
      </c>
      <c r="J194" s="29">
        <v>2</v>
      </c>
      <c r="K194" s="29">
        <v>0</v>
      </c>
      <c r="L194" s="29">
        <v>123</v>
      </c>
      <c r="M194" s="29">
        <v>7.42</v>
      </c>
      <c r="N194" s="33">
        <v>3.14</v>
      </c>
      <c r="O194" s="34">
        <v>1.6E-2</v>
      </c>
      <c r="P194" s="29"/>
      <c r="Q194" s="29"/>
      <c r="R194" s="29" t="s">
        <v>610</v>
      </c>
      <c r="S194" s="29" t="s">
        <v>610</v>
      </c>
      <c r="T194" s="34"/>
      <c r="U194" s="29">
        <v>2</v>
      </c>
      <c r="V194" s="29" t="s">
        <v>665</v>
      </c>
      <c r="W194" s="29"/>
      <c r="X194" s="29"/>
      <c r="Y194" s="30" t="s">
        <v>493</v>
      </c>
      <c r="Z194" s="30">
        <v>27</v>
      </c>
      <c r="AA194" s="7" t="s">
        <v>840</v>
      </c>
      <c r="AB194" s="7"/>
      <c r="AC194" s="7"/>
      <c r="AD194" s="7"/>
    </row>
    <row r="195" spans="1:30" ht="15" x14ac:dyDescent="0.25">
      <c r="A195" s="26">
        <v>26218626604</v>
      </c>
      <c r="B195" s="27" t="s">
        <v>531</v>
      </c>
      <c r="C195" s="27" t="s">
        <v>537</v>
      </c>
      <c r="D195" s="27" t="s">
        <v>509</v>
      </c>
      <c r="E195" s="28"/>
      <c r="F195" s="27"/>
      <c r="G195" s="27" t="s">
        <v>661</v>
      </c>
      <c r="H195" s="29">
        <v>5.6</v>
      </c>
      <c r="I195" s="29">
        <v>92</v>
      </c>
      <c r="J195" s="29">
        <v>31</v>
      </c>
      <c r="K195" s="29">
        <v>0</v>
      </c>
      <c r="L195" s="29">
        <v>123</v>
      </c>
      <c r="M195" s="29">
        <v>4.2699999999999996</v>
      </c>
      <c r="N195" s="33">
        <v>1.53</v>
      </c>
      <c r="O195" s="34">
        <v>0.252</v>
      </c>
      <c r="P195" s="29"/>
      <c r="Q195" s="29"/>
      <c r="R195" s="29" t="s">
        <v>610</v>
      </c>
      <c r="S195" s="29" t="s">
        <v>610</v>
      </c>
      <c r="T195" s="34"/>
      <c r="U195" s="29">
        <v>5</v>
      </c>
      <c r="V195" s="29" t="s">
        <v>662</v>
      </c>
      <c r="W195" s="29"/>
      <c r="X195" s="29"/>
      <c r="Y195" s="30" t="s">
        <v>493</v>
      </c>
      <c r="Z195" s="30">
        <v>27</v>
      </c>
      <c r="AA195" s="7" t="e">
        <v>#N/A</v>
      </c>
      <c r="AB195" s="7"/>
      <c r="AC195" s="7"/>
      <c r="AD195" s="7"/>
    </row>
    <row r="196" spans="1:30" ht="15" x14ac:dyDescent="0.25">
      <c r="A196" s="26">
        <v>27207127524</v>
      </c>
      <c r="B196" s="27" t="s">
        <v>667</v>
      </c>
      <c r="C196" s="27" t="s">
        <v>681</v>
      </c>
      <c r="D196" s="27" t="s">
        <v>573</v>
      </c>
      <c r="E196" s="28"/>
      <c r="F196" s="27"/>
      <c r="G196" s="27" t="s">
        <v>661</v>
      </c>
      <c r="H196" s="29">
        <v>7.9</v>
      </c>
      <c r="I196" s="29">
        <v>121</v>
      </c>
      <c r="J196" s="29">
        <v>2</v>
      </c>
      <c r="K196" s="29">
        <v>0</v>
      </c>
      <c r="L196" s="29">
        <v>123</v>
      </c>
      <c r="M196" s="29">
        <v>6.83</v>
      </c>
      <c r="N196" s="33">
        <v>2.8</v>
      </c>
      <c r="O196" s="34">
        <v>1.6E-2</v>
      </c>
      <c r="P196" s="29"/>
      <c r="Q196" s="29"/>
      <c r="R196" s="29" t="s">
        <v>610</v>
      </c>
      <c r="S196" s="29" t="s">
        <v>610</v>
      </c>
      <c r="T196" s="34"/>
      <c r="U196" s="29">
        <v>2</v>
      </c>
      <c r="V196" s="29" t="s">
        <v>665</v>
      </c>
      <c r="W196" s="29"/>
      <c r="X196" s="29"/>
      <c r="Y196" s="30" t="s">
        <v>493</v>
      </c>
      <c r="Z196" s="30">
        <v>27</v>
      </c>
      <c r="AA196" s="7" t="e">
        <v>#N/A</v>
      </c>
      <c r="AB196" s="7" t="e">
        <v>#N/A</v>
      </c>
      <c r="AC196" s="7" t="s">
        <v>108</v>
      </c>
      <c r="AD196" s="7" t="s">
        <v>565</v>
      </c>
    </row>
    <row r="197" spans="1:30" ht="15" x14ac:dyDescent="0.25">
      <c r="A197" s="26">
        <v>27217141479</v>
      </c>
      <c r="B197" s="27" t="s">
        <v>531</v>
      </c>
      <c r="C197" s="27" t="s">
        <v>678</v>
      </c>
      <c r="D197" s="27" t="s">
        <v>510</v>
      </c>
      <c r="E197" s="28"/>
      <c r="F197" s="27"/>
      <c r="G197" s="27" t="s">
        <v>661</v>
      </c>
      <c r="H197" s="29">
        <v>7.9</v>
      </c>
      <c r="I197" s="29">
        <v>124</v>
      </c>
      <c r="J197" s="29">
        <v>0</v>
      </c>
      <c r="K197" s="29">
        <v>0</v>
      </c>
      <c r="L197" s="29">
        <v>124</v>
      </c>
      <c r="M197" s="29">
        <v>7.13</v>
      </c>
      <c r="N197" s="33">
        <v>2.93</v>
      </c>
      <c r="O197" s="34">
        <v>0</v>
      </c>
      <c r="P197" s="29"/>
      <c r="Q197" s="29"/>
      <c r="R197" s="29" t="s">
        <v>610</v>
      </c>
      <c r="S197" s="29" t="s">
        <v>610</v>
      </c>
      <c r="T197" s="34"/>
      <c r="U197" s="29">
        <v>0</v>
      </c>
      <c r="V197" s="29" t="s">
        <v>665</v>
      </c>
      <c r="W197" s="29"/>
      <c r="X197" s="29"/>
      <c r="Y197" s="30" t="s">
        <v>493</v>
      </c>
      <c r="Z197" s="30">
        <v>27</v>
      </c>
      <c r="AA197" s="7" t="s">
        <v>805</v>
      </c>
      <c r="AB197" s="7"/>
      <c r="AC197" s="7"/>
      <c r="AD197" s="7"/>
    </row>
    <row r="198" spans="1:30" ht="15" x14ac:dyDescent="0.25">
      <c r="A198" s="26">
        <v>27217125401</v>
      </c>
      <c r="B198" s="27" t="s">
        <v>531</v>
      </c>
      <c r="C198" s="27" t="s">
        <v>755</v>
      </c>
      <c r="D198" s="27" t="s">
        <v>558</v>
      </c>
      <c r="E198" s="28"/>
      <c r="F198" s="27"/>
      <c r="G198" s="27" t="s">
        <v>661</v>
      </c>
      <c r="H198" s="29">
        <v>6.9</v>
      </c>
      <c r="I198" s="29">
        <v>106</v>
      </c>
      <c r="J198" s="29">
        <v>18</v>
      </c>
      <c r="K198" s="29">
        <v>0</v>
      </c>
      <c r="L198" s="29">
        <v>124</v>
      </c>
      <c r="M198" s="29">
        <v>5.51</v>
      </c>
      <c r="N198" s="33">
        <v>2.16</v>
      </c>
      <c r="O198" s="34">
        <v>0.14499999999999999</v>
      </c>
      <c r="P198" s="29"/>
      <c r="Q198" s="29"/>
      <c r="R198" s="29" t="s">
        <v>610</v>
      </c>
      <c r="S198" s="29" t="s">
        <v>610</v>
      </c>
      <c r="T198" s="34"/>
      <c r="U198" s="29">
        <v>6</v>
      </c>
      <c r="V198" s="29" t="s">
        <v>662</v>
      </c>
      <c r="W198" s="29"/>
      <c r="X198" s="29"/>
      <c r="Y198" s="30" t="s">
        <v>493</v>
      </c>
      <c r="Z198" s="30">
        <v>27</v>
      </c>
      <c r="AA198" s="7" t="e">
        <v>#N/A</v>
      </c>
      <c r="AB198" s="7"/>
      <c r="AC198" s="7"/>
      <c r="AD198" s="7"/>
    </row>
    <row r="199" spans="1:30" ht="15" x14ac:dyDescent="0.25">
      <c r="A199" s="26">
        <v>27217142987</v>
      </c>
      <c r="B199" s="27" t="s">
        <v>631</v>
      </c>
      <c r="C199" s="27" t="s">
        <v>586</v>
      </c>
      <c r="D199" s="27" t="s">
        <v>477</v>
      </c>
      <c r="E199" s="28"/>
      <c r="F199" s="27"/>
      <c r="G199" s="27" t="s">
        <v>661</v>
      </c>
      <c r="H199" s="29">
        <v>8.1</v>
      </c>
      <c r="I199" s="29">
        <v>117</v>
      </c>
      <c r="J199" s="29">
        <v>6</v>
      </c>
      <c r="K199" s="29">
        <v>0</v>
      </c>
      <c r="L199" s="29">
        <v>123</v>
      </c>
      <c r="M199" s="29">
        <v>6.27</v>
      </c>
      <c r="N199" s="33">
        <v>2.46</v>
      </c>
      <c r="O199" s="34">
        <v>4.9000000000000002E-2</v>
      </c>
      <c r="P199" s="29"/>
      <c r="Q199" s="29"/>
      <c r="R199" s="29" t="s">
        <v>610</v>
      </c>
      <c r="S199" s="29" t="s">
        <v>610</v>
      </c>
      <c r="T199" s="34"/>
      <c r="U199" s="29">
        <v>4</v>
      </c>
      <c r="V199" s="29" t="s">
        <v>665</v>
      </c>
      <c r="W199" s="29"/>
      <c r="X199" s="29"/>
      <c r="Y199" s="30" t="s">
        <v>493</v>
      </c>
      <c r="Z199" s="30">
        <v>27</v>
      </c>
      <c r="AA199" s="7" t="s">
        <v>841</v>
      </c>
      <c r="AB199" s="7"/>
      <c r="AC199" s="7"/>
      <c r="AD199" s="7"/>
    </row>
    <row r="200" spans="1:30" ht="15" x14ac:dyDescent="0.25">
      <c r="A200" s="26">
        <v>27217147046</v>
      </c>
      <c r="B200" s="27" t="s">
        <v>569</v>
      </c>
      <c r="C200" s="27" t="s">
        <v>586</v>
      </c>
      <c r="D200" s="27" t="s">
        <v>477</v>
      </c>
      <c r="E200" s="28"/>
      <c r="F200" s="27"/>
      <c r="G200" s="27" t="s">
        <v>661</v>
      </c>
      <c r="H200" s="29">
        <v>6.2</v>
      </c>
      <c r="I200" s="29">
        <v>123</v>
      </c>
      <c r="J200" s="29">
        <v>0</v>
      </c>
      <c r="K200" s="29">
        <v>0</v>
      </c>
      <c r="L200" s="29">
        <v>123</v>
      </c>
      <c r="M200" s="29">
        <v>7.41</v>
      </c>
      <c r="N200" s="33">
        <v>3.08</v>
      </c>
      <c r="O200" s="34">
        <v>0</v>
      </c>
      <c r="P200" s="29"/>
      <c r="Q200" s="29"/>
      <c r="R200" s="29" t="s">
        <v>610</v>
      </c>
      <c r="S200" s="29" t="s">
        <v>610</v>
      </c>
      <c r="T200" s="34"/>
      <c r="U200" s="29">
        <v>0</v>
      </c>
      <c r="V200" s="29" t="s">
        <v>665</v>
      </c>
      <c r="W200" s="29"/>
      <c r="X200" s="29"/>
      <c r="Y200" s="30" t="s">
        <v>493</v>
      </c>
      <c r="Z200" s="30">
        <v>27</v>
      </c>
      <c r="AA200" s="7" t="e">
        <v>#N/A</v>
      </c>
      <c r="AB200" s="7" t="e">
        <v>#N/A</v>
      </c>
      <c r="AC200" s="7" t="s">
        <v>19</v>
      </c>
      <c r="AD200" s="7" t="s">
        <v>541</v>
      </c>
    </row>
    <row r="201" spans="1:30" ht="15" x14ac:dyDescent="0.25">
      <c r="A201" s="26">
        <v>27207100463</v>
      </c>
      <c r="B201" s="27" t="s">
        <v>676</v>
      </c>
      <c r="C201" s="27" t="s">
        <v>489</v>
      </c>
      <c r="D201" s="27" t="s">
        <v>456</v>
      </c>
      <c r="E201" s="28"/>
      <c r="F201" s="27"/>
      <c r="G201" s="27" t="s">
        <v>661</v>
      </c>
      <c r="H201" s="29">
        <v>6.1</v>
      </c>
      <c r="I201" s="29">
        <v>54</v>
      </c>
      <c r="J201" s="29">
        <v>69</v>
      </c>
      <c r="K201" s="29">
        <v>0</v>
      </c>
      <c r="L201" s="29">
        <v>123</v>
      </c>
      <c r="M201" s="29">
        <v>2.79</v>
      </c>
      <c r="N201" s="33">
        <v>1.08</v>
      </c>
      <c r="O201" s="34">
        <v>0.56100000000000005</v>
      </c>
      <c r="P201" s="29"/>
      <c r="Q201" s="29"/>
      <c r="R201" s="29"/>
      <c r="S201" s="29"/>
      <c r="T201" s="34"/>
      <c r="U201" s="29">
        <v>19</v>
      </c>
      <c r="V201" s="29" t="s">
        <v>662</v>
      </c>
      <c r="W201" s="29"/>
      <c r="X201" s="29"/>
      <c r="Y201" s="30" t="s">
        <v>493</v>
      </c>
      <c r="Z201" s="30">
        <v>27</v>
      </c>
      <c r="AA201" s="7" t="e">
        <v>#N/A</v>
      </c>
      <c r="AB201" s="7"/>
      <c r="AC201" s="7"/>
      <c r="AD201" s="7"/>
    </row>
    <row r="202" spans="1:30" ht="15" x14ac:dyDescent="0.25">
      <c r="A202" s="26">
        <v>27207120879</v>
      </c>
      <c r="B202" s="27" t="s">
        <v>531</v>
      </c>
      <c r="C202" s="27" t="s">
        <v>692</v>
      </c>
      <c r="D202" s="27" t="s">
        <v>456</v>
      </c>
      <c r="E202" s="28"/>
      <c r="F202" s="27"/>
      <c r="G202" s="27" t="s">
        <v>661</v>
      </c>
      <c r="H202" s="29">
        <v>8</v>
      </c>
      <c r="I202" s="29">
        <v>121</v>
      </c>
      <c r="J202" s="29">
        <v>2</v>
      </c>
      <c r="K202" s="29">
        <v>0</v>
      </c>
      <c r="L202" s="29">
        <v>123</v>
      </c>
      <c r="M202" s="29">
        <v>8</v>
      </c>
      <c r="N202" s="33">
        <v>3.44</v>
      </c>
      <c r="O202" s="34">
        <v>1.6E-2</v>
      </c>
      <c r="P202" s="29"/>
      <c r="Q202" s="29"/>
      <c r="R202" s="29" t="s">
        <v>610</v>
      </c>
      <c r="S202" s="29" t="s">
        <v>610</v>
      </c>
      <c r="T202" s="34"/>
      <c r="U202" s="29">
        <v>2</v>
      </c>
      <c r="V202" s="29" t="s">
        <v>665</v>
      </c>
      <c r="W202" s="29"/>
      <c r="X202" s="30" t="s">
        <v>23</v>
      </c>
      <c r="Y202" s="30" t="s">
        <v>493</v>
      </c>
      <c r="Z202" s="30">
        <v>27</v>
      </c>
      <c r="AA202" s="7" t="s">
        <v>817</v>
      </c>
      <c r="AB202" s="7"/>
      <c r="AC202" s="7"/>
      <c r="AD202" s="7"/>
    </row>
    <row r="203" spans="1:30" ht="15" x14ac:dyDescent="0.25">
      <c r="A203" s="26">
        <v>27207128384</v>
      </c>
      <c r="B203" s="27" t="s">
        <v>531</v>
      </c>
      <c r="C203" s="27" t="s">
        <v>756</v>
      </c>
      <c r="D203" s="27" t="s">
        <v>456</v>
      </c>
      <c r="E203" s="28"/>
      <c r="F203" s="27"/>
      <c r="G203" s="27" t="s">
        <v>661</v>
      </c>
      <c r="H203" s="29">
        <v>6.5</v>
      </c>
      <c r="I203" s="29">
        <v>55</v>
      </c>
      <c r="J203" s="29">
        <v>68</v>
      </c>
      <c r="K203" s="29">
        <v>0</v>
      </c>
      <c r="L203" s="29">
        <v>123</v>
      </c>
      <c r="M203" s="29">
        <v>2.91</v>
      </c>
      <c r="N203" s="33">
        <v>1.1499999999999999</v>
      </c>
      <c r="O203" s="34">
        <v>0.55300000000000005</v>
      </c>
      <c r="P203" s="29"/>
      <c r="Q203" s="29"/>
      <c r="R203" s="29"/>
      <c r="S203" s="29" t="s">
        <v>610</v>
      </c>
      <c r="T203" s="34"/>
      <c r="U203" s="29">
        <v>14</v>
      </c>
      <c r="V203" s="29" t="s">
        <v>662</v>
      </c>
      <c r="W203" s="29"/>
      <c r="X203" s="29"/>
      <c r="Y203" s="30" t="s">
        <v>493</v>
      </c>
      <c r="Z203" s="30">
        <v>27</v>
      </c>
      <c r="AA203" s="7" t="e">
        <v>#N/A</v>
      </c>
      <c r="AB203" s="7"/>
      <c r="AC203" s="7"/>
      <c r="AD203" s="7"/>
    </row>
    <row r="204" spans="1:30" ht="15" x14ac:dyDescent="0.25">
      <c r="A204" s="26">
        <v>27207131794</v>
      </c>
      <c r="B204" s="27" t="s">
        <v>615</v>
      </c>
      <c r="C204" s="27" t="s">
        <v>695</v>
      </c>
      <c r="D204" s="27" t="s">
        <v>456</v>
      </c>
      <c r="E204" s="28"/>
      <c r="F204" s="27"/>
      <c r="G204" s="27" t="s">
        <v>661</v>
      </c>
      <c r="H204" s="29">
        <v>8.6</v>
      </c>
      <c r="I204" s="29">
        <v>117</v>
      </c>
      <c r="J204" s="29">
        <v>6</v>
      </c>
      <c r="K204" s="29">
        <v>0</v>
      </c>
      <c r="L204" s="29">
        <v>123</v>
      </c>
      <c r="M204" s="29">
        <v>7.18</v>
      </c>
      <c r="N204" s="33">
        <v>3.03</v>
      </c>
      <c r="O204" s="34">
        <v>4.9000000000000002E-2</v>
      </c>
      <c r="P204" s="29"/>
      <c r="Q204" s="29"/>
      <c r="R204" s="29" t="s">
        <v>610</v>
      </c>
      <c r="S204" s="29" t="s">
        <v>610</v>
      </c>
      <c r="T204" s="34"/>
      <c r="U204" s="29">
        <v>6</v>
      </c>
      <c r="V204" s="29" t="s">
        <v>665</v>
      </c>
      <c r="W204" s="29"/>
      <c r="X204" s="29"/>
      <c r="Y204" s="30" t="s">
        <v>493</v>
      </c>
      <c r="Z204" s="30">
        <v>27</v>
      </c>
      <c r="AA204" s="7" t="e">
        <v>#N/A</v>
      </c>
      <c r="AB204" s="7" t="e">
        <v>#N/A</v>
      </c>
      <c r="AC204" s="7" t="s">
        <v>116</v>
      </c>
      <c r="AD204" s="7" t="s">
        <v>492</v>
      </c>
    </row>
    <row r="205" spans="1:30" ht="15" x14ac:dyDescent="0.25">
      <c r="A205" s="26">
        <v>27207134678</v>
      </c>
      <c r="B205" s="27" t="s">
        <v>633</v>
      </c>
      <c r="C205" s="27" t="s">
        <v>668</v>
      </c>
      <c r="D205" s="27" t="s">
        <v>456</v>
      </c>
      <c r="E205" s="28"/>
      <c r="F205" s="27"/>
      <c r="G205" s="27" t="s">
        <v>661</v>
      </c>
      <c r="H205" s="29">
        <v>7</v>
      </c>
      <c r="I205" s="29">
        <v>123</v>
      </c>
      <c r="J205" s="29">
        <v>0</v>
      </c>
      <c r="K205" s="29">
        <v>0</v>
      </c>
      <c r="L205" s="29">
        <v>123</v>
      </c>
      <c r="M205" s="29">
        <v>6.9</v>
      </c>
      <c r="N205" s="33">
        <v>2.81</v>
      </c>
      <c r="O205" s="34">
        <v>0</v>
      </c>
      <c r="P205" s="29"/>
      <c r="Q205" s="29"/>
      <c r="R205" s="29" t="s">
        <v>610</v>
      </c>
      <c r="S205" s="29" t="s">
        <v>610</v>
      </c>
      <c r="T205" s="34"/>
      <c r="U205" s="29">
        <v>0</v>
      </c>
      <c r="V205" s="29" t="s">
        <v>665</v>
      </c>
      <c r="W205" s="29"/>
      <c r="X205" s="29"/>
      <c r="Y205" s="30" t="s">
        <v>493</v>
      </c>
      <c r="Z205" s="30">
        <v>27</v>
      </c>
      <c r="AA205" s="7" t="s">
        <v>819</v>
      </c>
      <c r="AB205" s="7"/>
      <c r="AC205" s="7"/>
      <c r="AD205" s="7"/>
    </row>
    <row r="206" spans="1:30" ht="15" x14ac:dyDescent="0.25">
      <c r="A206" s="26">
        <v>27207136307</v>
      </c>
      <c r="B206" s="27" t="s">
        <v>680</v>
      </c>
      <c r="C206" s="27" t="s">
        <v>692</v>
      </c>
      <c r="D206" s="27" t="s">
        <v>456</v>
      </c>
      <c r="E206" s="28"/>
      <c r="F206" s="27"/>
      <c r="G206" s="27" t="s">
        <v>661</v>
      </c>
      <c r="H206" s="29">
        <v>6.9</v>
      </c>
      <c r="I206" s="29">
        <v>122</v>
      </c>
      <c r="J206" s="29">
        <v>1</v>
      </c>
      <c r="K206" s="29">
        <v>0</v>
      </c>
      <c r="L206" s="29">
        <v>123</v>
      </c>
      <c r="M206" s="29">
        <v>6.48</v>
      </c>
      <c r="N206" s="33">
        <v>2.5499999999999998</v>
      </c>
      <c r="O206" s="34">
        <v>8.0000000000000002E-3</v>
      </c>
      <c r="P206" s="29"/>
      <c r="Q206" s="29"/>
      <c r="R206" s="29" t="s">
        <v>610</v>
      </c>
      <c r="S206" s="29" t="s">
        <v>610</v>
      </c>
      <c r="T206" s="34"/>
      <c r="U206" s="29">
        <v>1</v>
      </c>
      <c r="V206" s="29" t="s">
        <v>665</v>
      </c>
      <c r="W206" s="29"/>
      <c r="X206" s="29"/>
      <c r="Y206" s="30" t="s">
        <v>493</v>
      </c>
      <c r="Z206" s="30">
        <v>27</v>
      </c>
      <c r="AA206" s="7" t="s">
        <v>818</v>
      </c>
      <c r="AB206" s="7"/>
      <c r="AC206" s="7"/>
      <c r="AD206" s="7"/>
    </row>
    <row r="207" spans="1:30" ht="15" x14ac:dyDescent="0.25">
      <c r="A207" s="26">
        <v>27207137064</v>
      </c>
      <c r="B207" s="27" t="s">
        <v>586</v>
      </c>
      <c r="C207" s="27" t="s">
        <v>692</v>
      </c>
      <c r="D207" s="27" t="s">
        <v>456</v>
      </c>
      <c r="E207" s="28"/>
      <c r="F207" s="27"/>
      <c r="G207" s="27" t="s">
        <v>661</v>
      </c>
      <c r="H207" s="29">
        <v>7.7</v>
      </c>
      <c r="I207" s="29">
        <v>123</v>
      </c>
      <c r="J207" s="29">
        <v>1</v>
      </c>
      <c r="K207" s="29">
        <v>0</v>
      </c>
      <c r="L207" s="29">
        <v>124</v>
      </c>
      <c r="M207" s="29">
        <v>6.78</v>
      </c>
      <c r="N207" s="33">
        <v>2.74</v>
      </c>
      <c r="O207" s="34">
        <v>8.0000000000000002E-3</v>
      </c>
      <c r="P207" s="29"/>
      <c r="Q207" s="29"/>
      <c r="R207" s="29" t="s">
        <v>610</v>
      </c>
      <c r="S207" s="29" t="s">
        <v>610</v>
      </c>
      <c r="T207" s="34"/>
      <c r="U207" s="29">
        <v>1</v>
      </c>
      <c r="V207" s="29" t="s">
        <v>665</v>
      </c>
      <c r="W207" s="29"/>
      <c r="X207" s="29"/>
      <c r="Y207" s="30" t="s">
        <v>493</v>
      </c>
      <c r="Z207" s="30">
        <v>27</v>
      </c>
      <c r="AA207" s="7" t="s">
        <v>829</v>
      </c>
      <c r="AB207" s="7"/>
      <c r="AC207" s="7"/>
      <c r="AD207" s="7"/>
    </row>
    <row r="208" spans="1:30" ht="15" x14ac:dyDescent="0.25">
      <c r="A208" s="26">
        <v>27217101217</v>
      </c>
      <c r="B208" s="27" t="s">
        <v>471</v>
      </c>
      <c r="C208" s="27" t="s">
        <v>554</v>
      </c>
      <c r="D208" s="27" t="s">
        <v>456</v>
      </c>
      <c r="E208" s="28"/>
      <c r="F208" s="27"/>
      <c r="G208" s="27" t="s">
        <v>661</v>
      </c>
      <c r="H208" s="29">
        <v>8.6</v>
      </c>
      <c r="I208" s="29">
        <v>112</v>
      </c>
      <c r="J208" s="29">
        <v>11</v>
      </c>
      <c r="K208" s="29">
        <v>0</v>
      </c>
      <c r="L208" s="29">
        <v>123</v>
      </c>
      <c r="M208" s="29">
        <v>6.32</v>
      </c>
      <c r="N208" s="33">
        <v>2.57</v>
      </c>
      <c r="O208" s="34">
        <v>8.8999999999999996E-2</v>
      </c>
      <c r="P208" s="29"/>
      <c r="Q208" s="29"/>
      <c r="R208" s="29"/>
      <c r="S208" s="29" t="s">
        <v>610</v>
      </c>
      <c r="T208" s="34"/>
      <c r="U208" s="29">
        <v>6</v>
      </c>
      <c r="V208" s="29" t="s">
        <v>662</v>
      </c>
      <c r="W208" s="29"/>
      <c r="X208" s="29"/>
      <c r="Y208" s="30" t="s">
        <v>493</v>
      </c>
      <c r="Z208" s="30">
        <v>27</v>
      </c>
      <c r="AA208" s="7" t="e">
        <v>#N/A</v>
      </c>
      <c r="AB208" s="7"/>
      <c r="AC208" s="7"/>
      <c r="AD208" s="7"/>
    </row>
    <row r="209" spans="1:30" ht="15" x14ac:dyDescent="0.25">
      <c r="A209" s="26">
        <v>27207129095</v>
      </c>
      <c r="B209" s="27" t="s">
        <v>499</v>
      </c>
      <c r="C209" s="27" t="s">
        <v>757</v>
      </c>
      <c r="D209" s="27" t="s">
        <v>530</v>
      </c>
      <c r="E209" s="28"/>
      <c r="F209" s="27"/>
      <c r="G209" s="27" t="s">
        <v>661</v>
      </c>
      <c r="H209" s="29">
        <v>7.5</v>
      </c>
      <c r="I209" s="29">
        <v>123</v>
      </c>
      <c r="J209" s="29">
        <v>0</v>
      </c>
      <c r="K209" s="29">
        <v>0</v>
      </c>
      <c r="L209" s="29">
        <v>123</v>
      </c>
      <c r="M209" s="29">
        <v>7.85</v>
      </c>
      <c r="N209" s="33">
        <v>3.38</v>
      </c>
      <c r="O209" s="34">
        <v>0</v>
      </c>
      <c r="P209" s="29"/>
      <c r="Q209" s="29" t="s">
        <v>610</v>
      </c>
      <c r="R209" s="29" t="s">
        <v>610</v>
      </c>
      <c r="S209" s="29" t="s">
        <v>610</v>
      </c>
      <c r="T209" s="34"/>
      <c r="U209" s="29">
        <v>0</v>
      </c>
      <c r="V209" s="29" t="s">
        <v>682</v>
      </c>
      <c r="W209" s="29"/>
      <c r="X209" s="30">
        <v>0</v>
      </c>
      <c r="Y209" s="30" t="s">
        <v>493</v>
      </c>
      <c r="Z209" s="30">
        <v>27</v>
      </c>
      <c r="AA209" s="7" t="s">
        <v>823</v>
      </c>
      <c r="AB209" s="7"/>
      <c r="AC209" s="7"/>
      <c r="AD209" s="7"/>
    </row>
    <row r="210" spans="1:30" ht="15" x14ac:dyDescent="0.25">
      <c r="A210" s="26">
        <v>27213239364</v>
      </c>
      <c r="B210" s="27" t="s">
        <v>531</v>
      </c>
      <c r="C210" s="27"/>
      <c r="D210" s="27" t="s">
        <v>532</v>
      </c>
      <c r="E210" s="28"/>
      <c r="F210" s="27"/>
      <c r="G210" s="27" t="s">
        <v>661</v>
      </c>
      <c r="H210" s="29">
        <v>8.1999999999999993</v>
      </c>
      <c r="I210" s="29">
        <v>119</v>
      </c>
      <c r="J210" s="29">
        <v>5</v>
      </c>
      <c r="K210" s="29">
        <v>0</v>
      </c>
      <c r="L210" s="29">
        <v>124</v>
      </c>
      <c r="M210" s="29">
        <v>6.47</v>
      </c>
      <c r="N210" s="33">
        <v>2.6</v>
      </c>
      <c r="O210" s="34">
        <v>0.04</v>
      </c>
      <c r="P210" s="29"/>
      <c r="Q210" s="29"/>
      <c r="R210" s="29" t="s">
        <v>610</v>
      </c>
      <c r="S210" s="29" t="s">
        <v>610</v>
      </c>
      <c r="T210" s="34"/>
      <c r="U210" s="29">
        <v>5</v>
      </c>
      <c r="V210" s="29" t="s">
        <v>665</v>
      </c>
      <c r="W210" s="29"/>
      <c r="X210" s="29"/>
      <c r="Y210" s="30" t="s">
        <v>493</v>
      </c>
      <c r="Z210" s="30">
        <v>27</v>
      </c>
      <c r="AA210" s="7" t="e">
        <v>#N/A</v>
      </c>
      <c r="AB210" s="7" t="e">
        <v>#N/A</v>
      </c>
      <c r="AC210" s="7" t="s">
        <v>26</v>
      </c>
      <c r="AD210" s="7" t="s">
        <v>517</v>
      </c>
    </row>
    <row r="211" spans="1:30" ht="15" x14ac:dyDescent="0.25">
      <c r="A211" s="26">
        <v>27217140277</v>
      </c>
      <c r="B211" s="27" t="s">
        <v>686</v>
      </c>
      <c r="C211" s="27" t="s">
        <v>586</v>
      </c>
      <c r="D211" s="27" t="s">
        <v>581</v>
      </c>
      <c r="E211" s="28"/>
      <c r="F211" s="27"/>
      <c r="G211" s="27" t="s">
        <v>661</v>
      </c>
      <c r="H211" s="29">
        <v>6.9</v>
      </c>
      <c r="I211" s="29">
        <v>123</v>
      </c>
      <c r="J211" s="29">
        <v>0</v>
      </c>
      <c r="K211" s="29">
        <v>0</v>
      </c>
      <c r="L211" s="29">
        <v>123</v>
      </c>
      <c r="M211" s="29">
        <v>6.56</v>
      </c>
      <c r="N211" s="33">
        <v>2.5499999999999998</v>
      </c>
      <c r="O211" s="34">
        <v>0</v>
      </c>
      <c r="P211" s="29"/>
      <c r="Q211" s="29"/>
      <c r="R211" s="29"/>
      <c r="S211" s="29" t="s">
        <v>610</v>
      </c>
      <c r="T211" s="34"/>
      <c r="U211" s="29">
        <v>0</v>
      </c>
      <c r="V211" s="29" t="s">
        <v>665</v>
      </c>
      <c r="W211" s="29"/>
      <c r="X211" s="29"/>
      <c r="Y211" s="30" t="s">
        <v>493</v>
      </c>
      <c r="Z211" s="30">
        <v>27</v>
      </c>
      <c r="AA211" s="7" t="s">
        <v>838</v>
      </c>
      <c r="AB211" s="7"/>
      <c r="AC211" s="7"/>
      <c r="AD211" s="7"/>
    </row>
    <row r="212" spans="1:30" ht="15" x14ac:dyDescent="0.25">
      <c r="A212" s="26">
        <v>25217104296</v>
      </c>
      <c r="B212" s="27" t="s">
        <v>663</v>
      </c>
      <c r="C212" s="27" t="s">
        <v>613</v>
      </c>
      <c r="D212" s="27" t="s">
        <v>582</v>
      </c>
      <c r="E212" s="28"/>
      <c r="F212" s="27"/>
      <c r="G212" s="27" t="s">
        <v>661</v>
      </c>
      <c r="H212" s="29">
        <v>0</v>
      </c>
      <c r="I212" s="29">
        <v>72</v>
      </c>
      <c r="J212" s="29">
        <v>52</v>
      </c>
      <c r="K212" s="29">
        <v>0</v>
      </c>
      <c r="L212" s="29">
        <v>124</v>
      </c>
      <c r="M212" s="29">
        <v>3.93</v>
      </c>
      <c r="N212" s="33">
        <v>1.58</v>
      </c>
      <c r="O212" s="34">
        <v>0.41899999999999998</v>
      </c>
      <c r="P212" s="29"/>
      <c r="Q212" s="29"/>
      <c r="R212" s="29" t="s">
        <v>610</v>
      </c>
      <c r="S212" s="29" t="s">
        <v>610</v>
      </c>
      <c r="T212" s="34"/>
      <c r="U212" s="29">
        <v>8</v>
      </c>
      <c r="V212" s="29" t="s">
        <v>662</v>
      </c>
      <c r="W212" s="29"/>
      <c r="X212" s="29"/>
      <c r="Y212" s="30" t="s">
        <v>493</v>
      </c>
      <c r="Z212" s="30">
        <v>27</v>
      </c>
      <c r="AA212" s="7" t="e">
        <v>#N/A</v>
      </c>
      <c r="AB212" s="7"/>
      <c r="AC212" s="7"/>
      <c r="AD212" s="7"/>
    </row>
    <row r="213" spans="1:30" ht="15" x14ac:dyDescent="0.25">
      <c r="A213" s="26">
        <v>27207100694</v>
      </c>
      <c r="B213" s="27" t="s">
        <v>531</v>
      </c>
      <c r="C213" s="27" t="s">
        <v>694</v>
      </c>
      <c r="D213" s="27" t="s">
        <v>533</v>
      </c>
      <c r="E213" s="28"/>
      <c r="F213" s="27"/>
      <c r="G213" s="27" t="s">
        <v>661</v>
      </c>
      <c r="H213" s="29">
        <v>8.5</v>
      </c>
      <c r="I213" s="29">
        <v>123</v>
      </c>
      <c r="J213" s="29">
        <v>0</v>
      </c>
      <c r="K213" s="29">
        <v>0</v>
      </c>
      <c r="L213" s="29">
        <v>123</v>
      </c>
      <c r="M213" s="29">
        <v>7.07</v>
      </c>
      <c r="N213" s="33">
        <v>2.91</v>
      </c>
      <c r="O213" s="34">
        <v>0</v>
      </c>
      <c r="P213" s="29"/>
      <c r="Q213" s="29"/>
      <c r="R213" s="29" t="s">
        <v>610</v>
      </c>
      <c r="S213" s="29" t="s">
        <v>610</v>
      </c>
      <c r="T213" s="34"/>
      <c r="U213" s="29">
        <v>0</v>
      </c>
      <c r="V213" s="29" t="s">
        <v>665</v>
      </c>
      <c r="W213" s="29"/>
      <c r="X213" s="29"/>
      <c r="Y213" s="30" t="s">
        <v>493</v>
      </c>
      <c r="Z213" s="30">
        <v>27</v>
      </c>
      <c r="AA213" s="7" t="s">
        <v>822</v>
      </c>
      <c r="AB213" s="7"/>
      <c r="AC213" s="7"/>
      <c r="AD213" s="7"/>
    </row>
    <row r="214" spans="1:30" ht="15" x14ac:dyDescent="0.25">
      <c r="A214" s="26">
        <v>27207132468</v>
      </c>
      <c r="B214" s="27" t="s">
        <v>499</v>
      </c>
      <c r="C214" s="27" t="s">
        <v>706</v>
      </c>
      <c r="D214" s="27" t="s">
        <v>533</v>
      </c>
      <c r="E214" s="28"/>
      <c r="F214" s="27"/>
      <c r="G214" s="27" t="s">
        <v>661</v>
      </c>
      <c r="H214" s="29">
        <v>7</v>
      </c>
      <c r="I214" s="29">
        <v>122</v>
      </c>
      <c r="J214" s="29">
        <v>2</v>
      </c>
      <c r="K214" s="29">
        <v>0</v>
      </c>
      <c r="L214" s="29">
        <v>124</v>
      </c>
      <c r="M214" s="29">
        <v>6.65</v>
      </c>
      <c r="N214" s="33">
        <v>2.69</v>
      </c>
      <c r="O214" s="34">
        <v>1.6E-2</v>
      </c>
      <c r="P214" s="29"/>
      <c r="Q214" s="29"/>
      <c r="R214" s="29" t="s">
        <v>610</v>
      </c>
      <c r="S214" s="29" t="s">
        <v>610</v>
      </c>
      <c r="T214" s="34"/>
      <c r="U214" s="29">
        <v>2</v>
      </c>
      <c r="V214" s="29" t="s">
        <v>665</v>
      </c>
      <c r="W214" s="29"/>
      <c r="X214" s="29"/>
      <c r="Y214" s="30" t="s">
        <v>493</v>
      </c>
      <c r="Z214" s="30">
        <v>27</v>
      </c>
      <c r="AA214" s="7" t="s">
        <v>823</v>
      </c>
      <c r="AB214" s="7"/>
      <c r="AC214" s="7"/>
      <c r="AD214" s="7"/>
    </row>
    <row r="215" spans="1:30" ht="15" x14ac:dyDescent="0.25">
      <c r="A215" s="26">
        <v>27207121269</v>
      </c>
      <c r="B215" s="27" t="s">
        <v>531</v>
      </c>
      <c r="C215" s="27" t="s">
        <v>695</v>
      </c>
      <c r="D215" s="27" t="s">
        <v>559</v>
      </c>
      <c r="E215" s="28"/>
      <c r="F215" s="27"/>
      <c r="G215" s="27" t="s">
        <v>661</v>
      </c>
      <c r="H215" s="29">
        <v>7.7</v>
      </c>
      <c r="I215" s="29">
        <v>123</v>
      </c>
      <c r="J215" s="29">
        <v>0</v>
      </c>
      <c r="K215" s="29">
        <v>0</v>
      </c>
      <c r="L215" s="29">
        <v>123</v>
      </c>
      <c r="M215" s="29">
        <v>6.84</v>
      </c>
      <c r="N215" s="33">
        <v>2.78</v>
      </c>
      <c r="O215" s="34">
        <v>0</v>
      </c>
      <c r="P215" s="29"/>
      <c r="Q215" s="29" t="s">
        <v>610</v>
      </c>
      <c r="R215" s="29" t="s">
        <v>610</v>
      </c>
      <c r="S215" s="29" t="s">
        <v>610</v>
      </c>
      <c r="T215" s="34"/>
      <c r="U215" s="29">
        <v>0</v>
      </c>
      <c r="V215" s="29" t="s">
        <v>665</v>
      </c>
      <c r="W215" s="29"/>
      <c r="X215" s="29"/>
      <c r="Y215" s="30" t="s">
        <v>493</v>
      </c>
      <c r="Z215" s="30">
        <v>27</v>
      </c>
      <c r="AA215" s="7" t="s">
        <v>823</v>
      </c>
      <c r="AB215" s="7"/>
      <c r="AC215" s="7"/>
      <c r="AD215" s="7"/>
    </row>
    <row r="216" spans="1:30" ht="15" x14ac:dyDescent="0.25">
      <c r="A216" s="26">
        <v>27207128839</v>
      </c>
      <c r="B216" s="27" t="s">
        <v>531</v>
      </c>
      <c r="C216" s="27" t="s">
        <v>695</v>
      </c>
      <c r="D216" s="27" t="s">
        <v>559</v>
      </c>
      <c r="E216" s="28"/>
      <c r="F216" s="27"/>
      <c r="G216" s="27" t="s">
        <v>661</v>
      </c>
      <c r="H216" s="29">
        <v>8</v>
      </c>
      <c r="I216" s="29">
        <v>121</v>
      </c>
      <c r="J216" s="29">
        <v>3</v>
      </c>
      <c r="K216" s="29">
        <v>0</v>
      </c>
      <c r="L216" s="29">
        <v>124</v>
      </c>
      <c r="M216" s="29">
        <v>7.2</v>
      </c>
      <c r="N216" s="33">
        <v>3.02</v>
      </c>
      <c r="O216" s="34">
        <v>2.4E-2</v>
      </c>
      <c r="P216" s="29"/>
      <c r="Q216" s="29" t="s">
        <v>610</v>
      </c>
      <c r="R216" s="29" t="s">
        <v>610</v>
      </c>
      <c r="S216" s="29" t="s">
        <v>610</v>
      </c>
      <c r="T216" s="34"/>
      <c r="U216" s="29">
        <v>3</v>
      </c>
      <c r="V216" s="29" t="s">
        <v>665</v>
      </c>
      <c r="W216" s="29"/>
      <c r="X216" s="29"/>
      <c r="Y216" s="30" t="s">
        <v>493</v>
      </c>
      <c r="Z216" s="30">
        <v>27</v>
      </c>
      <c r="AA216" s="7" t="s">
        <v>805</v>
      </c>
      <c r="AB216" s="7"/>
      <c r="AC216" s="7"/>
      <c r="AD216" s="7"/>
    </row>
    <row r="217" spans="1:30" ht="15" x14ac:dyDescent="0.25">
      <c r="A217" s="26">
        <v>27207131543</v>
      </c>
      <c r="B217" s="27" t="s">
        <v>488</v>
      </c>
      <c r="C217" s="27" t="s">
        <v>692</v>
      </c>
      <c r="D217" s="27" t="s">
        <v>559</v>
      </c>
      <c r="E217" s="28"/>
      <c r="F217" s="27"/>
      <c r="G217" s="27" t="s">
        <v>661</v>
      </c>
      <c r="H217" s="29">
        <v>6.2</v>
      </c>
      <c r="I217" s="29">
        <v>112</v>
      </c>
      <c r="J217" s="29">
        <v>11</v>
      </c>
      <c r="K217" s="29">
        <v>0</v>
      </c>
      <c r="L217" s="29">
        <v>123</v>
      </c>
      <c r="M217" s="29">
        <v>5.74</v>
      </c>
      <c r="N217" s="33">
        <v>2.2000000000000002</v>
      </c>
      <c r="O217" s="34">
        <v>8.8999999999999996E-2</v>
      </c>
      <c r="P217" s="29"/>
      <c r="Q217" s="29"/>
      <c r="R217" s="29" t="s">
        <v>610</v>
      </c>
      <c r="S217" s="29" t="s">
        <v>610</v>
      </c>
      <c r="T217" s="34"/>
      <c r="U217" s="29">
        <v>8</v>
      </c>
      <c r="V217" s="29" t="s">
        <v>662</v>
      </c>
      <c r="W217" s="29"/>
      <c r="X217" s="29"/>
      <c r="Y217" s="30" t="s">
        <v>493</v>
      </c>
      <c r="Z217" s="30">
        <v>27</v>
      </c>
      <c r="AA217" s="7" t="e">
        <v>#N/A</v>
      </c>
      <c r="AB217" s="7"/>
      <c r="AC217" s="7"/>
      <c r="AD217" s="7"/>
    </row>
    <row r="218" spans="1:30" ht="15" x14ac:dyDescent="0.25">
      <c r="A218" s="26">
        <v>27207120519</v>
      </c>
      <c r="B218" s="27" t="s">
        <v>631</v>
      </c>
      <c r="C218" s="27" t="s">
        <v>758</v>
      </c>
      <c r="D218" s="27" t="s">
        <v>534</v>
      </c>
      <c r="E218" s="28"/>
      <c r="F218" s="27"/>
      <c r="G218" s="27" t="s">
        <v>661</v>
      </c>
      <c r="H218" s="29">
        <v>7.2</v>
      </c>
      <c r="I218" s="29">
        <v>120</v>
      </c>
      <c r="J218" s="29">
        <v>4</v>
      </c>
      <c r="K218" s="29">
        <v>0</v>
      </c>
      <c r="L218" s="29">
        <v>124</v>
      </c>
      <c r="M218" s="29">
        <v>6.53</v>
      </c>
      <c r="N218" s="33">
        <v>2.61</v>
      </c>
      <c r="O218" s="34">
        <v>3.2000000000000001E-2</v>
      </c>
      <c r="P218" s="29"/>
      <c r="Q218" s="29"/>
      <c r="R218" s="29"/>
      <c r="S218" s="29" t="s">
        <v>610</v>
      </c>
      <c r="T218" s="34"/>
      <c r="U218" s="29">
        <v>5</v>
      </c>
      <c r="V218" s="29" t="s">
        <v>665</v>
      </c>
      <c r="W218" s="29"/>
      <c r="X218" s="29"/>
      <c r="Y218" s="30" t="s">
        <v>493</v>
      </c>
      <c r="Z218" s="30">
        <v>27</v>
      </c>
      <c r="AA218" s="7" t="e">
        <v>#N/A</v>
      </c>
      <c r="AB218" s="7" t="e">
        <v>#N/A</v>
      </c>
      <c r="AC218" s="7" t="s">
        <v>108</v>
      </c>
      <c r="AD218" s="7" t="s">
        <v>565</v>
      </c>
    </row>
    <row r="219" spans="1:30" ht="15" x14ac:dyDescent="0.25">
      <c r="A219" s="26">
        <v>27207130710</v>
      </c>
      <c r="B219" s="27" t="s">
        <v>499</v>
      </c>
      <c r="C219" s="27" t="s">
        <v>759</v>
      </c>
      <c r="D219" s="27" t="s">
        <v>534</v>
      </c>
      <c r="E219" s="28"/>
      <c r="F219" s="27"/>
      <c r="G219" s="27" t="s">
        <v>661</v>
      </c>
      <c r="H219" s="29">
        <v>5.7</v>
      </c>
      <c r="I219" s="29">
        <v>96</v>
      </c>
      <c r="J219" s="29">
        <v>28</v>
      </c>
      <c r="K219" s="29">
        <v>0</v>
      </c>
      <c r="L219" s="29">
        <v>124</v>
      </c>
      <c r="M219" s="29">
        <v>4.71</v>
      </c>
      <c r="N219" s="33">
        <v>1.77</v>
      </c>
      <c r="O219" s="34">
        <v>0.22600000000000001</v>
      </c>
      <c r="P219" s="29"/>
      <c r="Q219" s="29"/>
      <c r="R219" s="29" t="s">
        <v>610</v>
      </c>
      <c r="S219" s="29" t="s">
        <v>610</v>
      </c>
      <c r="T219" s="34"/>
      <c r="U219" s="29">
        <v>17</v>
      </c>
      <c r="V219" s="29" t="s">
        <v>662</v>
      </c>
      <c r="W219" s="29"/>
      <c r="X219" s="29"/>
      <c r="Y219" s="30" t="s">
        <v>493</v>
      </c>
      <c r="Z219" s="30">
        <v>27</v>
      </c>
      <c r="AA219" s="7" t="e">
        <v>#N/A</v>
      </c>
      <c r="AB219" s="7"/>
      <c r="AC219" s="7"/>
      <c r="AD219" s="7"/>
    </row>
    <row r="220" spans="1:30" ht="15" x14ac:dyDescent="0.25">
      <c r="A220" s="26">
        <v>27207100134</v>
      </c>
      <c r="B220" s="27" t="s">
        <v>471</v>
      </c>
      <c r="C220" s="27" t="s">
        <v>760</v>
      </c>
      <c r="D220" s="27" t="s">
        <v>535</v>
      </c>
      <c r="E220" s="28"/>
      <c r="F220" s="27"/>
      <c r="G220" s="27" t="s">
        <v>661</v>
      </c>
      <c r="H220" s="29">
        <v>7.7</v>
      </c>
      <c r="I220" s="29">
        <v>119</v>
      </c>
      <c r="J220" s="29">
        <v>5</v>
      </c>
      <c r="K220" s="29">
        <v>0</v>
      </c>
      <c r="L220" s="29">
        <v>124</v>
      </c>
      <c r="M220" s="29">
        <v>7.13</v>
      </c>
      <c r="N220" s="33">
        <v>2.99</v>
      </c>
      <c r="O220" s="34">
        <v>0.04</v>
      </c>
      <c r="P220" s="29"/>
      <c r="Q220" s="29"/>
      <c r="R220" s="29" t="s">
        <v>610</v>
      </c>
      <c r="S220" s="29" t="s">
        <v>610</v>
      </c>
      <c r="T220" s="34"/>
      <c r="U220" s="29">
        <v>5</v>
      </c>
      <c r="V220" s="29" t="s">
        <v>665</v>
      </c>
      <c r="W220" s="29"/>
      <c r="X220" s="29"/>
      <c r="Y220" s="30" t="s">
        <v>493</v>
      </c>
      <c r="Z220" s="30">
        <v>27</v>
      </c>
      <c r="AA220" s="7" t="s">
        <v>842</v>
      </c>
      <c r="AB220" s="7"/>
      <c r="AC220" s="7"/>
      <c r="AD220" s="7"/>
    </row>
    <row r="221" spans="1:30" ht="15" x14ac:dyDescent="0.25">
      <c r="A221" s="26">
        <v>27207102076</v>
      </c>
      <c r="B221" s="27" t="s">
        <v>631</v>
      </c>
      <c r="C221" s="27" t="s">
        <v>760</v>
      </c>
      <c r="D221" s="27" t="s">
        <v>535</v>
      </c>
      <c r="E221" s="28"/>
      <c r="F221" s="27"/>
      <c r="G221" s="27" t="s">
        <v>661</v>
      </c>
      <c r="H221" s="29">
        <v>9.8000000000000007</v>
      </c>
      <c r="I221" s="29">
        <v>122</v>
      </c>
      <c r="J221" s="29">
        <v>2</v>
      </c>
      <c r="K221" s="29">
        <v>0</v>
      </c>
      <c r="L221" s="29">
        <v>124</v>
      </c>
      <c r="M221" s="29">
        <v>8.18</v>
      </c>
      <c r="N221" s="33">
        <v>3.57</v>
      </c>
      <c r="O221" s="34">
        <v>1.6E-2</v>
      </c>
      <c r="P221" s="29"/>
      <c r="Q221" s="29"/>
      <c r="R221" s="29" t="s">
        <v>610</v>
      </c>
      <c r="S221" s="29" t="s">
        <v>610</v>
      </c>
      <c r="T221" s="34"/>
      <c r="U221" s="29">
        <v>2</v>
      </c>
      <c r="V221" s="29" t="s">
        <v>665</v>
      </c>
      <c r="W221" s="29"/>
      <c r="X221" s="30" t="s">
        <v>23</v>
      </c>
      <c r="Y221" s="30" t="s">
        <v>493</v>
      </c>
      <c r="Z221" s="30">
        <v>27</v>
      </c>
      <c r="AA221" s="7" t="s">
        <v>809</v>
      </c>
      <c r="AB221" s="7"/>
      <c r="AC221" s="7"/>
      <c r="AD221" s="7"/>
    </row>
    <row r="222" spans="1:30" ht="15" x14ac:dyDescent="0.25">
      <c r="A222" s="26">
        <v>27207133398</v>
      </c>
      <c r="B222" s="27" t="s">
        <v>684</v>
      </c>
      <c r="C222" s="27" t="s">
        <v>761</v>
      </c>
      <c r="D222" s="27" t="s">
        <v>535</v>
      </c>
      <c r="E222" s="28"/>
      <c r="F222" s="27"/>
      <c r="G222" s="27" t="s">
        <v>661</v>
      </c>
      <c r="H222" s="29">
        <v>7.3</v>
      </c>
      <c r="I222" s="29">
        <v>118</v>
      </c>
      <c r="J222" s="29">
        <v>5</v>
      </c>
      <c r="K222" s="29">
        <v>0</v>
      </c>
      <c r="L222" s="29">
        <v>123</v>
      </c>
      <c r="M222" s="29">
        <v>7.01</v>
      </c>
      <c r="N222" s="33">
        <v>2.94</v>
      </c>
      <c r="O222" s="34">
        <v>4.1000000000000002E-2</v>
      </c>
      <c r="P222" s="29"/>
      <c r="Q222" s="29"/>
      <c r="R222" s="29"/>
      <c r="S222" s="29" t="s">
        <v>610</v>
      </c>
      <c r="T222" s="34"/>
      <c r="U222" s="29">
        <v>4</v>
      </c>
      <c r="V222" s="29" t="s">
        <v>665</v>
      </c>
      <c r="W222" s="29"/>
      <c r="X222" s="29"/>
      <c r="Y222" s="30" t="s">
        <v>493</v>
      </c>
      <c r="Z222" s="30">
        <v>27</v>
      </c>
      <c r="AA222" s="7" t="e">
        <v>#N/A</v>
      </c>
      <c r="AB222" s="7" t="e">
        <v>#N/A</v>
      </c>
      <c r="AC222" s="7" t="s">
        <v>26</v>
      </c>
      <c r="AD222" s="7" t="s">
        <v>517</v>
      </c>
    </row>
    <row r="223" spans="1:30" ht="15" x14ac:dyDescent="0.25">
      <c r="A223" s="26">
        <v>27207141615</v>
      </c>
      <c r="B223" s="27" t="s">
        <v>499</v>
      </c>
      <c r="C223" s="27" t="s">
        <v>760</v>
      </c>
      <c r="D223" s="27" t="s">
        <v>535</v>
      </c>
      <c r="E223" s="28"/>
      <c r="F223" s="27"/>
      <c r="G223" s="27" t="s">
        <v>661</v>
      </c>
      <c r="H223" s="29">
        <v>8.6</v>
      </c>
      <c r="I223" s="29">
        <v>121</v>
      </c>
      <c r="J223" s="29">
        <v>2</v>
      </c>
      <c r="K223" s="29">
        <v>0</v>
      </c>
      <c r="L223" s="29">
        <v>123</v>
      </c>
      <c r="M223" s="29">
        <v>7.8</v>
      </c>
      <c r="N223" s="33">
        <v>3.38</v>
      </c>
      <c r="O223" s="34">
        <v>1.6E-2</v>
      </c>
      <c r="P223" s="29"/>
      <c r="Q223" s="29"/>
      <c r="R223" s="29" t="s">
        <v>610</v>
      </c>
      <c r="S223" s="29" t="s">
        <v>610</v>
      </c>
      <c r="T223" s="34"/>
      <c r="U223" s="29">
        <v>2</v>
      </c>
      <c r="V223" s="29" t="s">
        <v>665</v>
      </c>
      <c r="W223" s="29"/>
      <c r="X223" s="30" t="s">
        <v>23</v>
      </c>
      <c r="Y223" s="30" t="s">
        <v>493</v>
      </c>
      <c r="Z223" s="30">
        <v>27</v>
      </c>
      <c r="AA223" s="7" t="s">
        <v>810</v>
      </c>
      <c r="AB223" s="7"/>
      <c r="AC223" s="7"/>
      <c r="AD223" s="7"/>
    </row>
    <row r="224" spans="1:30" ht="15" x14ac:dyDescent="0.25">
      <c r="A224" s="26">
        <v>27208601880</v>
      </c>
      <c r="B224" s="27" t="s">
        <v>531</v>
      </c>
      <c r="C224" s="27" t="s">
        <v>762</v>
      </c>
      <c r="D224" s="27" t="s">
        <v>535</v>
      </c>
      <c r="E224" s="28"/>
      <c r="F224" s="27"/>
      <c r="G224" s="27" t="s">
        <v>661</v>
      </c>
      <c r="H224" s="29">
        <v>7.5</v>
      </c>
      <c r="I224" s="29">
        <v>116</v>
      </c>
      <c r="J224" s="29">
        <v>7</v>
      </c>
      <c r="K224" s="29">
        <v>0</v>
      </c>
      <c r="L224" s="29">
        <v>123</v>
      </c>
      <c r="M224" s="29">
        <v>6.34</v>
      </c>
      <c r="N224" s="33">
        <v>2.54</v>
      </c>
      <c r="O224" s="34">
        <v>5.7000000000000002E-2</v>
      </c>
      <c r="P224" s="29"/>
      <c r="Q224" s="29"/>
      <c r="R224" s="29" t="s">
        <v>610</v>
      </c>
      <c r="S224" s="29" t="s">
        <v>610</v>
      </c>
      <c r="T224" s="34"/>
      <c r="U224" s="29">
        <v>7</v>
      </c>
      <c r="V224" s="29" t="s">
        <v>662</v>
      </c>
      <c r="W224" s="29"/>
      <c r="X224" s="29"/>
      <c r="Y224" s="30" t="s">
        <v>493</v>
      </c>
      <c r="Z224" s="30">
        <v>27</v>
      </c>
      <c r="AA224" s="7" t="e">
        <v>#N/A</v>
      </c>
      <c r="AB224" s="7"/>
      <c r="AC224" s="7"/>
      <c r="AD224" s="7"/>
    </row>
    <row r="225" spans="1:30" ht="15" x14ac:dyDescent="0.25">
      <c r="A225" s="26">
        <v>27217125270</v>
      </c>
      <c r="B225" s="27" t="s">
        <v>531</v>
      </c>
      <c r="C225" s="27" t="s">
        <v>443</v>
      </c>
      <c r="D225" s="27" t="s">
        <v>583</v>
      </c>
      <c r="E225" s="28"/>
      <c r="F225" s="27"/>
      <c r="G225" s="27" t="s">
        <v>661</v>
      </c>
      <c r="H225" s="29">
        <v>5.9</v>
      </c>
      <c r="I225" s="29">
        <v>123</v>
      </c>
      <c r="J225" s="29">
        <v>3</v>
      </c>
      <c r="K225" s="29">
        <v>0</v>
      </c>
      <c r="L225" s="29">
        <v>126</v>
      </c>
      <c r="M225" s="29">
        <v>6.48</v>
      </c>
      <c r="N225" s="33">
        <v>2.59</v>
      </c>
      <c r="O225" s="34">
        <v>2.4E-2</v>
      </c>
      <c r="P225" s="29"/>
      <c r="Q225" s="29"/>
      <c r="R225" s="29" t="s">
        <v>610</v>
      </c>
      <c r="S225" s="29" t="s">
        <v>610</v>
      </c>
      <c r="T225" s="34"/>
      <c r="U225" s="29">
        <v>3</v>
      </c>
      <c r="V225" s="29" t="s">
        <v>665</v>
      </c>
      <c r="W225" s="29"/>
      <c r="X225" s="29"/>
      <c r="Y225" s="30" t="s">
        <v>493</v>
      </c>
      <c r="Z225" s="30">
        <v>27</v>
      </c>
      <c r="AA225" s="7" t="s">
        <v>830</v>
      </c>
      <c r="AB225" s="7"/>
      <c r="AC225" s="7"/>
      <c r="AD225" s="7"/>
    </row>
    <row r="226" spans="1:30" ht="15" x14ac:dyDescent="0.25">
      <c r="A226" s="26">
        <v>27207145668</v>
      </c>
      <c r="B226" s="27" t="s">
        <v>531</v>
      </c>
      <c r="C226" s="27" t="s">
        <v>681</v>
      </c>
      <c r="D226" s="27" t="s">
        <v>603</v>
      </c>
      <c r="E226" s="28"/>
      <c r="F226" s="27"/>
      <c r="G226" s="27" t="s">
        <v>661</v>
      </c>
      <c r="H226" s="29">
        <v>8.1</v>
      </c>
      <c r="I226" s="29">
        <v>123</v>
      </c>
      <c r="J226" s="29">
        <v>0</v>
      </c>
      <c r="K226" s="29">
        <v>0</v>
      </c>
      <c r="L226" s="29">
        <v>123</v>
      </c>
      <c r="M226" s="29">
        <v>7.11</v>
      </c>
      <c r="N226" s="33">
        <v>2.91</v>
      </c>
      <c r="O226" s="34">
        <v>0</v>
      </c>
      <c r="P226" s="29"/>
      <c r="Q226" s="29"/>
      <c r="R226" s="29" t="s">
        <v>610</v>
      </c>
      <c r="S226" s="29" t="s">
        <v>610</v>
      </c>
      <c r="T226" s="34"/>
      <c r="U226" s="29">
        <v>0</v>
      </c>
      <c r="V226" s="29" t="s">
        <v>665</v>
      </c>
      <c r="W226" s="29"/>
      <c r="X226" s="29"/>
      <c r="Y226" s="30" t="s">
        <v>493</v>
      </c>
      <c r="Z226" s="30">
        <v>27</v>
      </c>
      <c r="AA226" s="7" t="e">
        <v>#N/A</v>
      </c>
      <c r="AB226" s="7" t="e">
        <v>#N/A</v>
      </c>
      <c r="AC226" s="7" t="s">
        <v>48</v>
      </c>
      <c r="AD226" s="7" t="s">
        <v>600</v>
      </c>
    </row>
    <row r="227" spans="1:30" ht="15" x14ac:dyDescent="0.25">
      <c r="A227" s="26">
        <v>27207143440</v>
      </c>
      <c r="B227" s="27" t="s">
        <v>531</v>
      </c>
      <c r="C227" s="27" t="s">
        <v>738</v>
      </c>
      <c r="D227" s="27" t="s">
        <v>584</v>
      </c>
      <c r="E227" s="28"/>
      <c r="F227" s="27"/>
      <c r="G227" s="27" t="s">
        <v>661</v>
      </c>
      <c r="H227" s="29">
        <v>5.0999999999999996</v>
      </c>
      <c r="I227" s="29">
        <v>121</v>
      </c>
      <c r="J227" s="29">
        <v>2</v>
      </c>
      <c r="K227" s="29">
        <v>0</v>
      </c>
      <c r="L227" s="29">
        <v>123</v>
      </c>
      <c r="M227" s="29">
        <v>7.03</v>
      </c>
      <c r="N227" s="33">
        <v>2.88</v>
      </c>
      <c r="O227" s="34">
        <v>1.6E-2</v>
      </c>
      <c r="P227" s="29"/>
      <c r="Q227" s="29"/>
      <c r="R227" s="29" t="s">
        <v>610</v>
      </c>
      <c r="S227" s="29" t="s">
        <v>610</v>
      </c>
      <c r="T227" s="34"/>
      <c r="U227" s="29">
        <v>0</v>
      </c>
      <c r="V227" s="29" t="s">
        <v>665</v>
      </c>
      <c r="W227" s="29"/>
      <c r="X227" s="29"/>
      <c r="Y227" s="30" t="s">
        <v>493</v>
      </c>
      <c r="Z227" s="30">
        <v>27</v>
      </c>
      <c r="AA227" s="7" t="s">
        <v>843</v>
      </c>
      <c r="AB227" s="7"/>
      <c r="AC227" s="7"/>
      <c r="AD227" s="7"/>
    </row>
    <row r="228" spans="1:30" ht="15" x14ac:dyDescent="0.25">
      <c r="A228" s="26">
        <v>27207152184</v>
      </c>
      <c r="B228" s="27" t="s">
        <v>471</v>
      </c>
      <c r="C228" s="27" t="s">
        <v>763</v>
      </c>
      <c r="D228" s="27" t="s">
        <v>584</v>
      </c>
      <c r="E228" s="28"/>
      <c r="F228" s="27"/>
      <c r="G228" s="27" t="s">
        <v>661</v>
      </c>
      <c r="H228" s="29">
        <v>6.8</v>
      </c>
      <c r="I228" s="29">
        <v>122</v>
      </c>
      <c r="J228" s="29">
        <v>2</v>
      </c>
      <c r="K228" s="29">
        <v>0</v>
      </c>
      <c r="L228" s="29">
        <v>124</v>
      </c>
      <c r="M228" s="29">
        <v>7.41</v>
      </c>
      <c r="N228" s="33">
        <v>3.11</v>
      </c>
      <c r="O228" s="34">
        <v>1.6E-2</v>
      </c>
      <c r="P228" s="29" t="s">
        <v>610</v>
      </c>
      <c r="Q228" s="29" t="s">
        <v>610</v>
      </c>
      <c r="R228" s="29" t="s">
        <v>610</v>
      </c>
      <c r="S228" s="29" t="s">
        <v>610</v>
      </c>
      <c r="T228" s="34"/>
      <c r="U228" s="29">
        <v>2</v>
      </c>
      <c r="V228" s="29" t="s">
        <v>665</v>
      </c>
      <c r="W228" s="29"/>
      <c r="X228" s="29"/>
      <c r="Y228" s="30" t="s">
        <v>493</v>
      </c>
      <c r="Z228" s="30">
        <v>27</v>
      </c>
      <c r="AA228" s="7" t="s">
        <v>806</v>
      </c>
      <c r="AB228" s="7"/>
      <c r="AC228" s="7"/>
      <c r="AD228" s="7"/>
    </row>
    <row r="229" spans="1:30" ht="15" x14ac:dyDescent="0.25">
      <c r="A229" s="26">
        <v>27207120791</v>
      </c>
      <c r="B229" s="27" t="s">
        <v>764</v>
      </c>
      <c r="C229" s="27" t="s">
        <v>614</v>
      </c>
      <c r="D229" s="27" t="s">
        <v>574</v>
      </c>
      <c r="E229" s="28"/>
      <c r="F229" s="27"/>
      <c r="G229" s="27" t="s">
        <v>661</v>
      </c>
      <c r="H229" s="29">
        <v>8.5</v>
      </c>
      <c r="I229" s="29">
        <v>120</v>
      </c>
      <c r="J229" s="29">
        <v>4</v>
      </c>
      <c r="K229" s="29">
        <v>0</v>
      </c>
      <c r="L229" s="29">
        <v>124</v>
      </c>
      <c r="M229" s="29">
        <v>7.2</v>
      </c>
      <c r="N229" s="33">
        <v>3</v>
      </c>
      <c r="O229" s="34">
        <v>3.2000000000000001E-2</v>
      </c>
      <c r="P229" s="29"/>
      <c r="Q229" s="29" t="s">
        <v>610</v>
      </c>
      <c r="R229" s="29" t="s">
        <v>610</v>
      </c>
      <c r="S229" s="29" t="s">
        <v>610</v>
      </c>
      <c r="T229" s="34"/>
      <c r="U229" s="29">
        <v>4</v>
      </c>
      <c r="V229" s="29" t="s">
        <v>665</v>
      </c>
      <c r="W229" s="29"/>
      <c r="X229" s="29"/>
      <c r="Y229" s="30" t="s">
        <v>493</v>
      </c>
      <c r="Z229" s="30">
        <v>27</v>
      </c>
      <c r="AA229" s="7" t="s">
        <v>814</v>
      </c>
      <c r="AB229" s="7"/>
      <c r="AC229" s="7"/>
      <c r="AD229" s="7"/>
    </row>
    <row r="230" spans="1:30" ht="15" x14ac:dyDescent="0.25">
      <c r="A230" s="26">
        <v>27217132623</v>
      </c>
      <c r="B230" s="27" t="s">
        <v>765</v>
      </c>
      <c r="C230" s="27" t="s">
        <v>566</v>
      </c>
      <c r="D230" s="27" t="s">
        <v>574</v>
      </c>
      <c r="E230" s="28"/>
      <c r="F230" s="27"/>
      <c r="G230" s="27" t="s">
        <v>661</v>
      </c>
      <c r="H230" s="29">
        <v>4</v>
      </c>
      <c r="I230" s="29">
        <v>59</v>
      </c>
      <c r="J230" s="29">
        <v>64</v>
      </c>
      <c r="K230" s="29">
        <v>0</v>
      </c>
      <c r="L230" s="29">
        <v>123</v>
      </c>
      <c r="M230" s="29">
        <v>2.97</v>
      </c>
      <c r="N230" s="33">
        <v>1.1399999999999999</v>
      </c>
      <c r="O230" s="34">
        <v>0.52</v>
      </c>
      <c r="P230" s="29"/>
      <c r="Q230" s="29"/>
      <c r="R230" s="29"/>
      <c r="S230" s="29" t="s">
        <v>610</v>
      </c>
      <c r="T230" s="34"/>
      <c r="U230" s="29">
        <v>13</v>
      </c>
      <c r="V230" s="29" t="s">
        <v>662</v>
      </c>
      <c r="W230" s="29"/>
      <c r="X230" s="29"/>
      <c r="Y230" s="30" t="s">
        <v>493</v>
      </c>
      <c r="Z230" s="30">
        <v>27</v>
      </c>
      <c r="AA230" s="7" t="e">
        <v>#N/A</v>
      </c>
      <c r="AB230" s="7"/>
      <c r="AC230" s="7"/>
      <c r="AD230" s="7"/>
    </row>
    <row r="231" spans="1:30" ht="15" x14ac:dyDescent="0.25">
      <c r="A231" s="26">
        <v>26207135134</v>
      </c>
      <c r="B231" s="27" t="s">
        <v>499</v>
      </c>
      <c r="C231" s="27" t="s">
        <v>690</v>
      </c>
      <c r="D231" s="27" t="s">
        <v>536</v>
      </c>
      <c r="E231" s="28"/>
      <c r="F231" s="27"/>
      <c r="G231" s="27" t="s">
        <v>661</v>
      </c>
      <c r="H231" s="29">
        <v>6.9</v>
      </c>
      <c r="I231" s="29">
        <v>104</v>
      </c>
      <c r="J231" s="29">
        <v>20</v>
      </c>
      <c r="K231" s="29">
        <v>0</v>
      </c>
      <c r="L231" s="29">
        <v>124</v>
      </c>
      <c r="M231" s="29">
        <v>5.77</v>
      </c>
      <c r="N231" s="33">
        <v>2.33</v>
      </c>
      <c r="O231" s="34">
        <v>0.161</v>
      </c>
      <c r="P231" s="29"/>
      <c r="Q231" s="29"/>
      <c r="R231" s="29" t="s">
        <v>610</v>
      </c>
      <c r="S231" s="29" t="s">
        <v>610</v>
      </c>
      <c r="T231" s="34"/>
      <c r="U231" s="29">
        <v>16</v>
      </c>
      <c r="V231" s="29" t="s">
        <v>662</v>
      </c>
      <c r="W231" s="29"/>
      <c r="X231" s="29"/>
      <c r="Y231" s="30" t="s">
        <v>493</v>
      </c>
      <c r="Z231" s="30">
        <v>27</v>
      </c>
      <c r="AA231" s="7" t="e">
        <v>#N/A</v>
      </c>
      <c r="AB231" s="7"/>
      <c r="AC231" s="7"/>
      <c r="AD231" s="7"/>
    </row>
    <row r="232" spans="1:30" ht="15" x14ac:dyDescent="0.25">
      <c r="A232" s="26">
        <v>27202223370</v>
      </c>
      <c r="B232" s="27" t="s">
        <v>531</v>
      </c>
      <c r="C232" s="27" t="s">
        <v>690</v>
      </c>
      <c r="D232" s="27" t="s">
        <v>536</v>
      </c>
      <c r="E232" s="28"/>
      <c r="F232" s="27"/>
      <c r="G232" s="27" t="s">
        <v>661</v>
      </c>
      <c r="H232" s="29">
        <v>7.3</v>
      </c>
      <c r="I232" s="29">
        <v>82</v>
      </c>
      <c r="J232" s="29">
        <v>44</v>
      </c>
      <c r="K232" s="29">
        <v>0</v>
      </c>
      <c r="L232" s="29">
        <v>126</v>
      </c>
      <c r="M232" s="29">
        <v>4.01</v>
      </c>
      <c r="N232" s="33">
        <v>1.52</v>
      </c>
      <c r="O232" s="34">
        <v>0.34899999999999998</v>
      </c>
      <c r="P232" s="29"/>
      <c r="Q232" s="29"/>
      <c r="R232" s="29" t="s">
        <v>610</v>
      </c>
      <c r="S232" s="29" t="s">
        <v>610</v>
      </c>
      <c r="T232" s="34"/>
      <c r="U232" s="29">
        <v>0</v>
      </c>
      <c r="V232" s="29" t="s">
        <v>662</v>
      </c>
      <c r="W232" s="29"/>
      <c r="X232" s="29"/>
      <c r="Y232" s="30" t="s">
        <v>493</v>
      </c>
      <c r="Z232" s="30">
        <v>27</v>
      </c>
      <c r="AA232" s="7" t="e">
        <v>#N/A</v>
      </c>
      <c r="AB232" s="7"/>
      <c r="AC232" s="7"/>
      <c r="AD232" s="7"/>
    </row>
    <row r="233" spans="1:30" ht="15" x14ac:dyDescent="0.25">
      <c r="A233" s="26">
        <v>27207100837</v>
      </c>
      <c r="B233" s="27" t="s">
        <v>531</v>
      </c>
      <c r="C233" s="27" t="s">
        <v>681</v>
      </c>
      <c r="D233" s="27" t="s">
        <v>536</v>
      </c>
      <c r="E233" s="28"/>
      <c r="F233" s="27"/>
      <c r="G233" s="27" t="s">
        <v>661</v>
      </c>
      <c r="H233" s="29">
        <v>7.7</v>
      </c>
      <c r="I233" s="29">
        <v>122</v>
      </c>
      <c r="J233" s="29">
        <v>2</v>
      </c>
      <c r="K233" s="29">
        <v>0</v>
      </c>
      <c r="L233" s="29">
        <v>124</v>
      </c>
      <c r="M233" s="29">
        <v>7.1</v>
      </c>
      <c r="N233" s="33">
        <v>2.94</v>
      </c>
      <c r="O233" s="34">
        <v>1.6E-2</v>
      </c>
      <c r="P233" s="29"/>
      <c r="Q233" s="29"/>
      <c r="R233" s="29" t="s">
        <v>610</v>
      </c>
      <c r="S233" s="29" t="s">
        <v>610</v>
      </c>
      <c r="T233" s="34"/>
      <c r="U233" s="29">
        <v>2</v>
      </c>
      <c r="V233" s="29" t="s">
        <v>665</v>
      </c>
      <c r="W233" s="29"/>
      <c r="X233" s="29"/>
      <c r="Y233" s="30" t="s">
        <v>493</v>
      </c>
      <c r="Z233" s="30">
        <v>27</v>
      </c>
      <c r="AA233" s="7" t="s">
        <v>844</v>
      </c>
      <c r="AB233" s="7"/>
      <c r="AC233" s="7"/>
      <c r="AD233" s="7"/>
    </row>
    <row r="234" spans="1:30" ht="15" x14ac:dyDescent="0.25">
      <c r="A234" s="26">
        <v>27207128239</v>
      </c>
      <c r="B234" s="27" t="s">
        <v>676</v>
      </c>
      <c r="C234" s="27" t="s">
        <v>623</v>
      </c>
      <c r="D234" s="27" t="s">
        <v>536</v>
      </c>
      <c r="E234" s="28"/>
      <c r="F234" s="27"/>
      <c r="G234" s="27" t="s">
        <v>661</v>
      </c>
      <c r="H234" s="29">
        <v>8.6999999999999993</v>
      </c>
      <c r="I234" s="29">
        <v>116</v>
      </c>
      <c r="J234" s="29">
        <v>8</v>
      </c>
      <c r="K234" s="29">
        <v>0</v>
      </c>
      <c r="L234" s="29">
        <v>124</v>
      </c>
      <c r="M234" s="29">
        <v>5.85</v>
      </c>
      <c r="N234" s="33">
        <v>2.25</v>
      </c>
      <c r="O234" s="34">
        <v>6.5000000000000002E-2</v>
      </c>
      <c r="P234" s="29"/>
      <c r="Q234" s="29"/>
      <c r="R234" s="29" t="s">
        <v>610</v>
      </c>
      <c r="S234" s="29" t="s">
        <v>610</v>
      </c>
      <c r="T234" s="34"/>
      <c r="U234" s="29">
        <v>5</v>
      </c>
      <c r="V234" s="29" t="s">
        <v>662</v>
      </c>
      <c r="W234" s="29"/>
      <c r="X234" s="29"/>
      <c r="Y234" s="30" t="s">
        <v>493</v>
      </c>
      <c r="Z234" s="30">
        <v>27</v>
      </c>
      <c r="AA234" s="7" t="e">
        <v>#N/A</v>
      </c>
      <c r="AB234" s="7"/>
      <c r="AC234" s="7"/>
      <c r="AD234" s="7"/>
    </row>
    <row r="235" spans="1:30" ht="15" x14ac:dyDescent="0.25">
      <c r="A235" s="26">
        <v>27207130900</v>
      </c>
      <c r="B235" s="27" t="s">
        <v>663</v>
      </c>
      <c r="C235" s="27" t="s">
        <v>747</v>
      </c>
      <c r="D235" s="27" t="s">
        <v>536</v>
      </c>
      <c r="E235" s="28"/>
      <c r="F235" s="27"/>
      <c r="G235" s="27" t="s">
        <v>661</v>
      </c>
      <c r="H235" s="29">
        <v>9.1999999999999993</v>
      </c>
      <c r="I235" s="29">
        <v>120</v>
      </c>
      <c r="J235" s="29">
        <v>3</v>
      </c>
      <c r="K235" s="29">
        <v>0</v>
      </c>
      <c r="L235" s="29">
        <v>123</v>
      </c>
      <c r="M235" s="29">
        <v>7.34</v>
      </c>
      <c r="N235" s="33">
        <v>3.09</v>
      </c>
      <c r="O235" s="34">
        <v>2.4E-2</v>
      </c>
      <c r="P235" s="29"/>
      <c r="Q235" s="29" t="s">
        <v>610</v>
      </c>
      <c r="R235" s="29" t="s">
        <v>610</v>
      </c>
      <c r="S235" s="29" t="s">
        <v>610</v>
      </c>
      <c r="T235" s="34"/>
      <c r="U235" s="29">
        <v>0</v>
      </c>
      <c r="V235" s="29" t="s">
        <v>665</v>
      </c>
      <c r="W235" s="29"/>
      <c r="X235" s="29"/>
      <c r="Y235" s="30" t="s">
        <v>493</v>
      </c>
      <c r="Z235" s="30">
        <v>27</v>
      </c>
      <c r="AA235" s="7" t="e">
        <v>#N/A</v>
      </c>
      <c r="AB235" s="7" t="e">
        <v>#N/A</v>
      </c>
      <c r="AC235" s="7" t="s">
        <v>63</v>
      </c>
      <c r="AD235" s="7" t="s">
        <v>565</v>
      </c>
    </row>
    <row r="236" spans="1:30" ht="15" x14ac:dyDescent="0.25">
      <c r="A236" s="26">
        <v>27207133083</v>
      </c>
      <c r="B236" s="27" t="s">
        <v>539</v>
      </c>
      <c r="C236" s="27" t="s">
        <v>766</v>
      </c>
      <c r="D236" s="27" t="s">
        <v>536</v>
      </c>
      <c r="E236" s="28"/>
      <c r="F236" s="27"/>
      <c r="G236" s="27" t="s">
        <v>661</v>
      </c>
      <c r="H236" s="29">
        <v>7.2</v>
      </c>
      <c r="I236" s="29">
        <v>85</v>
      </c>
      <c r="J236" s="29">
        <v>39</v>
      </c>
      <c r="K236" s="29">
        <v>0</v>
      </c>
      <c r="L236" s="29">
        <v>124</v>
      </c>
      <c r="M236" s="29">
        <v>4.71</v>
      </c>
      <c r="N236" s="33">
        <v>1.9</v>
      </c>
      <c r="O236" s="34">
        <v>0.315</v>
      </c>
      <c r="P236" s="29"/>
      <c r="Q236" s="29"/>
      <c r="R236" s="29" t="s">
        <v>610</v>
      </c>
      <c r="S236" s="29"/>
      <c r="T236" s="34"/>
      <c r="U236" s="29">
        <v>0</v>
      </c>
      <c r="V236" s="29" t="s">
        <v>662</v>
      </c>
      <c r="W236" s="29"/>
      <c r="X236" s="29"/>
      <c r="Y236" s="30" t="s">
        <v>493</v>
      </c>
      <c r="Z236" s="30">
        <v>27</v>
      </c>
      <c r="AA236" s="7" t="e">
        <v>#N/A</v>
      </c>
      <c r="AB236" s="7"/>
      <c r="AC236" s="7"/>
      <c r="AD236" s="7"/>
    </row>
    <row r="237" spans="1:30" ht="15" x14ac:dyDescent="0.25">
      <c r="A237" s="26">
        <v>27207139286</v>
      </c>
      <c r="B237" s="27" t="s">
        <v>680</v>
      </c>
      <c r="C237" s="27" t="s">
        <v>758</v>
      </c>
      <c r="D237" s="27" t="s">
        <v>536</v>
      </c>
      <c r="E237" s="28"/>
      <c r="F237" s="27"/>
      <c r="G237" s="27" t="s">
        <v>661</v>
      </c>
      <c r="H237" s="29">
        <v>7</v>
      </c>
      <c r="I237" s="29">
        <v>116</v>
      </c>
      <c r="J237" s="29">
        <v>7</v>
      </c>
      <c r="K237" s="29">
        <v>0</v>
      </c>
      <c r="L237" s="29">
        <v>123</v>
      </c>
      <c r="M237" s="29">
        <v>6.51</v>
      </c>
      <c r="N237" s="33">
        <v>2.66</v>
      </c>
      <c r="O237" s="34">
        <v>5.7000000000000002E-2</v>
      </c>
      <c r="P237" s="29"/>
      <c r="Q237" s="29"/>
      <c r="R237" s="29" t="s">
        <v>610</v>
      </c>
      <c r="S237" s="29" t="s">
        <v>610</v>
      </c>
      <c r="T237" s="34"/>
      <c r="U237" s="29">
        <v>4</v>
      </c>
      <c r="V237" s="29" t="s">
        <v>662</v>
      </c>
      <c r="W237" s="29"/>
      <c r="X237" s="29"/>
      <c r="Y237" s="30" t="s">
        <v>493</v>
      </c>
      <c r="Z237" s="30">
        <v>27</v>
      </c>
      <c r="AA237" s="7" t="e">
        <v>#N/A</v>
      </c>
      <c r="AB237" s="7"/>
      <c r="AC237" s="7"/>
      <c r="AD237" s="7"/>
    </row>
    <row r="238" spans="1:30" ht="15" x14ac:dyDescent="0.25">
      <c r="A238" s="26">
        <v>27207141496</v>
      </c>
      <c r="B238" s="27" t="s">
        <v>499</v>
      </c>
      <c r="C238" s="27" t="s">
        <v>767</v>
      </c>
      <c r="D238" s="27" t="s">
        <v>536</v>
      </c>
      <c r="E238" s="28"/>
      <c r="F238" s="27"/>
      <c r="G238" s="27" t="s">
        <v>661</v>
      </c>
      <c r="H238" s="29">
        <v>7.3</v>
      </c>
      <c r="I238" s="29">
        <v>113</v>
      </c>
      <c r="J238" s="29">
        <v>10</v>
      </c>
      <c r="K238" s="29">
        <v>0</v>
      </c>
      <c r="L238" s="29">
        <v>123</v>
      </c>
      <c r="M238" s="29">
        <v>6.07</v>
      </c>
      <c r="N238" s="33">
        <v>2.41</v>
      </c>
      <c r="O238" s="34">
        <v>8.1000000000000003E-2</v>
      </c>
      <c r="P238" s="29"/>
      <c r="Q238" s="29"/>
      <c r="R238" s="29" t="s">
        <v>610</v>
      </c>
      <c r="S238" s="29" t="s">
        <v>610</v>
      </c>
      <c r="T238" s="34"/>
      <c r="U238" s="29">
        <v>10</v>
      </c>
      <c r="V238" s="29" t="s">
        <v>662</v>
      </c>
      <c r="W238" s="29"/>
      <c r="X238" s="29"/>
      <c r="Y238" s="30" t="s">
        <v>493</v>
      </c>
      <c r="Z238" s="30">
        <v>27</v>
      </c>
      <c r="AA238" s="7" t="s">
        <v>805</v>
      </c>
      <c r="AB238" s="7"/>
      <c r="AC238" s="7"/>
      <c r="AD238" s="7"/>
    </row>
    <row r="239" spans="1:30" ht="15" x14ac:dyDescent="0.25">
      <c r="A239" s="26">
        <v>27216628760</v>
      </c>
      <c r="B239" s="27" t="s">
        <v>531</v>
      </c>
      <c r="C239" s="27" t="s">
        <v>613</v>
      </c>
      <c r="D239" s="27" t="s">
        <v>561</v>
      </c>
      <c r="E239" s="28"/>
      <c r="F239" s="27"/>
      <c r="G239" s="27" t="s">
        <v>661</v>
      </c>
      <c r="H239" s="29">
        <v>5.7</v>
      </c>
      <c r="I239" s="29">
        <v>115</v>
      </c>
      <c r="J239" s="29">
        <v>9</v>
      </c>
      <c r="K239" s="29">
        <v>0</v>
      </c>
      <c r="L239" s="29">
        <v>124</v>
      </c>
      <c r="M239" s="29">
        <v>5.82</v>
      </c>
      <c r="N239" s="33">
        <v>2.23</v>
      </c>
      <c r="O239" s="34">
        <v>7.2999999999999995E-2</v>
      </c>
      <c r="P239" s="29"/>
      <c r="Q239" s="29"/>
      <c r="R239" s="29" t="s">
        <v>610</v>
      </c>
      <c r="S239" s="29" t="s">
        <v>610</v>
      </c>
      <c r="T239" s="34"/>
      <c r="U239" s="29">
        <v>7</v>
      </c>
      <c r="V239" s="29" t="s">
        <v>662</v>
      </c>
      <c r="W239" s="29"/>
      <c r="X239" s="29"/>
      <c r="Y239" s="30" t="s">
        <v>493</v>
      </c>
      <c r="Z239" s="30">
        <v>27</v>
      </c>
      <c r="AA239" s="7" t="e">
        <v>#N/A</v>
      </c>
      <c r="AB239" s="7"/>
      <c r="AC239" s="7"/>
      <c r="AD239" s="7"/>
    </row>
    <row r="240" spans="1:30" ht="15" x14ac:dyDescent="0.25">
      <c r="A240" s="26">
        <v>27217100378</v>
      </c>
      <c r="B240" s="27" t="s">
        <v>631</v>
      </c>
      <c r="C240" s="27" t="s">
        <v>503</v>
      </c>
      <c r="D240" s="27" t="s">
        <v>561</v>
      </c>
      <c r="E240" s="28"/>
      <c r="F240" s="27"/>
      <c r="G240" s="27" t="s">
        <v>661</v>
      </c>
      <c r="H240" s="29">
        <v>8.8000000000000007</v>
      </c>
      <c r="I240" s="29">
        <v>124</v>
      </c>
      <c r="J240" s="29">
        <v>0</v>
      </c>
      <c r="K240" s="29">
        <v>0</v>
      </c>
      <c r="L240" s="29">
        <v>124</v>
      </c>
      <c r="M240" s="29">
        <v>6.93</v>
      </c>
      <c r="N240" s="33">
        <v>2.8</v>
      </c>
      <c r="O240" s="34">
        <v>0</v>
      </c>
      <c r="P240" s="29"/>
      <c r="Q240" s="29"/>
      <c r="R240" s="29" t="s">
        <v>610</v>
      </c>
      <c r="S240" s="29" t="s">
        <v>610</v>
      </c>
      <c r="T240" s="34"/>
      <c r="U240" s="29">
        <v>0</v>
      </c>
      <c r="V240" s="29" t="s">
        <v>665</v>
      </c>
      <c r="W240" s="29"/>
      <c r="X240" s="29"/>
      <c r="Y240" s="30" t="s">
        <v>493</v>
      </c>
      <c r="Z240" s="30">
        <v>27</v>
      </c>
      <c r="AA240" s="7" t="s">
        <v>845</v>
      </c>
      <c r="AB240" s="7"/>
      <c r="AC240" s="7"/>
      <c r="AD240" s="7"/>
    </row>
    <row r="241" spans="1:30" ht="15" x14ac:dyDescent="0.25">
      <c r="A241" s="26">
        <v>27217122799</v>
      </c>
      <c r="B241" s="27" t="s">
        <v>713</v>
      </c>
      <c r="C241" s="27" t="s">
        <v>503</v>
      </c>
      <c r="D241" s="27" t="s">
        <v>561</v>
      </c>
      <c r="E241" s="28"/>
      <c r="F241" s="27"/>
      <c r="G241" s="27" t="s">
        <v>661</v>
      </c>
      <c r="H241" s="29">
        <v>8.8000000000000007</v>
      </c>
      <c r="I241" s="29">
        <v>123</v>
      </c>
      <c r="J241" s="29">
        <v>0</v>
      </c>
      <c r="K241" s="29">
        <v>0</v>
      </c>
      <c r="L241" s="29">
        <v>123</v>
      </c>
      <c r="M241" s="29">
        <v>7.43</v>
      </c>
      <c r="N241" s="33">
        <v>3.11</v>
      </c>
      <c r="O241" s="34">
        <v>0</v>
      </c>
      <c r="P241" s="29"/>
      <c r="Q241" s="29" t="s">
        <v>610</v>
      </c>
      <c r="R241" s="29" t="s">
        <v>610</v>
      </c>
      <c r="S241" s="29" t="s">
        <v>610</v>
      </c>
      <c r="T241" s="34"/>
      <c r="U241" s="29">
        <v>0</v>
      </c>
      <c r="V241" s="29" t="s">
        <v>665</v>
      </c>
      <c r="W241" s="29"/>
      <c r="X241" s="29"/>
      <c r="Y241" s="30" t="s">
        <v>493</v>
      </c>
      <c r="Z241" s="30">
        <v>27</v>
      </c>
      <c r="AA241" s="7" t="s">
        <v>842</v>
      </c>
      <c r="AB241" s="7"/>
      <c r="AC241" s="7"/>
      <c r="AD241" s="7"/>
    </row>
    <row r="242" spans="1:30" ht="15" x14ac:dyDescent="0.25">
      <c r="A242" s="26">
        <v>27217144391</v>
      </c>
      <c r="B242" s="27" t="s">
        <v>631</v>
      </c>
      <c r="C242" s="27" t="s">
        <v>503</v>
      </c>
      <c r="D242" s="27" t="s">
        <v>561</v>
      </c>
      <c r="E242" s="28"/>
      <c r="F242" s="27"/>
      <c r="G242" s="27" t="s">
        <v>661</v>
      </c>
      <c r="H242" s="29">
        <v>5.3</v>
      </c>
      <c r="I242" s="29">
        <v>101</v>
      </c>
      <c r="J242" s="29">
        <v>22</v>
      </c>
      <c r="K242" s="29">
        <v>0</v>
      </c>
      <c r="L242" s="29">
        <v>123</v>
      </c>
      <c r="M242" s="29">
        <v>4.9400000000000004</v>
      </c>
      <c r="N242" s="33">
        <v>1.82</v>
      </c>
      <c r="O242" s="34">
        <v>0.17899999999999999</v>
      </c>
      <c r="P242" s="29"/>
      <c r="Q242" s="29"/>
      <c r="R242" s="29" t="s">
        <v>610</v>
      </c>
      <c r="S242" s="29" t="s">
        <v>610</v>
      </c>
      <c r="T242" s="34"/>
      <c r="U242" s="29">
        <v>9</v>
      </c>
      <c r="V242" s="29" t="s">
        <v>662</v>
      </c>
      <c r="W242" s="29"/>
      <c r="X242" s="29"/>
      <c r="Y242" s="30" t="s">
        <v>493</v>
      </c>
      <c r="Z242" s="30">
        <v>27</v>
      </c>
      <c r="AA242" s="7" t="e">
        <v>#N/A</v>
      </c>
      <c r="AB242" s="7"/>
      <c r="AC242" s="7"/>
      <c r="AD242" s="7"/>
    </row>
    <row r="243" spans="1:30" ht="15" x14ac:dyDescent="0.25">
      <c r="A243" s="26">
        <v>27217124781</v>
      </c>
      <c r="B243" s="27" t="s">
        <v>531</v>
      </c>
      <c r="C243" s="27" t="s">
        <v>484</v>
      </c>
      <c r="D243" s="27" t="s">
        <v>597</v>
      </c>
      <c r="E243" s="28"/>
      <c r="F243" s="27"/>
      <c r="G243" s="27" t="s">
        <v>661</v>
      </c>
      <c r="H243" s="29">
        <v>8</v>
      </c>
      <c r="I243" s="29">
        <v>114</v>
      </c>
      <c r="J243" s="29">
        <v>9</v>
      </c>
      <c r="K243" s="29">
        <v>0</v>
      </c>
      <c r="L243" s="29">
        <v>123</v>
      </c>
      <c r="M243" s="29">
        <v>5.96</v>
      </c>
      <c r="N243" s="33">
        <v>2.2999999999999998</v>
      </c>
      <c r="O243" s="34">
        <v>7.2999999999999995E-2</v>
      </c>
      <c r="P243" s="29"/>
      <c r="Q243" s="29"/>
      <c r="R243" s="29" t="s">
        <v>610</v>
      </c>
      <c r="S243" s="29" t="s">
        <v>610</v>
      </c>
      <c r="T243" s="34"/>
      <c r="U243" s="29">
        <v>7</v>
      </c>
      <c r="V243" s="29" t="s">
        <v>662</v>
      </c>
      <c r="W243" s="29"/>
      <c r="X243" s="29"/>
      <c r="Y243" s="30" t="s">
        <v>493</v>
      </c>
      <c r="Z243" s="30">
        <v>27</v>
      </c>
      <c r="AA243" s="7" t="e">
        <v>#N/A</v>
      </c>
      <c r="AB243" s="7"/>
      <c r="AC243" s="7"/>
      <c r="AD243" s="7"/>
    </row>
    <row r="244" spans="1:30" ht="15" x14ac:dyDescent="0.25">
      <c r="A244" s="26">
        <v>27217132510</v>
      </c>
      <c r="B244" s="27" t="s">
        <v>531</v>
      </c>
      <c r="C244" s="27" t="s">
        <v>613</v>
      </c>
      <c r="D244" s="27" t="s">
        <v>598</v>
      </c>
      <c r="E244" s="28"/>
      <c r="F244" s="27"/>
      <c r="G244" s="27" t="s">
        <v>661</v>
      </c>
      <c r="H244" s="29">
        <v>7.4</v>
      </c>
      <c r="I244" s="29">
        <v>77</v>
      </c>
      <c r="J244" s="29">
        <v>48</v>
      </c>
      <c r="K244" s="29">
        <v>0</v>
      </c>
      <c r="L244" s="29">
        <v>125</v>
      </c>
      <c r="M244" s="29">
        <v>3.99</v>
      </c>
      <c r="N244" s="33">
        <v>1.56</v>
      </c>
      <c r="O244" s="34">
        <v>0.38400000000000001</v>
      </c>
      <c r="P244" s="29"/>
      <c r="Q244" s="29"/>
      <c r="R244" s="29"/>
      <c r="S244" s="29" t="s">
        <v>610</v>
      </c>
      <c r="T244" s="34"/>
      <c r="U244" s="29">
        <v>14</v>
      </c>
      <c r="V244" s="29" t="s">
        <v>662</v>
      </c>
      <c r="W244" s="29"/>
      <c r="X244" s="29"/>
      <c r="Y244" s="30" t="s">
        <v>493</v>
      </c>
      <c r="Z244" s="30">
        <v>27</v>
      </c>
      <c r="AA244" s="7" t="e">
        <v>#N/A</v>
      </c>
      <c r="AB244" s="7"/>
      <c r="AC244" s="7"/>
      <c r="AD244" s="7"/>
    </row>
    <row r="245" spans="1:30" ht="15" x14ac:dyDescent="0.25">
      <c r="A245" s="26">
        <v>27202124339</v>
      </c>
      <c r="B245" s="27" t="s">
        <v>660</v>
      </c>
      <c r="C245" s="27" t="s">
        <v>738</v>
      </c>
      <c r="D245" s="27" t="s">
        <v>585</v>
      </c>
      <c r="E245" s="28"/>
      <c r="F245" s="27"/>
      <c r="G245" s="27" t="s">
        <v>661</v>
      </c>
      <c r="H245" s="29">
        <v>9.3000000000000007</v>
      </c>
      <c r="I245" s="29">
        <v>122</v>
      </c>
      <c r="J245" s="29">
        <v>2</v>
      </c>
      <c r="K245" s="29">
        <v>0</v>
      </c>
      <c r="L245" s="29">
        <v>124</v>
      </c>
      <c r="M245" s="29">
        <v>7.62</v>
      </c>
      <c r="N245" s="33">
        <v>3.22</v>
      </c>
      <c r="O245" s="34">
        <v>1.6E-2</v>
      </c>
      <c r="P245" s="29"/>
      <c r="Q245" s="29"/>
      <c r="R245" s="29" t="s">
        <v>610</v>
      </c>
      <c r="S245" s="29" t="s">
        <v>610</v>
      </c>
      <c r="T245" s="34"/>
      <c r="U245" s="29">
        <v>0</v>
      </c>
      <c r="V245" s="29" t="s">
        <v>665</v>
      </c>
      <c r="W245" s="29"/>
      <c r="X245" s="30" t="s">
        <v>23</v>
      </c>
      <c r="Y245" s="30" t="s">
        <v>493</v>
      </c>
      <c r="Z245" s="30">
        <v>27</v>
      </c>
      <c r="AA245" s="7" t="s">
        <v>846</v>
      </c>
      <c r="AB245" s="7"/>
      <c r="AC245" s="7"/>
      <c r="AD245" s="7"/>
    </row>
    <row r="246" spans="1:30" ht="15" x14ac:dyDescent="0.25">
      <c r="A246" s="26">
        <v>27207100676</v>
      </c>
      <c r="B246" s="27" t="s">
        <v>545</v>
      </c>
      <c r="C246" s="27" t="s">
        <v>664</v>
      </c>
      <c r="D246" s="27" t="s">
        <v>585</v>
      </c>
      <c r="E246" s="28"/>
      <c r="F246" s="27"/>
      <c r="G246" s="27" t="s">
        <v>661</v>
      </c>
      <c r="H246" s="29">
        <v>8.6999999999999993</v>
      </c>
      <c r="I246" s="29">
        <v>121</v>
      </c>
      <c r="J246" s="29">
        <v>2</v>
      </c>
      <c r="K246" s="29">
        <v>0</v>
      </c>
      <c r="L246" s="29">
        <v>123</v>
      </c>
      <c r="M246" s="29">
        <v>6.74</v>
      </c>
      <c r="N246" s="33">
        <v>2.71</v>
      </c>
      <c r="O246" s="34">
        <v>1.6E-2</v>
      </c>
      <c r="P246" s="29"/>
      <c r="Q246" s="29"/>
      <c r="R246" s="29" t="s">
        <v>610</v>
      </c>
      <c r="S246" s="29" t="s">
        <v>610</v>
      </c>
      <c r="T246" s="34"/>
      <c r="U246" s="29">
        <v>2</v>
      </c>
      <c r="V246" s="29" t="s">
        <v>665</v>
      </c>
      <c r="W246" s="29"/>
      <c r="X246" s="29"/>
      <c r="Y246" s="30" t="s">
        <v>493</v>
      </c>
      <c r="Z246" s="30">
        <v>27</v>
      </c>
      <c r="AA246" s="7" t="s">
        <v>847</v>
      </c>
      <c r="AB246" s="7"/>
      <c r="AC246" s="7"/>
      <c r="AD246" s="7"/>
    </row>
    <row r="247" spans="1:30" ht="15" x14ac:dyDescent="0.25">
      <c r="A247" s="26">
        <v>27215131988</v>
      </c>
      <c r="B247" s="27" t="s">
        <v>531</v>
      </c>
      <c r="C247" s="27" t="s">
        <v>768</v>
      </c>
      <c r="D247" s="27" t="s">
        <v>585</v>
      </c>
      <c r="E247" s="28"/>
      <c r="F247" s="27"/>
      <c r="G247" s="27" t="s">
        <v>661</v>
      </c>
      <c r="H247" s="29">
        <v>8.6999999999999993</v>
      </c>
      <c r="I247" s="29">
        <v>121</v>
      </c>
      <c r="J247" s="29">
        <v>2</v>
      </c>
      <c r="K247" s="29">
        <v>0</v>
      </c>
      <c r="L247" s="29">
        <v>123</v>
      </c>
      <c r="M247" s="29">
        <v>7.41</v>
      </c>
      <c r="N247" s="33">
        <v>3.14</v>
      </c>
      <c r="O247" s="34">
        <v>1.6E-2</v>
      </c>
      <c r="P247" s="29"/>
      <c r="Q247" s="29"/>
      <c r="R247" s="29" t="s">
        <v>610</v>
      </c>
      <c r="S247" s="29" t="s">
        <v>610</v>
      </c>
      <c r="T247" s="34"/>
      <c r="U247" s="29">
        <v>2</v>
      </c>
      <c r="V247" s="29" t="s">
        <v>665</v>
      </c>
      <c r="W247" s="29"/>
      <c r="X247" s="29"/>
      <c r="Y247" s="30" t="s">
        <v>493</v>
      </c>
      <c r="Z247" s="30">
        <v>27</v>
      </c>
      <c r="AA247" s="7" t="s">
        <v>811</v>
      </c>
      <c r="AB247" s="7"/>
      <c r="AC247" s="7"/>
      <c r="AD247" s="7"/>
    </row>
    <row r="248" spans="1:30" ht="15" x14ac:dyDescent="0.25">
      <c r="A248" s="26">
        <v>26217226682</v>
      </c>
      <c r="B248" s="27" t="s">
        <v>674</v>
      </c>
      <c r="C248" s="27" t="s">
        <v>586</v>
      </c>
      <c r="D248" s="27" t="s">
        <v>537</v>
      </c>
      <c r="E248" s="28"/>
      <c r="F248" s="27"/>
      <c r="G248" s="27" t="s">
        <v>661</v>
      </c>
      <c r="H248" s="29">
        <v>7.7</v>
      </c>
      <c r="I248" s="29">
        <v>112</v>
      </c>
      <c r="J248" s="29">
        <v>11</v>
      </c>
      <c r="K248" s="29">
        <v>0</v>
      </c>
      <c r="L248" s="29">
        <v>123</v>
      </c>
      <c r="M248" s="29">
        <v>5.86</v>
      </c>
      <c r="N248" s="33">
        <v>2.31</v>
      </c>
      <c r="O248" s="34">
        <v>8.8999999999999996E-2</v>
      </c>
      <c r="P248" s="29"/>
      <c r="Q248" s="29"/>
      <c r="R248" s="29" t="s">
        <v>610</v>
      </c>
      <c r="S248" s="29" t="s">
        <v>610</v>
      </c>
      <c r="T248" s="34"/>
      <c r="U248" s="29">
        <v>2</v>
      </c>
      <c r="V248" s="29" t="s">
        <v>662</v>
      </c>
      <c r="W248" s="29"/>
      <c r="X248" s="29"/>
      <c r="Y248" s="30" t="s">
        <v>493</v>
      </c>
      <c r="Z248" s="30">
        <v>27</v>
      </c>
      <c r="AA248" s="7" t="e">
        <v>#N/A</v>
      </c>
      <c r="AB248" s="7"/>
      <c r="AC248" s="7"/>
      <c r="AD248" s="7"/>
    </row>
    <row r="249" spans="1:30" ht="15" x14ac:dyDescent="0.25">
      <c r="A249" s="26">
        <v>27207127473</v>
      </c>
      <c r="B249" s="27" t="s">
        <v>663</v>
      </c>
      <c r="C249" s="27" t="s">
        <v>602</v>
      </c>
      <c r="D249" s="27" t="s">
        <v>481</v>
      </c>
      <c r="E249" s="28"/>
      <c r="F249" s="27"/>
      <c r="G249" s="27" t="s">
        <v>661</v>
      </c>
      <c r="H249" s="29">
        <v>6.1</v>
      </c>
      <c r="I249" s="29">
        <v>76</v>
      </c>
      <c r="J249" s="29">
        <v>48</v>
      </c>
      <c r="K249" s="29">
        <v>0</v>
      </c>
      <c r="L249" s="29">
        <v>124</v>
      </c>
      <c r="M249" s="29">
        <v>3.4</v>
      </c>
      <c r="N249" s="33">
        <v>1.19</v>
      </c>
      <c r="O249" s="34">
        <v>0.38700000000000001</v>
      </c>
      <c r="P249" s="29"/>
      <c r="Q249" s="29"/>
      <c r="R249" s="29" t="s">
        <v>610</v>
      </c>
      <c r="S249" s="29" t="s">
        <v>610</v>
      </c>
      <c r="T249" s="34"/>
      <c r="U249" s="29">
        <v>0</v>
      </c>
      <c r="V249" s="29" t="s">
        <v>662</v>
      </c>
      <c r="W249" s="29"/>
      <c r="X249" s="29"/>
      <c r="Y249" s="30" t="s">
        <v>493</v>
      </c>
      <c r="Z249" s="30">
        <v>27</v>
      </c>
      <c r="AA249" s="7" t="e">
        <v>#N/A</v>
      </c>
      <c r="AB249" s="7"/>
      <c r="AC249" s="7"/>
      <c r="AD249" s="7"/>
    </row>
    <row r="250" spans="1:30" ht="15" x14ac:dyDescent="0.25">
      <c r="A250" s="26">
        <v>27217102339</v>
      </c>
      <c r="B250" s="27" t="s">
        <v>531</v>
      </c>
      <c r="C250" s="27" t="s">
        <v>748</v>
      </c>
      <c r="D250" s="27" t="s">
        <v>575</v>
      </c>
      <c r="E250" s="28"/>
      <c r="F250" s="27"/>
      <c r="G250" s="27" t="s">
        <v>661</v>
      </c>
      <c r="H250" s="29">
        <v>7.4</v>
      </c>
      <c r="I250" s="29">
        <v>117</v>
      </c>
      <c r="J250" s="29">
        <v>6</v>
      </c>
      <c r="K250" s="29">
        <v>0</v>
      </c>
      <c r="L250" s="29">
        <v>123</v>
      </c>
      <c r="M250" s="29">
        <v>6.69</v>
      </c>
      <c r="N250" s="33">
        <v>2.72</v>
      </c>
      <c r="O250" s="34">
        <v>4.9000000000000002E-2</v>
      </c>
      <c r="P250" s="29"/>
      <c r="Q250" s="29"/>
      <c r="R250" s="29" t="s">
        <v>610</v>
      </c>
      <c r="S250" s="29" t="s">
        <v>610</v>
      </c>
      <c r="T250" s="34"/>
      <c r="U250" s="29">
        <v>7</v>
      </c>
      <c r="V250" s="29" t="s">
        <v>665</v>
      </c>
      <c r="W250" s="29"/>
      <c r="X250" s="29"/>
      <c r="Y250" s="30" t="s">
        <v>493</v>
      </c>
      <c r="Z250" s="30">
        <v>27</v>
      </c>
      <c r="AA250" s="7" t="e">
        <v>#N/A</v>
      </c>
      <c r="AB250" s="7" t="e">
        <v>#N/A</v>
      </c>
      <c r="AC250" s="7" t="s">
        <v>108</v>
      </c>
      <c r="AD250" s="7" t="s">
        <v>565</v>
      </c>
    </row>
    <row r="251" spans="1:30" ht="15" x14ac:dyDescent="0.25">
      <c r="A251" s="26">
        <v>27207142712</v>
      </c>
      <c r="B251" s="27" t="s">
        <v>531</v>
      </c>
      <c r="C251" s="27" t="s">
        <v>761</v>
      </c>
      <c r="D251" s="27" t="s">
        <v>511</v>
      </c>
      <c r="E251" s="28"/>
      <c r="F251" s="27"/>
      <c r="G251" s="27" t="s">
        <v>661</v>
      </c>
      <c r="H251" s="29">
        <v>8.1</v>
      </c>
      <c r="I251" s="29">
        <v>121</v>
      </c>
      <c r="J251" s="29">
        <v>2</v>
      </c>
      <c r="K251" s="29">
        <v>0</v>
      </c>
      <c r="L251" s="29">
        <v>123</v>
      </c>
      <c r="M251" s="29">
        <v>6.76</v>
      </c>
      <c r="N251" s="33">
        <v>2.75</v>
      </c>
      <c r="O251" s="34">
        <v>1.6E-2</v>
      </c>
      <c r="P251" s="29"/>
      <c r="Q251" s="29"/>
      <c r="R251" s="29" t="s">
        <v>610</v>
      </c>
      <c r="S251" s="29" t="s">
        <v>610</v>
      </c>
      <c r="T251" s="34"/>
      <c r="U251" s="29">
        <v>2</v>
      </c>
      <c r="V251" s="29" t="s">
        <v>665</v>
      </c>
      <c r="W251" s="29"/>
      <c r="X251" s="29"/>
      <c r="Y251" s="30" t="s">
        <v>493</v>
      </c>
      <c r="Z251" s="30">
        <v>27</v>
      </c>
      <c r="AA251" s="7" t="s">
        <v>809</v>
      </c>
      <c r="AB251" s="7"/>
      <c r="AC251" s="7"/>
      <c r="AD251" s="7"/>
    </row>
    <row r="252" spans="1:30" ht="15" x14ac:dyDescent="0.25">
      <c r="A252" s="26">
        <v>27217129069</v>
      </c>
      <c r="B252" s="27" t="s">
        <v>717</v>
      </c>
      <c r="C252" s="27" t="s">
        <v>484</v>
      </c>
      <c r="D252" s="27" t="s">
        <v>511</v>
      </c>
      <c r="E252" s="28"/>
      <c r="F252" s="27"/>
      <c r="G252" s="27" t="s">
        <v>661</v>
      </c>
      <c r="H252" s="29">
        <v>7.5</v>
      </c>
      <c r="I252" s="29">
        <v>122</v>
      </c>
      <c r="J252" s="29">
        <v>2</v>
      </c>
      <c r="K252" s="29">
        <v>0</v>
      </c>
      <c r="L252" s="29">
        <v>124</v>
      </c>
      <c r="M252" s="29">
        <v>7.22</v>
      </c>
      <c r="N252" s="33">
        <v>3.02</v>
      </c>
      <c r="O252" s="34">
        <v>1.6E-2</v>
      </c>
      <c r="P252" s="29" t="s">
        <v>610</v>
      </c>
      <c r="Q252" s="29" t="s">
        <v>610</v>
      </c>
      <c r="R252" s="29" t="s">
        <v>610</v>
      </c>
      <c r="S252" s="29" t="s">
        <v>610</v>
      </c>
      <c r="T252" s="34"/>
      <c r="U252" s="29">
        <v>2</v>
      </c>
      <c r="V252" s="29" t="s">
        <v>665</v>
      </c>
      <c r="W252" s="29"/>
      <c r="X252" s="29"/>
      <c r="Y252" s="30" t="s">
        <v>493</v>
      </c>
      <c r="Z252" s="30">
        <v>27</v>
      </c>
      <c r="AA252" s="7" t="s">
        <v>811</v>
      </c>
      <c r="AB252" s="7"/>
      <c r="AC252" s="7"/>
      <c r="AD252" s="7"/>
    </row>
    <row r="253" spans="1:30" ht="15" x14ac:dyDescent="0.25">
      <c r="A253" s="26">
        <v>27217144200</v>
      </c>
      <c r="B253" s="27" t="s">
        <v>531</v>
      </c>
      <c r="C253" s="27" t="s">
        <v>588</v>
      </c>
      <c r="D253" s="27" t="s">
        <v>511</v>
      </c>
      <c r="E253" s="28"/>
      <c r="F253" s="27"/>
      <c r="G253" s="27" t="s">
        <v>661</v>
      </c>
      <c r="H253" s="29">
        <v>6.7</v>
      </c>
      <c r="I253" s="29">
        <v>102</v>
      </c>
      <c r="J253" s="29">
        <v>21</v>
      </c>
      <c r="K253" s="29">
        <v>0</v>
      </c>
      <c r="L253" s="29">
        <v>123</v>
      </c>
      <c r="M253" s="29">
        <v>5.43</v>
      </c>
      <c r="N253" s="33">
        <v>2.14</v>
      </c>
      <c r="O253" s="34">
        <v>0.17100000000000001</v>
      </c>
      <c r="P253" s="29"/>
      <c r="Q253" s="29"/>
      <c r="R253" s="29" t="s">
        <v>610</v>
      </c>
      <c r="S253" s="29" t="s">
        <v>610</v>
      </c>
      <c r="T253" s="34"/>
      <c r="U253" s="29">
        <v>13</v>
      </c>
      <c r="V253" s="29" t="s">
        <v>662</v>
      </c>
      <c r="W253" s="29"/>
      <c r="X253" s="29"/>
      <c r="Y253" s="30" t="s">
        <v>493</v>
      </c>
      <c r="Z253" s="30">
        <v>27</v>
      </c>
      <c r="AA253" s="7" t="e">
        <v>#N/A</v>
      </c>
      <c r="AB253" s="7"/>
      <c r="AC253" s="7"/>
      <c r="AD253" s="7"/>
    </row>
    <row r="254" spans="1:30" ht="15" x14ac:dyDescent="0.25">
      <c r="A254" s="26">
        <v>27207122197</v>
      </c>
      <c r="B254" s="27" t="s">
        <v>531</v>
      </c>
      <c r="C254" s="27" t="s">
        <v>714</v>
      </c>
      <c r="D254" s="27" t="s">
        <v>512</v>
      </c>
      <c r="E254" s="28"/>
      <c r="F254" s="27"/>
      <c r="G254" s="27" t="s">
        <v>661</v>
      </c>
      <c r="H254" s="29">
        <v>9.1</v>
      </c>
      <c r="I254" s="29">
        <v>123</v>
      </c>
      <c r="J254" s="29">
        <v>0</v>
      </c>
      <c r="K254" s="29">
        <v>0</v>
      </c>
      <c r="L254" s="29">
        <v>123</v>
      </c>
      <c r="M254" s="29">
        <v>8.4600000000000009</v>
      </c>
      <c r="N254" s="33">
        <v>3.66</v>
      </c>
      <c r="O254" s="34">
        <v>0</v>
      </c>
      <c r="P254" s="29"/>
      <c r="Q254" s="29" t="s">
        <v>610</v>
      </c>
      <c r="R254" s="29" t="s">
        <v>610</v>
      </c>
      <c r="S254" s="29" t="s">
        <v>610</v>
      </c>
      <c r="T254" s="34"/>
      <c r="U254" s="29">
        <v>0</v>
      </c>
      <c r="V254" s="29" t="s">
        <v>665</v>
      </c>
      <c r="W254" s="29"/>
      <c r="X254" s="30" t="s">
        <v>23</v>
      </c>
      <c r="Y254" s="30" t="s">
        <v>493</v>
      </c>
      <c r="Z254" s="30">
        <v>27</v>
      </c>
      <c r="AA254" s="7" t="s">
        <v>829</v>
      </c>
      <c r="AB254" s="7"/>
      <c r="AC254" s="7"/>
      <c r="AD254" s="7"/>
    </row>
    <row r="255" spans="1:30" ht="15" x14ac:dyDescent="0.25">
      <c r="A255" s="26">
        <v>27217130071</v>
      </c>
      <c r="B255" s="27" t="s">
        <v>631</v>
      </c>
      <c r="C255" s="27" t="s">
        <v>586</v>
      </c>
      <c r="D255" s="27" t="s">
        <v>512</v>
      </c>
      <c r="E255" s="28"/>
      <c r="F255" s="27"/>
      <c r="G255" s="27" t="s">
        <v>661</v>
      </c>
      <c r="H255" s="29">
        <v>8.6999999999999993</v>
      </c>
      <c r="I255" s="29">
        <v>124</v>
      </c>
      <c r="J255" s="29">
        <v>0</v>
      </c>
      <c r="K255" s="29">
        <v>0</v>
      </c>
      <c r="L255" s="29">
        <v>124</v>
      </c>
      <c r="M255" s="29">
        <v>8.06</v>
      </c>
      <c r="N255" s="33">
        <v>3.47</v>
      </c>
      <c r="O255" s="34">
        <v>0</v>
      </c>
      <c r="P255" s="29"/>
      <c r="Q255" s="29" t="s">
        <v>610</v>
      </c>
      <c r="R255" s="29" t="s">
        <v>610</v>
      </c>
      <c r="S255" s="29" t="s">
        <v>610</v>
      </c>
      <c r="T255" s="34"/>
      <c r="U255" s="29">
        <v>0</v>
      </c>
      <c r="V255" s="29" t="s">
        <v>665</v>
      </c>
      <c r="W255" s="29"/>
      <c r="X255" s="30" t="s">
        <v>23</v>
      </c>
      <c r="Y255" s="30" t="s">
        <v>493</v>
      </c>
      <c r="Z255" s="30">
        <v>27</v>
      </c>
      <c r="AA255" s="7" t="s">
        <v>817</v>
      </c>
      <c r="AB255" s="7"/>
      <c r="AC255" s="7"/>
      <c r="AD255" s="7"/>
    </row>
    <row r="256" spans="1:30" ht="15" x14ac:dyDescent="0.25">
      <c r="A256" s="26">
        <v>27212228929</v>
      </c>
      <c r="B256" s="27" t="s">
        <v>531</v>
      </c>
      <c r="C256" s="27" t="s">
        <v>769</v>
      </c>
      <c r="D256" s="27" t="s">
        <v>482</v>
      </c>
      <c r="E256" s="28"/>
      <c r="F256" s="27"/>
      <c r="G256" s="27" t="s">
        <v>661</v>
      </c>
      <c r="H256" s="29">
        <v>5.8</v>
      </c>
      <c r="I256" s="29">
        <v>93</v>
      </c>
      <c r="J256" s="29">
        <v>30</v>
      </c>
      <c r="K256" s="29">
        <v>0</v>
      </c>
      <c r="L256" s="29">
        <v>123</v>
      </c>
      <c r="M256" s="29">
        <v>5.17</v>
      </c>
      <c r="N256" s="33">
        <v>2.08</v>
      </c>
      <c r="O256" s="34">
        <v>0.24399999999999999</v>
      </c>
      <c r="P256" s="29"/>
      <c r="Q256" s="29"/>
      <c r="R256" s="29" t="s">
        <v>610</v>
      </c>
      <c r="S256" s="29" t="s">
        <v>610</v>
      </c>
      <c r="T256" s="34"/>
      <c r="U256" s="29">
        <v>18</v>
      </c>
      <c r="V256" s="29" t="s">
        <v>662</v>
      </c>
      <c r="W256" s="29"/>
      <c r="X256" s="29"/>
      <c r="Y256" s="30" t="s">
        <v>493</v>
      </c>
      <c r="Z256" s="30">
        <v>27</v>
      </c>
      <c r="AA256" s="7" t="e">
        <v>#N/A</v>
      </c>
      <c r="AB256" s="7"/>
      <c r="AC256" s="7"/>
      <c r="AD256" s="7"/>
    </row>
    <row r="257" spans="1:30" ht="15" x14ac:dyDescent="0.25">
      <c r="A257" s="26">
        <v>27217132880</v>
      </c>
      <c r="B257" s="27" t="s">
        <v>700</v>
      </c>
      <c r="C257" s="27" t="s">
        <v>586</v>
      </c>
      <c r="D257" s="27" t="s">
        <v>576</v>
      </c>
      <c r="E257" s="28"/>
      <c r="F257" s="27"/>
      <c r="G257" s="27" t="s">
        <v>661</v>
      </c>
      <c r="H257" s="29">
        <v>8.1999999999999993</v>
      </c>
      <c r="I257" s="29">
        <v>123</v>
      </c>
      <c r="J257" s="29">
        <v>0</v>
      </c>
      <c r="K257" s="29">
        <v>0</v>
      </c>
      <c r="L257" s="29">
        <v>123</v>
      </c>
      <c r="M257" s="29">
        <v>6.86</v>
      </c>
      <c r="N257" s="33">
        <v>2.78</v>
      </c>
      <c r="O257" s="34">
        <v>0</v>
      </c>
      <c r="P257" s="29"/>
      <c r="Q257" s="29"/>
      <c r="R257" s="29" t="s">
        <v>610</v>
      </c>
      <c r="S257" s="29" t="s">
        <v>610</v>
      </c>
      <c r="T257" s="34"/>
      <c r="U257" s="29">
        <v>0</v>
      </c>
      <c r="V257" s="29" t="s">
        <v>665</v>
      </c>
      <c r="W257" s="29"/>
      <c r="X257" s="29"/>
      <c r="Y257" s="30" t="s">
        <v>493</v>
      </c>
      <c r="Z257" s="30">
        <v>27</v>
      </c>
      <c r="AA257" s="7" t="s">
        <v>808</v>
      </c>
      <c r="AB257" s="7"/>
      <c r="AC257" s="7"/>
      <c r="AD257" s="7"/>
    </row>
    <row r="258" spans="1:30" ht="15" x14ac:dyDescent="0.25">
      <c r="A258" s="26">
        <v>27207130741</v>
      </c>
      <c r="B258" s="27" t="s">
        <v>676</v>
      </c>
      <c r="C258" s="27" t="s">
        <v>528</v>
      </c>
      <c r="D258" s="27" t="s">
        <v>562</v>
      </c>
      <c r="E258" s="28"/>
      <c r="F258" s="27"/>
      <c r="G258" s="27" t="s">
        <v>661</v>
      </c>
      <c r="H258" s="29">
        <v>8.1999999999999993</v>
      </c>
      <c r="I258" s="29">
        <v>124</v>
      </c>
      <c r="J258" s="29">
        <v>0</v>
      </c>
      <c r="K258" s="29">
        <v>0</v>
      </c>
      <c r="L258" s="29">
        <v>124</v>
      </c>
      <c r="M258" s="29">
        <v>7.58</v>
      </c>
      <c r="N258" s="33">
        <v>3.23</v>
      </c>
      <c r="O258" s="34">
        <v>0</v>
      </c>
      <c r="P258" s="29" t="s">
        <v>610</v>
      </c>
      <c r="Q258" s="29"/>
      <c r="R258" s="29" t="s">
        <v>610</v>
      </c>
      <c r="S258" s="29" t="s">
        <v>610</v>
      </c>
      <c r="T258" s="34"/>
      <c r="U258" s="29">
        <v>0</v>
      </c>
      <c r="V258" s="29" t="s">
        <v>682</v>
      </c>
      <c r="W258" s="29"/>
      <c r="X258" s="30">
        <v>0</v>
      </c>
      <c r="Y258" s="30" t="s">
        <v>493</v>
      </c>
      <c r="Z258" s="30">
        <v>27</v>
      </c>
      <c r="AA258" s="7" t="s">
        <v>845</v>
      </c>
      <c r="AB258" s="7"/>
      <c r="AC258" s="7"/>
      <c r="AD258" s="7"/>
    </row>
    <row r="259" spans="1:30" ht="15" x14ac:dyDescent="0.25">
      <c r="A259" s="26">
        <v>27207141051</v>
      </c>
      <c r="B259" s="27" t="s">
        <v>531</v>
      </c>
      <c r="C259" s="27" t="s">
        <v>483</v>
      </c>
      <c r="D259" s="27" t="s">
        <v>513</v>
      </c>
      <c r="E259" s="28"/>
      <c r="F259" s="27"/>
      <c r="G259" s="27" t="s">
        <v>661</v>
      </c>
      <c r="H259" s="29">
        <v>8.3000000000000007</v>
      </c>
      <c r="I259" s="29">
        <v>124</v>
      </c>
      <c r="J259" s="29">
        <v>0</v>
      </c>
      <c r="K259" s="29">
        <v>0</v>
      </c>
      <c r="L259" s="29">
        <v>124</v>
      </c>
      <c r="M259" s="29">
        <v>7.56</v>
      </c>
      <c r="N259" s="33">
        <v>3.17</v>
      </c>
      <c r="O259" s="34">
        <v>0</v>
      </c>
      <c r="P259" s="29"/>
      <c r="Q259" s="29"/>
      <c r="R259" s="29" t="s">
        <v>610</v>
      </c>
      <c r="S259" s="29" t="s">
        <v>610</v>
      </c>
      <c r="T259" s="34"/>
      <c r="U259" s="29">
        <v>0</v>
      </c>
      <c r="V259" s="29" t="s">
        <v>665</v>
      </c>
      <c r="W259" s="29"/>
      <c r="X259" s="29"/>
      <c r="Y259" s="30" t="s">
        <v>493</v>
      </c>
      <c r="Z259" s="30">
        <v>27</v>
      </c>
      <c r="AA259" s="7" t="s">
        <v>822</v>
      </c>
      <c r="AB259" s="7"/>
      <c r="AC259" s="7"/>
      <c r="AD259" s="7"/>
    </row>
    <row r="260" spans="1:30" ht="15" x14ac:dyDescent="0.25">
      <c r="A260" s="26">
        <v>27202821012</v>
      </c>
      <c r="B260" s="27" t="s">
        <v>727</v>
      </c>
      <c r="C260" s="27" t="s">
        <v>770</v>
      </c>
      <c r="D260" s="27" t="s">
        <v>604</v>
      </c>
      <c r="E260" s="28"/>
      <c r="F260" s="27"/>
      <c r="G260" s="27" t="s">
        <v>661</v>
      </c>
      <c r="H260" s="29">
        <v>7.2</v>
      </c>
      <c r="I260" s="29">
        <v>119</v>
      </c>
      <c r="J260" s="29">
        <v>5</v>
      </c>
      <c r="K260" s="29">
        <v>0</v>
      </c>
      <c r="L260" s="29">
        <v>124</v>
      </c>
      <c r="M260" s="29">
        <v>6.24</v>
      </c>
      <c r="N260" s="33">
        <v>2.4500000000000002</v>
      </c>
      <c r="O260" s="34">
        <v>0.04</v>
      </c>
      <c r="P260" s="29"/>
      <c r="Q260" s="29"/>
      <c r="R260" s="29" t="s">
        <v>610</v>
      </c>
      <c r="S260" s="29" t="s">
        <v>610</v>
      </c>
      <c r="T260" s="34"/>
      <c r="U260" s="29">
        <v>5</v>
      </c>
      <c r="V260" s="29" t="s">
        <v>665</v>
      </c>
      <c r="W260" s="29"/>
      <c r="X260" s="29"/>
      <c r="Y260" s="30" t="s">
        <v>493</v>
      </c>
      <c r="Z260" s="30">
        <v>27</v>
      </c>
      <c r="AA260" s="7" t="e">
        <v>#N/A</v>
      </c>
      <c r="AB260" s="7" t="e">
        <v>#N/A</v>
      </c>
      <c r="AC260" s="7" t="s">
        <v>48</v>
      </c>
      <c r="AD260" s="7" t="s">
        <v>600</v>
      </c>
    </row>
    <row r="261" spans="1:30" ht="15" x14ac:dyDescent="0.25">
      <c r="A261" s="26">
        <v>27207128516</v>
      </c>
      <c r="B261" s="27" t="s">
        <v>509</v>
      </c>
      <c r="C261" s="27" t="s">
        <v>714</v>
      </c>
      <c r="D261" s="27" t="s">
        <v>514</v>
      </c>
      <c r="E261" s="28"/>
      <c r="F261" s="27"/>
      <c r="G261" s="27" t="s">
        <v>661</v>
      </c>
      <c r="H261" s="29">
        <v>7.4</v>
      </c>
      <c r="I261" s="29">
        <v>112</v>
      </c>
      <c r="J261" s="29">
        <v>11</v>
      </c>
      <c r="K261" s="29">
        <v>0</v>
      </c>
      <c r="L261" s="29">
        <v>123</v>
      </c>
      <c r="M261" s="29">
        <v>6.14</v>
      </c>
      <c r="N261" s="33">
        <v>2.46</v>
      </c>
      <c r="O261" s="34">
        <v>8.8999999999999996E-2</v>
      </c>
      <c r="P261" s="29"/>
      <c r="Q261" s="29"/>
      <c r="R261" s="29" t="s">
        <v>610</v>
      </c>
      <c r="S261" s="29" t="s">
        <v>610</v>
      </c>
      <c r="T261" s="34"/>
      <c r="U261" s="29">
        <v>7</v>
      </c>
      <c r="V261" s="29" t="s">
        <v>662</v>
      </c>
      <c r="W261" s="29"/>
      <c r="X261" s="29"/>
      <c r="Y261" s="30" t="s">
        <v>493</v>
      </c>
      <c r="Z261" s="30">
        <v>27</v>
      </c>
      <c r="AA261" s="7" t="e">
        <v>#N/A</v>
      </c>
      <c r="AB261" s="7"/>
      <c r="AC261" s="7"/>
      <c r="AD261" s="7"/>
    </row>
    <row r="262" spans="1:30" ht="15" x14ac:dyDescent="0.25">
      <c r="A262" s="26">
        <v>27207132631</v>
      </c>
      <c r="B262" s="27" t="s">
        <v>680</v>
      </c>
      <c r="C262" s="27" t="s">
        <v>692</v>
      </c>
      <c r="D262" s="27" t="s">
        <v>514</v>
      </c>
      <c r="E262" s="28"/>
      <c r="F262" s="27"/>
      <c r="G262" s="27" t="s">
        <v>661</v>
      </c>
      <c r="H262" s="29">
        <v>7.7</v>
      </c>
      <c r="I262" s="29">
        <v>124</v>
      </c>
      <c r="J262" s="29">
        <v>0</v>
      </c>
      <c r="K262" s="29">
        <v>0</v>
      </c>
      <c r="L262" s="29">
        <v>124</v>
      </c>
      <c r="M262" s="29">
        <v>6.71</v>
      </c>
      <c r="N262" s="33">
        <v>2.66</v>
      </c>
      <c r="O262" s="34">
        <v>0</v>
      </c>
      <c r="P262" s="29"/>
      <c r="Q262" s="29"/>
      <c r="R262" s="29" t="s">
        <v>610</v>
      </c>
      <c r="S262" s="29" t="s">
        <v>610</v>
      </c>
      <c r="T262" s="34"/>
      <c r="U262" s="29">
        <v>0</v>
      </c>
      <c r="V262" s="29" t="s">
        <v>665</v>
      </c>
      <c r="W262" s="29"/>
      <c r="X262" s="29"/>
      <c r="Y262" s="30" t="s">
        <v>493</v>
      </c>
      <c r="Z262" s="30">
        <v>27</v>
      </c>
      <c r="AA262" s="7" t="s">
        <v>828</v>
      </c>
      <c r="AB262" s="7"/>
      <c r="AC262" s="7"/>
      <c r="AD262" s="7"/>
    </row>
    <row r="263" spans="1:30" ht="15" x14ac:dyDescent="0.25">
      <c r="A263" s="26">
        <v>27207101459</v>
      </c>
      <c r="B263" s="27" t="s">
        <v>676</v>
      </c>
      <c r="C263" s="27" t="s">
        <v>752</v>
      </c>
      <c r="D263" s="27" t="s">
        <v>563</v>
      </c>
      <c r="E263" s="28"/>
      <c r="F263" s="27"/>
      <c r="G263" s="27" t="s">
        <v>661</v>
      </c>
      <c r="H263" s="29">
        <v>7</v>
      </c>
      <c r="I263" s="29">
        <v>122</v>
      </c>
      <c r="J263" s="29">
        <v>2</v>
      </c>
      <c r="K263" s="29">
        <v>0</v>
      </c>
      <c r="L263" s="29">
        <v>124</v>
      </c>
      <c r="M263" s="29">
        <v>6.85</v>
      </c>
      <c r="N263" s="33">
        <v>2.79</v>
      </c>
      <c r="O263" s="34">
        <v>1.6E-2</v>
      </c>
      <c r="P263" s="29"/>
      <c r="Q263" s="29" t="s">
        <v>610</v>
      </c>
      <c r="R263" s="29" t="s">
        <v>610</v>
      </c>
      <c r="S263" s="29" t="s">
        <v>610</v>
      </c>
      <c r="T263" s="34"/>
      <c r="U263" s="29">
        <v>0</v>
      </c>
      <c r="V263" s="29" t="s">
        <v>665</v>
      </c>
      <c r="W263" s="29"/>
      <c r="X263" s="29"/>
      <c r="Y263" s="30" t="s">
        <v>493</v>
      </c>
      <c r="Z263" s="30">
        <v>27</v>
      </c>
      <c r="AA263" s="7" t="s">
        <v>817</v>
      </c>
      <c r="AB263" s="7"/>
      <c r="AC263" s="7"/>
      <c r="AD263" s="7"/>
    </row>
    <row r="264" spans="1:30" ht="15" x14ac:dyDescent="0.25">
      <c r="A264" s="26">
        <v>27207138757</v>
      </c>
      <c r="B264" s="27" t="s">
        <v>531</v>
      </c>
      <c r="C264" s="27" t="s">
        <v>668</v>
      </c>
      <c r="D264" s="27" t="s">
        <v>458</v>
      </c>
      <c r="E264" s="28"/>
      <c r="F264" s="27"/>
      <c r="G264" s="27" t="s">
        <v>661</v>
      </c>
      <c r="H264" s="29">
        <v>7.1</v>
      </c>
      <c r="I264" s="29">
        <v>124</v>
      </c>
      <c r="J264" s="29">
        <v>0</v>
      </c>
      <c r="K264" s="29">
        <v>0</v>
      </c>
      <c r="L264" s="29">
        <v>124</v>
      </c>
      <c r="M264" s="29">
        <v>6.74</v>
      </c>
      <c r="N264" s="33">
        <v>2.67</v>
      </c>
      <c r="O264" s="34">
        <v>0</v>
      </c>
      <c r="P264" s="29"/>
      <c r="Q264" s="29"/>
      <c r="R264" s="29" t="s">
        <v>610</v>
      </c>
      <c r="S264" s="29" t="s">
        <v>610</v>
      </c>
      <c r="T264" s="34"/>
      <c r="U264" s="29">
        <v>0</v>
      </c>
      <c r="V264" s="29" t="s">
        <v>665</v>
      </c>
      <c r="W264" s="29"/>
      <c r="X264" s="29"/>
      <c r="Y264" s="30" t="s">
        <v>493</v>
      </c>
      <c r="Z264" s="30">
        <v>27</v>
      </c>
      <c r="AA264" s="7" t="s">
        <v>848</v>
      </c>
      <c r="AB264" s="7"/>
      <c r="AC264" s="7"/>
      <c r="AD264" s="7"/>
    </row>
    <row r="265" spans="1:30" ht="15" x14ac:dyDescent="0.25">
      <c r="A265" s="26">
        <v>27207120272</v>
      </c>
      <c r="B265" s="27" t="s">
        <v>531</v>
      </c>
      <c r="C265" s="27" t="s">
        <v>694</v>
      </c>
      <c r="D265" s="27" t="s">
        <v>459</v>
      </c>
      <c r="E265" s="28"/>
      <c r="F265" s="27"/>
      <c r="G265" s="27" t="s">
        <v>661</v>
      </c>
      <c r="H265" s="29">
        <v>8.9</v>
      </c>
      <c r="I265" s="29">
        <v>123</v>
      </c>
      <c r="J265" s="29">
        <v>0</v>
      </c>
      <c r="K265" s="29">
        <v>0</v>
      </c>
      <c r="L265" s="29">
        <v>123</v>
      </c>
      <c r="M265" s="29">
        <v>8.61</v>
      </c>
      <c r="N265" s="33">
        <v>3.74</v>
      </c>
      <c r="O265" s="34">
        <v>0</v>
      </c>
      <c r="P265" s="29"/>
      <c r="Q265" s="29"/>
      <c r="R265" s="29" t="s">
        <v>610</v>
      </c>
      <c r="S265" s="29" t="s">
        <v>610</v>
      </c>
      <c r="T265" s="34"/>
      <c r="U265" s="29">
        <v>0</v>
      </c>
      <c r="V265" s="29" t="s">
        <v>665</v>
      </c>
      <c r="W265" s="29"/>
      <c r="X265" s="30" t="s">
        <v>23</v>
      </c>
      <c r="Y265" s="30" t="s">
        <v>493</v>
      </c>
      <c r="Z265" s="30">
        <v>27</v>
      </c>
      <c r="AA265" s="7" t="s">
        <v>808</v>
      </c>
      <c r="AB265" s="7"/>
      <c r="AC265" s="7"/>
      <c r="AD265" s="7"/>
    </row>
    <row r="266" spans="1:30" ht="15" x14ac:dyDescent="0.25">
      <c r="A266" s="26">
        <v>27207143177</v>
      </c>
      <c r="B266" s="27" t="s">
        <v>700</v>
      </c>
      <c r="C266" s="27" t="s">
        <v>706</v>
      </c>
      <c r="D266" s="27" t="s">
        <v>459</v>
      </c>
      <c r="E266" s="28"/>
      <c r="F266" s="27"/>
      <c r="G266" s="27" t="s">
        <v>661</v>
      </c>
      <c r="H266" s="29">
        <v>6.4</v>
      </c>
      <c r="I266" s="29">
        <v>120</v>
      </c>
      <c r="J266" s="29">
        <v>3</v>
      </c>
      <c r="K266" s="29">
        <v>0</v>
      </c>
      <c r="L266" s="29">
        <v>123</v>
      </c>
      <c r="M266" s="29">
        <v>6.47</v>
      </c>
      <c r="N266" s="33">
        <v>2.54</v>
      </c>
      <c r="O266" s="34">
        <v>2.4E-2</v>
      </c>
      <c r="P266" s="29"/>
      <c r="Q266" s="29"/>
      <c r="R266" s="29" t="s">
        <v>610</v>
      </c>
      <c r="S266" s="29" t="s">
        <v>610</v>
      </c>
      <c r="T266" s="34"/>
      <c r="U266" s="29">
        <v>3</v>
      </c>
      <c r="V266" s="29" t="s">
        <v>665</v>
      </c>
      <c r="W266" s="29"/>
      <c r="X266" s="29"/>
      <c r="Y266" s="30" t="s">
        <v>493</v>
      </c>
      <c r="Z266" s="30">
        <v>27</v>
      </c>
      <c r="AA266" s="7" t="e">
        <v>#N/A</v>
      </c>
      <c r="AB266" s="7" t="e">
        <v>#N/A</v>
      </c>
      <c r="AC266" s="7" t="s">
        <v>48</v>
      </c>
      <c r="AD266" s="7" t="s">
        <v>600</v>
      </c>
    </row>
    <row r="267" spans="1:30" ht="15" x14ac:dyDescent="0.25">
      <c r="A267" s="26">
        <v>27217102336</v>
      </c>
      <c r="B267" s="27" t="s">
        <v>717</v>
      </c>
      <c r="C267" s="27" t="s">
        <v>771</v>
      </c>
      <c r="D267" s="27" t="s">
        <v>459</v>
      </c>
      <c r="E267" s="28"/>
      <c r="F267" s="27"/>
      <c r="G267" s="27" t="s">
        <v>661</v>
      </c>
      <c r="H267" s="29">
        <v>6.7</v>
      </c>
      <c r="I267" s="29">
        <v>120</v>
      </c>
      <c r="J267" s="29">
        <v>3</v>
      </c>
      <c r="K267" s="29">
        <v>0</v>
      </c>
      <c r="L267" s="29">
        <v>123</v>
      </c>
      <c r="M267" s="29">
        <v>6.59</v>
      </c>
      <c r="N267" s="33">
        <v>2.64</v>
      </c>
      <c r="O267" s="34">
        <v>2.4E-2</v>
      </c>
      <c r="P267" s="29"/>
      <c r="Q267" s="29"/>
      <c r="R267" s="29" t="s">
        <v>610</v>
      </c>
      <c r="S267" s="29" t="s">
        <v>610</v>
      </c>
      <c r="T267" s="34"/>
      <c r="U267" s="29">
        <v>3</v>
      </c>
      <c r="V267" s="29" t="s">
        <v>665</v>
      </c>
      <c r="W267" s="29"/>
      <c r="X267" s="29"/>
      <c r="Y267" s="30" t="s">
        <v>493</v>
      </c>
      <c r="Z267" s="30">
        <v>27</v>
      </c>
      <c r="AA267" s="7" t="e">
        <v>#N/A</v>
      </c>
      <c r="AB267" s="7" t="e">
        <v>#N/A</v>
      </c>
      <c r="AC267" s="7" t="s">
        <v>48</v>
      </c>
      <c r="AD267" s="7" t="s">
        <v>600</v>
      </c>
    </row>
    <row r="268" spans="1:30" ht="15" x14ac:dyDescent="0.25">
      <c r="A268" s="26">
        <v>27217136107</v>
      </c>
      <c r="B268" s="27" t="s">
        <v>531</v>
      </c>
      <c r="C268" s="27" t="s">
        <v>629</v>
      </c>
      <c r="D268" s="27" t="s">
        <v>586</v>
      </c>
      <c r="E268" s="28"/>
      <c r="F268" s="27"/>
      <c r="G268" s="27" t="s">
        <v>661</v>
      </c>
      <c r="H268" s="29">
        <v>0</v>
      </c>
      <c r="I268" s="29">
        <v>71</v>
      </c>
      <c r="J268" s="29">
        <v>52</v>
      </c>
      <c r="K268" s="29">
        <v>0</v>
      </c>
      <c r="L268" s="29">
        <v>123</v>
      </c>
      <c r="M268" s="29">
        <v>3.29</v>
      </c>
      <c r="N268" s="33">
        <v>1.1599999999999999</v>
      </c>
      <c r="O268" s="34">
        <v>0.42299999999999999</v>
      </c>
      <c r="P268" s="29"/>
      <c r="Q268" s="29"/>
      <c r="R268" s="29" t="s">
        <v>610</v>
      </c>
      <c r="S268" s="29" t="s">
        <v>610</v>
      </c>
      <c r="T268" s="34"/>
      <c r="U268" s="29">
        <v>19</v>
      </c>
      <c r="V268" s="29" t="s">
        <v>662</v>
      </c>
      <c r="W268" s="29"/>
      <c r="X268" s="29"/>
      <c r="Y268" s="30" t="s">
        <v>493</v>
      </c>
      <c r="Z268" s="30">
        <v>27</v>
      </c>
      <c r="AA268" s="7" t="e">
        <v>#N/A</v>
      </c>
      <c r="AB268" s="7"/>
      <c r="AC268" s="7"/>
      <c r="AD268" s="7"/>
    </row>
    <row r="269" spans="1:30" ht="15" x14ac:dyDescent="0.25">
      <c r="A269" s="26">
        <v>25207103269</v>
      </c>
      <c r="B269" s="27" t="s">
        <v>531</v>
      </c>
      <c r="C269" s="27" t="s">
        <v>772</v>
      </c>
      <c r="D269" s="27" t="s">
        <v>483</v>
      </c>
      <c r="E269" s="28"/>
      <c r="F269" s="27"/>
      <c r="G269" s="27" t="s">
        <v>661</v>
      </c>
      <c r="H269" s="29">
        <v>6.7</v>
      </c>
      <c r="I269" s="29">
        <v>119</v>
      </c>
      <c r="J269" s="29">
        <v>4</v>
      </c>
      <c r="K269" s="29">
        <v>0</v>
      </c>
      <c r="L269" s="29">
        <v>123</v>
      </c>
      <c r="M269" s="29">
        <v>7.18</v>
      </c>
      <c r="N269" s="33">
        <v>2.97</v>
      </c>
      <c r="O269" s="34">
        <v>3.3000000000000002E-2</v>
      </c>
      <c r="P269" s="29"/>
      <c r="Q269" s="29"/>
      <c r="R269" s="29" t="s">
        <v>610</v>
      </c>
      <c r="S269" s="29" t="s">
        <v>610</v>
      </c>
      <c r="T269" s="34"/>
      <c r="U269" s="29">
        <v>0</v>
      </c>
      <c r="V269" s="29" t="s">
        <v>665</v>
      </c>
      <c r="W269" s="29"/>
      <c r="X269" s="29"/>
      <c r="Y269" s="30" t="s">
        <v>493</v>
      </c>
      <c r="Z269" s="30">
        <v>27</v>
      </c>
      <c r="AA269" s="7" t="s">
        <v>849</v>
      </c>
      <c r="AB269" s="7"/>
      <c r="AC269" s="7"/>
      <c r="AD269" s="7"/>
    </row>
    <row r="270" spans="1:30" ht="15" x14ac:dyDescent="0.25">
      <c r="A270" s="26">
        <v>27207100524</v>
      </c>
      <c r="B270" s="27" t="s">
        <v>531</v>
      </c>
      <c r="C270" s="27" t="s">
        <v>773</v>
      </c>
      <c r="D270" s="27" t="s">
        <v>538</v>
      </c>
      <c r="E270" s="28"/>
      <c r="F270" s="27"/>
      <c r="G270" s="27" t="s">
        <v>661</v>
      </c>
      <c r="H270" s="29">
        <v>7.4</v>
      </c>
      <c r="I270" s="29">
        <v>116</v>
      </c>
      <c r="J270" s="29">
        <v>7</v>
      </c>
      <c r="K270" s="29">
        <v>0</v>
      </c>
      <c r="L270" s="29">
        <v>123</v>
      </c>
      <c r="M270" s="29">
        <v>6.43</v>
      </c>
      <c r="N270" s="33">
        <v>2.62</v>
      </c>
      <c r="O270" s="34">
        <v>5.7000000000000002E-2</v>
      </c>
      <c r="P270" s="29"/>
      <c r="Q270" s="29"/>
      <c r="R270" s="29" t="s">
        <v>610</v>
      </c>
      <c r="S270" s="29" t="s">
        <v>610</v>
      </c>
      <c r="T270" s="34"/>
      <c r="U270" s="29">
        <v>2</v>
      </c>
      <c r="V270" s="29" t="s">
        <v>662</v>
      </c>
      <c r="W270" s="29"/>
      <c r="X270" s="29"/>
      <c r="Y270" s="30" t="s">
        <v>493</v>
      </c>
      <c r="Z270" s="30">
        <v>27</v>
      </c>
      <c r="AA270" s="7" t="e">
        <v>#N/A</v>
      </c>
      <c r="AB270" s="7"/>
      <c r="AC270" s="7"/>
      <c r="AD270" s="7"/>
    </row>
    <row r="271" spans="1:30" ht="15" x14ac:dyDescent="0.25">
      <c r="A271" s="26">
        <v>27217100065</v>
      </c>
      <c r="B271" s="27" t="s">
        <v>531</v>
      </c>
      <c r="C271" s="27" t="s">
        <v>612</v>
      </c>
      <c r="D271" s="27" t="s">
        <v>539</v>
      </c>
      <c r="E271" s="28"/>
      <c r="F271" s="27"/>
      <c r="G271" s="27" t="s">
        <v>661</v>
      </c>
      <c r="H271" s="29">
        <v>6.9</v>
      </c>
      <c r="I271" s="29">
        <v>53</v>
      </c>
      <c r="J271" s="29">
        <v>70</v>
      </c>
      <c r="K271" s="29">
        <v>0</v>
      </c>
      <c r="L271" s="29">
        <v>123</v>
      </c>
      <c r="M271" s="29">
        <v>2.91</v>
      </c>
      <c r="N271" s="33">
        <v>1.1599999999999999</v>
      </c>
      <c r="O271" s="34">
        <v>0.56899999999999995</v>
      </c>
      <c r="P271" s="29"/>
      <c r="Q271" s="29"/>
      <c r="R271" s="29"/>
      <c r="S271" s="29" t="s">
        <v>610</v>
      </c>
      <c r="T271" s="34"/>
      <c r="U271" s="29">
        <v>20</v>
      </c>
      <c r="V271" s="29" t="s">
        <v>662</v>
      </c>
      <c r="W271" s="29"/>
      <c r="X271" s="29"/>
      <c r="Y271" s="30" t="s">
        <v>493</v>
      </c>
      <c r="Z271" s="30">
        <v>27</v>
      </c>
      <c r="AA271" s="7" t="e">
        <v>#N/A</v>
      </c>
      <c r="AB271" s="7"/>
      <c r="AC271" s="7"/>
      <c r="AD271" s="7"/>
    </row>
    <row r="272" spans="1:30" ht="15" x14ac:dyDescent="0.25">
      <c r="A272" s="26">
        <v>27207124833</v>
      </c>
      <c r="B272" s="27" t="s">
        <v>531</v>
      </c>
      <c r="C272" s="27" t="s">
        <v>771</v>
      </c>
      <c r="D272" s="27" t="s">
        <v>515</v>
      </c>
      <c r="E272" s="28"/>
      <c r="F272" s="27"/>
      <c r="G272" s="27" t="s">
        <v>661</v>
      </c>
      <c r="H272" s="29">
        <v>6</v>
      </c>
      <c r="I272" s="29">
        <v>124</v>
      </c>
      <c r="J272" s="29">
        <v>0</v>
      </c>
      <c r="K272" s="29">
        <v>0</v>
      </c>
      <c r="L272" s="29">
        <v>124</v>
      </c>
      <c r="M272" s="29">
        <v>6.3</v>
      </c>
      <c r="N272" s="33">
        <v>2.42</v>
      </c>
      <c r="O272" s="34">
        <v>0</v>
      </c>
      <c r="P272" s="29"/>
      <c r="Q272" s="29"/>
      <c r="R272" s="29" t="s">
        <v>610</v>
      </c>
      <c r="S272" s="29" t="s">
        <v>610</v>
      </c>
      <c r="T272" s="34"/>
      <c r="U272" s="29">
        <v>0</v>
      </c>
      <c r="V272" s="29" t="s">
        <v>665</v>
      </c>
      <c r="W272" s="29"/>
      <c r="X272" s="29"/>
      <c r="Y272" s="30" t="s">
        <v>493</v>
      </c>
      <c r="Z272" s="30">
        <v>27</v>
      </c>
      <c r="AA272" s="7" t="s">
        <v>808</v>
      </c>
      <c r="AB272" s="7"/>
      <c r="AC272" s="7"/>
      <c r="AD272" s="7"/>
    </row>
    <row r="273" spans="1:30" ht="15" x14ac:dyDescent="0.25">
      <c r="A273" s="26">
        <v>27207141579</v>
      </c>
      <c r="B273" s="27" t="s">
        <v>531</v>
      </c>
      <c r="C273" s="27" t="s">
        <v>774</v>
      </c>
      <c r="D273" s="27" t="s">
        <v>515</v>
      </c>
      <c r="E273" s="28"/>
      <c r="F273" s="27"/>
      <c r="G273" s="27" t="s">
        <v>661</v>
      </c>
      <c r="H273" s="29">
        <v>7.7</v>
      </c>
      <c r="I273" s="29">
        <v>83</v>
      </c>
      <c r="J273" s="29">
        <v>40</v>
      </c>
      <c r="K273" s="29">
        <v>0</v>
      </c>
      <c r="L273" s="29">
        <v>123</v>
      </c>
      <c r="M273" s="29">
        <v>3.98</v>
      </c>
      <c r="N273" s="33">
        <v>1.49</v>
      </c>
      <c r="O273" s="34">
        <v>0.32500000000000001</v>
      </c>
      <c r="P273" s="29"/>
      <c r="Q273" s="29"/>
      <c r="R273" s="29"/>
      <c r="S273" s="29" t="s">
        <v>610</v>
      </c>
      <c r="T273" s="34"/>
      <c r="U273" s="29">
        <v>14</v>
      </c>
      <c r="V273" s="29" t="s">
        <v>662</v>
      </c>
      <c r="W273" s="29"/>
      <c r="X273" s="29"/>
      <c r="Y273" s="30" t="s">
        <v>493</v>
      </c>
      <c r="Z273" s="30">
        <v>27</v>
      </c>
      <c r="AA273" s="7" t="e">
        <v>#N/A</v>
      </c>
      <c r="AB273" s="7"/>
      <c r="AC273" s="7"/>
      <c r="AD273" s="7"/>
    </row>
    <row r="274" spans="1:30" ht="15" x14ac:dyDescent="0.25">
      <c r="A274" s="26">
        <v>27207237015</v>
      </c>
      <c r="B274" s="27" t="s">
        <v>488</v>
      </c>
      <c r="C274" s="27" t="s">
        <v>498</v>
      </c>
      <c r="D274" s="27" t="s">
        <v>515</v>
      </c>
      <c r="E274" s="28"/>
      <c r="F274" s="27"/>
      <c r="G274" s="27" t="s">
        <v>661</v>
      </c>
      <c r="H274" s="29">
        <v>8.6999999999999993</v>
      </c>
      <c r="I274" s="29">
        <v>124</v>
      </c>
      <c r="J274" s="29">
        <v>0</v>
      </c>
      <c r="K274" s="29">
        <v>0</v>
      </c>
      <c r="L274" s="29">
        <v>124</v>
      </c>
      <c r="M274" s="29">
        <v>8.0500000000000007</v>
      </c>
      <c r="N274" s="33">
        <v>3.4</v>
      </c>
      <c r="O274" s="34">
        <v>0</v>
      </c>
      <c r="P274" s="29"/>
      <c r="Q274" s="29"/>
      <c r="R274" s="29" t="s">
        <v>610</v>
      </c>
      <c r="S274" s="29" t="s">
        <v>610</v>
      </c>
      <c r="T274" s="34"/>
      <c r="U274" s="29">
        <v>0</v>
      </c>
      <c r="V274" s="29" t="s">
        <v>682</v>
      </c>
      <c r="W274" s="29"/>
      <c r="X274" s="30" t="e">
        <v>#N/A</v>
      </c>
      <c r="Y274" s="30" t="s">
        <v>493</v>
      </c>
      <c r="Z274" s="30">
        <v>27</v>
      </c>
      <c r="AA274" s="7" t="s">
        <v>809</v>
      </c>
      <c r="AB274" s="7"/>
      <c r="AC274" s="7"/>
      <c r="AD274" s="7"/>
    </row>
    <row r="275" spans="1:30" ht="15" x14ac:dyDescent="0.25">
      <c r="A275" s="26">
        <v>27217133738</v>
      </c>
      <c r="B275" s="27" t="s">
        <v>471</v>
      </c>
      <c r="C275" s="27" t="s">
        <v>775</v>
      </c>
      <c r="D275" s="27" t="s">
        <v>515</v>
      </c>
      <c r="E275" s="28"/>
      <c r="F275" s="27"/>
      <c r="G275" s="27" t="s">
        <v>661</v>
      </c>
      <c r="H275" s="29">
        <v>8.4</v>
      </c>
      <c r="I275" s="29">
        <v>124</v>
      </c>
      <c r="J275" s="29">
        <v>0</v>
      </c>
      <c r="K275" s="29">
        <v>0</v>
      </c>
      <c r="L275" s="29">
        <v>124</v>
      </c>
      <c r="M275" s="29">
        <v>8.1999999999999993</v>
      </c>
      <c r="N275" s="33">
        <v>3.53</v>
      </c>
      <c r="O275" s="34">
        <v>0</v>
      </c>
      <c r="P275" s="29"/>
      <c r="Q275" s="29"/>
      <c r="R275" s="29" t="s">
        <v>610</v>
      </c>
      <c r="S275" s="29" t="s">
        <v>610</v>
      </c>
      <c r="T275" s="34"/>
      <c r="U275" s="29">
        <v>0</v>
      </c>
      <c r="V275" s="29" t="s">
        <v>665</v>
      </c>
      <c r="W275" s="29"/>
      <c r="X275" s="30" t="s">
        <v>23</v>
      </c>
      <c r="Y275" s="30" t="s">
        <v>493</v>
      </c>
      <c r="Z275" s="30">
        <v>27</v>
      </c>
      <c r="AA275" s="7" t="s">
        <v>806</v>
      </c>
      <c r="AB275" s="7"/>
      <c r="AC275" s="7"/>
      <c r="AD275" s="7"/>
    </row>
    <row r="276" spans="1:30" ht="15" x14ac:dyDescent="0.25">
      <c r="A276" s="26">
        <v>27217135116</v>
      </c>
      <c r="B276" s="27" t="s">
        <v>676</v>
      </c>
      <c r="C276" s="27" t="s">
        <v>776</v>
      </c>
      <c r="D276" s="27" t="s">
        <v>515</v>
      </c>
      <c r="E276" s="28"/>
      <c r="F276" s="27"/>
      <c r="G276" s="27" t="s">
        <v>661</v>
      </c>
      <c r="H276" s="29">
        <v>7.3</v>
      </c>
      <c r="I276" s="29">
        <v>115</v>
      </c>
      <c r="J276" s="29">
        <v>9</v>
      </c>
      <c r="K276" s="29">
        <v>0</v>
      </c>
      <c r="L276" s="29">
        <v>124</v>
      </c>
      <c r="M276" s="29">
        <v>6.15</v>
      </c>
      <c r="N276" s="33">
        <v>2.46</v>
      </c>
      <c r="O276" s="34">
        <v>7.2999999999999995E-2</v>
      </c>
      <c r="P276" s="29"/>
      <c r="Q276" s="29"/>
      <c r="R276" s="29" t="s">
        <v>610</v>
      </c>
      <c r="S276" s="29" t="s">
        <v>610</v>
      </c>
      <c r="T276" s="34"/>
      <c r="U276" s="29">
        <v>5</v>
      </c>
      <c r="V276" s="29" t="s">
        <v>662</v>
      </c>
      <c r="W276" s="29"/>
      <c r="X276" s="29"/>
      <c r="Y276" s="30" t="s">
        <v>493</v>
      </c>
      <c r="Z276" s="30">
        <v>27</v>
      </c>
      <c r="AA276" s="7" t="s">
        <v>842</v>
      </c>
      <c r="AB276" s="7"/>
      <c r="AC276" s="7"/>
      <c r="AD276" s="7"/>
    </row>
    <row r="277" spans="1:30" ht="15" x14ac:dyDescent="0.25">
      <c r="A277" s="26">
        <v>27207100809</v>
      </c>
      <c r="B277" s="27" t="s">
        <v>471</v>
      </c>
      <c r="C277" s="27" t="s">
        <v>558</v>
      </c>
      <c r="D277" s="27" t="s">
        <v>564</v>
      </c>
      <c r="E277" s="28"/>
      <c r="F277" s="27"/>
      <c r="G277" s="27" t="s">
        <v>661</v>
      </c>
      <c r="H277" s="29">
        <v>7.3</v>
      </c>
      <c r="I277" s="29">
        <v>92</v>
      </c>
      <c r="J277" s="29">
        <v>31</v>
      </c>
      <c r="K277" s="29">
        <v>0</v>
      </c>
      <c r="L277" s="29">
        <v>123</v>
      </c>
      <c r="M277" s="29">
        <v>4.5999999999999996</v>
      </c>
      <c r="N277" s="33">
        <v>1.71</v>
      </c>
      <c r="O277" s="34">
        <v>0.252</v>
      </c>
      <c r="P277" s="29"/>
      <c r="Q277" s="29"/>
      <c r="R277" s="29" t="s">
        <v>610</v>
      </c>
      <c r="S277" s="29" t="s">
        <v>610</v>
      </c>
      <c r="T277" s="34"/>
      <c r="U277" s="29">
        <v>15</v>
      </c>
      <c r="V277" s="29" t="s">
        <v>662</v>
      </c>
      <c r="W277" s="29"/>
      <c r="X277" s="29"/>
      <c r="Y277" s="30" t="s">
        <v>493</v>
      </c>
      <c r="Z277" s="30">
        <v>27</v>
      </c>
      <c r="AA277" s="7" t="e">
        <v>#N/A</v>
      </c>
      <c r="AB277" s="7"/>
      <c r="AC277" s="7"/>
      <c r="AD277" s="7"/>
    </row>
    <row r="278" spans="1:30" ht="15" x14ac:dyDescent="0.25">
      <c r="A278" s="26">
        <v>27207128316</v>
      </c>
      <c r="B278" s="27" t="s">
        <v>471</v>
      </c>
      <c r="C278" s="27" t="s">
        <v>677</v>
      </c>
      <c r="D278" s="27" t="s">
        <v>577</v>
      </c>
      <c r="E278" s="28"/>
      <c r="F278" s="27"/>
      <c r="G278" s="27" t="s">
        <v>661</v>
      </c>
      <c r="H278" s="29">
        <v>6.7</v>
      </c>
      <c r="I278" s="29">
        <v>121</v>
      </c>
      <c r="J278" s="29">
        <v>3</v>
      </c>
      <c r="K278" s="29">
        <v>0</v>
      </c>
      <c r="L278" s="29">
        <v>124</v>
      </c>
      <c r="M278" s="29">
        <v>6.31</v>
      </c>
      <c r="N278" s="33">
        <v>2.4500000000000002</v>
      </c>
      <c r="O278" s="34">
        <v>2.4E-2</v>
      </c>
      <c r="P278" s="29"/>
      <c r="Q278" s="29"/>
      <c r="R278" s="29" t="s">
        <v>610</v>
      </c>
      <c r="S278" s="29" t="s">
        <v>610</v>
      </c>
      <c r="T278" s="34"/>
      <c r="U278" s="29">
        <v>3</v>
      </c>
      <c r="V278" s="29" t="s">
        <v>665</v>
      </c>
      <c r="W278" s="29"/>
      <c r="X278" s="29"/>
      <c r="Y278" s="30" t="s">
        <v>493</v>
      </c>
      <c r="Z278" s="30">
        <v>27</v>
      </c>
      <c r="AA278" s="7" t="s">
        <v>848</v>
      </c>
      <c r="AB278" s="7"/>
      <c r="AC278" s="7"/>
      <c r="AD278" s="7"/>
    </row>
    <row r="279" spans="1:30" ht="15" x14ac:dyDescent="0.25">
      <c r="A279" s="26">
        <v>27207141584</v>
      </c>
      <c r="B279" s="27" t="s">
        <v>531</v>
      </c>
      <c r="C279" s="27" t="s">
        <v>474</v>
      </c>
      <c r="D279" s="27" t="s">
        <v>577</v>
      </c>
      <c r="E279" s="28"/>
      <c r="F279" s="27"/>
      <c r="G279" s="27" t="s">
        <v>661</v>
      </c>
      <c r="H279" s="29">
        <v>6.1</v>
      </c>
      <c r="I279" s="29">
        <v>113</v>
      </c>
      <c r="J279" s="29">
        <v>10</v>
      </c>
      <c r="K279" s="29">
        <v>0</v>
      </c>
      <c r="L279" s="29">
        <v>123</v>
      </c>
      <c r="M279" s="29">
        <v>5.99</v>
      </c>
      <c r="N279" s="33">
        <v>2.36</v>
      </c>
      <c r="O279" s="34">
        <v>8.1000000000000003E-2</v>
      </c>
      <c r="P279" s="29"/>
      <c r="Q279" s="29"/>
      <c r="R279" s="29" t="s">
        <v>610</v>
      </c>
      <c r="S279" s="29" t="s">
        <v>610</v>
      </c>
      <c r="T279" s="34"/>
      <c r="U279" s="29">
        <v>10</v>
      </c>
      <c r="V279" s="29" t="s">
        <v>662</v>
      </c>
      <c r="W279" s="29"/>
      <c r="X279" s="29"/>
      <c r="Y279" s="30" t="s">
        <v>493</v>
      </c>
      <c r="Z279" s="30">
        <v>27</v>
      </c>
      <c r="AA279" s="7" t="s">
        <v>805</v>
      </c>
      <c r="AB279" s="7"/>
      <c r="AC279" s="7"/>
      <c r="AD279" s="7"/>
    </row>
    <row r="280" spans="1:30" ht="15" x14ac:dyDescent="0.25">
      <c r="A280" s="26">
        <v>27207146805</v>
      </c>
      <c r="B280" s="27" t="s">
        <v>531</v>
      </c>
      <c r="C280" s="27" t="s">
        <v>757</v>
      </c>
      <c r="D280" s="27" t="s">
        <v>577</v>
      </c>
      <c r="E280" s="28"/>
      <c r="F280" s="27"/>
      <c r="G280" s="27" t="s">
        <v>661</v>
      </c>
      <c r="H280" s="29">
        <v>8.6999999999999993</v>
      </c>
      <c r="I280" s="29">
        <v>123</v>
      </c>
      <c r="J280" s="29">
        <v>0</v>
      </c>
      <c r="K280" s="29">
        <v>0</v>
      </c>
      <c r="L280" s="29">
        <v>123</v>
      </c>
      <c r="M280" s="29">
        <v>8.1</v>
      </c>
      <c r="N280" s="33">
        <v>3.48</v>
      </c>
      <c r="O280" s="34">
        <v>0</v>
      </c>
      <c r="P280" s="29"/>
      <c r="Q280" s="29" t="s">
        <v>610</v>
      </c>
      <c r="R280" s="29" t="s">
        <v>610</v>
      </c>
      <c r="S280" s="29" t="s">
        <v>610</v>
      </c>
      <c r="T280" s="34"/>
      <c r="U280" s="29">
        <v>0</v>
      </c>
      <c r="V280" s="29" t="s">
        <v>665</v>
      </c>
      <c r="W280" s="29"/>
      <c r="X280" s="30" t="s">
        <v>23</v>
      </c>
      <c r="Y280" s="30" t="s">
        <v>493</v>
      </c>
      <c r="Z280" s="30">
        <v>27</v>
      </c>
      <c r="AA280" s="7" t="s">
        <v>808</v>
      </c>
      <c r="AB280" s="7"/>
      <c r="AC280" s="7"/>
      <c r="AD280" s="7"/>
    </row>
    <row r="281" spans="1:30" ht="15" x14ac:dyDescent="0.25">
      <c r="A281" s="26">
        <v>27207124146</v>
      </c>
      <c r="B281" s="27" t="s">
        <v>499</v>
      </c>
      <c r="C281" s="27" t="s">
        <v>688</v>
      </c>
      <c r="D281" s="27" t="s">
        <v>599</v>
      </c>
      <c r="E281" s="28"/>
      <c r="F281" s="27"/>
      <c r="G281" s="27" t="s">
        <v>661</v>
      </c>
      <c r="H281" s="29">
        <v>8.1999999999999993</v>
      </c>
      <c r="I281" s="29">
        <v>117</v>
      </c>
      <c r="J281" s="29">
        <v>7</v>
      </c>
      <c r="K281" s="29">
        <v>0</v>
      </c>
      <c r="L281" s="29">
        <v>124</v>
      </c>
      <c r="M281" s="29">
        <v>5.77</v>
      </c>
      <c r="N281" s="33">
        <v>2.21</v>
      </c>
      <c r="O281" s="34">
        <v>5.6000000000000001E-2</v>
      </c>
      <c r="P281" s="29"/>
      <c r="Q281" s="29"/>
      <c r="R281" s="29" t="s">
        <v>610</v>
      </c>
      <c r="S281" s="29" t="s">
        <v>610</v>
      </c>
      <c r="T281" s="34"/>
      <c r="U281" s="29">
        <v>6</v>
      </c>
      <c r="V281" s="29" t="s">
        <v>662</v>
      </c>
      <c r="W281" s="29"/>
      <c r="X281" s="29"/>
      <c r="Y281" s="30" t="s">
        <v>493</v>
      </c>
      <c r="Z281" s="30">
        <v>27</v>
      </c>
      <c r="AA281" s="7" t="e">
        <v>#N/A</v>
      </c>
      <c r="AB281" s="7"/>
      <c r="AC281" s="7"/>
      <c r="AD281" s="7"/>
    </row>
    <row r="282" spans="1:30" ht="15" x14ac:dyDescent="0.25">
      <c r="A282" s="26">
        <v>27202139022</v>
      </c>
      <c r="B282" s="27" t="s">
        <v>680</v>
      </c>
      <c r="C282" s="27" t="s">
        <v>777</v>
      </c>
      <c r="D282" s="27" t="s">
        <v>540</v>
      </c>
      <c r="E282" s="28"/>
      <c r="F282" s="27"/>
      <c r="G282" s="27" t="s">
        <v>661</v>
      </c>
      <c r="H282" s="29">
        <v>6.6</v>
      </c>
      <c r="I282" s="29">
        <v>121</v>
      </c>
      <c r="J282" s="29">
        <v>2</v>
      </c>
      <c r="K282" s="29">
        <v>0</v>
      </c>
      <c r="L282" s="29">
        <v>123</v>
      </c>
      <c r="M282" s="29">
        <v>6.77</v>
      </c>
      <c r="N282" s="33">
        <v>2.73</v>
      </c>
      <c r="O282" s="34">
        <v>1.6E-2</v>
      </c>
      <c r="P282" s="29"/>
      <c r="Q282" s="29" t="s">
        <v>610</v>
      </c>
      <c r="R282" s="29" t="s">
        <v>610</v>
      </c>
      <c r="S282" s="29" t="s">
        <v>610</v>
      </c>
      <c r="T282" s="29"/>
      <c r="U282" s="29">
        <v>2</v>
      </c>
      <c r="V282" s="29" t="s">
        <v>665</v>
      </c>
      <c r="W282" s="29"/>
      <c r="X282" s="29"/>
      <c r="Y282" s="30" t="s">
        <v>493</v>
      </c>
      <c r="Z282" s="30">
        <v>27</v>
      </c>
      <c r="AA282" s="7" t="s">
        <v>822</v>
      </c>
      <c r="AB282" s="7"/>
      <c r="AC282" s="7"/>
      <c r="AD282" s="7"/>
    </row>
    <row r="283" spans="1:30" ht="15" x14ac:dyDescent="0.25">
      <c r="A283" s="26">
        <v>27207133010</v>
      </c>
      <c r="B283" s="27" t="s">
        <v>531</v>
      </c>
      <c r="C283" s="27" t="s">
        <v>677</v>
      </c>
      <c r="D283" s="27" t="s">
        <v>540</v>
      </c>
      <c r="E283" s="28"/>
      <c r="F283" s="27"/>
      <c r="G283" s="27" t="s">
        <v>661</v>
      </c>
      <c r="H283" s="29">
        <v>8.1</v>
      </c>
      <c r="I283" s="29">
        <v>121</v>
      </c>
      <c r="J283" s="29">
        <v>2</v>
      </c>
      <c r="K283" s="29">
        <v>0</v>
      </c>
      <c r="L283" s="29">
        <v>123</v>
      </c>
      <c r="M283" s="29">
        <v>7.71</v>
      </c>
      <c r="N283" s="33">
        <v>3.28</v>
      </c>
      <c r="O283" s="34">
        <v>1.6E-2</v>
      </c>
      <c r="P283" s="29"/>
      <c r="Q283" s="29"/>
      <c r="R283" s="29" t="s">
        <v>610</v>
      </c>
      <c r="S283" s="29" t="s">
        <v>610</v>
      </c>
      <c r="T283" s="34"/>
      <c r="U283" s="29">
        <v>3</v>
      </c>
      <c r="V283" s="29" t="s">
        <v>665</v>
      </c>
      <c r="W283" s="29"/>
      <c r="X283" s="30" t="s">
        <v>23</v>
      </c>
      <c r="Y283" s="30" t="s">
        <v>493</v>
      </c>
      <c r="Z283" s="30">
        <v>27</v>
      </c>
      <c r="AA283" s="7" t="s">
        <v>805</v>
      </c>
      <c r="AB283" s="7"/>
      <c r="AC283" s="7"/>
      <c r="AD283" s="7"/>
    </row>
    <row r="284" spans="1:30" ht="15" x14ac:dyDescent="0.25">
      <c r="A284" s="26">
        <v>26207100296</v>
      </c>
      <c r="B284" s="27" t="s">
        <v>778</v>
      </c>
      <c r="C284" s="27" t="s">
        <v>496</v>
      </c>
      <c r="D284" s="27" t="s">
        <v>467</v>
      </c>
      <c r="E284" s="28"/>
      <c r="F284" s="27"/>
      <c r="G284" s="27" t="s">
        <v>661</v>
      </c>
      <c r="H284" s="29">
        <v>9.6</v>
      </c>
      <c r="I284" s="29">
        <v>123</v>
      </c>
      <c r="J284" s="29">
        <v>0</v>
      </c>
      <c r="K284" s="29">
        <v>0</v>
      </c>
      <c r="L284" s="29">
        <v>123</v>
      </c>
      <c r="M284" s="29">
        <v>8.64</v>
      </c>
      <c r="N284" s="33">
        <v>3.75</v>
      </c>
      <c r="O284" s="34">
        <v>0</v>
      </c>
      <c r="P284" s="29" t="s">
        <v>610</v>
      </c>
      <c r="Q284" s="29" t="s">
        <v>610</v>
      </c>
      <c r="R284" s="29" t="s">
        <v>610</v>
      </c>
      <c r="S284" s="29" t="s">
        <v>610</v>
      </c>
      <c r="T284" s="29" t="s">
        <v>703</v>
      </c>
      <c r="U284" s="29">
        <v>0</v>
      </c>
      <c r="V284" s="29" t="s">
        <v>682</v>
      </c>
      <c r="W284" s="29"/>
      <c r="X284" s="30" t="e">
        <v>#N/A</v>
      </c>
      <c r="Y284" s="30" t="s">
        <v>493</v>
      </c>
      <c r="Z284" s="30">
        <v>27</v>
      </c>
      <c r="AA284" s="7" t="e">
        <v>#N/A</v>
      </c>
      <c r="AB284" s="7" t="e">
        <v>#N/A</v>
      </c>
      <c r="AC284" s="7" t="s">
        <v>120</v>
      </c>
      <c r="AD284" s="7" t="s">
        <v>587</v>
      </c>
    </row>
    <row r="285" spans="1:30" ht="15" x14ac:dyDescent="0.25">
      <c r="A285" s="26">
        <v>25212202498</v>
      </c>
      <c r="B285" s="27" t="s">
        <v>620</v>
      </c>
      <c r="C285" s="27" t="s">
        <v>586</v>
      </c>
      <c r="D285" s="27" t="s">
        <v>605</v>
      </c>
      <c r="E285" s="28"/>
      <c r="F285" s="27"/>
      <c r="G285" s="27" t="s">
        <v>661</v>
      </c>
      <c r="H285" s="29">
        <v>8.1999999999999993</v>
      </c>
      <c r="I285" s="29">
        <v>122</v>
      </c>
      <c r="J285" s="29">
        <v>2</v>
      </c>
      <c r="K285" s="29">
        <v>0</v>
      </c>
      <c r="L285" s="29">
        <v>124</v>
      </c>
      <c r="M285" s="29">
        <v>6.52</v>
      </c>
      <c r="N285" s="33">
        <v>2.57</v>
      </c>
      <c r="O285" s="34">
        <v>1.6E-2</v>
      </c>
      <c r="P285" s="29"/>
      <c r="Q285" s="29"/>
      <c r="R285" s="29" t="s">
        <v>610</v>
      </c>
      <c r="S285" s="29" t="s">
        <v>610</v>
      </c>
      <c r="T285" s="34"/>
      <c r="U285" s="29">
        <v>0</v>
      </c>
      <c r="V285" s="29" t="s">
        <v>665</v>
      </c>
      <c r="W285" s="29"/>
      <c r="X285" s="29"/>
      <c r="Y285" s="30" t="s">
        <v>493</v>
      </c>
      <c r="Z285" s="30">
        <v>27</v>
      </c>
      <c r="AA285" s="7" t="e">
        <v>#N/A</v>
      </c>
      <c r="AB285" s="7" t="e">
        <v>#N/A</v>
      </c>
      <c r="AC285" s="7" t="s">
        <v>116</v>
      </c>
      <c r="AD285" s="7" t="s">
        <v>492</v>
      </c>
    </row>
    <row r="286" spans="1:30" ht="15" x14ac:dyDescent="0.25">
      <c r="A286" s="35">
        <v>27217142131</v>
      </c>
      <c r="B286" s="36" t="s">
        <v>499</v>
      </c>
      <c r="C286" s="36" t="s">
        <v>690</v>
      </c>
      <c r="D286" s="36" t="s">
        <v>436</v>
      </c>
      <c r="E286" s="37"/>
      <c r="F286" s="36"/>
      <c r="G286" s="36" t="s">
        <v>661</v>
      </c>
      <c r="H286" s="38" t="e">
        <v>#N/A</v>
      </c>
      <c r="I286" s="38" t="e">
        <v>#N/A</v>
      </c>
      <c r="J286" s="38" t="e">
        <v>#N/A</v>
      </c>
      <c r="K286" s="38">
        <v>0</v>
      </c>
      <c r="L286" s="38" t="e">
        <v>#N/A</v>
      </c>
      <c r="M286" s="38" t="e">
        <v>#N/A</v>
      </c>
      <c r="N286" s="39" t="e">
        <v>#N/A</v>
      </c>
      <c r="O286" s="38" t="e">
        <v>#N/A</v>
      </c>
      <c r="P286" s="38"/>
      <c r="Q286" s="38"/>
      <c r="R286" s="38"/>
      <c r="S286" s="38"/>
      <c r="T286" s="38"/>
      <c r="U286" s="38" t="e">
        <v>#N/A</v>
      </c>
      <c r="V286" s="38" t="e">
        <v>#N/A</v>
      </c>
      <c r="W286" s="38"/>
      <c r="X286" s="38"/>
      <c r="Y286" s="30" t="s">
        <v>440</v>
      </c>
      <c r="Z286" s="30">
        <v>27</v>
      </c>
      <c r="AA286" s="7" t="e">
        <v>#N/A</v>
      </c>
      <c r="AB286" s="40"/>
      <c r="AC286" s="40"/>
      <c r="AD286" s="40"/>
    </row>
    <row r="287" spans="1:30" ht="15" x14ac:dyDescent="0.25">
      <c r="A287" s="35">
        <v>27207128881</v>
      </c>
      <c r="B287" s="36" t="s">
        <v>667</v>
      </c>
      <c r="C287" s="36" t="s">
        <v>738</v>
      </c>
      <c r="D287" s="36" t="s">
        <v>461</v>
      </c>
      <c r="E287" s="37"/>
      <c r="F287" s="36"/>
      <c r="G287" s="36" t="s">
        <v>661</v>
      </c>
      <c r="H287" s="38">
        <v>7.8</v>
      </c>
      <c r="I287" s="38">
        <v>119</v>
      </c>
      <c r="J287" s="38">
        <v>7</v>
      </c>
      <c r="K287" s="38">
        <v>0</v>
      </c>
      <c r="L287" s="38">
        <v>126</v>
      </c>
      <c r="M287" s="38">
        <v>6.04</v>
      </c>
      <c r="N287" s="39">
        <v>2.36</v>
      </c>
      <c r="O287" s="41">
        <v>5.6000000000000001E-2</v>
      </c>
      <c r="P287" s="38"/>
      <c r="Q287" s="38"/>
      <c r="R287" s="38"/>
      <c r="S287" s="38"/>
      <c r="T287" s="41"/>
      <c r="U287" s="38">
        <v>0</v>
      </c>
      <c r="V287" s="38" t="s">
        <v>662</v>
      </c>
      <c r="W287" s="38"/>
      <c r="X287" s="38"/>
      <c r="Y287" s="30" t="s">
        <v>440</v>
      </c>
      <c r="Z287" s="30">
        <v>27</v>
      </c>
      <c r="AA287" s="7" t="e">
        <v>#N/A</v>
      </c>
      <c r="AB287" s="7"/>
      <c r="AC287" s="7"/>
      <c r="AD287" s="7"/>
    </row>
    <row r="288" spans="1:30" ht="15" x14ac:dyDescent="0.25">
      <c r="A288" s="35">
        <v>27207142147</v>
      </c>
      <c r="B288" s="36" t="s">
        <v>620</v>
      </c>
      <c r="C288" s="36" t="s">
        <v>566</v>
      </c>
      <c r="D288" s="36" t="s">
        <v>441</v>
      </c>
      <c r="E288" s="37"/>
      <c r="F288" s="36"/>
      <c r="G288" s="36" t="s">
        <v>661</v>
      </c>
      <c r="H288" s="38">
        <v>9.3000000000000007</v>
      </c>
      <c r="I288" s="38">
        <v>126</v>
      </c>
      <c r="J288" s="38">
        <v>0</v>
      </c>
      <c r="K288" s="38">
        <v>0</v>
      </c>
      <c r="L288" s="38">
        <v>126</v>
      </c>
      <c r="M288" s="38">
        <v>8.9700000000000006</v>
      </c>
      <c r="N288" s="39">
        <v>3.88</v>
      </c>
      <c r="O288" s="41">
        <v>0</v>
      </c>
      <c r="P288" s="38" t="s">
        <v>610</v>
      </c>
      <c r="Q288" s="38" t="s">
        <v>610</v>
      </c>
      <c r="R288" s="38" t="s">
        <v>610</v>
      </c>
      <c r="S288" s="38" t="s">
        <v>610</v>
      </c>
      <c r="T288" s="38" t="s">
        <v>779</v>
      </c>
      <c r="U288" s="38" t="e">
        <v>#N/A</v>
      </c>
      <c r="V288" s="38" t="s">
        <v>682</v>
      </c>
      <c r="W288" s="38"/>
      <c r="X288" s="30" t="e">
        <v>#N/A</v>
      </c>
      <c r="Y288" s="30" t="s">
        <v>440</v>
      </c>
      <c r="Z288" s="30">
        <v>27</v>
      </c>
      <c r="AA288" s="7" t="e">
        <v>#N/A</v>
      </c>
      <c r="AB288" s="7"/>
      <c r="AC288" s="7"/>
      <c r="AD288" s="7"/>
    </row>
    <row r="289" spans="1:30" ht="15" x14ac:dyDescent="0.25">
      <c r="A289" s="35">
        <v>26217133880</v>
      </c>
      <c r="B289" s="36" t="s">
        <v>631</v>
      </c>
      <c r="C289" s="36" t="s">
        <v>586</v>
      </c>
      <c r="D289" s="36" t="s">
        <v>464</v>
      </c>
      <c r="E289" s="37"/>
      <c r="F289" s="36"/>
      <c r="G289" s="36" t="s">
        <v>661</v>
      </c>
      <c r="H289" s="38">
        <v>7.2</v>
      </c>
      <c r="I289" s="38">
        <v>122</v>
      </c>
      <c r="J289" s="38">
        <v>4</v>
      </c>
      <c r="K289" s="38">
        <v>0</v>
      </c>
      <c r="L289" s="38">
        <v>126</v>
      </c>
      <c r="M289" s="38">
        <v>6.26</v>
      </c>
      <c r="N289" s="39">
        <v>2.42</v>
      </c>
      <c r="O289" s="41">
        <v>3.2000000000000001E-2</v>
      </c>
      <c r="P289" s="38"/>
      <c r="Q289" s="38"/>
      <c r="R289" s="38"/>
      <c r="S289" s="38"/>
      <c r="T289" s="41"/>
      <c r="U289" s="38">
        <v>0</v>
      </c>
      <c r="V289" s="38" t="s">
        <v>665</v>
      </c>
      <c r="W289" s="38"/>
      <c r="X289" s="38"/>
      <c r="Y289" s="30" t="s">
        <v>440</v>
      </c>
      <c r="Z289" s="30">
        <v>27</v>
      </c>
      <c r="AA289" s="7" t="e">
        <v>#N/A</v>
      </c>
      <c r="AB289" s="7" t="e">
        <v>#N/A</v>
      </c>
      <c r="AC289" s="7" t="s">
        <v>462</v>
      </c>
      <c r="AD289" s="7" t="s">
        <v>463</v>
      </c>
    </row>
    <row r="290" spans="1:30" ht="15" x14ac:dyDescent="0.25">
      <c r="A290" s="35">
        <v>27207128646</v>
      </c>
      <c r="B290" s="36" t="s">
        <v>531</v>
      </c>
      <c r="C290" s="36" t="s">
        <v>689</v>
      </c>
      <c r="D290" s="36" t="s">
        <v>442</v>
      </c>
      <c r="E290" s="37"/>
      <c r="F290" s="36"/>
      <c r="G290" s="36" t="s">
        <v>661</v>
      </c>
      <c r="H290" s="38">
        <v>8.5</v>
      </c>
      <c r="I290" s="38">
        <v>126</v>
      </c>
      <c r="J290" s="38">
        <v>0</v>
      </c>
      <c r="K290" s="38">
        <v>0</v>
      </c>
      <c r="L290" s="38">
        <v>126</v>
      </c>
      <c r="M290" s="38">
        <v>7.05</v>
      </c>
      <c r="N290" s="39">
        <v>2.93</v>
      </c>
      <c r="O290" s="41">
        <v>0</v>
      </c>
      <c r="P290" s="38"/>
      <c r="Q290" s="38"/>
      <c r="R290" s="38"/>
      <c r="S290" s="38"/>
      <c r="T290" s="41"/>
      <c r="U290" s="38">
        <v>0</v>
      </c>
      <c r="V290" s="38" t="s">
        <v>665</v>
      </c>
      <c r="W290" s="38"/>
      <c r="X290" s="38"/>
      <c r="Y290" s="30" t="s">
        <v>440</v>
      </c>
      <c r="Z290" s="30">
        <v>27</v>
      </c>
      <c r="AA290" s="7" t="s">
        <v>850</v>
      </c>
      <c r="AB290" s="7"/>
      <c r="AC290" s="7"/>
      <c r="AD290" s="7"/>
    </row>
    <row r="291" spans="1:30" ht="15" x14ac:dyDescent="0.25">
      <c r="A291" s="35">
        <v>26217131923</v>
      </c>
      <c r="B291" s="36" t="s">
        <v>684</v>
      </c>
      <c r="C291" s="36" t="s">
        <v>503</v>
      </c>
      <c r="D291" s="36" t="s">
        <v>443</v>
      </c>
      <c r="E291" s="37"/>
      <c r="F291" s="36"/>
      <c r="G291" s="36" t="s">
        <v>661</v>
      </c>
      <c r="H291" s="38">
        <v>5.0999999999999996</v>
      </c>
      <c r="I291" s="38">
        <v>104</v>
      </c>
      <c r="J291" s="38">
        <v>22</v>
      </c>
      <c r="K291" s="38">
        <v>0</v>
      </c>
      <c r="L291" s="38">
        <v>126</v>
      </c>
      <c r="M291" s="38">
        <v>4.7300000000000004</v>
      </c>
      <c r="N291" s="39">
        <v>1.7</v>
      </c>
      <c r="O291" s="41">
        <v>0.17499999999999999</v>
      </c>
      <c r="P291" s="38"/>
      <c r="Q291" s="38"/>
      <c r="R291" s="38"/>
      <c r="S291" s="38"/>
      <c r="T291" s="41"/>
      <c r="U291" s="38">
        <v>14</v>
      </c>
      <c r="V291" s="38" t="s">
        <v>662</v>
      </c>
      <c r="W291" s="38"/>
      <c r="X291" s="38"/>
      <c r="Y291" s="30" t="s">
        <v>440</v>
      </c>
      <c r="Z291" s="30">
        <v>27</v>
      </c>
      <c r="AA291" s="7" t="e">
        <v>#N/A</v>
      </c>
      <c r="AB291" s="7"/>
      <c r="AC291" s="7"/>
      <c r="AD291" s="7"/>
    </row>
    <row r="292" spans="1:30" ht="15" x14ac:dyDescent="0.25">
      <c r="A292" s="35">
        <v>27217132174</v>
      </c>
      <c r="B292" s="36" t="s">
        <v>531</v>
      </c>
      <c r="C292" s="36" t="s">
        <v>503</v>
      </c>
      <c r="D292" s="36" t="s">
        <v>443</v>
      </c>
      <c r="E292" s="37"/>
      <c r="F292" s="36"/>
      <c r="G292" s="36" t="s">
        <v>661</v>
      </c>
      <c r="H292" s="38">
        <v>7.8</v>
      </c>
      <c r="I292" s="38">
        <v>126</v>
      </c>
      <c r="J292" s="38">
        <v>0</v>
      </c>
      <c r="K292" s="38">
        <v>0</v>
      </c>
      <c r="L292" s="38">
        <v>126</v>
      </c>
      <c r="M292" s="38">
        <v>7.04</v>
      </c>
      <c r="N292" s="39">
        <v>2.9</v>
      </c>
      <c r="O292" s="41">
        <v>0</v>
      </c>
      <c r="P292" s="38"/>
      <c r="Q292" s="38"/>
      <c r="R292" s="38"/>
      <c r="S292" s="38"/>
      <c r="T292" s="41"/>
      <c r="U292" s="38">
        <v>0</v>
      </c>
      <c r="V292" s="38" t="s">
        <v>665</v>
      </c>
      <c r="W292" s="38"/>
      <c r="X292" s="38"/>
      <c r="Y292" s="30" t="s">
        <v>440</v>
      </c>
      <c r="Z292" s="30">
        <v>27</v>
      </c>
      <c r="AA292" s="7" t="s">
        <v>850</v>
      </c>
      <c r="AB292" s="7"/>
      <c r="AC292" s="7"/>
      <c r="AD292" s="7"/>
    </row>
    <row r="293" spans="1:30" ht="15" x14ac:dyDescent="0.25">
      <c r="A293" s="35">
        <v>27217142150</v>
      </c>
      <c r="B293" s="36" t="s">
        <v>700</v>
      </c>
      <c r="C293" s="36" t="s">
        <v>460</v>
      </c>
      <c r="D293" s="36" t="s">
        <v>443</v>
      </c>
      <c r="E293" s="37"/>
      <c r="F293" s="36"/>
      <c r="G293" s="36" t="s">
        <v>661</v>
      </c>
      <c r="H293" s="38">
        <v>9.4</v>
      </c>
      <c r="I293" s="38">
        <v>126</v>
      </c>
      <c r="J293" s="38">
        <v>0</v>
      </c>
      <c r="K293" s="38">
        <v>0</v>
      </c>
      <c r="L293" s="38">
        <v>126</v>
      </c>
      <c r="M293" s="38">
        <v>8.58</v>
      </c>
      <c r="N293" s="39">
        <v>3.72</v>
      </c>
      <c r="O293" s="41">
        <v>0</v>
      </c>
      <c r="P293" s="38"/>
      <c r="Q293" s="38"/>
      <c r="R293" s="38"/>
      <c r="S293" s="38"/>
      <c r="T293" s="41"/>
      <c r="U293" s="38">
        <v>0</v>
      </c>
      <c r="V293" s="38" t="s">
        <v>682</v>
      </c>
      <c r="W293" s="38"/>
      <c r="X293" s="30" t="e">
        <v>#N/A</v>
      </c>
      <c r="Y293" s="30" t="s">
        <v>440</v>
      </c>
      <c r="Z293" s="30">
        <v>27</v>
      </c>
      <c r="AA293" s="7" t="e">
        <v>#N/A</v>
      </c>
      <c r="AB293" s="7" t="e">
        <v>#N/A</v>
      </c>
      <c r="AC293" s="7" t="s">
        <v>438</v>
      </c>
      <c r="AD293" s="7" t="s">
        <v>439</v>
      </c>
    </row>
    <row r="294" spans="1:30" ht="15" x14ac:dyDescent="0.25">
      <c r="A294" s="35">
        <v>26217140446</v>
      </c>
      <c r="B294" s="36" t="s">
        <v>499</v>
      </c>
      <c r="C294" s="36" t="s">
        <v>606</v>
      </c>
      <c r="D294" s="36" t="s">
        <v>466</v>
      </c>
      <c r="E294" s="37"/>
      <c r="F294" s="36"/>
      <c r="G294" s="36" t="s">
        <v>661</v>
      </c>
      <c r="H294" s="38">
        <v>4.4000000000000004</v>
      </c>
      <c r="I294" s="38">
        <v>36</v>
      </c>
      <c r="J294" s="38">
        <v>90</v>
      </c>
      <c r="K294" s="38">
        <v>0</v>
      </c>
      <c r="L294" s="38">
        <v>126</v>
      </c>
      <c r="M294" s="38">
        <v>1.72</v>
      </c>
      <c r="N294" s="39">
        <v>0.62</v>
      </c>
      <c r="O294" s="41">
        <v>0.71399999999999997</v>
      </c>
      <c r="P294" s="38"/>
      <c r="Q294" s="38"/>
      <c r="R294" s="38"/>
      <c r="S294" s="38"/>
      <c r="T294" s="41"/>
      <c r="U294" s="38">
        <v>0</v>
      </c>
      <c r="V294" s="38" t="s">
        <v>662</v>
      </c>
      <c r="W294" s="38"/>
      <c r="X294" s="38"/>
      <c r="Y294" s="30" t="s">
        <v>440</v>
      </c>
      <c r="Z294" s="30">
        <v>27</v>
      </c>
      <c r="AA294" s="7" t="e">
        <v>#N/A</v>
      </c>
      <c r="AB294" s="7"/>
      <c r="AC294" s="7"/>
      <c r="AD294" s="7"/>
    </row>
    <row r="295" spans="1:30" ht="15" x14ac:dyDescent="0.25">
      <c r="A295" s="35">
        <v>27207140430</v>
      </c>
      <c r="B295" s="36" t="s">
        <v>539</v>
      </c>
      <c r="C295" s="36" t="s">
        <v>780</v>
      </c>
      <c r="D295" s="36" t="s">
        <v>467</v>
      </c>
      <c r="E295" s="37"/>
      <c r="F295" s="36"/>
      <c r="G295" s="36" t="s">
        <v>661</v>
      </c>
      <c r="H295" s="38">
        <v>8.3000000000000007</v>
      </c>
      <c r="I295" s="38">
        <v>126</v>
      </c>
      <c r="J295" s="38">
        <v>0</v>
      </c>
      <c r="K295" s="38">
        <v>0</v>
      </c>
      <c r="L295" s="38">
        <v>126</v>
      </c>
      <c r="M295" s="38">
        <v>8.11</v>
      </c>
      <c r="N295" s="39">
        <v>3.5</v>
      </c>
      <c r="O295" s="41">
        <v>0</v>
      </c>
      <c r="P295" s="38"/>
      <c r="Q295" s="38"/>
      <c r="R295" s="38"/>
      <c r="S295" s="38"/>
      <c r="T295" s="41"/>
      <c r="U295" s="38">
        <v>0</v>
      </c>
      <c r="V295" s="38" t="s">
        <v>665</v>
      </c>
      <c r="W295" s="38"/>
      <c r="X295" s="30" t="s">
        <v>23</v>
      </c>
      <c r="Y295" s="30" t="s">
        <v>440</v>
      </c>
      <c r="Z295" s="30">
        <v>27</v>
      </c>
      <c r="AA295" s="7" t="s">
        <v>850</v>
      </c>
      <c r="AB295" s="7"/>
      <c r="AC295" s="7"/>
      <c r="AD295" s="7"/>
    </row>
    <row r="296" spans="1:30" ht="15" x14ac:dyDescent="0.25">
      <c r="A296" s="35">
        <v>27207143375</v>
      </c>
      <c r="B296" s="36" t="s">
        <v>676</v>
      </c>
      <c r="C296" s="36" t="s">
        <v>781</v>
      </c>
      <c r="D296" s="36" t="s">
        <v>468</v>
      </c>
      <c r="E296" s="37"/>
      <c r="F296" s="36"/>
      <c r="G296" s="36" t="s">
        <v>661</v>
      </c>
      <c r="H296" s="38">
        <v>8.3000000000000007</v>
      </c>
      <c r="I296" s="38">
        <v>58</v>
      </c>
      <c r="J296" s="38">
        <v>68</v>
      </c>
      <c r="K296" s="38">
        <v>0</v>
      </c>
      <c r="L296" s="38">
        <v>126</v>
      </c>
      <c r="M296" s="38">
        <v>3.17</v>
      </c>
      <c r="N296" s="39">
        <v>1.29</v>
      </c>
      <c r="O296" s="41">
        <v>0.54</v>
      </c>
      <c r="P296" s="38"/>
      <c r="Q296" s="38"/>
      <c r="R296" s="38"/>
      <c r="S296" s="38"/>
      <c r="T296" s="41"/>
      <c r="U296" s="38">
        <v>9</v>
      </c>
      <c r="V296" s="38" t="s">
        <v>662</v>
      </c>
      <c r="W296" s="38"/>
      <c r="X296" s="38"/>
      <c r="Y296" s="30" t="s">
        <v>440</v>
      </c>
      <c r="Z296" s="30">
        <v>27</v>
      </c>
      <c r="AA296" s="7" t="e">
        <v>#N/A</v>
      </c>
      <c r="AB296" s="7"/>
      <c r="AC296" s="7"/>
      <c r="AD296" s="7"/>
    </row>
    <row r="297" spans="1:30" ht="15" x14ac:dyDescent="0.25">
      <c r="A297" s="35">
        <v>25217207909</v>
      </c>
      <c r="B297" s="36" t="s">
        <v>631</v>
      </c>
      <c r="C297" s="36" t="s">
        <v>782</v>
      </c>
      <c r="D297" s="36" t="s">
        <v>469</v>
      </c>
      <c r="E297" s="37"/>
      <c r="F297" s="36"/>
      <c r="G297" s="36" t="s">
        <v>661</v>
      </c>
      <c r="H297" s="38">
        <v>6.2</v>
      </c>
      <c r="I297" s="38">
        <v>124</v>
      </c>
      <c r="J297" s="38">
        <v>2</v>
      </c>
      <c r="K297" s="38">
        <v>0</v>
      </c>
      <c r="L297" s="38">
        <v>126</v>
      </c>
      <c r="M297" s="38">
        <v>7.07</v>
      </c>
      <c r="N297" s="39">
        <v>2.91</v>
      </c>
      <c r="O297" s="41">
        <v>1.6E-2</v>
      </c>
      <c r="P297" s="38"/>
      <c r="Q297" s="38"/>
      <c r="R297" s="38"/>
      <c r="S297" s="38"/>
      <c r="T297" s="41"/>
      <c r="U297" s="38">
        <v>0</v>
      </c>
      <c r="V297" s="38" t="s">
        <v>665</v>
      </c>
      <c r="W297" s="38"/>
      <c r="X297" s="38"/>
      <c r="Y297" s="30" t="s">
        <v>440</v>
      </c>
      <c r="Z297" s="30">
        <v>27</v>
      </c>
      <c r="AA297" s="7" t="s">
        <v>850</v>
      </c>
      <c r="AB297" s="7"/>
      <c r="AC297" s="7"/>
      <c r="AD297" s="7"/>
    </row>
    <row r="298" spans="1:30" ht="15" x14ac:dyDescent="0.25">
      <c r="A298" s="35">
        <v>27202225386</v>
      </c>
      <c r="B298" s="36" t="s">
        <v>499</v>
      </c>
      <c r="C298" s="36" t="s">
        <v>783</v>
      </c>
      <c r="D298" s="36" t="s">
        <v>446</v>
      </c>
      <c r="E298" s="37"/>
      <c r="F298" s="36"/>
      <c r="G298" s="36" t="s">
        <v>661</v>
      </c>
      <c r="H298" s="38">
        <v>8.3000000000000007</v>
      </c>
      <c r="I298" s="38">
        <v>121</v>
      </c>
      <c r="J298" s="38">
        <v>5</v>
      </c>
      <c r="K298" s="38">
        <v>0</v>
      </c>
      <c r="L298" s="38">
        <v>126</v>
      </c>
      <c r="M298" s="38">
        <v>6.64</v>
      </c>
      <c r="N298" s="39">
        <v>2.73</v>
      </c>
      <c r="O298" s="41">
        <v>0.04</v>
      </c>
      <c r="P298" s="38"/>
      <c r="Q298" s="38"/>
      <c r="R298" s="38"/>
      <c r="S298" s="38"/>
      <c r="T298" s="41"/>
      <c r="U298" s="38">
        <v>0</v>
      </c>
      <c r="V298" s="38" t="s">
        <v>665</v>
      </c>
      <c r="W298" s="38"/>
      <c r="X298" s="38"/>
      <c r="Y298" s="30" t="s">
        <v>440</v>
      </c>
      <c r="Z298" s="30">
        <v>27</v>
      </c>
      <c r="AA298" s="7" t="e">
        <v>#N/A</v>
      </c>
      <c r="AB298" s="7" t="e">
        <v>#N/A</v>
      </c>
      <c r="AC298" s="7" t="s">
        <v>438</v>
      </c>
      <c r="AD298" s="7" t="s">
        <v>439</v>
      </c>
    </row>
    <row r="299" spans="1:30" ht="15" x14ac:dyDescent="0.25">
      <c r="A299" s="35">
        <v>27217132620</v>
      </c>
      <c r="B299" s="36" t="s">
        <v>531</v>
      </c>
      <c r="C299" s="36" t="s">
        <v>503</v>
      </c>
      <c r="D299" s="36" t="s">
        <v>470</v>
      </c>
      <c r="E299" s="37"/>
      <c r="F299" s="36"/>
      <c r="G299" s="36" t="s">
        <v>661</v>
      </c>
      <c r="H299" s="38">
        <v>8.5</v>
      </c>
      <c r="I299" s="38">
        <v>126</v>
      </c>
      <c r="J299" s="38">
        <v>0</v>
      </c>
      <c r="K299" s="38">
        <v>0</v>
      </c>
      <c r="L299" s="38">
        <v>126</v>
      </c>
      <c r="M299" s="38">
        <v>7.9</v>
      </c>
      <c r="N299" s="39">
        <v>3.36</v>
      </c>
      <c r="O299" s="41">
        <v>0</v>
      </c>
      <c r="P299" s="38"/>
      <c r="Q299" s="38"/>
      <c r="R299" s="38"/>
      <c r="S299" s="38"/>
      <c r="T299" s="41"/>
      <c r="U299" s="38">
        <v>0</v>
      </c>
      <c r="V299" s="38" t="s">
        <v>665</v>
      </c>
      <c r="W299" s="38"/>
      <c r="X299" s="30" t="s">
        <v>23</v>
      </c>
      <c r="Y299" s="30" t="s">
        <v>440</v>
      </c>
      <c r="Z299" s="30">
        <v>27</v>
      </c>
      <c r="AA299" s="7" t="s">
        <v>850</v>
      </c>
      <c r="AB299" s="7"/>
      <c r="AC299" s="7"/>
      <c r="AD299" s="7"/>
    </row>
    <row r="300" spans="1:30" ht="15" x14ac:dyDescent="0.25">
      <c r="A300" s="35">
        <v>27217102508</v>
      </c>
      <c r="B300" s="36" t="s">
        <v>531</v>
      </c>
      <c r="C300" s="36" t="s">
        <v>784</v>
      </c>
      <c r="D300" s="36" t="s">
        <v>471</v>
      </c>
      <c r="E300" s="37"/>
      <c r="F300" s="36"/>
      <c r="G300" s="36" t="s">
        <v>661</v>
      </c>
      <c r="H300" s="38" t="e">
        <v>#N/A</v>
      </c>
      <c r="I300" s="38" t="e">
        <v>#N/A</v>
      </c>
      <c r="J300" s="38" t="e">
        <v>#N/A</v>
      </c>
      <c r="K300" s="38">
        <v>0</v>
      </c>
      <c r="L300" s="38" t="e">
        <v>#N/A</v>
      </c>
      <c r="M300" s="38" t="e">
        <v>#N/A</v>
      </c>
      <c r="N300" s="39" t="e">
        <v>#N/A</v>
      </c>
      <c r="O300" s="38" t="e">
        <v>#N/A</v>
      </c>
      <c r="P300" s="38"/>
      <c r="Q300" s="38"/>
      <c r="R300" s="38"/>
      <c r="S300" s="38"/>
      <c r="T300" s="38"/>
      <c r="U300" s="38" t="e">
        <v>#N/A</v>
      </c>
      <c r="V300" s="38" t="e">
        <v>#N/A</v>
      </c>
      <c r="W300" s="38"/>
      <c r="X300" s="38"/>
      <c r="Y300" s="30" t="s">
        <v>440</v>
      </c>
      <c r="Z300" s="30">
        <v>27</v>
      </c>
      <c r="AA300" s="7" t="e">
        <v>#N/A</v>
      </c>
      <c r="AB300" s="40"/>
      <c r="AC300" s="40"/>
      <c r="AD300" s="40"/>
    </row>
    <row r="301" spans="1:30" ht="15" x14ac:dyDescent="0.25">
      <c r="A301" s="35">
        <v>26217140699</v>
      </c>
      <c r="B301" s="36" t="s">
        <v>499</v>
      </c>
      <c r="C301" s="36" t="s">
        <v>708</v>
      </c>
      <c r="D301" s="36" t="s">
        <v>447</v>
      </c>
      <c r="E301" s="37"/>
      <c r="F301" s="36"/>
      <c r="G301" s="36" t="s">
        <v>661</v>
      </c>
      <c r="H301" s="38" t="e">
        <v>#N/A</v>
      </c>
      <c r="I301" s="38" t="e">
        <v>#N/A</v>
      </c>
      <c r="J301" s="38" t="e">
        <v>#N/A</v>
      </c>
      <c r="K301" s="38">
        <v>0</v>
      </c>
      <c r="L301" s="38" t="e">
        <v>#N/A</v>
      </c>
      <c r="M301" s="38" t="e">
        <v>#N/A</v>
      </c>
      <c r="N301" s="39" t="e">
        <v>#N/A</v>
      </c>
      <c r="O301" s="38" t="e">
        <v>#N/A</v>
      </c>
      <c r="P301" s="38"/>
      <c r="Q301" s="38"/>
      <c r="R301" s="38"/>
      <c r="S301" s="38"/>
      <c r="T301" s="38"/>
      <c r="U301" s="38" t="e">
        <v>#N/A</v>
      </c>
      <c r="V301" s="38" t="e">
        <v>#N/A</v>
      </c>
      <c r="W301" s="38"/>
      <c r="X301" s="38"/>
      <c r="Y301" s="30" t="s">
        <v>440</v>
      </c>
      <c r="Z301" s="30">
        <v>27</v>
      </c>
      <c r="AA301" s="7" t="e">
        <v>#N/A</v>
      </c>
      <c r="AB301" s="40"/>
      <c r="AC301" s="40"/>
      <c r="AD301" s="40"/>
    </row>
    <row r="302" spans="1:30" ht="15" x14ac:dyDescent="0.25">
      <c r="A302" s="35">
        <v>27217145651</v>
      </c>
      <c r="B302" s="36" t="s">
        <v>621</v>
      </c>
      <c r="C302" s="36" t="s">
        <v>624</v>
      </c>
      <c r="D302" s="36" t="s">
        <v>447</v>
      </c>
      <c r="E302" s="37"/>
      <c r="F302" s="36"/>
      <c r="G302" s="36" t="s">
        <v>661</v>
      </c>
      <c r="H302" s="38" t="e">
        <v>#N/A</v>
      </c>
      <c r="I302" s="38" t="e">
        <v>#N/A</v>
      </c>
      <c r="J302" s="38" t="e">
        <v>#N/A</v>
      </c>
      <c r="K302" s="38">
        <v>0</v>
      </c>
      <c r="L302" s="38" t="e">
        <v>#N/A</v>
      </c>
      <c r="M302" s="38" t="e">
        <v>#N/A</v>
      </c>
      <c r="N302" s="39" t="e">
        <v>#N/A</v>
      </c>
      <c r="O302" s="38" t="e">
        <v>#N/A</v>
      </c>
      <c r="P302" s="38"/>
      <c r="Q302" s="38"/>
      <c r="R302" s="38"/>
      <c r="S302" s="38"/>
      <c r="T302" s="38"/>
      <c r="U302" s="38" t="e">
        <v>#N/A</v>
      </c>
      <c r="V302" s="38" t="e">
        <v>#N/A</v>
      </c>
      <c r="W302" s="38"/>
      <c r="X302" s="38"/>
      <c r="Y302" s="30" t="s">
        <v>440</v>
      </c>
      <c r="Z302" s="30">
        <v>27</v>
      </c>
      <c r="AA302" s="7" t="e">
        <v>#N/A</v>
      </c>
      <c r="AB302" s="40"/>
      <c r="AC302" s="40"/>
      <c r="AD302" s="40"/>
    </row>
    <row r="303" spans="1:30" ht="15" x14ac:dyDescent="0.25">
      <c r="A303" s="35">
        <v>26217120443</v>
      </c>
      <c r="B303" s="36" t="s">
        <v>680</v>
      </c>
      <c r="C303" s="36" t="s">
        <v>489</v>
      </c>
      <c r="D303" s="36" t="s">
        <v>435</v>
      </c>
      <c r="E303" s="37"/>
      <c r="F303" s="36"/>
      <c r="G303" s="36" t="s">
        <v>661</v>
      </c>
      <c r="H303" s="38">
        <v>8.4</v>
      </c>
      <c r="I303" s="38">
        <v>72</v>
      </c>
      <c r="J303" s="38">
        <v>54</v>
      </c>
      <c r="K303" s="38">
        <v>0</v>
      </c>
      <c r="L303" s="38">
        <v>126</v>
      </c>
      <c r="M303" s="38">
        <v>4.55</v>
      </c>
      <c r="N303" s="39">
        <v>1.95</v>
      </c>
      <c r="O303" s="41">
        <v>0.42899999999999999</v>
      </c>
      <c r="P303" s="38"/>
      <c r="Q303" s="38"/>
      <c r="R303" s="38"/>
      <c r="S303" s="38"/>
      <c r="T303" s="41"/>
      <c r="U303" s="38">
        <v>0</v>
      </c>
      <c r="V303" s="38" t="s">
        <v>662</v>
      </c>
      <c r="W303" s="38"/>
      <c r="X303" s="38"/>
      <c r="Y303" s="30" t="s">
        <v>440</v>
      </c>
      <c r="Z303" s="30">
        <v>27</v>
      </c>
      <c r="AA303" s="7" t="e">
        <v>#N/A</v>
      </c>
      <c r="AB303" s="7"/>
      <c r="AC303" s="7"/>
      <c r="AD303" s="7"/>
    </row>
    <row r="304" spans="1:30" ht="15" x14ac:dyDescent="0.25">
      <c r="A304" s="35">
        <v>27213445193</v>
      </c>
      <c r="B304" s="36" t="s">
        <v>531</v>
      </c>
      <c r="C304" s="36" t="s">
        <v>495</v>
      </c>
      <c r="D304" s="36" t="s">
        <v>435</v>
      </c>
      <c r="E304" s="37"/>
      <c r="F304" s="36"/>
      <c r="G304" s="36" t="s">
        <v>661</v>
      </c>
      <c r="H304" s="38">
        <v>8</v>
      </c>
      <c r="I304" s="38">
        <v>123</v>
      </c>
      <c r="J304" s="38">
        <v>3</v>
      </c>
      <c r="K304" s="38">
        <v>0</v>
      </c>
      <c r="L304" s="38">
        <v>126</v>
      </c>
      <c r="M304" s="38">
        <v>8.3000000000000007</v>
      </c>
      <c r="N304" s="39">
        <v>3.64</v>
      </c>
      <c r="O304" s="41">
        <v>2.4E-2</v>
      </c>
      <c r="P304" s="38"/>
      <c r="Q304" s="38"/>
      <c r="R304" s="38"/>
      <c r="S304" s="38"/>
      <c r="T304" s="41"/>
      <c r="U304" s="38">
        <v>3</v>
      </c>
      <c r="V304" s="38" t="s">
        <v>682</v>
      </c>
      <c r="W304" s="38"/>
      <c r="X304" s="30">
        <v>0</v>
      </c>
      <c r="Y304" s="30" t="s">
        <v>440</v>
      </c>
      <c r="Z304" s="30">
        <v>27</v>
      </c>
      <c r="AA304" s="7" t="s">
        <v>806</v>
      </c>
      <c r="AB304" s="7"/>
      <c r="AC304" s="7"/>
      <c r="AD304" s="7"/>
    </row>
    <row r="305" spans="1:30" ht="15" x14ac:dyDescent="0.25">
      <c r="A305" s="35">
        <v>27217135700</v>
      </c>
      <c r="B305" s="36" t="s">
        <v>700</v>
      </c>
      <c r="C305" s="36" t="s">
        <v>748</v>
      </c>
      <c r="D305" s="36" t="s">
        <v>435</v>
      </c>
      <c r="E305" s="37"/>
      <c r="F305" s="36"/>
      <c r="G305" s="36" t="s">
        <v>661</v>
      </c>
      <c r="H305" s="38">
        <v>7</v>
      </c>
      <c r="I305" s="38">
        <v>92</v>
      </c>
      <c r="J305" s="38">
        <v>34</v>
      </c>
      <c r="K305" s="38">
        <v>0</v>
      </c>
      <c r="L305" s="38">
        <v>126</v>
      </c>
      <c r="M305" s="38">
        <v>4.32</v>
      </c>
      <c r="N305" s="39">
        <v>1.59</v>
      </c>
      <c r="O305" s="41">
        <v>0.27</v>
      </c>
      <c r="P305" s="38"/>
      <c r="Q305" s="38"/>
      <c r="R305" s="38"/>
      <c r="S305" s="38"/>
      <c r="T305" s="41"/>
      <c r="U305" s="38">
        <v>0</v>
      </c>
      <c r="V305" s="38" t="s">
        <v>662</v>
      </c>
      <c r="W305" s="38"/>
      <c r="X305" s="38"/>
      <c r="Y305" s="30" t="s">
        <v>440</v>
      </c>
      <c r="Z305" s="30">
        <v>27</v>
      </c>
      <c r="AA305" s="7" t="e">
        <v>#N/A</v>
      </c>
      <c r="AB305" s="7"/>
      <c r="AC305" s="7"/>
      <c r="AD305" s="7"/>
    </row>
    <row r="306" spans="1:30" ht="15" x14ac:dyDescent="0.25">
      <c r="A306" s="35">
        <v>27207100571</v>
      </c>
      <c r="B306" s="36" t="s">
        <v>539</v>
      </c>
      <c r="C306" s="36" t="s">
        <v>706</v>
      </c>
      <c r="D306" s="36" t="s">
        <v>449</v>
      </c>
      <c r="E306" s="37"/>
      <c r="F306" s="36"/>
      <c r="G306" s="36" t="s">
        <v>661</v>
      </c>
      <c r="H306" s="38">
        <v>8.6</v>
      </c>
      <c r="I306" s="38">
        <v>126</v>
      </c>
      <c r="J306" s="38">
        <v>0</v>
      </c>
      <c r="K306" s="38">
        <v>0</v>
      </c>
      <c r="L306" s="38">
        <v>126</v>
      </c>
      <c r="M306" s="38">
        <v>7.17</v>
      </c>
      <c r="N306" s="39">
        <v>2.95</v>
      </c>
      <c r="O306" s="41">
        <v>0</v>
      </c>
      <c r="P306" s="38"/>
      <c r="Q306" s="38"/>
      <c r="R306" s="38"/>
      <c r="S306" s="38"/>
      <c r="T306" s="41"/>
      <c r="U306" s="38">
        <v>0</v>
      </c>
      <c r="V306" s="38" t="s">
        <v>665</v>
      </c>
      <c r="W306" s="38"/>
      <c r="X306" s="38"/>
      <c r="Y306" s="30" t="s">
        <v>440</v>
      </c>
      <c r="Z306" s="30">
        <v>27</v>
      </c>
      <c r="AA306" s="7" t="s">
        <v>821</v>
      </c>
      <c r="AB306" s="7"/>
      <c r="AC306" s="7"/>
      <c r="AD306" s="7"/>
    </row>
    <row r="307" spans="1:30" ht="15" x14ac:dyDescent="0.25">
      <c r="A307" s="35">
        <v>26207142302</v>
      </c>
      <c r="B307" s="36" t="s">
        <v>631</v>
      </c>
      <c r="C307" s="36" t="s">
        <v>681</v>
      </c>
      <c r="D307" s="36" t="s">
        <v>472</v>
      </c>
      <c r="E307" s="37"/>
      <c r="F307" s="36"/>
      <c r="G307" s="36" t="s">
        <v>661</v>
      </c>
      <c r="H307" s="38">
        <v>7.1</v>
      </c>
      <c r="I307" s="38">
        <v>123</v>
      </c>
      <c r="J307" s="38">
        <v>3</v>
      </c>
      <c r="K307" s="38">
        <v>0</v>
      </c>
      <c r="L307" s="38">
        <v>126</v>
      </c>
      <c r="M307" s="38">
        <v>7.77</v>
      </c>
      <c r="N307" s="39">
        <v>3.32</v>
      </c>
      <c r="O307" s="41">
        <v>2.4E-2</v>
      </c>
      <c r="P307" s="38"/>
      <c r="Q307" s="38"/>
      <c r="R307" s="38"/>
      <c r="S307" s="38"/>
      <c r="T307" s="41"/>
      <c r="U307" s="38">
        <v>0</v>
      </c>
      <c r="V307" s="38" t="s">
        <v>682</v>
      </c>
      <c r="W307" s="38"/>
      <c r="X307" s="30">
        <v>0</v>
      </c>
      <c r="Y307" s="30" t="s">
        <v>440</v>
      </c>
      <c r="Z307" s="30">
        <v>27</v>
      </c>
      <c r="AA307" s="7" t="e">
        <v>#N/A</v>
      </c>
      <c r="AB307" s="7" t="e">
        <v>#N/A</v>
      </c>
      <c r="AC307" s="7" t="s">
        <v>462</v>
      </c>
      <c r="AD307" s="7" t="s">
        <v>463</v>
      </c>
    </row>
    <row r="308" spans="1:30" ht="15" x14ac:dyDescent="0.25">
      <c r="A308" s="35">
        <v>27207140954</v>
      </c>
      <c r="B308" s="36" t="s">
        <v>631</v>
      </c>
      <c r="C308" s="36" t="s">
        <v>681</v>
      </c>
      <c r="D308" s="36" t="s">
        <v>473</v>
      </c>
      <c r="E308" s="37"/>
      <c r="F308" s="36"/>
      <c r="G308" s="36" t="s">
        <v>661</v>
      </c>
      <c r="H308" s="38">
        <v>8</v>
      </c>
      <c r="I308" s="38">
        <v>126</v>
      </c>
      <c r="J308" s="38">
        <v>0</v>
      </c>
      <c r="K308" s="38">
        <v>0</v>
      </c>
      <c r="L308" s="38">
        <v>126</v>
      </c>
      <c r="M308" s="38">
        <v>6.56</v>
      </c>
      <c r="N308" s="39">
        <v>2.6</v>
      </c>
      <c r="O308" s="41">
        <v>0</v>
      </c>
      <c r="P308" s="38"/>
      <c r="Q308" s="38"/>
      <c r="R308" s="38"/>
      <c r="S308" s="38"/>
      <c r="T308" s="41"/>
      <c r="U308" s="38">
        <v>0</v>
      </c>
      <c r="V308" s="38" t="s">
        <v>665</v>
      </c>
      <c r="W308" s="38"/>
      <c r="X308" s="38"/>
      <c r="Y308" s="30" t="s">
        <v>440</v>
      </c>
      <c r="Z308" s="30">
        <v>27</v>
      </c>
      <c r="AA308" s="7" t="s">
        <v>850</v>
      </c>
      <c r="AB308" s="7"/>
      <c r="AC308" s="7"/>
      <c r="AD308" s="7"/>
    </row>
    <row r="309" spans="1:30" ht="15" x14ac:dyDescent="0.25">
      <c r="A309" s="35">
        <v>27207142484</v>
      </c>
      <c r="B309" s="36" t="s">
        <v>631</v>
      </c>
      <c r="C309" s="36" t="s">
        <v>692</v>
      </c>
      <c r="D309" s="36" t="s">
        <v>450</v>
      </c>
      <c r="E309" s="37"/>
      <c r="F309" s="36"/>
      <c r="G309" s="36" t="s">
        <v>661</v>
      </c>
      <c r="H309" s="38">
        <v>8.6999999999999993</v>
      </c>
      <c r="I309" s="38">
        <v>126</v>
      </c>
      <c r="J309" s="38">
        <v>0</v>
      </c>
      <c r="K309" s="38">
        <v>0</v>
      </c>
      <c r="L309" s="38">
        <v>126</v>
      </c>
      <c r="M309" s="38">
        <v>8.69</v>
      </c>
      <c r="N309" s="39">
        <v>3.83</v>
      </c>
      <c r="O309" s="41">
        <v>0</v>
      </c>
      <c r="P309" s="38"/>
      <c r="Q309" s="38"/>
      <c r="R309" s="38"/>
      <c r="S309" s="38"/>
      <c r="T309" s="41"/>
      <c r="U309" s="38">
        <v>0</v>
      </c>
      <c r="V309" s="38" t="s">
        <v>682</v>
      </c>
      <c r="W309" s="38"/>
      <c r="X309" s="30" t="e">
        <v>#N/A</v>
      </c>
      <c r="Y309" s="30" t="s">
        <v>440</v>
      </c>
      <c r="Z309" s="30">
        <v>27</v>
      </c>
      <c r="AA309" s="7" t="s">
        <v>806</v>
      </c>
      <c r="AB309" s="7"/>
      <c r="AC309" s="7"/>
      <c r="AD309" s="7"/>
    </row>
    <row r="310" spans="1:30" ht="15" x14ac:dyDescent="0.25">
      <c r="A310" s="35">
        <v>27207142127</v>
      </c>
      <c r="B310" s="36" t="s">
        <v>621</v>
      </c>
      <c r="C310" s="36" t="s">
        <v>692</v>
      </c>
      <c r="D310" s="36" t="s">
        <v>451</v>
      </c>
      <c r="E310" s="37"/>
      <c r="F310" s="36"/>
      <c r="G310" s="36" t="s">
        <v>661</v>
      </c>
      <c r="H310" s="38">
        <v>8.8000000000000007</v>
      </c>
      <c r="I310" s="38">
        <v>126</v>
      </c>
      <c r="J310" s="38">
        <v>0</v>
      </c>
      <c r="K310" s="38">
        <v>0</v>
      </c>
      <c r="L310" s="38">
        <v>126</v>
      </c>
      <c r="M310" s="38">
        <v>8.0299999999999994</v>
      </c>
      <c r="N310" s="39">
        <v>3.47</v>
      </c>
      <c r="O310" s="41">
        <v>0</v>
      </c>
      <c r="P310" s="38"/>
      <c r="Q310" s="38"/>
      <c r="R310" s="38"/>
      <c r="S310" s="38"/>
      <c r="T310" s="41"/>
      <c r="U310" s="38">
        <v>0</v>
      </c>
      <c r="V310" s="38" t="s">
        <v>682</v>
      </c>
      <c r="W310" s="38"/>
      <c r="X310" s="30">
        <v>0</v>
      </c>
      <c r="Y310" s="30" t="s">
        <v>440</v>
      </c>
      <c r="Z310" s="30">
        <v>27</v>
      </c>
      <c r="AA310" s="7" t="s">
        <v>806</v>
      </c>
      <c r="AB310" s="7"/>
      <c r="AC310" s="7"/>
      <c r="AD310" s="7"/>
    </row>
    <row r="311" spans="1:30" ht="15" x14ac:dyDescent="0.25">
      <c r="A311" s="35">
        <v>27207100654</v>
      </c>
      <c r="B311" s="36" t="s">
        <v>684</v>
      </c>
      <c r="C311" s="36" t="s">
        <v>540</v>
      </c>
      <c r="D311" s="36" t="s">
        <v>452</v>
      </c>
      <c r="E311" s="37"/>
      <c r="F311" s="36"/>
      <c r="G311" s="36" t="s">
        <v>661</v>
      </c>
      <c r="H311" s="38">
        <v>8.3000000000000007</v>
      </c>
      <c r="I311" s="38">
        <v>126</v>
      </c>
      <c r="J311" s="38">
        <v>0</v>
      </c>
      <c r="K311" s="38">
        <v>0</v>
      </c>
      <c r="L311" s="38">
        <v>126</v>
      </c>
      <c r="M311" s="38">
        <v>7.06</v>
      </c>
      <c r="N311" s="39">
        <v>2.89</v>
      </c>
      <c r="O311" s="41">
        <v>0</v>
      </c>
      <c r="P311" s="38"/>
      <c r="Q311" s="38"/>
      <c r="R311" s="38"/>
      <c r="S311" s="38"/>
      <c r="T311" s="41"/>
      <c r="U311" s="38">
        <v>0</v>
      </c>
      <c r="V311" s="38" t="s">
        <v>665</v>
      </c>
      <c r="W311" s="38"/>
      <c r="X311" s="38"/>
      <c r="Y311" s="30" t="s">
        <v>440</v>
      </c>
      <c r="Z311" s="30">
        <v>27</v>
      </c>
      <c r="AA311" s="7" t="s">
        <v>851</v>
      </c>
      <c r="AB311" s="7"/>
      <c r="AC311" s="7"/>
      <c r="AD311" s="7"/>
    </row>
    <row r="312" spans="1:30" ht="15" x14ac:dyDescent="0.25">
      <c r="A312" s="35">
        <v>27207131471</v>
      </c>
      <c r="B312" s="36" t="s">
        <v>531</v>
      </c>
      <c r="C312" s="36" t="s">
        <v>540</v>
      </c>
      <c r="D312" s="36" t="s">
        <v>452</v>
      </c>
      <c r="E312" s="37"/>
      <c r="F312" s="36"/>
      <c r="G312" s="36" t="s">
        <v>661</v>
      </c>
      <c r="H312" s="38">
        <v>7.1</v>
      </c>
      <c r="I312" s="38">
        <v>121</v>
      </c>
      <c r="J312" s="38">
        <v>5</v>
      </c>
      <c r="K312" s="38">
        <v>0</v>
      </c>
      <c r="L312" s="38">
        <v>126</v>
      </c>
      <c r="M312" s="38">
        <v>7.36</v>
      </c>
      <c r="N312" s="39">
        <v>3.15</v>
      </c>
      <c r="O312" s="41">
        <v>0.04</v>
      </c>
      <c r="P312" s="38"/>
      <c r="Q312" s="38"/>
      <c r="R312" s="38"/>
      <c r="S312" s="38"/>
      <c r="T312" s="41"/>
      <c r="U312" s="38">
        <v>5</v>
      </c>
      <c r="V312" s="38" t="s">
        <v>665</v>
      </c>
      <c r="W312" s="38"/>
      <c r="X312" s="38"/>
      <c r="Y312" s="30" t="s">
        <v>440</v>
      </c>
      <c r="Z312" s="30">
        <v>27</v>
      </c>
      <c r="AA312" s="7" t="s">
        <v>806</v>
      </c>
      <c r="AB312" s="7"/>
      <c r="AC312" s="7"/>
      <c r="AD312" s="7"/>
    </row>
    <row r="313" spans="1:30" ht="15" x14ac:dyDescent="0.25">
      <c r="A313" s="35">
        <v>26207130074</v>
      </c>
      <c r="B313" s="36" t="s">
        <v>631</v>
      </c>
      <c r="C313" s="36" t="s">
        <v>742</v>
      </c>
      <c r="D313" s="36" t="s">
        <v>474</v>
      </c>
      <c r="E313" s="37"/>
      <c r="F313" s="36"/>
      <c r="G313" s="36" t="s">
        <v>661</v>
      </c>
      <c r="H313" s="38" t="e">
        <v>#N/A</v>
      </c>
      <c r="I313" s="38" t="e">
        <v>#N/A</v>
      </c>
      <c r="J313" s="38" t="e">
        <v>#N/A</v>
      </c>
      <c r="K313" s="38">
        <v>0</v>
      </c>
      <c r="L313" s="38" t="e">
        <v>#N/A</v>
      </c>
      <c r="M313" s="38" t="e">
        <v>#N/A</v>
      </c>
      <c r="N313" s="39" t="e">
        <v>#N/A</v>
      </c>
      <c r="O313" s="38" t="e">
        <v>#N/A</v>
      </c>
      <c r="P313" s="38"/>
      <c r="Q313" s="38"/>
      <c r="R313" s="38"/>
      <c r="S313" s="38"/>
      <c r="T313" s="38"/>
      <c r="U313" s="38" t="e">
        <v>#N/A</v>
      </c>
      <c r="V313" s="38" t="e">
        <v>#N/A</v>
      </c>
      <c r="W313" s="38"/>
      <c r="X313" s="38"/>
      <c r="Y313" s="30" t="s">
        <v>440</v>
      </c>
      <c r="Z313" s="30">
        <v>27</v>
      </c>
      <c r="AA313" s="7" t="e">
        <v>#N/A</v>
      </c>
      <c r="AB313" s="40"/>
      <c r="AC313" s="40"/>
      <c r="AD313" s="40"/>
    </row>
    <row r="314" spans="1:30" ht="15" x14ac:dyDescent="0.25">
      <c r="A314" s="35">
        <v>27207130518</v>
      </c>
      <c r="B314" s="36" t="s">
        <v>499</v>
      </c>
      <c r="C314" s="36" t="s">
        <v>695</v>
      </c>
      <c r="D314" s="36" t="s">
        <v>454</v>
      </c>
      <c r="E314" s="37"/>
      <c r="F314" s="36"/>
      <c r="G314" s="36" t="s">
        <v>661</v>
      </c>
      <c r="H314" s="38">
        <v>8.6</v>
      </c>
      <c r="I314" s="38">
        <v>126</v>
      </c>
      <c r="J314" s="38">
        <v>0</v>
      </c>
      <c r="K314" s="38">
        <v>0</v>
      </c>
      <c r="L314" s="38">
        <v>126</v>
      </c>
      <c r="M314" s="38">
        <v>7.61</v>
      </c>
      <c r="N314" s="39">
        <v>3.21</v>
      </c>
      <c r="O314" s="41">
        <v>0</v>
      </c>
      <c r="P314" s="38"/>
      <c r="Q314" s="38"/>
      <c r="R314" s="38"/>
      <c r="S314" s="38"/>
      <c r="T314" s="41"/>
      <c r="U314" s="38">
        <v>0</v>
      </c>
      <c r="V314" s="38" t="s">
        <v>682</v>
      </c>
      <c r="W314" s="38"/>
      <c r="X314" s="30" t="e">
        <v>#N/A</v>
      </c>
      <c r="Y314" s="30" t="s">
        <v>440</v>
      </c>
      <c r="Z314" s="30">
        <v>27</v>
      </c>
      <c r="AA314" s="7" t="s">
        <v>806</v>
      </c>
      <c r="AB314" s="7"/>
      <c r="AC314" s="7"/>
      <c r="AD314" s="7"/>
    </row>
    <row r="315" spans="1:30" ht="15" x14ac:dyDescent="0.25">
      <c r="A315" s="35">
        <v>27207128427</v>
      </c>
      <c r="B315" s="36" t="s">
        <v>499</v>
      </c>
      <c r="C315" s="36" t="s">
        <v>579</v>
      </c>
      <c r="D315" s="36" t="s">
        <v>475</v>
      </c>
      <c r="E315" s="37"/>
      <c r="F315" s="36"/>
      <c r="G315" s="36" t="s">
        <v>661</v>
      </c>
      <c r="H315" s="38">
        <v>8.1</v>
      </c>
      <c r="I315" s="38">
        <v>126</v>
      </c>
      <c r="J315" s="38">
        <v>0</v>
      </c>
      <c r="K315" s="38">
        <v>0</v>
      </c>
      <c r="L315" s="38">
        <v>126</v>
      </c>
      <c r="M315" s="38">
        <v>6.58</v>
      </c>
      <c r="N315" s="39">
        <v>2.62</v>
      </c>
      <c r="O315" s="41">
        <v>0</v>
      </c>
      <c r="P315" s="38"/>
      <c r="Q315" s="38"/>
      <c r="R315" s="38"/>
      <c r="S315" s="38"/>
      <c r="T315" s="41"/>
      <c r="U315" s="38">
        <v>0</v>
      </c>
      <c r="V315" s="38" t="s">
        <v>665</v>
      </c>
      <c r="W315" s="38"/>
      <c r="X315" s="38"/>
      <c r="Y315" s="30" t="s">
        <v>440</v>
      </c>
      <c r="Z315" s="30">
        <v>27</v>
      </c>
      <c r="AA315" s="7" t="s">
        <v>850</v>
      </c>
      <c r="AB315" s="7"/>
      <c r="AC315" s="7"/>
      <c r="AD315" s="7"/>
    </row>
    <row r="316" spans="1:30" ht="15" x14ac:dyDescent="0.25">
      <c r="A316" s="35">
        <v>27217102332</v>
      </c>
      <c r="B316" s="36" t="s">
        <v>531</v>
      </c>
      <c r="C316" s="36" t="s">
        <v>785</v>
      </c>
      <c r="D316" s="36" t="s">
        <v>476</v>
      </c>
      <c r="E316" s="37"/>
      <c r="F316" s="36"/>
      <c r="G316" s="36" t="s">
        <v>661</v>
      </c>
      <c r="H316" s="38">
        <v>7.5</v>
      </c>
      <c r="I316" s="38">
        <v>102</v>
      </c>
      <c r="J316" s="38">
        <v>24</v>
      </c>
      <c r="K316" s="38">
        <v>0</v>
      </c>
      <c r="L316" s="38">
        <v>126</v>
      </c>
      <c r="M316" s="38">
        <v>5.42</v>
      </c>
      <c r="N316" s="39">
        <v>2.15</v>
      </c>
      <c r="O316" s="41">
        <v>0.19</v>
      </c>
      <c r="P316" s="38"/>
      <c r="Q316" s="38"/>
      <c r="R316" s="38"/>
      <c r="S316" s="38"/>
      <c r="T316" s="41"/>
      <c r="U316" s="38">
        <v>6</v>
      </c>
      <c r="V316" s="38" t="s">
        <v>662</v>
      </c>
      <c r="W316" s="38"/>
      <c r="X316" s="38"/>
      <c r="Y316" s="30" t="s">
        <v>440</v>
      </c>
      <c r="Z316" s="30">
        <v>27</v>
      </c>
      <c r="AA316" s="7" t="e">
        <v>#N/A</v>
      </c>
      <c r="AB316" s="7"/>
      <c r="AC316" s="7"/>
      <c r="AD316" s="7"/>
    </row>
    <row r="317" spans="1:30" ht="15" x14ac:dyDescent="0.25">
      <c r="A317" s="35">
        <v>27202131041</v>
      </c>
      <c r="B317" s="36" t="s">
        <v>634</v>
      </c>
      <c r="C317" s="36" t="s">
        <v>786</v>
      </c>
      <c r="D317" s="36" t="s">
        <v>455</v>
      </c>
      <c r="E317" s="37"/>
      <c r="F317" s="36"/>
      <c r="G317" s="36" t="s">
        <v>661</v>
      </c>
      <c r="H317" s="38">
        <v>9.1</v>
      </c>
      <c r="I317" s="38">
        <v>126</v>
      </c>
      <c r="J317" s="38">
        <v>0</v>
      </c>
      <c r="K317" s="38">
        <v>0</v>
      </c>
      <c r="L317" s="38">
        <v>126</v>
      </c>
      <c r="M317" s="38">
        <v>7.19</v>
      </c>
      <c r="N317" s="39">
        <v>2.99</v>
      </c>
      <c r="O317" s="41">
        <v>0</v>
      </c>
      <c r="P317" s="38"/>
      <c r="Q317" s="38"/>
      <c r="R317" s="38"/>
      <c r="S317" s="38"/>
      <c r="T317" s="41"/>
      <c r="U317" s="38">
        <v>0</v>
      </c>
      <c r="V317" s="38" t="s">
        <v>665</v>
      </c>
      <c r="W317" s="38"/>
      <c r="X317" s="38"/>
      <c r="Y317" s="30" t="s">
        <v>440</v>
      </c>
      <c r="Z317" s="30">
        <v>27</v>
      </c>
      <c r="AA317" s="7" t="s">
        <v>851</v>
      </c>
      <c r="AB317" s="7"/>
      <c r="AC317" s="7"/>
      <c r="AD317" s="7"/>
    </row>
    <row r="318" spans="1:30" ht="15" x14ac:dyDescent="0.25">
      <c r="A318" s="35">
        <v>27217102897</v>
      </c>
      <c r="B318" s="36" t="s">
        <v>717</v>
      </c>
      <c r="C318" s="36" t="s">
        <v>579</v>
      </c>
      <c r="D318" s="36" t="s">
        <v>477</v>
      </c>
      <c r="E318" s="37"/>
      <c r="F318" s="36"/>
      <c r="G318" s="36" t="s">
        <v>661</v>
      </c>
      <c r="H318" s="38">
        <v>8.9</v>
      </c>
      <c r="I318" s="38">
        <v>126</v>
      </c>
      <c r="J318" s="38">
        <v>0</v>
      </c>
      <c r="K318" s="38">
        <v>0</v>
      </c>
      <c r="L318" s="38">
        <v>126</v>
      </c>
      <c r="M318" s="38">
        <v>8.5299999999999994</v>
      </c>
      <c r="N318" s="39">
        <v>3.71</v>
      </c>
      <c r="O318" s="41">
        <v>0</v>
      </c>
      <c r="P318" s="38"/>
      <c r="Q318" s="38"/>
      <c r="R318" s="38"/>
      <c r="S318" s="38"/>
      <c r="T318" s="41"/>
      <c r="U318" s="38">
        <v>0</v>
      </c>
      <c r="V318" s="38" t="s">
        <v>682</v>
      </c>
      <c r="W318" s="38"/>
      <c r="X318" s="30" t="e">
        <v>#N/A</v>
      </c>
      <c r="Y318" s="30" t="s">
        <v>440</v>
      </c>
      <c r="Z318" s="30">
        <v>27</v>
      </c>
      <c r="AA318" s="7" t="s">
        <v>850</v>
      </c>
      <c r="AB318" s="7"/>
      <c r="AC318" s="7"/>
      <c r="AD318" s="7"/>
    </row>
    <row r="319" spans="1:30" ht="15" x14ac:dyDescent="0.25">
      <c r="A319" s="35">
        <v>27207100430</v>
      </c>
      <c r="B319" s="36" t="s">
        <v>680</v>
      </c>
      <c r="C319" s="36" t="s">
        <v>695</v>
      </c>
      <c r="D319" s="36" t="s">
        <v>456</v>
      </c>
      <c r="E319" s="37"/>
      <c r="F319" s="36"/>
      <c r="G319" s="36" t="s">
        <v>661</v>
      </c>
      <c r="H319" s="38">
        <v>8.6999999999999993</v>
      </c>
      <c r="I319" s="38">
        <v>124</v>
      </c>
      <c r="J319" s="38">
        <v>2</v>
      </c>
      <c r="K319" s="38">
        <v>0</v>
      </c>
      <c r="L319" s="38">
        <v>126</v>
      </c>
      <c r="M319" s="38">
        <v>6.83</v>
      </c>
      <c r="N319" s="39">
        <v>2.78</v>
      </c>
      <c r="O319" s="41">
        <v>1.6E-2</v>
      </c>
      <c r="P319" s="38"/>
      <c r="Q319" s="38"/>
      <c r="R319" s="38"/>
      <c r="S319" s="38"/>
      <c r="T319" s="41"/>
      <c r="U319" s="38">
        <v>2</v>
      </c>
      <c r="V319" s="38" t="s">
        <v>665</v>
      </c>
      <c r="W319" s="38"/>
      <c r="X319" s="38"/>
      <c r="Y319" s="30" t="s">
        <v>440</v>
      </c>
      <c r="Z319" s="30">
        <v>27</v>
      </c>
      <c r="AA319" s="7" t="s">
        <v>850</v>
      </c>
      <c r="AB319" s="7"/>
      <c r="AC319" s="7"/>
      <c r="AD319" s="7"/>
    </row>
    <row r="320" spans="1:30" ht="15" x14ac:dyDescent="0.25">
      <c r="A320" s="35">
        <v>27207142387</v>
      </c>
      <c r="B320" s="36" t="s">
        <v>471</v>
      </c>
      <c r="C320" s="36" t="s">
        <v>692</v>
      </c>
      <c r="D320" s="36" t="s">
        <v>456</v>
      </c>
      <c r="E320" s="37"/>
      <c r="F320" s="36"/>
      <c r="G320" s="36" t="s">
        <v>661</v>
      </c>
      <c r="H320" s="38">
        <v>8.4</v>
      </c>
      <c r="I320" s="38">
        <v>126</v>
      </c>
      <c r="J320" s="38">
        <v>0</v>
      </c>
      <c r="K320" s="38">
        <v>0</v>
      </c>
      <c r="L320" s="38">
        <v>126</v>
      </c>
      <c r="M320" s="38">
        <v>7.54</v>
      </c>
      <c r="N320" s="39">
        <v>3.19</v>
      </c>
      <c r="O320" s="41">
        <v>0</v>
      </c>
      <c r="P320" s="38"/>
      <c r="Q320" s="38"/>
      <c r="R320" s="38"/>
      <c r="S320" s="38"/>
      <c r="T320" s="41"/>
      <c r="U320" s="38">
        <v>0</v>
      </c>
      <c r="V320" s="38" t="s">
        <v>665</v>
      </c>
      <c r="W320" s="38"/>
      <c r="X320" s="38"/>
      <c r="Y320" s="30" t="s">
        <v>440</v>
      </c>
      <c r="Z320" s="30">
        <v>27</v>
      </c>
      <c r="AA320" s="7" t="s">
        <v>829</v>
      </c>
      <c r="AB320" s="7"/>
      <c r="AC320" s="7"/>
      <c r="AD320" s="7"/>
    </row>
    <row r="321" spans="1:30" ht="15" x14ac:dyDescent="0.25">
      <c r="A321" s="35">
        <v>27207152388</v>
      </c>
      <c r="B321" s="36" t="s">
        <v>620</v>
      </c>
      <c r="C321" s="36" t="s">
        <v>668</v>
      </c>
      <c r="D321" s="36" t="s">
        <v>456</v>
      </c>
      <c r="E321" s="37"/>
      <c r="F321" s="36"/>
      <c r="G321" s="36" t="s">
        <v>661</v>
      </c>
      <c r="H321" s="38">
        <v>8.8000000000000007</v>
      </c>
      <c r="I321" s="38">
        <v>126</v>
      </c>
      <c r="J321" s="38">
        <v>0</v>
      </c>
      <c r="K321" s="38">
        <v>0</v>
      </c>
      <c r="L321" s="38">
        <v>126</v>
      </c>
      <c r="M321" s="38">
        <v>8.56</v>
      </c>
      <c r="N321" s="39">
        <v>3.73</v>
      </c>
      <c r="O321" s="41">
        <v>0</v>
      </c>
      <c r="P321" s="38"/>
      <c r="Q321" s="38"/>
      <c r="R321" s="38"/>
      <c r="S321" s="38"/>
      <c r="T321" s="41"/>
      <c r="U321" s="38">
        <v>0</v>
      </c>
      <c r="V321" s="38" t="s">
        <v>682</v>
      </c>
      <c r="W321" s="38"/>
      <c r="X321" s="30" t="e">
        <v>#N/A</v>
      </c>
      <c r="Y321" s="30" t="s">
        <v>440</v>
      </c>
      <c r="Z321" s="30">
        <v>27</v>
      </c>
      <c r="AA321" s="7" t="s">
        <v>806</v>
      </c>
      <c r="AB321" s="7"/>
      <c r="AC321" s="7"/>
      <c r="AD321" s="7"/>
    </row>
    <row r="322" spans="1:30" ht="15" x14ac:dyDescent="0.25">
      <c r="A322" s="35">
        <v>25202108563</v>
      </c>
      <c r="B322" s="36" t="s">
        <v>531</v>
      </c>
      <c r="C322" s="36" t="s">
        <v>618</v>
      </c>
      <c r="D322" s="36" t="s">
        <v>478</v>
      </c>
      <c r="E322" s="37"/>
      <c r="F322" s="36"/>
      <c r="G322" s="36" t="s">
        <v>661</v>
      </c>
      <c r="H322" s="38">
        <v>5.7</v>
      </c>
      <c r="I322" s="38">
        <v>124</v>
      </c>
      <c r="J322" s="38">
        <v>2</v>
      </c>
      <c r="K322" s="38">
        <v>0</v>
      </c>
      <c r="L322" s="38">
        <v>126</v>
      </c>
      <c r="M322" s="38">
        <v>6.65</v>
      </c>
      <c r="N322" s="39">
        <v>2.62</v>
      </c>
      <c r="O322" s="41">
        <v>1.6E-2</v>
      </c>
      <c r="P322" s="38"/>
      <c r="Q322" s="38"/>
      <c r="R322" s="38"/>
      <c r="S322" s="38"/>
      <c r="T322" s="41"/>
      <c r="U322" s="38">
        <v>0</v>
      </c>
      <c r="V322" s="38" t="s">
        <v>665</v>
      </c>
      <c r="W322" s="38"/>
      <c r="X322" s="38"/>
      <c r="Y322" s="30" t="s">
        <v>440</v>
      </c>
      <c r="Z322" s="30">
        <v>27</v>
      </c>
      <c r="AA322" s="7" t="s">
        <v>850</v>
      </c>
      <c r="AB322" s="7"/>
      <c r="AC322" s="7"/>
      <c r="AD322" s="7"/>
    </row>
    <row r="323" spans="1:30" ht="15" x14ac:dyDescent="0.25">
      <c r="A323" s="35">
        <v>27207101932</v>
      </c>
      <c r="B323" s="36" t="s">
        <v>531</v>
      </c>
      <c r="C323" s="36" t="s">
        <v>746</v>
      </c>
      <c r="D323" s="36" t="s">
        <v>479</v>
      </c>
      <c r="E323" s="37"/>
      <c r="F323" s="36"/>
      <c r="G323" s="36" t="s">
        <v>661</v>
      </c>
      <c r="H323" s="38">
        <v>9.4</v>
      </c>
      <c r="I323" s="38">
        <v>126</v>
      </c>
      <c r="J323" s="38">
        <v>0</v>
      </c>
      <c r="K323" s="38">
        <v>0</v>
      </c>
      <c r="L323" s="38">
        <v>126</v>
      </c>
      <c r="M323" s="38">
        <v>8.2200000000000006</v>
      </c>
      <c r="N323" s="39">
        <v>3.58</v>
      </c>
      <c r="O323" s="41">
        <v>0</v>
      </c>
      <c r="P323" s="38"/>
      <c r="Q323" s="38"/>
      <c r="R323" s="38"/>
      <c r="S323" s="38"/>
      <c r="T323" s="41"/>
      <c r="U323" s="38">
        <v>0</v>
      </c>
      <c r="V323" s="38" t="s">
        <v>682</v>
      </c>
      <c r="W323" s="38"/>
      <c r="X323" s="30" t="e">
        <v>#N/A</v>
      </c>
      <c r="Y323" s="30" t="s">
        <v>440</v>
      </c>
      <c r="Z323" s="30">
        <v>27</v>
      </c>
      <c r="AA323" s="7" t="s">
        <v>850</v>
      </c>
      <c r="AB323" s="7"/>
      <c r="AC323" s="7"/>
      <c r="AD323" s="7"/>
    </row>
    <row r="324" spans="1:30" ht="15" x14ac:dyDescent="0.25">
      <c r="A324" s="35">
        <v>27217125199</v>
      </c>
      <c r="B324" s="36" t="s">
        <v>676</v>
      </c>
      <c r="C324" s="36" t="s">
        <v>543</v>
      </c>
      <c r="D324" s="36" t="s">
        <v>480</v>
      </c>
      <c r="E324" s="37"/>
      <c r="F324" s="36"/>
      <c r="G324" s="36" t="s">
        <v>661</v>
      </c>
      <c r="H324" s="38">
        <v>8</v>
      </c>
      <c r="I324" s="38">
        <v>78</v>
      </c>
      <c r="J324" s="38">
        <v>48</v>
      </c>
      <c r="K324" s="38">
        <v>0</v>
      </c>
      <c r="L324" s="38">
        <v>126</v>
      </c>
      <c r="M324" s="38">
        <v>3.64</v>
      </c>
      <c r="N324" s="39">
        <v>1.34</v>
      </c>
      <c r="O324" s="41">
        <v>0.38100000000000001</v>
      </c>
      <c r="P324" s="38"/>
      <c r="Q324" s="38"/>
      <c r="R324" s="38"/>
      <c r="S324" s="38"/>
      <c r="T324" s="41"/>
      <c r="U324" s="38">
        <v>13</v>
      </c>
      <c r="V324" s="38" t="s">
        <v>662</v>
      </c>
      <c r="W324" s="38"/>
      <c r="X324" s="38"/>
      <c r="Y324" s="30" t="s">
        <v>440</v>
      </c>
      <c r="Z324" s="30">
        <v>27</v>
      </c>
      <c r="AA324" s="7" t="e">
        <v>#N/A</v>
      </c>
      <c r="AB324" s="7"/>
      <c r="AC324" s="7"/>
      <c r="AD324" s="7"/>
    </row>
    <row r="325" spans="1:30" ht="15" x14ac:dyDescent="0.25">
      <c r="A325" s="35">
        <v>27207140631</v>
      </c>
      <c r="B325" s="36" t="s">
        <v>531</v>
      </c>
      <c r="C325" s="36" t="s">
        <v>787</v>
      </c>
      <c r="D325" s="36" t="s">
        <v>481</v>
      </c>
      <c r="E325" s="37"/>
      <c r="F325" s="36"/>
      <c r="G325" s="36" t="s">
        <v>661</v>
      </c>
      <c r="H325" s="38">
        <v>8.6999999999999993</v>
      </c>
      <c r="I325" s="38">
        <v>124</v>
      </c>
      <c r="J325" s="38">
        <v>2</v>
      </c>
      <c r="K325" s="38">
        <v>0</v>
      </c>
      <c r="L325" s="38">
        <v>126</v>
      </c>
      <c r="M325" s="38">
        <v>6.71</v>
      </c>
      <c r="N325" s="39">
        <v>2.69</v>
      </c>
      <c r="O325" s="41">
        <v>1.6E-2</v>
      </c>
      <c r="P325" s="38"/>
      <c r="Q325" s="38"/>
      <c r="R325" s="38"/>
      <c r="S325" s="38"/>
      <c r="T325" s="41"/>
      <c r="U325" s="38">
        <v>2</v>
      </c>
      <c r="V325" s="38" t="s">
        <v>665</v>
      </c>
      <c r="W325" s="38"/>
      <c r="X325" s="38"/>
      <c r="Y325" s="30" t="s">
        <v>440</v>
      </c>
      <c r="Z325" s="30">
        <v>27</v>
      </c>
      <c r="AA325" s="7" t="s">
        <v>850</v>
      </c>
      <c r="AB325" s="7"/>
      <c r="AC325" s="7"/>
      <c r="AD325" s="7"/>
    </row>
    <row r="326" spans="1:30" ht="15" x14ac:dyDescent="0.25">
      <c r="A326" s="35">
        <v>27217132965</v>
      </c>
      <c r="B326" s="36" t="s">
        <v>531</v>
      </c>
      <c r="C326" s="36" t="s">
        <v>788</v>
      </c>
      <c r="D326" s="36" t="s">
        <v>481</v>
      </c>
      <c r="E326" s="37"/>
      <c r="F326" s="36"/>
      <c r="G326" s="36" t="s">
        <v>661</v>
      </c>
      <c r="H326" s="38">
        <v>8.4</v>
      </c>
      <c r="I326" s="38">
        <v>126</v>
      </c>
      <c r="J326" s="38">
        <v>0</v>
      </c>
      <c r="K326" s="38">
        <v>0</v>
      </c>
      <c r="L326" s="38">
        <v>126</v>
      </c>
      <c r="M326" s="38">
        <v>6.15</v>
      </c>
      <c r="N326" s="39">
        <v>2.38</v>
      </c>
      <c r="O326" s="41">
        <v>0</v>
      </c>
      <c r="P326" s="38"/>
      <c r="Q326" s="38"/>
      <c r="R326" s="38"/>
      <c r="S326" s="38"/>
      <c r="T326" s="41"/>
      <c r="U326" s="38">
        <v>0</v>
      </c>
      <c r="V326" s="38" t="s">
        <v>665</v>
      </c>
      <c r="W326" s="38"/>
      <c r="X326" s="38"/>
      <c r="Y326" s="30" t="s">
        <v>440</v>
      </c>
      <c r="Z326" s="30">
        <v>27</v>
      </c>
      <c r="AA326" s="7" t="s">
        <v>821</v>
      </c>
      <c r="AB326" s="7"/>
      <c r="AC326" s="7"/>
      <c r="AD326" s="7"/>
    </row>
    <row r="327" spans="1:30" ht="15" x14ac:dyDescent="0.25">
      <c r="A327" s="35">
        <v>27217102715</v>
      </c>
      <c r="B327" s="36" t="s">
        <v>499</v>
      </c>
      <c r="C327" s="36" t="s">
        <v>789</v>
      </c>
      <c r="D327" s="36" t="s">
        <v>482</v>
      </c>
      <c r="E327" s="37"/>
      <c r="F327" s="36"/>
      <c r="G327" s="36" t="s">
        <v>661</v>
      </c>
      <c r="H327" s="38">
        <v>9.1999999999999993</v>
      </c>
      <c r="I327" s="38">
        <v>117</v>
      </c>
      <c r="J327" s="38">
        <v>9</v>
      </c>
      <c r="K327" s="38">
        <v>0</v>
      </c>
      <c r="L327" s="38">
        <v>126</v>
      </c>
      <c r="M327" s="38">
        <v>6.15</v>
      </c>
      <c r="N327" s="39">
        <v>2.4300000000000002</v>
      </c>
      <c r="O327" s="41">
        <v>7.0999999999999994E-2</v>
      </c>
      <c r="P327" s="38"/>
      <c r="Q327" s="38"/>
      <c r="R327" s="38"/>
      <c r="S327" s="38"/>
      <c r="T327" s="41"/>
      <c r="U327" s="38">
        <v>9</v>
      </c>
      <c r="V327" s="38" t="s">
        <v>662</v>
      </c>
      <c r="W327" s="38"/>
      <c r="X327" s="38"/>
      <c r="Y327" s="30" t="s">
        <v>440</v>
      </c>
      <c r="Z327" s="30">
        <v>27</v>
      </c>
      <c r="AA327" s="7" t="e">
        <v>#N/A</v>
      </c>
      <c r="AB327" s="7"/>
      <c r="AC327" s="7"/>
      <c r="AD327" s="7"/>
    </row>
    <row r="328" spans="1:30" ht="15" x14ac:dyDescent="0.25">
      <c r="A328" s="35">
        <v>27217129389</v>
      </c>
      <c r="B328" s="36" t="s">
        <v>631</v>
      </c>
      <c r="C328" s="36" t="s">
        <v>613</v>
      </c>
      <c r="D328" s="36" t="s">
        <v>482</v>
      </c>
      <c r="E328" s="37"/>
      <c r="F328" s="36"/>
      <c r="G328" s="36" t="s">
        <v>661</v>
      </c>
      <c r="H328" s="38">
        <v>8.4</v>
      </c>
      <c r="I328" s="38">
        <v>108</v>
      </c>
      <c r="J328" s="38">
        <v>20</v>
      </c>
      <c r="K328" s="38">
        <v>0</v>
      </c>
      <c r="L328" s="38">
        <v>128</v>
      </c>
      <c r="M328" s="38">
        <v>5.45</v>
      </c>
      <c r="N328" s="39">
        <v>2.15</v>
      </c>
      <c r="O328" s="41">
        <v>0.156</v>
      </c>
      <c r="P328" s="38"/>
      <c r="Q328" s="38"/>
      <c r="R328" s="38"/>
      <c r="S328" s="38"/>
      <c r="T328" s="38"/>
      <c r="U328" s="38">
        <v>18</v>
      </c>
      <c r="V328" s="38" t="s">
        <v>662</v>
      </c>
      <c r="W328" s="38"/>
      <c r="X328" s="38"/>
      <c r="Y328" s="30" t="s">
        <v>440</v>
      </c>
      <c r="Z328" s="30">
        <v>27</v>
      </c>
      <c r="AA328" s="7" t="e">
        <v>#N/A</v>
      </c>
      <c r="AB328" s="7"/>
      <c r="AC328" s="7"/>
      <c r="AD328" s="7"/>
    </row>
    <row r="329" spans="1:30" ht="15" x14ac:dyDescent="0.25">
      <c r="A329" s="35">
        <v>25217104129</v>
      </c>
      <c r="B329" s="36" t="s">
        <v>499</v>
      </c>
      <c r="C329" s="36" t="s">
        <v>625</v>
      </c>
      <c r="D329" s="36" t="s">
        <v>457</v>
      </c>
      <c r="E329" s="37"/>
      <c r="F329" s="36"/>
      <c r="G329" s="36" t="s">
        <v>790</v>
      </c>
      <c r="H329" s="38">
        <v>6</v>
      </c>
      <c r="I329" s="38">
        <v>116</v>
      </c>
      <c r="J329" s="38">
        <v>10</v>
      </c>
      <c r="K329" s="38">
        <v>0</v>
      </c>
      <c r="L329" s="38">
        <v>126</v>
      </c>
      <c r="M329" s="38">
        <v>6.39</v>
      </c>
      <c r="N329" s="39">
        <v>2.6</v>
      </c>
      <c r="O329" s="41">
        <v>7.9000000000000001E-2</v>
      </c>
      <c r="P329" s="38"/>
      <c r="Q329" s="38"/>
      <c r="R329" s="38"/>
      <c r="S329" s="38"/>
      <c r="T329" s="41"/>
      <c r="U329" s="38">
        <v>0</v>
      </c>
      <c r="V329" s="38" t="s">
        <v>662</v>
      </c>
      <c r="W329" s="38"/>
      <c r="X329" s="38"/>
      <c r="Y329" s="30" t="s">
        <v>440</v>
      </c>
      <c r="Z329" s="30">
        <v>27</v>
      </c>
      <c r="AA329" s="7" t="e">
        <v>#N/A</v>
      </c>
      <c r="AB329" s="7"/>
      <c r="AC329" s="7"/>
      <c r="AD329" s="7"/>
    </row>
    <row r="330" spans="1:30" ht="15" x14ac:dyDescent="0.25">
      <c r="A330" s="35">
        <v>26207135935</v>
      </c>
      <c r="B330" s="36" t="s">
        <v>631</v>
      </c>
      <c r="C330" s="36" t="s">
        <v>695</v>
      </c>
      <c r="D330" s="36" t="s">
        <v>458</v>
      </c>
      <c r="E330" s="37"/>
      <c r="F330" s="36"/>
      <c r="G330" s="36" t="s">
        <v>790</v>
      </c>
      <c r="H330" s="38">
        <v>6.3</v>
      </c>
      <c r="I330" s="38">
        <v>126</v>
      </c>
      <c r="J330" s="38">
        <v>0</v>
      </c>
      <c r="K330" s="38">
        <v>0</v>
      </c>
      <c r="L330" s="38">
        <v>126</v>
      </c>
      <c r="M330" s="38">
        <v>7.72</v>
      </c>
      <c r="N330" s="39">
        <v>3.2</v>
      </c>
      <c r="O330" s="41">
        <v>0</v>
      </c>
      <c r="P330" s="38" t="s">
        <v>610</v>
      </c>
      <c r="Q330" s="38"/>
      <c r="R330" s="38"/>
      <c r="S330" s="38" t="s">
        <v>610</v>
      </c>
      <c r="T330" s="38" t="s">
        <v>735</v>
      </c>
      <c r="U330" s="38">
        <v>0</v>
      </c>
      <c r="V330" s="38" t="s">
        <v>682</v>
      </c>
      <c r="W330" s="38"/>
      <c r="X330" s="30" t="e">
        <v>#N/A</v>
      </c>
      <c r="Y330" s="30" t="s">
        <v>440</v>
      </c>
      <c r="Z330" s="30">
        <v>27</v>
      </c>
      <c r="AA330" s="7" t="e">
        <v>#N/A</v>
      </c>
      <c r="AB330" s="7" t="e">
        <v>#N/A</v>
      </c>
      <c r="AC330" s="7" t="s">
        <v>438</v>
      </c>
      <c r="AD330" s="7" t="s">
        <v>439</v>
      </c>
    </row>
    <row r="331" spans="1:30" ht="15" x14ac:dyDescent="0.25">
      <c r="A331" s="35">
        <v>27207101143</v>
      </c>
      <c r="B331" s="36" t="s">
        <v>663</v>
      </c>
      <c r="C331" s="36" t="s">
        <v>692</v>
      </c>
      <c r="D331" s="36" t="s">
        <v>458</v>
      </c>
      <c r="E331" s="37"/>
      <c r="F331" s="36"/>
      <c r="G331" s="36" t="s">
        <v>661</v>
      </c>
      <c r="H331" s="38">
        <v>8.8000000000000007</v>
      </c>
      <c r="I331" s="38">
        <v>126</v>
      </c>
      <c r="J331" s="38">
        <v>0</v>
      </c>
      <c r="K331" s="38">
        <v>0</v>
      </c>
      <c r="L331" s="38">
        <v>126</v>
      </c>
      <c r="M331" s="38">
        <v>7.46</v>
      </c>
      <c r="N331" s="39">
        <v>3.15</v>
      </c>
      <c r="O331" s="41">
        <v>0</v>
      </c>
      <c r="P331" s="38"/>
      <c r="Q331" s="38"/>
      <c r="R331" s="38"/>
      <c r="S331" s="38"/>
      <c r="T331" s="41"/>
      <c r="U331" s="38">
        <v>0</v>
      </c>
      <c r="V331" s="38" t="s">
        <v>665</v>
      </c>
      <c r="W331" s="38"/>
      <c r="X331" s="38"/>
      <c r="Y331" s="30" t="s">
        <v>440</v>
      </c>
      <c r="Z331" s="30">
        <v>27</v>
      </c>
      <c r="AA331" s="7" t="s">
        <v>829</v>
      </c>
      <c r="AB331" s="7"/>
      <c r="AC331" s="7"/>
      <c r="AD331" s="7"/>
    </row>
    <row r="332" spans="1:30" ht="15" x14ac:dyDescent="0.25">
      <c r="A332" s="35">
        <v>26207141604</v>
      </c>
      <c r="B332" s="36" t="s">
        <v>663</v>
      </c>
      <c r="C332" s="36" t="s">
        <v>747</v>
      </c>
      <c r="D332" s="36" t="s">
        <v>459</v>
      </c>
      <c r="E332" s="37"/>
      <c r="F332" s="36"/>
      <c r="G332" s="36" t="s">
        <v>661</v>
      </c>
      <c r="H332" s="38" t="e">
        <v>#N/A</v>
      </c>
      <c r="I332" s="38" t="e">
        <v>#N/A</v>
      </c>
      <c r="J332" s="38" t="e">
        <v>#N/A</v>
      </c>
      <c r="K332" s="38">
        <v>0</v>
      </c>
      <c r="L332" s="38" t="e">
        <v>#N/A</v>
      </c>
      <c r="M332" s="38" t="e">
        <v>#N/A</v>
      </c>
      <c r="N332" s="39" t="e">
        <v>#N/A</v>
      </c>
      <c r="O332" s="38" t="e">
        <v>#N/A</v>
      </c>
      <c r="P332" s="38"/>
      <c r="Q332" s="38"/>
      <c r="R332" s="38"/>
      <c r="S332" s="38"/>
      <c r="T332" s="38"/>
      <c r="U332" s="38" t="e">
        <v>#N/A</v>
      </c>
      <c r="V332" s="38" t="e">
        <v>#N/A</v>
      </c>
      <c r="W332" s="38"/>
      <c r="X332" s="38"/>
      <c r="Y332" s="30" t="s">
        <v>440</v>
      </c>
      <c r="Z332" s="30">
        <v>27</v>
      </c>
      <c r="AA332" s="7" t="e">
        <v>#N/A</v>
      </c>
      <c r="AB332" s="40"/>
      <c r="AC332" s="40"/>
      <c r="AD332" s="40"/>
    </row>
    <row r="333" spans="1:30" ht="15" x14ac:dyDescent="0.25">
      <c r="A333" s="35">
        <v>27207128961</v>
      </c>
      <c r="B333" s="36" t="s">
        <v>531</v>
      </c>
      <c r="C333" s="36" t="s">
        <v>772</v>
      </c>
      <c r="D333" s="36" t="s">
        <v>483</v>
      </c>
      <c r="E333" s="37"/>
      <c r="F333" s="36"/>
      <c r="G333" s="36" t="s">
        <v>661</v>
      </c>
      <c r="H333" s="38">
        <v>8.1</v>
      </c>
      <c r="I333" s="38">
        <v>123</v>
      </c>
      <c r="J333" s="38">
        <v>3</v>
      </c>
      <c r="K333" s="38">
        <v>0</v>
      </c>
      <c r="L333" s="38">
        <v>126</v>
      </c>
      <c r="M333" s="38">
        <v>6.31</v>
      </c>
      <c r="N333" s="39">
        <v>2.4300000000000002</v>
      </c>
      <c r="O333" s="41">
        <v>2.4E-2</v>
      </c>
      <c r="P333" s="38"/>
      <c r="Q333" s="38"/>
      <c r="R333" s="38"/>
      <c r="S333" s="38"/>
      <c r="T333" s="41"/>
      <c r="U333" s="38">
        <v>3</v>
      </c>
      <c r="V333" s="38" t="s">
        <v>665</v>
      </c>
      <c r="W333" s="38"/>
      <c r="X333" s="38"/>
      <c r="Y333" s="30" t="s">
        <v>440</v>
      </c>
      <c r="Z333" s="30">
        <v>27</v>
      </c>
      <c r="AA333" s="7" t="s">
        <v>850</v>
      </c>
      <c r="AB333" s="7"/>
      <c r="AC333" s="7"/>
      <c r="AD333" s="7"/>
    </row>
    <row r="334" spans="1:30" ht="15" x14ac:dyDescent="0.25">
      <c r="A334" s="35">
        <v>27207140948</v>
      </c>
      <c r="B334" s="36" t="s">
        <v>509</v>
      </c>
      <c r="C334" s="36" t="s">
        <v>696</v>
      </c>
      <c r="D334" s="36" t="s">
        <v>483</v>
      </c>
      <c r="E334" s="37"/>
      <c r="F334" s="36"/>
      <c r="G334" s="36" t="s">
        <v>661</v>
      </c>
      <c r="H334" s="38">
        <v>8.1</v>
      </c>
      <c r="I334" s="38">
        <v>123</v>
      </c>
      <c r="J334" s="38">
        <v>3</v>
      </c>
      <c r="K334" s="38">
        <v>0</v>
      </c>
      <c r="L334" s="38">
        <v>126</v>
      </c>
      <c r="M334" s="38">
        <v>6</v>
      </c>
      <c r="N334" s="39">
        <v>2.2999999999999998</v>
      </c>
      <c r="O334" s="41">
        <v>2.4E-2</v>
      </c>
      <c r="P334" s="38"/>
      <c r="Q334" s="38"/>
      <c r="R334" s="38"/>
      <c r="S334" s="38"/>
      <c r="T334" s="41"/>
      <c r="U334" s="38">
        <v>3</v>
      </c>
      <c r="V334" s="38" t="s">
        <v>665</v>
      </c>
      <c r="W334" s="38"/>
      <c r="X334" s="38"/>
      <c r="Y334" s="30" t="s">
        <v>440</v>
      </c>
      <c r="Z334" s="30">
        <v>27</v>
      </c>
      <c r="AA334" s="7" t="s">
        <v>821</v>
      </c>
      <c r="AB334" s="7"/>
      <c r="AC334" s="7"/>
      <c r="AD334" s="7"/>
    </row>
    <row r="335" spans="1:30" ht="15" x14ac:dyDescent="0.25">
      <c r="A335" s="35">
        <v>27217128905</v>
      </c>
      <c r="B335" s="36" t="s">
        <v>586</v>
      </c>
      <c r="C335" s="36" t="s">
        <v>558</v>
      </c>
      <c r="D335" s="36" t="s">
        <v>460</v>
      </c>
      <c r="E335" s="37"/>
      <c r="F335" s="36"/>
      <c r="G335" s="36" t="s">
        <v>661</v>
      </c>
      <c r="H335" s="38">
        <v>8.5</v>
      </c>
      <c r="I335" s="38">
        <v>118</v>
      </c>
      <c r="J335" s="38">
        <v>8</v>
      </c>
      <c r="K335" s="38">
        <v>0</v>
      </c>
      <c r="L335" s="38">
        <v>126</v>
      </c>
      <c r="M335" s="38">
        <v>6.22</v>
      </c>
      <c r="N335" s="39">
        <v>2.5</v>
      </c>
      <c r="O335" s="41">
        <v>6.3E-2</v>
      </c>
      <c r="P335" s="38"/>
      <c r="Q335" s="38"/>
      <c r="R335" s="38"/>
      <c r="S335" s="38"/>
      <c r="T335" s="41"/>
      <c r="U335" s="38">
        <v>5</v>
      </c>
      <c r="V335" s="38" t="s">
        <v>662</v>
      </c>
      <c r="W335" s="38"/>
      <c r="X335" s="38"/>
      <c r="Y335" s="30" t="s">
        <v>440</v>
      </c>
      <c r="Z335" s="30">
        <v>27</v>
      </c>
      <c r="AA335" s="7" t="s">
        <v>851</v>
      </c>
      <c r="AB335" s="7"/>
      <c r="AC335" s="7"/>
      <c r="AD335" s="7"/>
    </row>
    <row r="336" spans="1:30" ht="15" x14ac:dyDescent="0.25">
      <c r="A336" s="42">
        <v>27207128489</v>
      </c>
      <c r="B336" s="43" t="s">
        <v>531</v>
      </c>
      <c r="C336" s="43" t="s">
        <v>791</v>
      </c>
      <c r="D336" s="43" t="s">
        <v>484</v>
      </c>
      <c r="E336" s="44"/>
      <c r="F336" s="43"/>
      <c r="G336" s="43" t="s">
        <v>661</v>
      </c>
      <c r="H336" s="45"/>
      <c r="I336" s="45">
        <v>126</v>
      </c>
      <c r="J336" s="45">
        <v>2</v>
      </c>
      <c r="K336" s="45">
        <v>0</v>
      </c>
      <c r="L336" s="45">
        <v>128</v>
      </c>
      <c r="M336" s="45">
        <v>6.85</v>
      </c>
      <c r="N336" s="46">
        <v>2.78</v>
      </c>
      <c r="O336" s="47">
        <v>1.6E-2</v>
      </c>
      <c r="P336" s="45"/>
      <c r="Q336" s="45"/>
      <c r="R336" s="45"/>
      <c r="S336" s="45"/>
      <c r="T336" s="47"/>
      <c r="U336" s="45">
        <v>0</v>
      </c>
      <c r="V336" s="45" t="s">
        <v>792</v>
      </c>
      <c r="W336" s="45"/>
      <c r="X336" s="45"/>
      <c r="Y336" s="30" t="s">
        <v>487</v>
      </c>
      <c r="Z336" s="30">
        <v>27</v>
      </c>
      <c r="AA336" s="7" t="s">
        <v>821</v>
      </c>
      <c r="AB336" s="7"/>
      <c r="AC336" s="7" t="s">
        <v>485</v>
      </c>
      <c r="AD336" s="7" t="s">
        <v>486</v>
      </c>
    </row>
    <row r="337" spans="1:30" ht="15" x14ac:dyDescent="0.25">
      <c r="A337" s="42">
        <v>27207128507</v>
      </c>
      <c r="B337" s="43" t="s">
        <v>531</v>
      </c>
      <c r="C337" s="43" t="s">
        <v>569</v>
      </c>
      <c r="D337" s="43" t="s">
        <v>484</v>
      </c>
      <c r="E337" s="44"/>
      <c r="F337" s="43"/>
      <c r="G337" s="43" t="s">
        <v>661</v>
      </c>
      <c r="H337" s="45"/>
      <c r="I337" s="45">
        <v>126</v>
      </c>
      <c r="J337" s="45">
        <v>2</v>
      </c>
      <c r="K337" s="45">
        <v>0</v>
      </c>
      <c r="L337" s="45">
        <v>128</v>
      </c>
      <c r="M337" s="45">
        <v>8.18</v>
      </c>
      <c r="N337" s="46">
        <v>3.54</v>
      </c>
      <c r="O337" s="47">
        <v>1.6E-2</v>
      </c>
      <c r="P337" s="45"/>
      <c r="Q337" s="45"/>
      <c r="R337" s="45"/>
      <c r="S337" s="45"/>
      <c r="T337" s="47"/>
      <c r="U337" s="45">
        <v>0</v>
      </c>
      <c r="V337" s="45" t="s">
        <v>792</v>
      </c>
      <c r="W337" s="45"/>
      <c r="X337" s="45"/>
      <c r="Y337" s="30" t="s">
        <v>487</v>
      </c>
      <c r="Z337" s="30">
        <v>27</v>
      </c>
      <c r="AA337" s="7" t="s">
        <v>806</v>
      </c>
      <c r="AB337" s="7"/>
      <c r="AC337" s="7" t="s">
        <v>485</v>
      </c>
      <c r="AD337" s="7" t="s">
        <v>486</v>
      </c>
    </row>
    <row r="338" spans="1:30" ht="15" x14ac:dyDescent="0.25">
      <c r="A338" s="42">
        <v>25217102502</v>
      </c>
      <c r="B338" s="43" t="s">
        <v>531</v>
      </c>
      <c r="C338" s="43" t="s">
        <v>528</v>
      </c>
      <c r="D338" s="43" t="s">
        <v>488</v>
      </c>
      <c r="E338" s="44"/>
      <c r="F338" s="43"/>
      <c r="G338" s="43" t="s">
        <v>790</v>
      </c>
      <c r="H338" s="45"/>
      <c r="I338" s="45">
        <v>61</v>
      </c>
      <c r="J338" s="45">
        <v>67</v>
      </c>
      <c r="K338" s="45">
        <v>0</v>
      </c>
      <c r="L338" s="45">
        <v>128</v>
      </c>
      <c r="M338" s="45">
        <v>3.07</v>
      </c>
      <c r="N338" s="46">
        <v>1.23</v>
      </c>
      <c r="O338" s="47">
        <v>0.52300000000000002</v>
      </c>
      <c r="P338" s="45"/>
      <c r="Q338" s="45"/>
      <c r="R338" s="45"/>
      <c r="S338" s="45"/>
      <c r="T338" s="47"/>
      <c r="U338" s="45">
        <v>0</v>
      </c>
      <c r="V338" s="45" t="s">
        <v>662</v>
      </c>
      <c r="W338" s="45"/>
      <c r="X338" s="45"/>
      <c r="Y338" s="30" t="s">
        <v>487</v>
      </c>
      <c r="Z338" s="30">
        <v>27</v>
      </c>
      <c r="AA338" s="7" t="e">
        <v>#N/A</v>
      </c>
      <c r="AB338" s="7"/>
      <c r="AC338" s="7" t="s">
        <v>485</v>
      </c>
      <c r="AD338" s="7" t="s">
        <v>486</v>
      </c>
    </row>
    <row r="339" spans="1:30" ht="15" x14ac:dyDescent="0.25">
      <c r="A339" s="42">
        <v>27207100053</v>
      </c>
      <c r="B339" s="43" t="s">
        <v>663</v>
      </c>
      <c r="C339" s="43" t="s">
        <v>793</v>
      </c>
      <c r="D339" s="43" t="s">
        <v>468</v>
      </c>
      <c r="E339" s="44"/>
      <c r="F339" s="43"/>
      <c r="G339" s="43" t="s">
        <v>661</v>
      </c>
      <c r="H339" s="45"/>
      <c r="I339" s="45">
        <v>53</v>
      </c>
      <c r="J339" s="45">
        <v>75</v>
      </c>
      <c r="K339" s="45">
        <v>0</v>
      </c>
      <c r="L339" s="45">
        <v>128</v>
      </c>
      <c r="M339" s="45">
        <v>3.05</v>
      </c>
      <c r="N339" s="46">
        <v>1.26</v>
      </c>
      <c r="O339" s="47">
        <v>0.58599999999999997</v>
      </c>
      <c r="P339" s="45"/>
      <c r="Q339" s="45"/>
      <c r="R339" s="45"/>
      <c r="S339" s="45"/>
      <c r="T339" s="47"/>
      <c r="U339" s="45">
        <v>9</v>
      </c>
      <c r="V339" s="45" t="s">
        <v>662</v>
      </c>
      <c r="W339" s="45"/>
      <c r="X339" s="45"/>
      <c r="Y339" s="30" t="s">
        <v>487</v>
      </c>
      <c r="Z339" s="30">
        <v>27</v>
      </c>
      <c r="AA339" s="7" t="e">
        <v>#N/A</v>
      </c>
      <c r="AB339" s="7"/>
      <c r="AC339" s="7" t="s">
        <v>485</v>
      </c>
      <c r="AD339" s="7" t="s">
        <v>486</v>
      </c>
    </row>
    <row r="340" spans="1:30" ht="15" x14ac:dyDescent="0.25">
      <c r="A340" s="42">
        <v>27217132598</v>
      </c>
      <c r="B340" s="43" t="s">
        <v>471</v>
      </c>
      <c r="C340" s="43" t="s">
        <v>619</v>
      </c>
      <c r="D340" s="43" t="s">
        <v>489</v>
      </c>
      <c r="E340" s="44"/>
      <c r="F340" s="43"/>
      <c r="G340" s="43" t="s">
        <v>661</v>
      </c>
      <c r="H340" s="45"/>
      <c r="I340" s="45">
        <v>51</v>
      </c>
      <c r="J340" s="45">
        <v>77</v>
      </c>
      <c r="K340" s="45">
        <v>0</v>
      </c>
      <c r="L340" s="45">
        <v>128</v>
      </c>
      <c r="M340" s="45">
        <v>2.72</v>
      </c>
      <c r="N340" s="46">
        <v>1.1200000000000001</v>
      </c>
      <c r="O340" s="47">
        <v>0.60199999999999998</v>
      </c>
      <c r="P340" s="45"/>
      <c r="Q340" s="45"/>
      <c r="R340" s="45"/>
      <c r="S340" s="45"/>
      <c r="T340" s="47"/>
      <c r="U340" s="45">
        <v>9</v>
      </c>
      <c r="V340" s="45" t="s">
        <v>662</v>
      </c>
      <c r="W340" s="45"/>
      <c r="X340" s="45"/>
      <c r="Y340" s="30" t="s">
        <v>487</v>
      </c>
      <c r="Z340" s="30">
        <v>27</v>
      </c>
      <c r="AA340" s="7" t="e">
        <v>#N/A</v>
      </c>
      <c r="AB340" s="7"/>
      <c r="AC340" s="7" t="s">
        <v>485</v>
      </c>
      <c r="AD340" s="7" t="s">
        <v>486</v>
      </c>
    </row>
    <row r="341" spans="1:30" ht="15" x14ac:dyDescent="0.25">
      <c r="A341" s="42">
        <v>27207153285</v>
      </c>
      <c r="B341" s="43" t="s">
        <v>620</v>
      </c>
      <c r="C341" s="43" t="s">
        <v>694</v>
      </c>
      <c r="D341" s="43" t="s">
        <v>490</v>
      </c>
      <c r="E341" s="44"/>
      <c r="F341" s="43"/>
      <c r="G341" s="43" t="s">
        <v>661</v>
      </c>
      <c r="H341" s="45"/>
      <c r="I341" s="45">
        <v>124</v>
      </c>
      <c r="J341" s="45">
        <v>4</v>
      </c>
      <c r="K341" s="45">
        <v>0</v>
      </c>
      <c r="L341" s="45">
        <v>128</v>
      </c>
      <c r="M341" s="45">
        <v>8.39</v>
      </c>
      <c r="N341" s="46">
        <v>3.65</v>
      </c>
      <c r="O341" s="47">
        <v>3.1E-2</v>
      </c>
      <c r="P341" s="45"/>
      <c r="Q341" s="45"/>
      <c r="R341" s="45"/>
      <c r="S341" s="45"/>
      <c r="T341" s="45"/>
      <c r="U341" s="45">
        <v>2</v>
      </c>
      <c r="V341" s="45" t="s">
        <v>792</v>
      </c>
      <c r="W341" s="45"/>
      <c r="X341" s="45"/>
      <c r="Y341" s="30" t="s">
        <v>487</v>
      </c>
      <c r="Z341" s="30">
        <v>27</v>
      </c>
      <c r="AA341" s="7" t="s">
        <v>850</v>
      </c>
      <c r="AB341" s="7"/>
      <c r="AC341" s="7" t="s">
        <v>485</v>
      </c>
      <c r="AD341" s="7" t="s">
        <v>486</v>
      </c>
    </row>
    <row r="342" spans="1:30" ht="15" x14ac:dyDescent="0.25">
      <c r="A342" s="42">
        <v>27217140882</v>
      </c>
      <c r="B342" s="43" t="s">
        <v>531</v>
      </c>
      <c r="C342" s="43" t="s">
        <v>528</v>
      </c>
      <c r="D342" s="43" t="s">
        <v>491</v>
      </c>
      <c r="E342" s="44"/>
      <c r="F342" s="43"/>
      <c r="G342" s="43" t="s">
        <v>661</v>
      </c>
      <c r="H342" s="45"/>
      <c r="I342" s="45">
        <v>124</v>
      </c>
      <c r="J342" s="45">
        <v>4</v>
      </c>
      <c r="K342" s="45">
        <v>0</v>
      </c>
      <c r="L342" s="45">
        <v>128</v>
      </c>
      <c r="M342" s="45">
        <v>7.11</v>
      </c>
      <c r="N342" s="46">
        <v>2.94</v>
      </c>
      <c r="O342" s="47">
        <v>3.1E-2</v>
      </c>
      <c r="P342" s="45"/>
      <c r="Q342" s="45"/>
      <c r="R342" s="45"/>
      <c r="S342" s="45"/>
      <c r="T342" s="45"/>
      <c r="U342" s="45">
        <v>2</v>
      </c>
      <c r="V342" s="45" t="s">
        <v>792</v>
      </c>
      <c r="W342" s="45"/>
      <c r="X342" s="45"/>
      <c r="Y342" s="30" t="s">
        <v>487</v>
      </c>
      <c r="Z342" s="30">
        <v>27</v>
      </c>
      <c r="AA342" s="7" t="s">
        <v>821</v>
      </c>
      <c r="AB342" s="7"/>
      <c r="AC342" s="7" t="s">
        <v>485</v>
      </c>
      <c r="AD342" s="7" t="s">
        <v>486</v>
      </c>
    </row>
    <row r="343" spans="1:30" ht="15" x14ac:dyDescent="0.25">
      <c r="A343" s="48">
        <v>26211232907</v>
      </c>
      <c r="B343" s="49" t="s">
        <v>32</v>
      </c>
      <c r="C343" s="49"/>
      <c r="D343" s="49"/>
      <c r="E343" s="50">
        <v>37475</v>
      </c>
      <c r="F343" s="49" t="s">
        <v>20</v>
      </c>
      <c r="G343" s="49" t="s">
        <v>34</v>
      </c>
      <c r="H343" s="51">
        <v>5.0999999999999996</v>
      </c>
      <c r="I343" s="51">
        <v>122</v>
      </c>
      <c r="J343" s="51">
        <v>2</v>
      </c>
      <c r="K343" s="51">
        <v>0</v>
      </c>
      <c r="L343" s="51">
        <v>124</v>
      </c>
      <c r="M343" s="51">
        <v>5.86</v>
      </c>
      <c r="N343" s="51">
        <v>2.2000000000000002</v>
      </c>
      <c r="O343" s="52">
        <v>1.6E-2</v>
      </c>
      <c r="P343" s="51">
        <v>0</v>
      </c>
      <c r="Q343" s="51">
        <v>0</v>
      </c>
      <c r="R343" s="51" t="s">
        <v>610</v>
      </c>
      <c r="S343" s="51" t="s">
        <v>610</v>
      </c>
      <c r="T343" s="51" t="s">
        <v>735</v>
      </c>
      <c r="U343" s="51">
        <v>0</v>
      </c>
      <c r="V343" s="51" t="s">
        <v>665</v>
      </c>
      <c r="W343" s="51"/>
      <c r="X343" s="51"/>
      <c r="Y343" s="30" t="s">
        <v>493</v>
      </c>
      <c r="Z343" s="30">
        <v>26</v>
      </c>
      <c r="AA343" s="7" t="e">
        <v>#N/A</v>
      </c>
      <c r="AB343" s="7"/>
    </row>
    <row r="344" spans="1:30" ht="15" x14ac:dyDescent="0.25">
      <c r="A344" s="48">
        <v>26207142679</v>
      </c>
      <c r="B344" s="49" t="s">
        <v>68</v>
      </c>
      <c r="C344" s="49"/>
      <c r="D344" s="49"/>
      <c r="E344" s="50">
        <v>37487</v>
      </c>
      <c r="F344" s="49" t="s">
        <v>20</v>
      </c>
      <c r="G344" s="49" t="s">
        <v>34</v>
      </c>
      <c r="H344" s="51">
        <v>6.4</v>
      </c>
      <c r="I344" s="51">
        <v>126</v>
      </c>
      <c r="J344" s="51">
        <v>0</v>
      </c>
      <c r="K344" s="51">
        <v>0</v>
      </c>
      <c r="L344" s="51">
        <v>126</v>
      </c>
      <c r="M344" s="51">
        <v>7.55</v>
      </c>
      <c r="N344" s="51">
        <v>3.19</v>
      </c>
      <c r="O344" s="52">
        <v>0</v>
      </c>
      <c r="P344" s="51">
        <v>0</v>
      </c>
      <c r="Q344" s="51" t="s">
        <v>610</v>
      </c>
      <c r="R344" s="51" t="s">
        <v>610</v>
      </c>
      <c r="S344" s="51" t="s">
        <v>610</v>
      </c>
      <c r="T344" s="51">
        <v>0</v>
      </c>
      <c r="U344" s="51">
        <v>0</v>
      </c>
      <c r="V344" s="51" t="s">
        <v>665</v>
      </c>
      <c r="W344" s="51"/>
      <c r="X344" s="51"/>
      <c r="Y344" s="30" t="s">
        <v>493</v>
      </c>
      <c r="Z344" s="30">
        <v>26</v>
      </c>
      <c r="AA344" s="7" t="s">
        <v>852</v>
      </c>
      <c r="AB344" s="7"/>
    </row>
    <row r="345" spans="1:30" ht="15" x14ac:dyDescent="0.25">
      <c r="A345" s="48">
        <v>25207101778</v>
      </c>
      <c r="B345" s="49" t="s">
        <v>135</v>
      </c>
      <c r="C345" s="49"/>
      <c r="D345" s="49"/>
      <c r="E345" s="50">
        <v>37188</v>
      </c>
      <c r="F345" s="49" t="s">
        <v>20</v>
      </c>
      <c r="G345" s="49" t="s">
        <v>34</v>
      </c>
      <c r="H345" s="51">
        <v>7.9</v>
      </c>
      <c r="I345" s="51">
        <v>122</v>
      </c>
      <c r="J345" s="51">
        <v>3</v>
      </c>
      <c r="K345" s="51">
        <v>0</v>
      </c>
      <c r="L345" s="51">
        <v>125</v>
      </c>
      <c r="M345" s="51">
        <v>6.99</v>
      </c>
      <c r="N345" s="51">
        <v>2.89</v>
      </c>
      <c r="O345" s="52">
        <v>2.4E-2</v>
      </c>
      <c r="P345" s="51">
        <v>0</v>
      </c>
      <c r="Q345" s="51">
        <v>0</v>
      </c>
      <c r="R345" s="51" t="s">
        <v>610</v>
      </c>
      <c r="S345" s="51" t="s">
        <v>610</v>
      </c>
      <c r="T345" s="51" t="s">
        <v>741</v>
      </c>
      <c r="U345" s="51">
        <v>0</v>
      </c>
      <c r="V345" s="51" t="s">
        <v>665</v>
      </c>
      <c r="W345" s="51"/>
      <c r="X345" s="51"/>
      <c r="Y345" s="30" t="s">
        <v>493</v>
      </c>
      <c r="Z345" s="30">
        <v>26</v>
      </c>
      <c r="AA345" s="7" t="s">
        <v>809</v>
      </c>
      <c r="AB345" s="7"/>
    </row>
    <row r="346" spans="1:30" ht="15" x14ac:dyDescent="0.25">
      <c r="A346" s="48">
        <v>26207142039</v>
      </c>
      <c r="B346" s="49" t="s">
        <v>161</v>
      </c>
      <c r="C346" s="49"/>
      <c r="D346" s="49"/>
      <c r="E346" s="50">
        <v>37291</v>
      </c>
      <c r="F346" s="49" t="s">
        <v>20</v>
      </c>
      <c r="G346" s="49" t="s">
        <v>34</v>
      </c>
      <c r="H346" s="51">
        <v>5.0999999999999996</v>
      </c>
      <c r="I346" s="51">
        <v>124</v>
      </c>
      <c r="J346" s="51">
        <v>0</v>
      </c>
      <c r="K346" s="51">
        <v>0</v>
      </c>
      <c r="L346" s="51">
        <v>124</v>
      </c>
      <c r="M346" s="51">
        <v>6.63</v>
      </c>
      <c r="N346" s="51">
        <v>2.6</v>
      </c>
      <c r="O346" s="52">
        <v>0</v>
      </c>
      <c r="P346" s="51">
        <v>0</v>
      </c>
      <c r="Q346" s="51" t="s">
        <v>610</v>
      </c>
      <c r="R346" s="51" t="s">
        <v>610</v>
      </c>
      <c r="S346" s="51" t="s">
        <v>610</v>
      </c>
      <c r="T346" s="51" t="s">
        <v>735</v>
      </c>
      <c r="U346" s="51">
        <v>0</v>
      </c>
      <c r="V346" s="51" t="s">
        <v>665</v>
      </c>
      <c r="W346" s="51"/>
      <c r="X346" s="51"/>
      <c r="Y346" s="30" t="s">
        <v>493</v>
      </c>
      <c r="Z346" s="30">
        <v>26</v>
      </c>
      <c r="AA346" s="7" t="e">
        <v>#N/A</v>
      </c>
      <c r="AB346" s="7"/>
    </row>
    <row r="347" spans="1:30" ht="15" x14ac:dyDescent="0.25">
      <c r="A347" s="48">
        <v>26217135634</v>
      </c>
      <c r="B347" s="49" t="s">
        <v>171</v>
      </c>
      <c r="C347" s="49"/>
      <c r="D347" s="49"/>
      <c r="E347" s="50">
        <v>37396</v>
      </c>
      <c r="F347" s="49" t="s">
        <v>20</v>
      </c>
      <c r="G347" s="49" t="s">
        <v>34</v>
      </c>
      <c r="H347" s="51">
        <v>6</v>
      </c>
      <c r="I347" s="51">
        <v>121</v>
      </c>
      <c r="J347" s="51">
        <v>3</v>
      </c>
      <c r="K347" s="51">
        <v>0</v>
      </c>
      <c r="L347" s="51">
        <v>124</v>
      </c>
      <c r="M347" s="51">
        <v>5.58</v>
      </c>
      <c r="N347" s="51">
        <v>2.0299999999999998</v>
      </c>
      <c r="O347" s="52">
        <v>2.4E-2</v>
      </c>
      <c r="P347" s="51">
        <v>0</v>
      </c>
      <c r="Q347" s="51">
        <v>0</v>
      </c>
      <c r="R347" s="51">
        <v>0</v>
      </c>
      <c r="S347" s="51" t="s">
        <v>610</v>
      </c>
      <c r="T347" s="51" t="s">
        <v>741</v>
      </c>
      <c r="U347" s="51">
        <v>0</v>
      </c>
      <c r="V347" s="51" t="s">
        <v>665</v>
      </c>
      <c r="W347" s="51"/>
      <c r="X347" s="51"/>
      <c r="Y347" s="30" t="s">
        <v>493</v>
      </c>
      <c r="Z347" s="30">
        <v>26</v>
      </c>
      <c r="AA347" s="7" t="s">
        <v>840</v>
      </c>
      <c r="AB347" s="7"/>
    </row>
    <row r="348" spans="1:30" ht="15" x14ac:dyDescent="0.25">
      <c r="A348" s="48">
        <v>26217135177</v>
      </c>
      <c r="B348" s="49" t="s">
        <v>199</v>
      </c>
      <c r="C348" s="49"/>
      <c r="D348" s="49"/>
      <c r="E348" s="50">
        <v>37548</v>
      </c>
      <c r="F348" s="49" t="s">
        <v>20</v>
      </c>
      <c r="G348" s="49" t="s">
        <v>34</v>
      </c>
      <c r="H348" s="51">
        <v>5.0999999999999996</v>
      </c>
      <c r="I348" s="51">
        <v>125</v>
      </c>
      <c r="J348" s="51">
        <v>0</v>
      </c>
      <c r="K348" s="51">
        <v>0</v>
      </c>
      <c r="L348" s="51">
        <v>125</v>
      </c>
      <c r="M348" s="51">
        <v>6.28</v>
      </c>
      <c r="N348" s="51">
        <v>2.4300000000000002</v>
      </c>
      <c r="O348" s="52">
        <v>0</v>
      </c>
      <c r="P348" s="51">
        <v>0</v>
      </c>
      <c r="Q348" s="51" t="s">
        <v>610</v>
      </c>
      <c r="R348" s="51" t="s">
        <v>610</v>
      </c>
      <c r="S348" s="51" t="s">
        <v>610</v>
      </c>
      <c r="T348" s="51" t="s">
        <v>741</v>
      </c>
      <c r="U348" s="51">
        <v>0</v>
      </c>
      <c r="V348" s="51" t="s">
        <v>665</v>
      </c>
      <c r="W348" s="51"/>
      <c r="X348" s="51"/>
      <c r="Y348" s="30" t="s">
        <v>493</v>
      </c>
      <c r="Z348" s="30">
        <v>26</v>
      </c>
      <c r="AA348" s="7" t="s">
        <v>820</v>
      </c>
      <c r="AB348" s="7"/>
    </row>
    <row r="349" spans="1:30" ht="15" x14ac:dyDescent="0.25">
      <c r="A349" s="48">
        <v>26207126132</v>
      </c>
      <c r="B349" s="49" t="s">
        <v>794</v>
      </c>
      <c r="C349" s="49"/>
      <c r="D349" s="49"/>
      <c r="E349" s="50">
        <v>37560</v>
      </c>
      <c r="F349" s="49" t="s">
        <v>20</v>
      </c>
      <c r="G349" s="49" t="s">
        <v>34</v>
      </c>
      <c r="H349" s="51">
        <v>7.4</v>
      </c>
      <c r="I349" s="51">
        <v>123</v>
      </c>
      <c r="J349" s="51">
        <v>5</v>
      </c>
      <c r="K349" s="51">
        <v>0</v>
      </c>
      <c r="L349" s="51">
        <v>128</v>
      </c>
      <c r="M349" s="51">
        <v>6.2</v>
      </c>
      <c r="N349" s="51">
        <v>2.41</v>
      </c>
      <c r="O349" s="52">
        <v>3.9E-2</v>
      </c>
      <c r="P349" s="51" t="s">
        <v>610</v>
      </c>
      <c r="Q349" s="51" t="s">
        <v>610</v>
      </c>
      <c r="R349" s="51" t="s">
        <v>610</v>
      </c>
      <c r="S349" s="51" t="s">
        <v>610</v>
      </c>
      <c r="T349" s="51" t="s">
        <v>735</v>
      </c>
      <c r="U349" s="51">
        <v>0</v>
      </c>
      <c r="V349" s="51" t="s">
        <v>665</v>
      </c>
      <c r="W349" s="51">
        <v>7.6</v>
      </c>
      <c r="X349" s="51"/>
      <c r="Y349" s="30" t="s">
        <v>493</v>
      </c>
      <c r="Z349" s="30">
        <v>26</v>
      </c>
      <c r="AA349" s="7" t="e">
        <v>#N/A</v>
      </c>
      <c r="AB349" s="7"/>
    </row>
    <row r="350" spans="1:30" ht="15" x14ac:dyDescent="0.25">
      <c r="A350" s="48">
        <v>26207133639</v>
      </c>
      <c r="B350" s="49" t="s">
        <v>222</v>
      </c>
      <c r="C350" s="49"/>
      <c r="D350" s="49"/>
      <c r="E350" s="50">
        <v>37400</v>
      </c>
      <c r="F350" s="49" t="s">
        <v>20</v>
      </c>
      <c r="G350" s="49" t="s">
        <v>34</v>
      </c>
      <c r="H350" s="51">
        <v>4</v>
      </c>
      <c r="I350" s="51">
        <v>124</v>
      </c>
      <c r="J350" s="51">
        <v>0</v>
      </c>
      <c r="K350" s="51">
        <v>0</v>
      </c>
      <c r="L350" s="51">
        <v>124</v>
      </c>
      <c r="M350" s="51">
        <v>6.35</v>
      </c>
      <c r="N350" s="51">
        <v>2.44</v>
      </c>
      <c r="O350" s="52">
        <v>0</v>
      </c>
      <c r="P350" s="51">
        <v>0</v>
      </c>
      <c r="Q350" s="51" t="s">
        <v>610</v>
      </c>
      <c r="R350" s="51">
        <v>0</v>
      </c>
      <c r="S350" s="51" t="s">
        <v>610</v>
      </c>
      <c r="T350" s="51" t="s">
        <v>741</v>
      </c>
      <c r="U350" s="51">
        <v>0</v>
      </c>
      <c r="V350" s="51" t="s">
        <v>665</v>
      </c>
      <c r="W350" s="51"/>
      <c r="X350" s="51"/>
      <c r="Y350" s="30" t="s">
        <v>493</v>
      </c>
      <c r="Z350" s="30">
        <v>26</v>
      </c>
      <c r="AA350" s="7" t="s">
        <v>833</v>
      </c>
      <c r="AB350" s="7"/>
    </row>
    <row r="351" spans="1:30" ht="15" x14ac:dyDescent="0.25">
      <c r="A351" s="48">
        <v>26217142313</v>
      </c>
      <c r="B351" s="49" t="s">
        <v>250</v>
      </c>
      <c r="C351" s="49"/>
      <c r="D351" s="49"/>
      <c r="E351" s="50">
        <v>37304</v>
      </c>
      <c r="F351" s="49" t="s">
        <v>20</v>
      </c>
      <c r="G351" s="49" t="s">
        <v>34</v>
      </c>
      <c r="H351" s="51">
        <v>7.6</v>
      </c>
      <c r="I351" s="51">
        <v>124</v>
      </c>
      <c r="J351" s="51">
        <v>0</v>
      </c>
      <c r="K351" s="51">
        <v>0</v>
      </c>
      <c r="L351" s="51">
        <v>124</v>
      </c>
      <c r="M351" s="51">
        <v>7.29</v>
      </c>
      <c r="N351" s="51">
        <v>3.04</v>
      </c>
      <c r="O351" s="52">
        <v>0</v>
      </c>
      <c r="P351" s="51">
        <v>0</v>
      </c>
      <c r="Q351" s="51" t="s">
        <v>610</v>
      </c>
      <c r="R351" s="51" t="s">
        <v>610</v>
      </c>
      <c r="S351" s="51" t="s">
        <v>610</v>
      </c>
      <c r="T351" s="51" t="s">
        <v>735</v>
      </c>
      <c r="U351" s="51">
        <v>0</v>
      </c>
      <c r="V351" s="51" t="s">
        <v>665</v>
      </c>
      <c r="W351" s="51"/>
      <c r="X351" s="51"/>
      <c r="Y351" s="30" t="s">
        <v>493</v>
      </c>
      <c r="Z351" s="30">
        <v>26</v>
      </c>
      <c r="AA351" s="7" t="s">
        <v>853</v>
      </c>
      <c r="AB351" s="7"/>
    </row>
    <row r="352" spans="1:30" ht="15" x14ac:dyDescent="0.25">
      <c r="A352" s="48">
        <v>26207131837</v>
      </c>
      <c r="B352" s="49" t="s">
        <v>263</v>
      </c>
      <c r="C352" s="49"/>
      <c r="D352" s="49"/>
      <c r="E352" s="50">
        <v>37370</v>
      </c>
      <c r="F352" s="49" t="s">
        <v>20</v>
      </c>
      <c r="G352" s="49" t="s">
        <v>34</v>
      </c>
      <c r="H352" s="51">
        <v>4.0999999999999996</v>
      </c>
      <c r="I352" s="51">
        <v>117</v>
      </c>
      <c r="J352" s="51">
        <v>7</v>
      </c>
      <c r="K352" s="51">
        <v>0</v>
      </c>
      <c r="L352" s="51">
        <v>124</v>
      </c>
      <c r="M352" s="51">
        <v>5.78</v>
      </c>
      <c r="N352" s="51">
        <v>2.21</v>
      </c>
      <c r="O352" s="52">
        <v>5.6000000000000001E-2</v>
      </c>
      <c r="P352" s="51" t="s">
        <v>610</v>
      </c>
      <c r="Q352" s="51">
        <v>0</v>
      </c>
      <c r="R352" s="51" t="s">
        <v>610</v>
      </c>
      <c r="S352" s="51" t="s">
        <v>610</v>
      </c>
      <c r="T352" s="51" t="s">
        <v>795</v>
      </c>
      <c r="U352" s="51">
        <v>0</v>
      </c>
      <c r="V352" s="51" t="s">
        <v>662</v>
      </c>
      <c r="W352" s="51"/>
      <c r="X352" s="51"/>
      <c r="Y352" s="30" t="s">
        <v>493</v>
      </c>
      <c r="Z352" s="30">
        <v>26</v>
      </c>
      <c r="AA352" s="7" t="s">
        <v>810</v>
      </c>
      <c r="AB352" s="7"/>
    </row>
    <row r="353" spans="1:28" ht="15" x14ac:dyDescent="0.25">
      <c r="A353" s="48">
        <v>26207124697</v>
      </c>
      <c r="B353" s="49" t="s">
        <v>279</v>
      </c>
      <c r="C353" s="49"/>
      <c r="D353" s="49"/>
      <c r="E353" s="50">
        <v>37483</v>
      </c>
      <c r="F353" s="49" t="s">
        <v>20</v>
      </c>
      <c r="G353" s="49" t="s">
        <v>34</v>
      </c>
      <c r="H353" s="51">
        <v>6.5</v>
      </c>
      <c r="I353" s="51">
        <v>125</v>
      </c>
      <c r="J353" s="51">
        <v>0</v>
      </c>
      <c r="K353" s="51">
        <v>0</v>
      </c>
      <c r="L353" s="51">
        <v>125</v>
      </c>
      <c r="M353" s="51">
        <v>7.02</v>
      </c>
      <c r="N353" s="51">
        <v>2.9</v>
      </c>
      <c r="O353" s="52">
        <v>0</v>
      </c>
      <c r="P353" s="51">
        <v>0</v>
      </c>
      <c r="Q353" s="51" t="s">
        <v>610</v>
      </c>
      <c r="R353" s="51" t="s">
        <v>610</v>
      </c>
      <c r="S353" s="51" t="s">
        <v>610</v>
      </c>
      <c r="T353" s="51" t="s">
        <v>703</v>
      </c>
      <c r="U353" s="51">
        <v>0</v>
      </c>
      <c r="V353" s="51" t="s">
        <v>665</v>
      </c>
      <c r="W353" s="51">
        <v>7.9</v>
      </c>
      <c r="X353" s="51"/>
      <c r="Y353" s="30" t="s">
        <v>493</v>
      </c>
      <c r="Z353" s="30">
        <v>26</v>
      </c>
      <c r="AA353" s="7" t="s">
        <v>827</v>
      </c>
      <c r="AB353" s="7"/>
    </row>
    <row r="354" spans="1:28" ht="15" x14ac:dyDescent="0.25">
      <c r="A354" s="48">
        <v>26217236080</v>
      </c>
      <c r="B354" s="49" t="s">
        <v>293</v>
      </c>
      <c r="C354" s="49"/>
      <c r="D354" s="49"/>
      <c r="E354" s="50">
        <v>37107</v>
      </c>
      <c r="F354" s="49" t="s">
        <v>20</v>
      </c>
      <c r="G354" s="49" t="s">
        <v>34</v>
      </c>
      <c r="H354" s="51">
        <v>5.9</v>
      </c>
      <c r="I354" s="51">
        <v>119</v>
      </c>
      <c r="J354" s="51">
        <v>6</v>
      </c>
      <c r="K354" s="51">
        <v>0</v>
      </c>
      <c r="L354" s="51">
        <v>125</v>
      </c>
      <c r="M354" s="51">
        <v>5.9</v>
      </c>
      <c r="N354" s="51">
        <v>2.2400000000000002</v>
      </c>
      <c r="O354" s="52">
        <v>4.8000000000000001E-2</v>
      </c>
      <c r="P354" s="51">
        <v>0</v>
      </c>
      <c r="Q354" s="51">
        <v>0</v>
      </c>
      <c r="R354" s="51" t="s">
        <v>610</v>
      </c>
      <c r="S354" s="51" t="s">
        <v>610</v>
      </c>
      <c r="T354" s="51">
        <v>0</v>
      </c>
      <c r="U354" s="51">
        <v>0</v>
      </c>
      <c r="V354" s="51" t="s">
        <v>665</v>
      </c>
      <c r="W354" s="51"/>
      <c r="X354" s="51"/>
      <c r="Y354" s="30" t="s">
        <v>493</v>
      </c>
      <c r="Z354" s="30">
        <v>26</v>
      </c>
      <c r="AA354" s="7" t="s">
        <v>820</v>
      </c>
      <c r="AB354" s="7"/>
    </row>
    <row r="355" spans="1:28" ht="15" x14ac:dyDescent="0.25">
      <c r="A355" s="48">
        <v>26217234333</v>
      </c>
      <c r="B355" s="49" t="s">
        <v>332</v>
      </c>
      <c r="C355" s="49"/>
      <c r="D355" s="49"/>
      <c r="E355" s="50">
        <v>37569</v>
      </c>
      <c r="F355" s="49" t="s">
        <v>20</v>
      </c>
      <c r="G355" s="49" t="s">
        <v>34</v>
      </c>
      <c r="H355" s="51">
        <v>5.9</v>
      </c>
      <c r="I355" s="51">
        <v>120</v>
      </c>
      <c r="J355" s="51">
        <v>5</v>
      </c>
      <c r="K355" s="51">
        <v>0</v>
      </c>
      <c r="L355" s="51">
        <v>125</v>
      </c>
      <c r="M355" s="51">
        <v>5.79</v>
      </c>
      <c r="N355" s="51">
        <v>2.15</v>
      </c>
      <c r="O355" s="52">
        <v>0.04</v>
      </c>
      <c r="P355" s="51">
        <v>0</v>
      </c>
      <c r="Q355" s="51">
        <v>0</v>
      </c>
      <c r="R355" s="51" t="s">
        <v>610</v>
      </c>
      <c r="S355" s="51" t="s">
        <v>610</v>
      </c>
      <c r="T355" s="51">
        <v>0</v>
      </c>
      <c r="U355" s="51">
        <v>0</v>
      </c>
      <c r="V355" s="51" t="s">
        <v>665</v>
      </c>
      <c r="W355" s="51"/>
      <c r="X355" s="51"/>
      <c r="Y355" s="30" t="s">
        <v>493</v>
      </c>
      <c r="Z355" s="30">
        <v>26</v>
      </c>
      <c r="AA355" s="7" t="e">
        <v>#N/A</v>
      </c>
      <c r="AB355" s="7"/>
    </row>
    <row r="356" spans="1:28" ht="15" x14ac:dyDescent="0.25">
      <c r="A356" s="48">
        <v>26207231869</v>
      </c>
      <c r="B356" s="49" t="s">
        <v>796</v>
      </c>
      <c r="C356" s="49"/>
      <c r="D356" s="49"/>
      <c r="E356" s="50">
        <v>37620</v>
      </c>
      <c r="F356" s="49" t="s">
        <v>20</v>
      </c>
      <c r="G356" s="49" t="s">
        <v>34</v>
      </c>
      <c r="H356" s="51">
        <v>5.7</v>
      </c>
      <c r="I356" s="51">
        <v>124</v>
      </c>
      <c r="J356" s="51">
        <v>0</v>
      </c>
      <c r="K356" s="51">
        <v>0</v>
      </c>
      <c r="L356" s="51">
        <v>124</v>
      </c>
      <c r="M356" s="51">
        <v>6.22</v>
      </c>
      <c r="N356" s="51">
        <v>2.38</v>
      </c>
      <c r="O356" s="52">
        <v>0</v>
      </c>
      <c r="P356" s="51">
        <v>0</v>
      </c>
      <c r="Q356" s="51" t="s">
        <v>610</v>
      </c>
      <c r="R356" s="51" t="s">
        <v>610</v>
      </c>
      <c r="S356" s="51" t="s">
        <v>610</v>
      </c>
      <c r="T356" s="51" t="s">
        <v>741</v>
      </c>
      <c r="U356" s="51">
        <v>0</v>
      </c>
      <c r="V356" s="51" t="s">
        <v>665</v>
      </c>
      <c r="W356" s="51">
        <v>6.7</v>
      </c>
      <c r="X356" s="51"/>
      <c r="Y356" s="30" t="s">
        <v>493</v>
      </c>
      <c r="Z356" s="30">
        <v>26</v>
      </c>
      <c r="AA356" s="7" t="s">
        <v>854</v>
      </c>
      <c r="AB356" s="7"/>
    </row>
    <row r="357" spans="1:28" ht="15" x14ac:dyDescent="0.25">
      <c r="A357" s="48">
        <v>26207135165</v>
      </c>
      <c r="B357" s="49" t="s">
        <v>797</v>
      </c>
      <c r="C357" s="49"/>
      <c r="D357" s="49"/>
      <c r="E357" s="50">
        <v>37519</v>
      </c>
      <c r="F357" s="49" t="s">
        <v>20</v>
      </c>
      <c r="G357" s="49" t="s">
        <v>34</v>
      </c>
      <c r="H357" s="51">
        <v>5.5</v>
      </c>
      <c r="I357" s="51">
        <v>120</v>
      </c>
      <c r="J357" s="51">
        <v>4</v>
      </c>
      <c r="K357" s="51">
        <v>0</v>
      </c>
      <c r="L357" s="51">
        <v>124</v>
      </c>
      <c r="M357" s="51">
        <v>6.11</v>
      </c>
      <c r="N357" s="51">
        <v>2.34</v>
      </c>
      <c r="O357" s="52">
        <v>3.2000000000000001E-2</v>
      </c>
      <c r="P357" s="51">
        <v>0</v>
      </c>
      <c r="Q357" s="51">
        <v>0</v>
      </c>
      <c r="R357" s="51" t="s">
        <v>610</v>
      </c>
      <c r="S357" s="51" t="s">
        <v>610</v>
      </c>
      <c r="T357" s="51" t="s">
        <v>741</v>
      </c>
      <c r="U357" s="51">
        <v>0</v>
      </c>
      <c r="V357" s="51" t="s">
        <v>665</v>
      </c>
      <c r="W357" s="51"/>
      <c r="X357" s="51"/>
      <c r="Y357" s="30" t="s">
        <v>493</v>
      </c>
      <c r="Z357" s="30">
        <v>26</v>
      </c>
      <c r="AA357" s="7" t="s">
        <v>832</v>
      </c>
      <c r="AB357" s="7"/>
    </row>
    <row r="358" spans="1:28" ht="15" x14ac:dyDescent="0.25">
      <c r="A358" s="48">
        <v>2321713977</v>
      </c>
      <c r="B358" s="49" t="s">
        <v>354</v>
      </c>
      <c r="C358" s="49"/>
      <c r="D358" s="49"/>
      <c r="E358" s="50">
        <v>36263</v>
      </c>
      <c r="F358" s="49" t="s">
        <v>20</v>
      </c>
      <c r="G358" s="49" t="s">
        <v>34</v>
      </c>
      <c r="H358" s="51">
        <v>4.9000000000000004</v>
      </c>
      <c r="I358" s="51">
        <v>117</v>
      </c>
      <c r="J358" s="51">
        <v>9</v>
      </c>
      <c r="K358" s="51">
        <v>0</v>
      </c>
      <c r="L358" s="51">
        <v>126</v>
      </c>
      <c r="M358" s="51">
        <v>5.87</v>
      </c>
      <c r="N358" s="51">
        <v>2.2599999999999998</v>
      </c>
      <c r="O358" s="52">
        <v>7.0999999999999994E-2</v>
      </c>
      <c r="P358" s="51">
        <v>0</v>
      </c>
      <c r="Q358" s="51">
        <v>0</v>
      </c>
      <c r="R358" s="51" t="s">
        <v>610</v>
      </c>
      <c r="S358" s="51" t="s">
        <v>610</v>
      </c>
      <c r="T358" s="51">
        <v>0</v>
      </c>
      <c r="U358" s="51">
        <v>0</v>
      </c>
      <c r="V358" s="51" t="s">
        <v>662</v>
      </c>
      <c r="W358" s="51"/>
      <c r="X358" s="51"/>
      <c r="Y358" s="30" t="s">
        <v>493</v>
      </c>
      <c r="Z358" s="30">
        <v>26</v>
      </c>
      <c r="AA358" s="7" t="s">
        <v>824</v>
      </c>
      <c r="AB358" s="7"/>
    </row>
    <row r="359" spans="1:28" ht="15" x14ac:dyDescent="0.25">
      <c r="A359" s="48">
        <v>26217100821</v>
      </c>
      <c r="B359" s="49" t="s">
        <v>798</v>
      </c>
      <c r="C359" s="49"/>
      <c r="D359" s="49"/>
      <c r="E359" s="50">
        <v>37328</v>
      </c>
      <c r="F359" s="49" t="s">
        <v>20</v>
      </c>
      <c r="G359" s="49" t="s">
        <v>34</v>
      </c>
      <c r="H359" s="51">
        <v>7</v>
      </c>
      <c r="I359" s="51">
        <v>121</v>
      </c>
      <c r="J359" s="51">
        <v>4</v>
      </c>
      <c r="K359" s="51">
        <v>0</v>
      </c>
      <c r="L359" s="51">
        <v>125</v>
      </c>
      <c r="M359" s="51">
        <v>6.69</v>
      </c>
      <c r="N359" s="51">
        <v>2.68</v>
      </c>
      <c r="O359" s="52">
        <v>3.2000000000000001E-2</v>
      </c>
      <c r="P359" s="51">
        <v>0</v>
      </c>
      <c r="Q359" s="51">
        <v>0</v>
      </c>
      <c r="R359" s="51" t="s">
        <v>610</v>
      </c>
      <c r="S359" s="51" t="s">
        <v>610</v>
      </c>
      <c r="T359" s="51" t="s">
        <v>703</v>
      </c>
      <c r="U359" s="51">
        <v>0</v>
      </c>
      <c r="V359" s="51" t="s">
        <v>665</v>
      </c>
      <c r="W359" s="51"/>
      <c r="X359" s="51"/>
      <c r="Y359" s="30" t="s">
        <v>493</v>
      </c>
      <c r="Z359" s="30">
        <v>26</v>
      </c>
      <c r="AA359" s="7" t="e">
        <v>#N/A</v>
      </c>
      <c r="AB359" s="7"/>
    </row>
    <row r="360" spans="1:28" ht="15" x14ac:dyDescent="0.25">
      <c r="A360" s="48">
        <v>26211031383</v>
      </c>
      <c r="B360" s="49" t="s">
        <v>799</v>
      </c>
      <c r="C360" s="49"/>
      <c r="D360" s="49"/>
      <c r="E360" s="50">
        <v>37152</v>
      </c>
      <c r="F360" s="49" t="s">
        <v>20</v>
      </c>
      <c r="G360" s="49" t="s">
        <v>34</v>
      </c>
      <c r="H360" s="51">
        <v>6</v>
      </c>
      <c r="I360" s="51">
        <v>128</v>
      </c>
      <c r="J360" s="51">
        <v>0</v>
      </c>
      <c r="K360" s="51">
        <v>0</v>
      </c>
      <c r="L360" s="51">
        <v>128</v>
      </c>
      <c r="M360" s="51">
        <v>6.87</v>
      </c>
      <c r="N360" s="51">
        <v>2.78</v>
      </c>
      <c r="O360" s="52">
        <v>0</v>
      </c>
      <c r="P360" s="51" t="s">
        <v>610</v>
      </c>
      <c r="Q360" s="51">
        <v>0</v>
      </c>
      <c r="R360" s="51" t="s">
        <v>610</v>
      </c>
      <c r="S360" s="51" t="s">
        <v>610</v>
      </c>
      <c r="T360" s="51" t="s">
        <v>735</v>
      </c>
      <c r="U360" s="51">
        <v>0</v>
      </c>
      <c r="V360" s="51" t="s">
        <v>665</v>
      </c>
      <c r="W360" s="51">
        <v>8.5</v>
      </c>
      <c r="X360" s="51"/>
      <c r="Y360" s="30" t="s">
        <v>493</v>
      </c>
      <c r="Z360" s="30">
        <v>26</v>
      </c>
      <c r="AA360" s="7" t="s">
        <v>855</v>
      </c>
      <c r="AB360" s="7"/>
    </row>
    <row r="361" spans="1:28" ht="15" x14ac:dyDescent="0.25">
      <c r="A361" s="48">
        <v>26207125830</v>
      </c>
      <c r="B361" s="49" t="s">
        <v>376</v>
      </c>
      <c r="C361" s="49"/>
      <c r="D361" s="49"/>
      <c r="E361" s="50">
        <v>37576</v>
      </c>
      <c r="F361" s="49" t="s">
        <v>20</v>
      </c>
      <c r="G361" s="49" t="s">
        <v>34</v>
      </c>
      <c r="H361" s="51">
        <v>6.5</v>
      </c>
      <c r="I361" s="51">
        <v>126</v>
      </c>
      <c r="J361" s="51">
        <v>0</v>
      </c>
      <c r="K361" s="51">
        <v>0</v>
      </c>
      <c r="L361" s="51">
        <v>126</v>
      </c>
      <c r="M361" s="51">
        <v>6.5</v>
      </c>
      <c r="N361" s="51">
        <v>2.57</v>
      </c>
      <c r="O361" s="52">
        <v>0</v>
      </c>
      <c r="P361" s="51">
        <v>0</v>
      </c>
      <c r="Q361" s="51" t="s">
        <v>610</v>
      </c>
      <c r="R361" s="51" t="s">
        <v>610</v>
      </c>
      <c r="S361" s="51" t="s">
        <v>610</v>
      </c>
      <c r="T361" s="51" t="s">
        <v>741</v>
      </c>
      <c r="U361" s="51">
        <v>0</v>
      </c>
      <c r="V361" s="51" t="s">
        <v>665</v>
      </c>
      <c r="W361" s="51">
        <v>0</v>
      </c>
      <c r="X361" s="51"/>
      <c r="Y361" s="30" t="s">
        <v>493</v>
      </c>
      <c r="Z361" s="30">
        <v>26</v>
      </c>
      <c r="AA361" s="7" t="s">
        <v>850</v>
      </c>
      <c r="AB361" s="7"/>
    </row>
    <row r="362" spans="1:28" ht="15" x14ac:dyDescent="0.25">
      <c r="A362" s="48">
        <v>26217122489</v>
      </c>
      <c r="B362" s="49" t="s">
        <v>382</v>
      </c>
      <c r="C362" s="49"/>
      <c r="D362" s="49"/>
      <c r="E362" s="50">
        <v>36787</v>
      </c>
      <c r="F362" s="49" t="s">
        <v>20</v>
      </c>
      <c r="G362" s="49" t="s">
        <v>34</v>
      </c>
      <c r="H362" s="51">
        <v>6.7</v>
      </c>
      <c r="I362" s="51">
        <v>116</v>
      </c>
      <c r="J362" s="51">
        <v>9</v>
      </c>
      <c r="K362" s="51">
        <v>0</v>
      </c>
      <c r="L362" s="51">
        <v>125</v>
      </c>
      <c r="M362" s="51">
        <v>5.96</v>
      </c>
      <c r="N362" s="51">
        <v>2.31</v>
      </c>
      <c r="O362" s="52">
        <v>7.1999999999999995E-2</v>
      </c>
      <c r="P362" s="51">
        <v>0</v>
      </c>
      <c r="Q362" s="51">
        <v>0</v>
      </c>
      <c r="R362" s="51" t="s">
        <v>610</v>
      </c>
      <c r="S362" s="51" t="s">
        <v>610</v>
      </c>
      <c r="T362" s="51" t="s">
        <v>741</v>
      </c>
      <c r="U362" s="51">
        <v>0</v>
      </c>
      <c r="V362" s="51" t="s">
        <v>662</v>
      </c>
      <c r="W362" s="51"/>
      <c r="X362" s="51"/>
      <c r="Y362" s="30" t="s">
        <v>493</v>
      </c>
      <c r="Z362" s="30">
        <v>26</v>
      </c>
      <c r="AA362" s="7" t="e">
        <v>#N/A</v>
      </c>
      <c r="AB362" s="7"/>
    </row>
    <row r="363" spans="1:28" ht="15" x14ac:dyDescent="0.25">
      <c r="A363" s="48">
        <v>26217135049</v>
      </c>
      <c r="B363" s="49" t="s">
        <v>800</v>
      </c>
      <c r="C363" s="49"/>
      <c r="D363" s="49"/>
      <c r="E363" s="50">
        <v>37459</v>
      </c>
      <c r="F363" s="49" t="s">
        <v>20</v>
      </c>
      <c r="G363" s="49" t="s">
        <v>34</v>
      </c>
      <c r="H363" s="51">
        <v>7.1</v>
      </c>
      <c r="I363" s="51">
        <v>125</v>
      </c>
      <c r="J363" s="51">
        <v>0</v>
      </c>
      <c r="K363" s="51">
        <v>0</v>
      </c>
      <c r="L363" s="51">
        <v>125</v>
      </c>
      <c r="M363" s="51">
        <v>7.02</v>
      </c>
      <c r="N363" s="51">
        <v>2.89</v>
      </c>
      <c r="O363" s="52">
        <v>0</v>
      </c>
      <c r="P363" s="51">
        <v>0</v>
      </c>
      <c r="Q363" s="51">
        <v>0</v>
      </c>
      <c r="R363" s="51" t="s">
        <v>610</v>
      </c>
      <c r="S363" s="51" t="s">
        <v>610</v>
      </c>
      <c r="T363" s="51" t="s">
        <v>735</v>
      </c>
      <c r="U363" s="51">
        <v>0</v>
      </c>
      <c r="V363" s="51" t="s">
        <v>665</v>
      </c>
      <c r="W363" s="51">
        <v>7.3</v>
      </c>
      <c r="X363" s="51"/>
      <c r="Y363" s="30" t="s">
        <v>493</v>
      </c>
      <c r="Z363" s="30">
        <v>26</v>
      </c>
      <c r="AA363" s="7" t="s">
        <v>856</v>
      </c>
      <c r="AB363" s="7"/>
    </row>
    <row r="364" spans="1:28" ht="15" x14ac:dyDescent="0.25">
      <c r="A364" s="48">
        <v>25217102808</v>
      </c>
      <c r="B364" s="49" t="s">
        <v>388</v>
      </c>
      <c r="C364" s="49"/>
      <c r="D364" s="49"/>
      <c r="E364" s="50">
        <v>37134</v>
      </c>
      <c r="F364" s="49" t="s">
        <v>20</v>
      </c>
      <c r="G364" s="49" t="s">
        <v>34</v>
      </c>
      <c r="H364" s="51">
        <v>5.3</v>
      </c>
      <c r="I364" s="51">
        <v>117</v>
      </c>
      <c r="J364" s="51">
        <v>8</v>
      </c>
      <c r="K364" s="51">
        <v>0</v>
      </c>
      <c r="L364" s="51">
        <v>125</v>
      </c>
      <c r="M364" s="51">
        <v>5.99</v>
      </c>
      <c r="N364" s="51">
        <v>2.31</v>
      </c>
      <c r="O364" s="52">
        <v>6.4000000000000001E-2</v>
      </c>
      <c r="P364" s="51">
        <v>0</v>
      </c>
      <c r="Q364" s="51">
        <v>0</v>
      </c>
      <c r="R364" s="51" t="s">
        <v>610</v>
      </c>
      <c r="S364" s="51" t="s">
        <v>610</v>
      </c>
      <c r="T364" s="51" t="s">
        <v>741</v>
      </c>
      <c r="U364" s="51">
        <v>0</v>
      </c>
      <c r="V364" s="51" t="s">
        <v>662</v>
      </c>
      <c r="W364" s="51"/>
      <c r="X364" s="51"/>
      <c r="Y364" s="30" t="s">
        <v>493</v>
      </c>
      <c r="Z364" s="30">
        <v>26</v>
      </c>
      <c r="AA364" s="7" t="s">
        <v>836</v>
      </c>
      <c r="AB364" s="7"/>
    </row>
    <row r="365" spans="1:28" ht="15" x14ac:dyDescent="0.25">
      <c r="A365" s="48">
        <v>26207125172</v>
      </c>
      <c r="B365" s="49" t="s">
        <v>389</v>
      </c>
      <c r="C365" s="49"/>
      <c r="D365" s="49"/>
      <c r="E365" s="50">
        <v>37270</v>
      </c>
      <c r="F365" s="49" t="s">
        <v>20</v>
      </c>
      <c r="G365" s="49" t="s">
        <v>34</v>
      </c>
      <c r="H365" s="51">
        <v>6.9</v>
      </c>
      <c r="I365" s="51">
        <v>125</v>
      </c>
      <c r="J365" s="51">
        <v>0</v>
      </c>
      <c r="K365" s="51">
        <v>0</v>
      </c>
      <c r="L365" s="51">
        <v>125</v>
      </c>
      <c r="M365" s="51">
        <v>7.4</v>
      </c>
      <c r="N365" s="51">
        <v>3.08</v>
      </c>
      <c r="O365" s="52">
        <v>0</v>
      </c>
      <c r="P365" s="51">
        <v>0</v>
      </c>
      <c r="Q365" s="51">
        <v>0</v>
      </c>
      <c r="R365" s="51" t="s">
        <v>610</v>
      </c>
      <c r="S365" s="51" t="s">
        <v>610</v>
      </c>
      <c r="T365" s="51" t="s">
        <v>735</v>
      </c>
      <c r="U365" s="51">
        <v>0</v>
      </c>
      <c r="V365" s="51" t="s">
        <v>665</v>
      </c>
      <c r="W365" s="51">
        <v>8.6</v>
      </c>
      <c r="X365" s="51"/>
      <c r="Y365" s="30" t="s">
        <v>493</v>
      </c>
      <c r="Z365" s="30">
        <v>26</v>
      </c>
      <c r="AA365" s="7" t="s">
        <v>831</v>
      </c>
      <c r="AB365" s="7"/>
    </row>
    <row r="366" spans="1:28" ht="15" x14ac:dyDescent="0.25">
      <c r="A366" s="48">
        <v>26207130140</v>
      </c>
      <c r="B366" s="49" t="s">
        <v>401</v>
      </c>
      <c r="C366" s="49"/>
      <c r="D366" s="49"/>
      <c r="E366" s="50">
        <v>37582</v>
      </c>
      <c r="F366" s="49" t="s">
        <v>20</v>
      </c>
      <c r="G366" s="49" t="s">
        <v>34</v>
      </c>
      <c r="H366" s="51">
        <v>5</v>
      </c>
      <c r="I366" s="51">
        <v>125</v>
      </c>
      <c r="J366" s="51">
        <v>0</v>
      </c>
      <c r="K366" s="51">
        <v>0</v>
      </c>
      <c r="L366" s="51">
        <v>125</v>
      </c>
      <c r="M366" s="51">
        <v>6.73</v>
      </c>
      <c r="N366" s="51">
        <v>2.71</v>
      </c>
      <c r="O366" s="52">
        <v>0</v>
      </c>
      <c r="P366" s="51">
        <v>0</v>
      </c>
      <c r="Q366" s="51">
        <v>0</v>
      </c>
      <c r="R366" s="51" t="s">
        <v>610</v>
      </c>
      <c r="S366" s="51" t="s">
        <v>610</v>
      </c>
      <c r="T366" s="51" t="s">
        <v>795</v>
      </c>
      <c r="U366" s="51">
        <v>0</v>
      </c>
      <c r="V366" s="51" t="s">
        <v>665</v>
      </c>
      <c r="W366" s="51">
        <v>9.3000000000000007</v>
      </c>
      <c r="X366" s="51"/>
      <c r="Y366" s="30" t="s">
        <v>493</v>
      </c>
      <c r="Z366" s="30">
        <v>26</v>
      </c>
      <c r="AA366" s="7" t="s">
        <v>810</v>
      </c>
      <c r="AB366" s="7"/>
    </row>
    <row r="367" spans="1:28" ht="15" x14ac:dyDescent="0.25">
      <c r="A367" s="48">
        <v>26217123458</v>
      </c>
      <c r="B367" s="49" t="s">
        <v>402</v>
      </c>
      <c r="C367" s="49"/>
      <c r="D367" s="49"/>
      <c r="E367" s="50">
        <v>37568</v>
      </c>
      <c r="F367" s="49" t="s">
        <v>20</v>
      </c>
      <c r="G367" s="49" t="s">
        <v>34</v>
      </c>
      <c r="H367" s="51">
        <v>4.2</v>
      </c>
      <c r="I367" s="51">
        <v>120</v>
      </c>
      <c r="J367" s="51">
        <v>5</v>
      </c>
      <c r="K367" s="51">
        <v>0</v>
      </c>
      <c r="L367" s="51">
        <v>125</v>
      </c>
      <c r="M367" s="51">
        <v>6.07</v>
      </c>
      <c r="N367" s="51">
        <v>2.33</v>
      </c>
      <c r="O367" s="52">
        <v>0.04</v>
      </c>
      <c r="P367" s="51">
        <v>0</v>
      </c>
      <c r="Q367" s="51">
        <v>0</v>
      </c>
      <c r="R367" s="51" t="s">
        <v>610</v>
      </c>
      <c r="S367" s="51" t="s">
        <v>610</v>
      </c>
      <c r="T367" s="51" t="s">
        <v>795</v>
      </c>
      <c r="U367" s="51">
        <v>0</v>
      </c>
      <c r="V367" s="51" t="s">
        <v>665</v>
      </c>
      <c r="W367" s="51">
        <v>6.2</v>
      </c>
      <c r="X367" s="51"/>
      <c r="Y367" s="30" t="s">
        <v>493</v>
      </c>
      <c r="Z367" s="30">
        <v>26</v>
      </c>
      <c r="AA367" s="7" t="e">
        <v>#N/A</v>
      </c>
      <c r="AB367" s="7"/>
    </row>
    <row r="368" spans="1:28" ht="15" x14ac:dyDescent="0.25">
      <c r="A368" s="48">
        <v>26207129998</v>
      </c>
      <c r="B368" s="49" t="s">
        <v>411</v>
      </c>
      <c r="C368" s="49"/>
      <c r="D368" s="49"/>
      <c r="E368" s="50">
        <v>37595</v>
      </c>
      <c r="F368" s="49" t="s">
        <v>20</v>
      </c>
      <c r="G368" s="49" t="s">
        <v>34</v>
      </c>
      <c r="H368" s="51">
        <v>8.5</v>
      </c>
      <c r="I368" s="51">
        <v>124</v>
      </c>
      <c r="J368" s="51">
        <v>0</v>
      </c>
      <c r="K368" s="51">
        <v>0</v>
      </c>
      <c r="L368" s="51">
        <v>124</v>
      </c>
      <c r="M368" s="51">
        <v>8.1999999999999993</v>
      </c>
      <c r="N368" s="51">
        <v>3.55</v>
      </c>
      <c r="O368" s="52">
        <v>0</v>
      </c>
      <c r="P368" s="51">
        <v>0</v>
      </c>
      <c r="Q368" s="51">
        <v>0</v>
      </c>
      <c r="R368" s="51" t="s">
        <v>610</v>
      </c>
      <c r="S368" s="51" t="s">
        <v>610</v>
      </c>
      <c r="T368" s="51" t="s">
        <v>741</v>
      </c>
      <c r="U368" s="51">
        <v>0</v>
      </c>
      <c r="V368" s="51" t="s">
        <v>665</v>
      </c>
      <c r="W368" s="51">
        <v>7.6</v>
      </c>
      <c r="X368" s="51"/>
      <c r="Y368" s="30" t="s">
        <v>493</v>
      </c>
      <c r="Z368" s="30">
        <v>26</v>
      </c>
      <c r="AA368" s="7" t="s">
        <v>809</v>
      </c>
      <c r="AB368" s="7"/>
    </row>
    <row r="369" spans="1:28" ht="15" x14ac:dyDescent="0.25">
      <c r="A369" s="48">
        <v>26217140809</v>
      </c>
      <c r="B369" s="49" t="s">
        <v>93</v>
      </c>
      <c r="C369" s="49"/>
      <c r="D369" s="49"/>
      <c r="E369" s="50">
        <v>37376</v>
      </c>
      <c r="F369" s="49" t="s">
        <v>42</v>
      </c>
      <c r="G369" s="49" t="s">
        <v>34</v>
      </c>
      <c r="H369" s="51">
        <v>5.3</v>
      </c>
      <c r="I369" s="51">
        <v>125</v>
      </c>
      <c r="J369" s="51">
        <v>3</v>
      </c>
      <c r="K369" s="51">
        <v>0</v>
      </c>
      <c r="L369" s="51">
        <v>128</v>
      </c>
      <c r="M369" s="51">
        <v>5.3</v>
      </c>
      <c r="N369" s="51">
        <v>5.3</v>
      </c>
      <c r="O369" s="52">
        <v>2.3E-2</v>
      </c>
      <c r="P369" s="51">
        <v>0</v>
      </c>
      <c r="Q369" s="51">
        <v>0</v>
      </c>
      <c r="R369" s="51">
        <v>0</v>
      </c>
      <c r="S369" s="51" t="s">
        <v>610</v>
      </c>
      <c r="T369" s="51" t="s">
        <v>741</v>
      </c>
      <c r="U369" s="51">
        <v>3</v>
      </c>
      <c r="V369" s="51" t="s">
        <v>665</v>
      </c>
      <c r="W369" s="51"/>
      <c r="X369" s="51"/>
      <c r="Y369" s="30" t="s">
        <v>440</v>
      </c>
      <c r="Z369" s="30">
        <v>26</v>
      </c>
      <c r="AA369" s="7" t="s">
        <v>847</v>
      </c>
      <c r="AB369" s="7"/>
    </row>
    <row r="370" spans="1:28" ht="15" x14ac:dyDescent="0.25">
      <c r="A370" s="48">
        <v>26217240100</v>
      </c>
      <c r="B370" s="49" t="s">
        <v>801</v>
      </c>
      <c r="C370" s="49"/>
      <c r="D370" s="49"/>
      <c r="E370" s="50">
        <v>36969</v>
      </c>
      <c r="F370" s="49" t="s">
        <v>42</v>
      </c>
      <c r="G370" s="49" t="s">
        <v>34</v>
      </c>
      <c r="H370" s="51">
        <v>7.3</v>
      </c>
      <c r="I370" s="51">
        <v>120</v>
      </c>
      <c r="J370" s="51">
        <v>6</v>
      </c>
      <c r="K370" s="51">
        <v>0</v>
      </c>
      <c r="L370" s="51">
        <v>126</v>
      </c>
      <c r="M370" s="51">
        <v>7.3</v>
      </c>
      <c r="N370" s="51">
        <v>7.3</v>
      </c>
      <c r="O370" s="52">
        <v>4.8000000000000001E-2</v>
      </c>
      <c r="P370" s="51">
        <v>0</v>
      </c>
      <c r="Q370" s="51">
        <v>0</v>
      </c>
      <c r="R370" s="51">
        <v>0</v>
      </c>
      <c r="S370" s="51" t="s">
        <v>610</v>
      </c>
      <c r="T370" s="51" t="s">
        <v>735</v>
      </c>
      <c r="U370" s="51">
        <v>0</v>
      </c>
      <c r="V370" s="51" t="s">
        <v>665</v>
      </c>
      <c r="W370" s="51"/>
      <c r="X370" s="51"/>
      <c r="Y370" s="30" t="s">
        <v>440</v>
      </c>
      <c r="Z370" s="30">
        <v>26</v>
      </c>
      <c r="AA370" s="7" t="s">
        <v>817</v>
      </c>
      <c r="AB370" s="7"/>
    </row>
    <row r="371" spans="1:28" ht="15" x14ac:dyDescent="0.25">
      <c r="A371" s="48">
        <v>26217133260</v>
      </c>
      <c r="B371" s="49" t="s">
        <v>311</v>
      </c>
      <c r="C371" s="49"/>
      <c r="D371" s="49"/>
      <c r="E371" s="50">
        <v>37537</v>
      </c>
      <c r="F371" s="49" t="s">
        <v>42</v>
      </c>
      <c r="G371" s="49" t="s">
        <v>34</v>
      </c>
      <c r="H371" s="51">
        <v>7</v>
      </c>
      <c r="I371" s="51">
        <v>128</v>
      </c>
      <c r="J371" s="51">
        <v>0</v>
      </c>
      <c r="K371" s="51">
        <v>0</v>
      </c>
      <c r="L371" s="51">
        <v>128</v>
      </c>
      <c r="M371" s="51">
        <v>7</v>
      </c>
      <c r="N371" s="51">
        <v>7</v>
      </c>
      <c r="O371" s="52">
        <v>0</v>
      </c>
      <c r="P371" s="51">
        <v>0</v>
      </c>
      <c r="Q371" s="51">
        <v>0</v>
      </c>
      <c r="R371" s="51" t="s">
        <v>610</v>
      </c>
      <c r="S371" s="51" t="s">
        <v>610</v>
      </c>
      <c r="T371" s="51" t="s">
        <v>735</v>
      </c>
      <c r="U371" s="51">
        <v>0</v>
      </c>
      <c r="V371" s="51" t="s">
        <v>665</v>
      </c>
      <c r="W371" s="51"/>
      <c r="X371" s="51"/>
      <c r="Y371" s="30" t="s">
        <v>440</v>
      </c>
      <c r="Z371" s="30">
        <v>26</v>
      </c>
      <c r="AA371" s="7" t="s">
        <v>829</v>
      </c>
      <c r="AB371" s="7"/>
    </row>
    <row r="372" spans="1:28" ht="15" x14ac:dyDescent="0.25">
      <c r="A372" s="48">
        <v>26217131257</v>
      </c>
      <c r="B372" s="49" t="s">
        <v>328</v>
      </c>
      <c r="C372" s="49"/>
      <c r="D372" s="49"/>
      <c r="E372" s="50">
        <v>36596</v>
      </c>
      <c r="F372" s="49" t="s">
        <v>42</v>
      </c>
      <c r="G372" s="49" t="s">
        <v>34</v>
      </c>
      <c r="H372" s="51" t="e">
        <v>#N/A</v>
      </c>
      <c r="I372" s="51" t="e">
        <v>#N/A</v>
      </c>
      <c r="J372" s="51" t="e">
        <v>#N/A</v>
      </c>
      <c r="K372" s="51">
        <v>0</v>
      </c>
      <c r="L372" s="51" t="e">
        <v>#N/A</v>
      </c>
      <c r="M372" s="51" t="e">
        <v>#N/A</v>
      </c>
      <c r="N372" s="51" t="e">
        <v>#N/A</v>
      </c>
      <c r="O372" s="51" t="e">
        <v>#N/A</v>
      </c>
      <c r="P372" s="51">
        <v>0</v>
      </c>
      <c r="Q372" s="51">
        <v>0</v>
      </c>
      <c r="R372" s="51" t="s">
        <v>610</v>
      </c>
      <c r="S372" s="51" t="s">
        <v>610</v>
      </c>
      <c r="T372" s="51" t="s">
        <v>795</v>
      </c>
      <c r="U372" s="51">
        <v>0</v>
      </c>
      <c r="V372" s="51" t="e">
        <v>#N/A</v>
      </c>
      <c r="W372" s="51" t="e">
        <v>#N/A</v>
      </c>
      <c r="X372" s="51"/>
      <c r="Y372" s="30" t="s">
        <v>440</v>
      </c>
      <c r="Z372" s="30">
        <v>27</v>
      </c>
      <c r="AA372" s="7" t="s">
        <v>821</v>
      </c>
      <c r="AB372" s="7"/>
    </row>
    <row r="373" spans="1:28" ht="15" x14ac:dyDescent="0.25">
      <c r="A373" s="48">
        <v>26217125586</v>
      </c>
      <c r="B373" s="49" t="s">
        <v>342</v>
      </c>
      <c r="C373" s="49"/>
      <c r="D373" s="49"/>
      <c r="E373" s="50">
        <v>37462</v>
      </c>
      <c r="F373" s="49" t="s">
        <v>42</v>
      </c>
      <c r="G373" s="49" t="s">
        <v>34</v>
      </c>
      <c r="H373" s="51">
        <v>6.2</v>
      </c>
      <c r="I373" s="51">
        <v>128</v>
      </c>
      <c r="J373" s="51">
        <v>0</v>
      </c>
      <c r="K373" s="51">
        <v>0</v>
      </c>
      <c r="L373" s="51">
        <v>128</v>
      </c>
      <c r="M373" s="51">
        <v>6.2</v>
      </c>
      <c r="N373" s="51">
        <v>6.2</v>
      </c>
      <c r="O373" s="52">
        <v>0</v>
      </c>
      <c r="P373" s="51">
        <v>0</v>
      </c>
      <c r="Q373" s="51" t="s">
        <v>610</v>
      </c>
      <c r="R373" s="51" t="s">
        <v>610</v>
      </c>
      <c r="S373" s="51" t="s">
        <v>610</v>
      </c>
      <c r="T373" s="51" t="s">
        <v>735</v>
      </c>
      <c r="U373" s="51">
        <v>0</v>
      </c>
      <c r="V373" s="51" t="s">
        <v>682</v>
      </c>
      <c r="W373" s="51"/>
      <c r="X373" s="30" t="e">
        <v>#N/A</v>
      </c>
      <c r="Y373" s="30" t="s">
        <v>440</v>
      </c>
      <c r="Z373" s="30">
        <v>26</v>
      </c>
      <c r="AA373" s="7" t="s">
        <v>822</v>
      </c>
      <c r="AB373" s="7"/>
    </row>
    <row r="374" spans="1:28" ht="15" x14ac:dyDescent="0.25">
      <c r="A374" s="48">
        <v>26217125462</v>
      </c>
      <c r="B374" s="49" t="s">
        <v>343</v>
      </c>
      <c r="C374" s="49"/>
      <c r="D374" s="49"/>
      <c r="E374" s="50">
        <v>37380</v>
      </c>
      <c r="F374" s="49" t="s">
        <v>42</v>
      </c>
      <c r="G374" s="49" t="s">
        <v>34</v>
      </c>
      <c r="H374" s="51">
        <v>6.1</v>
      </c>
      <c r="I374" s="51">
        <v>128</v>
      </c>
      <c r="J374" s="51">
        <v>0</v>
      </c>
      <c r="K374" s="51">
        <v>0</v>
      </c>
      <c r="L374" s="51">
        <v>128</v>
      </c>
      <c r="M374" s="51">
        <v>6.1</v>
      </c>
      <c r="N374" s="51">
        <v>6.1</v>
      </c>
      <c r="O374" s="52">
        <v>0</v>
      </c>
      <c r="P374" s="51">
        <v>0</v>
      </c>
      <c r="Q374" s="51">
        <v>0</v>
      </c>
      <c r="R374" s="51" t="s">
        <v>610</v>
      </c>
      <c r="S374" s="51" t="s">
        <v>610</v>
      </c>
      <c r="T374" s="51" t="s">
        <v>741</v>
      </c>
      <c r="U374" s="51">
        <v>0</v>
      </c>
      <c r="V374" s="51" t="s">
        <v>665</v>
      </c>
      <c r="W374" s="51"/>
      <c r="X374" s="51"/>
      <c r="Y374" s="30" t="s">
        <v>440</v>
      </c>
      <c r="Z374" s="30">
        <v>26</v>
      </c>
      <c r="AA374" s="7" t="e">
        <v>#N/A</v>
      </c>
      <c r="AB374" s="7"/>
    </row>
    <row r="375" spans="1:28" ht="15" x14ac:dyDescent="0.25">
      <c r="A375" s="48">
        <v>25207203811</v>
      </c>
      <c r="B375" s="49" t="s">
        <v>346</v>
      </c>
      <c r="C375" s="49"/>
      <c r="D375" s="49"/>
      <c r="E375" s="50">
        <v>36947</v>
      </c>
      <c r="F375" s="49" t="s">
        <v>42</v>
      </c>
      <c r="G375" s="49" t="s">
        <v>34</v>
      </c>
      <c r="H375" s="51">
        <v>7.7</v>
      </c>
      <c r="I375" s="51">
        <v>123</v>
      </c>
      <c r="J375" s="51">
        <v>3</v>
      </c>
      <c r="K375" s="51">
        <v>0</v>
      </c>
      <c r="L375" s="51">
        <v>126</v>
      </c>
      <c r="M375" s="51">
        <v>7.7</v>
      </c>
      <c r="N375" s="51">
        <v>7.7</v>
      </c>
      <c r="O375" s="52">
        <v>2.4E-2</v>
      </c>
      <c r="P375" s="51">
        <v>0</v>
      </c>
      <c r="Q375" s="51">
        <v>0</v>
      </c>
      <c r="R375" s="51" t="s">
        <v>610</v>
      </c>
      <c r="S375" s="51" t="s">
        <v>610</v>
      </c>
      <c r="T375" s="51" t="s">
        <v>735</v>
      </c>
      <c r="U375" s="51">
        <v>0</v>
      </c>
      <c r="V375" s="51" t="s">
        <v>665</v>
      </c>
      <c r="W375" s="51"/>
      <c r="X375" s="51"/>
      <c r="Y375" s="30" t="s">
        <v>440</v>
      </c>
      <c r="Z375" s="30">
        <v>26</v>
      </c>
      <c r="AA375" s="7" t="s">
        <v>857</v>
      </c>
      <c r="AB375" s="7"/>
    </row>
    <row r="376" spans="1:28" ht="15" x14ac:dyDescent="0.25">
      <c r="A376" s="48">
        <v>26217126206</v>
      </c>
      <c r="B376" s="49" t="s">
        <v>349</v>
      </c>
      <c r="C376" s="49"/>
      <c r="D376" s="49"/>
      <c r="E376" s="50">
        <v>37318</v>
      </c>
      <c r="F376" s="49" t="s">
        <v>42</v>
      </c>
      <c r="G376" s="49" t="s">
        <v>34</v>
      </c>
      <c r="H376" s="51">
        <v>5.9</v>
      </c>
      <c r="I376" s="51">
        <v>128</v>
      </c>
      <c r="J376" s="51">
        <v>0</v>
      </c>
      <c r="K376" s="51">
        <v>0</v>
      </c>
      <c r="L376" s="51">
        <v>128</v>
      </c>
      <c r="M376" s="51">
        <v>5.9</v>
      </c>
      <c r="N376" s="51">
        <v>5.9</v>
      </c>
      <c r="O376" s="52">
        <v>0</v>
      </c>
      <c r="P376" s="51">
        <v>0</v>
      </c>
      <c r="Q376" s="51" t="s">
        <v>610</v>
      </c>
      <c r="R376" s="51" t="s">
        <v>610</v>
      </c>
      <c r="S376" s="51" t="s">
        <v>610</v>
      </c>
      <c r="T376" s="51" t="s">
        <v>735</v>
      </c>
      <c r="U376" s="51">
        <v>0</v>
      </c>
      <c r="V376" s="51" t="s">
        <v>665</v>
      </c>
      <c r="W376" s="51"/>
      <c r="X376" s="51"/>
      <c r="Y376" s="30" t="s">
        <v>440</v>
      </c>
      <c r="Z376" s="30">
        <v>26</v>
      </c>
      <c r="AA376" s="7" t="s">
        <v>829</v>
      </c>
      <c r="AB376" s="7"/>
    </row>
    <row r="377" spans="1:28" ht="15" x14ac:dyDescent="0.25">
      <c r="A377" s="48">
        <v>26217129382</v>
      </c>
      <c r="B377" s="49" t="s">
        <v>351</v>
      </c>
      <c r="C377" s="49"/>
      <c r="D377" s="49"/>
      <c r="E377" s="50">
        <v>37264</v>
      </c>
      <c r="F377" s="49" t="s">
        <v>42</v>
      </c>
      <c r="G377" s="49" t="s">
        <v>34</v>
      </c>
      <c r="H377" s="51">
        <v>5.0999999999999996</v>
      </c>
      <c r="I377" s="51">
        <v>128</v>
      </c>
      <c r="J377" s="51">
        <v>0</v>
      </c>
      <c r="K377" s="51">
        <v>0</v>
      </c>
      <c r="L377" s="51">
        <v>128</v>
      </c>
      <c r="M377" s="51">
        <v>5.0999999999999996</v>
      </c>
      <c r="N377" s="51">
        <v>5.0999999999999996</v>
      </c>
      <c r="O377" s="52">
        <v>0</v>
      </c>
      <c r="P377" s="51">
        <v>0</v>
      </c>
      <c r="Q377" s="51">
        <v>0</v>
      </c>
      <c r="R377" s="51" t="s">
        <v>610</v>
      </c>
      <c r="S377" s="51" t="s">
        <v>610</v>
      </c>
      <c r="T377" s="51" t="s">
        <v>735</v>
      </c>
      <c r="U377" s="51">
        <v>0</v>
      </c>
      <c r="V377" s="51" t="s">
        <v>665</v>
      </c>
      <c r="W377" s="51"/>
      <c r="X377" s="51"/>
      <c r="Y377" s="30" t="s">
        <v>440</v>
      </c>
      <c r="Z377" s="30">
        <v>26</v>
      </c>
      <c r="AA377" s="7" t="s">
        <v>829</v>
      </c>
      <c r="AB377" s="7"/>
    </row>
    <row r="378" spans="1:28" ht="15" x14ac:dyDescent="0.25">
      <c r="A378" s="48">
        <v>26217134576</v>
      </c>
      <c r="B378" s="49" t="s">
        <v>365</v>
      </c>
      <c r="C378" s="49"/>
      <c r="D378" s="49"/>
      <c r="E378" s="50">
        <v>37259</v>
      </c>
      <c r="F378" s="49" t="s">
        <v>42</v>
      </c>
      <c r="G378" s="49" t="s">
        <v>34</v>
      </c>
      <c r="H378" s="51">
        <v>5.5</v>
      </c>
      <c r="I378" s="51">
        <v>128</v>
      </c>
      <c r="J378" s="51">
        <v>0</v>
      </c>
      <c r="K378" s="51">
        <v>0</v>
      </c>
      <c r="L378" s="51">
        <v>128</v>
      </c>
      <c r="M378" s="51">
        <v>5.5</v>
      </c>
      <c r="N378" s="51">
        <v>5.5</v>
      </c>
      <c r="O378" s="52">
        <v>0</v>
      </c>
      <c r="P378" s="51">
        <v>0</v>
      </c>
      <c r="Q378" s="51">
        <v>0</v>
      </c>
      <c r="R378" s="51" t="s">
        <v>610</v>
      </c>
      <c r="S378" s="51" t="s">
        <v>610</v>
      </c>
      <c r="T378" s="51" t="s">
        <v>735</v>
      </c>
      <c r="U378" s="51">
        <v>0</v>
      </c>
      <c r="V378" s="51" t="s">
        <v>665</v>
      </c>
      <c r="W378" s="51">
        <v>7.7</v>
      </c>
      <c r="X378" s="51"/>
      <c r="Y378" s="30" t="s">
        <v>440</v>
      </c>
      <c r="Z378" s="30">
        <v>26</v>
      </c>
      <c r="AA378" s="7" t="s">
        <v>829</v>
      </c>
      <c r="AB378" s="7"/>
    </row>
    <row r="379" spans="1:28" ht="15" x14ac:dyDescent="0.25">
      <c r="A379" s="48">
        <v>26212932260</v>
      </c>
      <c r="B379" s="49" t="s">
        <v>417</v>
      </c>
      <c r="C379" s="49"/>
      <c r="D379" s="49"/>
      <c r="E379" s="50">
        <v>37609</v>
      </c>
      <c r="F379" s="49" t="s">
        <v>42</v>
      </c>
      <c r="G379" s="49" t="s">
        <v>34</v>
      </c>
      <c r="H379" s="51">
        <v>5.7</v>
      </c>
      <c r="I379" s="51">
        <v>125</v>
      </c>
      <c r="J379" s="51">
        <v>3</v>
      </c>
      <c r="K379" s="51">
        <v>0</v>
      </c>
      <c r="L379" s="51">
        <v>128</v>
      </c>
      <c r="M379" s="51">
        <v>5.7</v>
      </c>
      <c r="N379" s="51">
        <v>5.7</v>
      </c>
      <c r="O379" s="52">
        <v>2.3E-2</v>
      </c>
      <c r="P379" s="51">
        <v>0</v>
      </c>
      <c r="Q379" s="51" t="s">
        <v>610</v>
      </c>
      <c r="R379" s="51" t="s">
        <v>610</v>
      </c>
      <c r="S379" s="51" t="s">
        <v>610</v>
      </c>
      <c r="T379" s="51" t="s">
        <v>735</v>
      </c>
      <c r="U379" s="51">
        <v>0</v>
      </c>
      <c r="V379" s="51" t="s">
        <v>665</v>
      </c>
      <c r="W379" s="51"/>
      <c r="X379" s="30" t="s">
        <v>23</v>
      </c>
      <c r="Y379" s="30" t="s">
        <v>440</v>
      </c>
      <c r="Z379" s="30">
        <v>26</v>
      </c>
      <c r="AA379" s="7" t="e">
        <v>#N/A</v>
      </c>
      <c r="AB379" s="7"/>
    </row>
    <row r="380" spans="1:28" ht="15" x14ac:dyDescent="0.25">
      <c r="A380" s="48">
        <v>26217142007</v>
      </c>
      <c r="B380" s="49" t="s">
        <v>420</v>
      </c>
      <c r="C380" s="49"/>
      <c r="D380" s="49"/>
      <c r="E380" s="50">
        <v>37417</v>
      </c>
      <c r="F380" s="49" t="s">
        <v>42</v>
      </c>
      <c r="G380" s="49" t="s">
        <v>34</v>
      </c>
      <c r="H380" s="51">
        <v>6.4</v>
      </c>
      <c r="I380" s="51">
        <v>128</v>
      </c>
      <c r="J380" s="51">
        <v>0</v>
      </c>
      <c r="K380" s="51">
        <v>0</v>
      </c>
      <c r="L380" s="51">
        <v>128</v>
      </c>
      <c r="M380" s="51">
        <v>6.4</v>
      </c>
      <c r="N380" s="51">
        <v>6.4</v>
      </c>
      <c r="O380" s="52">
        <v>0</v>
      </c>
      <c r="P380" s="51">
        <v>0</v>
      </c>
      <c r="Q380" s="51" t="s">
        <v>610</v>
      </c>
      <c r="R380" s="51" t="s">
        <v>610</v>
      </c>
      <c r="S380" s="51" t="s">
        <v>610</v>
      </c>
      <c r="T380" s="51" t="s">
        <v>735</v>
      </c>
      <c r="U380" s="51">
        <v>0</v>
      </c>
      <c r="V380" s="51" t="s">
        <v>665</v>
      </c>
      <c r="W380" s="51">
        <v>9.4</v>
      </c>
      <c r="X380" s="51"/>
      <c r="Y380" s="30" t="s">
        <v>440</v>
      </c>
      <c r="Z380" s="30">
        <v>26</v>
      </c>
      <c r="AA380" s="7" t="s">
        <v>834</v>
      </c>
      <c r="AB380" s="7"/>
    </row>
    <row r="381" spans="1:28" ht="15" x14ac:dyDescent="0.25">
      <c r="A381" s="48">
        <v>24207105293</v>
      </c>
      <c r="B381" s="49" t="s">
        <v>288</v>
      </c>
      <c r="C381" s="49"/>
      <c r="D381" s="49"/>
      <c r="E381" s="50">
        <v>36810</v>
      </c>
      <c r="F381" s="49" t="s">
        <v>20</v>
      </c>
      <c r="G381" s="49" t="s">
        <v>244</v>
      </c>
      <c r="H381" s="51"/>
      <c r="I381" s="51"/>
      <c r="J381" s="51"/>
      <c r="K381" s="51"/>
      <c r="L381" s="51"/>
      <c r="M381" s="51"/>
      <c r="N381" s="51"/>
      <c r="O381" s="51"/>
      <c r="P381" s="51"/>
      <c r="Q381" s="51"/>
      <c r="R381" s="51"/>
      <c r="S381" s="51"/>
      <c r="T381" s="51"/>
      <c r="U381" s="51">
        <v>0</v>
      </c>
      <c r="V381" s="51" t="s">
        <v>665</v>
      </c>
      <c r="W381" s="51"/>
      <c r="X381" s="51"/>
      <c r="Y381" s="30" t="s">
        <v>493</v>
      </c>
      <c r="Z381" s="30">
        <v>24</v>
      </c>
      <c r="AA381" s="7" t="s">
        <v>858</v>
      </c>
      <c r="AB381" s="7"/>
    </row>
    <row r="382" spans="1:28" ht="15" x14ac:dyDescent="0.25">
      <c r="A382" s="48">
        <v>24212102088</v>
      </c>
      <c r="B382" s="49" t="s">
        <v>390</v>
      </c>
      <c r="C382" s="49"/>
      <c r="D382" s="49"/>
      <c r="E382" s="50">
        <v>36817</v>
      </c>
      <c r="F382" s="49" t="s">
        <v>20</v>
      </c>
      <c r="G382" s="49" t="s">
        <v>43</v>
      </c>
      <c r="H382" s="51"/>
      <c r="I382" s="51"/>
      <c r="J382" s="51"/>
      <c r="K382" s="51"/>
      <c r="L382" s="51"/>
      <c r="M382" s="51"/>
      <c r="N382" s="51"/>
      <c r="O382" s="51"/>
      <c r="P382" s="51"/>
      <c r="Q382" s="51"/>
      <c r="R382" s="51"/>
      <c r="S382" s="51"/>
      <c r="T382" s="51"/>
      <c r="U382" s="51">
        <v>0</v>
      </c>
      <c r="V382" s="51" t="s">
        <v>665</v>
      </c>
      <c r="W382" s="51"/>
      <c r="X382" s="51"/>
      <c r="Y382" s="30" t="s">
        <v>493</v>
      </c>
      <c r="Z382" s="30">
        <v>25</v>
      </c>
      <c r="AA382" s="7" t="s">
        <v>836</v>
      </c>
      <c r="AB382" s="7"/>
    </row>
    <row r="383" spans="1:28" ht="15" x14ac:dyDescent="0.25">
      <c r="A383" s="48">
        <v>24207107852</v>
      </c>
      <c r="B383" s="49" t="s">
        <v>242</v>
      </c>
      <c r="C383" s="49"/>
      <c r="D383" s="49"/>
      <c r="E383" s="50">
        <v>36801</v>
      </c>
      <c r="F383" s="49" t="s">
        <v>42</v>
      </c>
      <c r="G383" s="49" t="s">
        <v>244</v>
      </c>
      <c r="H383" s="51"/>
      <c r="I383" s="51"/>
      <c r="J383" s="51"/>
      <c r="K383" s="51"/>
      <c r="L383" s="51"/>
      <c r="M383" s="51"/>
      <c r="N383" s="51"/>
      <c r="O383" s="51"/>
      <c r="P383" s="51"/>
      <c r="Q383" s="51"/>
      <c r="R383" s="51"/>
      <c r="S383" s="51"/>
      <c r="T383" s="51"/>
      <c r="U383" s="51">
        <v>0</v>
      </c>
      <c r="V383" s="51" t="s">
        <v>665</v>
      </c>
      <c r="W383" s="51"/>
      <c r="X383" s="51"/>
      <c r="Y383" s="30" t="s">
        <v>440</v>
      </c>
      <c r="Z383" s="30">
        <v>24</v>
      </c>
      <c r="AA383" s="7" t="s">
        <v>829</v>
      </c>
      <c r="AB383" s="7"/>
    </row>
    <row r="384" spans="1:28" ht="15" x14ac:dyDescent="0.25">
      <c r="A384" s="48">
        <v>24207201291</v>
      </c>
      <c r="B384" s="49" t="s">
        <v>330</v>
      </c>
      <c r="C384" s="49"/>
      <c r="D384" s="49"/>
      <c r="E384" s="50">
        <v>36715</v>
      </c>
      <c r="F384" s="49" t="s">
        <v>73</v>
      </c>
      <c r="G384" s="49" t="s">
        <v>244</v>
      </c>
      <c r="H384" s="51"/>
      <c r="I384" s="51"/>
      <c r="J384" s="51"/>
      <c r="K384" s="51"/>
      <c r="L384" s="51"/>
      <c r="M384" s="51"/>
      <c r="N384" s="51"/>
      <c r="O384" s="51"/>
      <c r="P384" s="51"/>
      <c r="Q384" s="51"/>
      <c r="R384" s="51"/>
      <c r="S384" s="51"/>
      <c r="T384" s="51"/>
      <c r="U384" s="51">
        <v>0</v>
      </c>
      <c r="V384" s="51" t="s">
        <v>792</v>
      </c>
      <c r="W384" s="51"/>
      <c r="X384" s="51"/>
      <c r="Y384" s="30" t="s">
        <v>487</v>
      </c>
      <c r="Z384" s="30">
        <v>24</v>
      </c>
      <c r="AA384" s="7" t="e">
        <v>#N/A</v>
      </c>
      <c r="AB384" s="7"/>
    </row>
    <row r="385" spans="1:28" ht="15" x14ac:dyDescent="0.25">
      <c r="A385" s="48">
        <v>25217108239</v>
      </c>
      <c r="B385" s="49" t="s">
        <v>802</v>
      </c>
      <c r="C385" s="49"/>
      <c r="D385" s="49"/>
      <c r="E385" s="50">
        <v>37126</v>
      </c>
      <c r="F385" s="49" t="s">
        <v>20</v>
      </c>
      <c r="G385" s="49" t="s">
        <v>43</v>
      </c>
      <c r="H385" s="51">
        <v>7.8</v>
      </c>
      <c r="I385" s="51">
        <v>126</v>
      </c>
      <c r="J385" s="51">
        <v>2</v>
      </c>
      <c r="K385" s="51">
        <v>3</v>
      </c>
      <c r="L385" s="51">
        <v>125</v>
      </c>
      <c r="M385" s="51">
        <v>6.56</v>
      </c>
      <c r="N385" s="51">
        <v>2.57</v>
      </c>
      <c r="O385" s="52">
        <v>1.6E-2</v>
      </c>
      <c r="P385" s="51">
        <v>0</v>
      </c>
      <c r="Q385" s="51" t="s">
        <v>610</v>
      </c>
      <c r="R385" s="51" t="s">
        <v>610</v>
      </c>
      <c r="S385" s="51" t="s">
        <v>610</v>
      </c>
      <c r="T385" s="51" t="s">
        <v>735</v>
      </c>
      <c r="U385" s="51">
        <v>0</v>
      </c>
      <c r="V385" s="51" t="s">
        <v>665</v>
      </c>
      <c r="W385" s="51"/>
      <c r="X385" s="51"/>
      <c r="Y385" s="30" t="s">
        <v>493</v>
      </c>
      <c r="Z385" s="30">
        <v>25</v>
      </c>
      <c r="AA385" s="7" t="e">
        <v>#N/A</v>
      </c>
      <c r="AB385" s="7"/>
    </row>
    <row r="386" spans="1:28" ht="15" x14ac:dyDescent="0.25">
      <c r="A386" s="48">
        <v>25217110499</v>
      </c>
      <c r="B386" s="49" t="s">
        <v>803</v>
      </c>
      <c r="C386" s="49"/>
      <c r="D386" s="49"/>
      <c r="E386" s="50">
        <v>37123</v>
      </c>
      <c r="F386" s="49" t="s">
        <v>20</v>
      </c>
      <c r="G386" s="49" t="s">
        <v>43</v>
      </c>
      <c r="H386" s="51">
        <v>6.1</v>
      </c>
      <c r="I386" s="51">
        <v>131</v>
      </c>
      <c r="J386" s="51">
        <v>0</v>
      </c>
      <c r="K386" s="51">
        <v>0</v>
      </c>
      <c r="L386" s="51">
        <v>131</v>
      </c>
      <c r="M386" s="51">
        <v>6.92</v>
      </c>
      <c r="N386" s="51">
        <v>2.82</v>
      </c>
      <c r="O386" s="52">
        <v>0</v>
      </c>
      <c r="P386" s="51" t="s">
        <v>610</v>
      </c>
      <c r="Q386" s="51" t="s">
        <v>610</v>
      </c>
      <c r="R386" s="51" t="s">
        <v>610</v>
      </c>
      <c r="S386" s="51" t="s">
        <v>610</v>
      </c>
      <c r="T386" s="51" t="s">
        <v>735</v>
      </c>
      <c r="U386" s="51">
        <v>0</v>
      </c>
      <c r="V386" s="51" t="s">
        <v>665</v>
      </c>
      <c r="W386" s="51"/>
      <c r="X386" s="51"/>
      <c r="Y386" s="30" t="s">
        <v>493</v>
      </c>
      <c r="Z386" s="30">
        <v>25</v>
      </c>
      <c r="AA386" s="7" t="s">
        <v>811</v>
      </c>
      <c r="AB386" s="7"/>
    </row>
    <row r="387" spans="1:28" ht="15" x14ac:dyDescent="0.25">
      <c r="A387" s="48">
        <v>25217202931</v>
      </c>
      <c r="B387" s="49" t="s">
        <v>334</v>
      </c>
      <c r="C387" s="49"/>
      <c r="D387" s="49"/>
      <c r="E387" s="50">
        <v>36559</v>
      </c>
      <c r="F387" s="49" t="s">
        <v>20</v>
      </c>
      <c r="G387" s="49" t="s">
        <v>43</v>
      </c>
      <c r="H387" s="51">
        <v>6.3</v>
      </c>
      <c r="I387" s="51">
        <v>129</v>
      </c>
      <c r="J387" s="51">
        <v>0</v>
      </c>
      <c r="K387" s="51">
        <v>0</v>
      </c>
      <c r="L387" s="51">
        <v>129</v>
      </c>
      <c r="M387" s="51">
        <v>6.03</v>
      </c>
      <c r="N387" s="51">
        <v>2.25</v>
      </c>
      <c r="O387" s="52">
        <v>0</v>
      </c>
      <c r="P387" s="51">
        <v>0</v>
      </c>
      <c r="Q387" s="51" t="s">
        <v>610</v>
      </c>
      <c r="R387" s="51" t="s">
        <v>610</v>
      </c>
      <c r="S387" s="51" t="s">
        <v>610</v>
      </c>
      <c r="T387" s="51" t="s">
        <v>741</v>
      </c>
      <c r="U387" s="51">
        <v>0</v>
      </c>
      <c r="V387" s="51" t="s">
        <v>665</v>
      </c>
      <c r="W387" s="51"/>
      <c r="X387" s="51"/>
      <c r="Y387" s="30" t="s">
        <v>493</v>
      </c>
      <c r="Z387" s="30">
        <v>25</v>
      </c>
      <c r="AA387" s="7" t="s">
        <v>859</v>
      </c>
      <c r="AB387" s="7"/>
    </row>
    <row r="388" spans="1:28" ht="15" x14ac:dyDescent="0.25">
      <c r="A388" s="48">
        <v>25207203604</v>
      </c>
      <c r="B388" s="49" t="s">
        <v>340</v>
      </c>
      <c r="C388" s="49"/>
      <c r="D388" s="49"/>
      <c r="E388" s="50">
        <v>37068</v>
      </c>
      <c r="F388" s="49" t="s">
        <v>20</v>
      </c>
      <c r="G388" s="49" t="s">
        <v>43</v>
      </c>
      <c r="H388" s="51">
        <v>6</v>
      </c>
      <c r="I388" s="51">
        <v>126</v>
      </c>
      <c r="J388" s="51">
        <v>3</v>
      </c>
      <c r="K388" s="51">
        <v>0</v>
      </c>
      <c r="L388" s="51">
        <v>129</v>
      </c>
      <c r="M388" s="51">
        <v>6.71</v>
      </c>
      <c r="N388" s="51">
        <v>2.73</v>
      </c>
      <c r="O388" s="52">
        <v>2.3E-2</v>
      </c>
      <c r="P388" s="51">
        <v>0</v>
      </c>
      <c r="Q388" s="51">
        <v>0</v>
      </c>
      <c r="R388" s="51" t="s">
        <v>610</v>
      </c>
      <c r="S388" s="51" t="s">
        <v>610</v>
      </c>
      <c r="T388" s="51" t="s">
        <v>741</v>
      </c>
      <c r="U388" s="51">
        <v>3</v>
      </c>
      <c r="V388" s="51" t="s">
        <v>665</v>
      </c>
      <c r="W388" s="51"/>
      <c r="X388" s="51"/>
      <c r="Y388" s="30" t="s">
        <v>493</v>
      </c>
      <c r="Z388" s="30">
        <v>25</v>
      </c>
      <c r="AA388" s="7" t="s">
        <v>816</v>
      </c>
      <c r="AB388" s="7"/>
    </row>
    <row r="389" spans="1:28" ht="15" x14ac:dyDescent="0.25">
      <c r="A389" s="48">
        <v>25207117065</v>
      </c>
      <c r="B389" s="49" t="s">
        <v>804</v>
      </c>
      <c r="C389" s="49"/>
      <c r="D389" s="49"/>
      <c r="E389" s="50">
        <v>37020</v>
      </c>
      <c r="F389" s="49" t="s">
        <v>20</v>
      </c>
      <c r="G389" s="49" t="s">
        <v>43</v>
      </c>
      <c r="H389" s="51">
        <v>8.1999999999999993</v>
      </c>
      <c r="I389" s="51">
        <v>131</v>
      </c>
      <c r="J389" s="51">
        <v>0</v>
      </c>
      <c r="K389" s="51">
        <v>0</v>
      </c>
      <c r="L389" s="51">
        <v>131</v>
      </c>
      <c r="M389" s="51">
        <v>7.61</v>
      </c>
      <c r="N389" s="51">
        <v>3.23</v>
      </c>
      <c r="O389" s="52">
        <v>0</v>
      </c>
      <c r="P389" s="51">
        <v>0</v>
      </c>
      <c r="Q389" s="51">
        <v>0</v>
      </c>
      <c r="R389" s="51" t="s">
        <v>610</v>
      </c>
      <c r="S389" s="51" t="s">
        <v>610</v>
      </c>
      <c r="T389" s="51" t="s">
        <v>795</v>
      </c>
      <c r="U389" s="51">
        <v>0</v>
      </c>
      <c r="V389" s="51" t="s">
        <v>665</v>
      </c>
      <c r="W389" s="51">
        <v>7.8</v>
      </c>
      <c r="X389" s="51"/>
      <c r="Y389" s="30" t="s">
        <v>493</v>
      </c>
      <c r="Z389" s="30">
        <v>25</v>
      </c>
      <c r="AA389" s="7" t="e">
        <v>#N/A</v>
      </c>
      <c r="AB389" s="7"/>
    </row>
    <row r="390" spans="1:28" ht="15" x14ac:dyDescent="0.25">
      <c r="A390" s="48">
        <v>24207102344</v>
      </c>
      <c r="B390" s="49" t="s">
        <v>380</v>
      </c>
      <c r="C390" s="49"/>
      <c r="D390" s="49"/>
      <c r="E390" s="50">
        <v>35873</v>
      </c>
      <c r="F390" s="49" t="s">
        <v>20</v>
      </c>
      <c r="G390" s="49" t="s">
        <v>43</v>
      </c>
      <c r="H390" s="51">
        <v>7</v>
      </c>
      <c r="I390" s="51">
        <v>126</v>
      </c>
      <c r="J390" s="51">
        <v>2</v>
      </c>
      <c r="K390" s="51">
        <v>4</v>
      </c>
      <c r="L390" s="51">
        <v>124</v>
      </c>
      <c r="M390" s="51">
        <v>7.19</v>
      </c>
      <c r="N390" s="51">
        <v>3.01</v>
      </c>
      <c r="O390" s="52">
        <v>1.6E-2</v>
      </c>
      <c r="P390" s="51" t="s">
        <v>610</v>
      </c>
      <c r="Q390" s="51">
        <v>0</v>
      </c>
      <c r="R390" s="51" t="s">
        <v>610</v>
      </c>
      <c r="S390" s="51" t="s">
        <v>610</v>
      </c>
      <c r="T390" s="51" t="s">
        <v>741</v>
      </c>
      <c r="U390" s="51">
        <v>0</v>
      </c>
      <c r="V390" s="51" t="s">
        <v>665</v>
      </c>
      <c r="W390" s="51">
        <v>6.7</v>
      </c>
      <c r="X390" s="51"/>
      <c r="Y390" s="30" t="s">
        <v>493</v>
      </c>
      <c r="Z390" s="30">
        <v>25</v>
      </c>
      <c r="AA390" s="7" t="s">
        <v>833</v>
      </c>
      <c r="AB390" s="7"/>
    </row>
    <row r="391" spans="1:28" ht="15" x14ac:dyDescent="0.25">
      <c r="A391" s="48">
        <v>25217203161</v>
      </c>
      <c r="B391" s="49" t="s">
        <v>397</v>
      </c>
      <c r="C391" s="49"/>
      <c r="D391" s="49"/>
      <c r="E391" s="50">
        <v>37034</v>
      </c>
      <c r="F391" s="49" t="s">
        <v>20</v>
      </c>
      <c r="G391" s="49" t="s">
        <v>43</v>
      </c>
      <c r="H391" s="51">
        <v>5.8</v>
      </c>
      <c r="I391" s="51">
        <v>128</v>
      </c>
      <c r="J391" s="51">
        <v>0</v>
      </c>
      <c r="K391" s="51">
        <v>3</v>
      </c>
      <c r="L391" s="51">
        <v>125</v>
      </c>
      <c r="M391" s="51">
        <v>7.62</v>
      </c>
      <c r="N391" s="51">
        <v>3.24</v>
      </c>
      <c r="O391" s="52">
        <v>0</v>
      </c>
      <c r="P391" s="51">
        <v>0</v>
      </c>
      <c r="Q391" s="51">
        <v>0</v>
      </c>
      <c r="R391" s="51" t="s">
        <v>610</v>
      </c>
      <c r="S391" s="51" t="s">
        <v>610</v>
      </c>
      <c r="T391" s="51" t="s">
        <v>735</v>
      </c>
      <c r="U391" s="51">
        <v>0</v>
      </c>
      <c r="V391" s="51" t="s">
        <v>665</v>
      </c>
      <c r="W391" s="51">
        <v>0</v>
      </c>
      <c r="X391" s="51"/>
      <c r="Y391" s="30" t="s">
        <v>493</v>
      </c>
      <c r="Z391" s="30">
        <v>25</v>
      </c>
      <c r="AA391" s="7" t="s">
        <v>811</v>
      </c>
      <c r="AB391" s="7"/>
    </row>
    <row r="392" spans="1:28" ht="15" x14ac:dyDescent="0.25">
      <c r="A392" s="48">
        <v>2321714451</v>
      </c>
      <c r="B392" s="49" t="s">
        <v>415</v>
      </c>
      <c r="C392" s="49"/>
      <c r="D392" s="49"/>
      <c r="E392" s="50">
        <v>36301</v>
      </c>
      <c r="F392" s="49" t="s">
        <v>20</v>
      </c>
      <c r="G392" s="49" t="s">
        <v>43</v>
      </c>
      <c r="H392" s="51" t="e">
        <v>#N/A</v>
      </c>
      <c r="I392" s="51" t="e">
        <v>#N/A</v>
      </c>
      <c r="J392" s="51" t="e">
        <v>#N/A</v>
      </c>
      <c r="K392" s="51" t="e">
        <v>#N/A</v>
      </c>
      <c r="L392" s="51" t="e">
        <v>#N/A</v>
      </c>
      <c r="M392" s="51" t="e">
        <v>#N/A</v>
      </c>
      <c r="N392" s="51" t="e">
        <v>#N/A</v>
      </c>
      <c r="O392" s="51" t="e">
        <v>#N/A</v>
      </c>
      <c r="P392" s="51" t="e">
        <v>#N/A</v>
      </c>
      <c r="Q392" s="51" t="e">
        <v>#N/A</v>
      </c>
      <c r="R392" s="51" t="e">
        <v>#N/A</v>
      </c>
      <c r="S392" s="51" t="e">
        <v>#N/A</v>
      </c>
      <c r="T392" s="51" t="e">
        <v>#N/A</v>
      </c>
      <c r="U392" s="51">
        <v>0</v>
      </c>
      <c r="V392" s="51" t="e">
        <v>#N/A</v>
      </c>
      <c r="W392" s="51" t="e">
        <v>#N/A</v>
      </c>
      <c r="X392" s="51"/>
      <c r="Y392" s="30" t="s">
        <v>493</v>
      </c>
      <c r="Z392" s="30">
        <v>25</v>
      </c>
      <c r="AA392" s="7" t="s">
        <v>837</v>
      </c>
      <c r="AB392" s="7"/>
    </row>
    <row r="393" spans="1:28" ht="15" x14ac:dyDescent="0.25">
      <c r="A393" s="48">
        <v>25217104606</v>
      </c>
      <c r="B393" s="49" t="s">
        <v>309</v>
      </c>
      <c r="C393" s="49"/>
      <c r="D393" s="49"/>
      <c r="E393" s="50">
        <v>37249</v>
      </c>
      <c r="F393" s="49" t="s">
        <v>42</v>
      </c>
      <c r="G393" s="49" t="s">
        <v>43</v>
      </c>
      <c r="H393" s="51">
        <v>6</v>
      </c>
      <c r="I393" s="51">
        <v>136</v>
      </c>
      <c r="J393" s="51">
        <v>0</v>
      </c>
      <c r="K393" s="51">
        <v>3</v>
      </c>
      <c r="L393" s="51">
        <v>133</v>
      </c>
      <c r="M393" s="51">
        <v>6.72</v>
      </c>
      <c r="N393" s="51">
        <v>2.69</v>
      </c>
      <c r="O393" s="51">
        <v>0</v>
      </c>
      <c r="P393" s="51">
        <v>0</v>
      </c>
      <c r="Q393" s="51" t="s">
        <v>610</v>
      </c>
      <c r="R393" s="51" t="s">
        <v>610</v>
      </c>
      <c r="S393" s="51" t="s">
        <v>610</v>
      </c>
      <c r="T393" s="51" t="s">
        <v>741</v>
      </c>
      <c r="U393" s="51">
        <v>0</v>
      </c>
      <c r="V393" s="51" t="s">
        <v>665</v>
      </c>
      <c r="W393" s="51"/>
      <c r="X393" s="51"/>
      <c r="Y393" s="30" t="s">
        <v>440</v>
      </c>
      <c r="Z393" s="30">
        <v>25</v>
      </c>
      <c r="AA393" s="7" t="s">
        <v>860</v>
      </c>
      <c r="AB393" s="7"/>
    </row>
    <row r="394" spans="1:28" ht="15" x14ac:dyDescent="0.25">
      <c r="A394" s="48">
        <v>25217204586</v>
      </c>
      <c r="B394" s="49" t="s">
        <v>317</v>
      </c>
      <c r="C394" s="49"/>
      <c r="D394" s="49"/>
      <c r="E394" s="50">
        <v>37166</v>
      </c>
      <c r="F394" s="49" t="s">
        <v>42</v>
      </c>
      <c r="G394" s="49" t="s">
        <v>43</v>
      </c>
      <c r="H394" s="51">
        <v>5.9</v>
      </c>
      <c r="I394" s="51">
        <v>137</v>
      </c>
      <c r="J394" s="51">
        <v>0</v>
      </c>
      <c r="K394" s="51">
        <v>0</v>
      </c>
      <c r="L394" s="51">
        <v>137</v>
      </c>
      <c r="M394" s="51">
        <v>6.47</v>
      </c>
      <c r="N394" s="51">
        <v>2.5099999999999998</v>
      </c>
      <c r="O394" s="51">
        <v>0</v>
      </c>
      <c r="P394" s="51">
        <v>0</v>
      </c>
      <c r="Q394" s="51" t="s">
        <v>610</v>
      </c>
      <c r="R394" s="51" t="s">
        <v>610</v>
      </c>
      <c r="S394" s="51" t="s">
        <v>610</v>
      </c>
      <c r="T394" s="51" t="s">
        <v>795</v>
      </c>
      <c r="U394" s="51">
        <v>0</v>
      </c>
      <c r="V394" s="51" t="s">
        <v>665</v>
      </c>
      <c r="W394" s="51"/>
      <c r="X394" s="51"/>
      <c r="Y394" s="30" t="s">
        <v>440</v>
      </c>
      <c r="Z394" s="30">
        <v>25</v>
      </c>
      <c r="AA394" s="7" t="s">
        <v>860</v>
      </c>
      <c r="AB394" s="7"/>
    </row>
    <row r="395" spans="1:28" ht="15" x14ac:dyDescent="0.25">
      <c r="A395" s="48">
        <v>25217104376</v>
      </c>
      <c r="B395" s="49" t="s">
        <v>338</v>
      </c>
      <c r="C395" s="49"/>
      <c r="D395" s="49"/>
      <c r="E395" s="50">
        <v>37152</v>
      </c>
      <c r="F395" s="49" t="s">
        <v>42</v>
      </c>
      <c r="G395" s="49" t="s">
        <v>43</v>
      </c>
      <c r="H395" s="51">
        <v>5.3</v>
      </c>
      <c r="I395" s="51">
        <v>137</v>
      </c>
      <c r="J395" s="51">
        <v>0</v>
      </c>
      <c r="K395" s="51">
        <v>0</v>
      </c>
      <c r="L395" s="51">
        <v>137</v>
      </c>
      <c r="M395" s="51">
        <v>8.19</v>
      </c>
      <c r="N395" s="51">
        <v>3.54</v>
      </c>
      <c r="O395" s="51">
        <v>0</v>
      </c>
      <c r="P395" s="51" t="s">
        <v>610</v>
      </c>
      <c r="Q395" s="51" t="s">
        <v>610</v>
      </c>
      <c r="R395" s="51" t="s">
        <v>610</v>
      </c>
      <c r="S395" s="51" t="s">
        <v>610</v>
      </c>
      <c r="T395" s="51" t="s">
        <v>735</v>
      </c>
      <c r="U395" s="51">
        <v>0</v>
      </c>
      <c r="V395" s="51" t="s">
        <v>665</v>
      </c>
      <c r="W395" s="51">
        <v>7.2</v>
      </c>
      <c r="X395" s="51"/>
      <c r="Y395" s="30" t="s">
        <v>440</v>
      </c>
      <c r="Z395" s="30">
        <v>25</v>
      </c>
      <c r="AA395" s="7" t="e">
        <v>#N/A</v>
      </c>
      <c r="AB395" s="7"/>
    </row>
    <row r="396" spans="1:28" ht="15" x14ac:dyDescent="0.25">
      <c r="A396" s="48">
        <v>25217103085</v>
      </c>
      <c r="B396" s="49" t="s">
        <v>352</v>
      </c>
      <c r="C396" s="49"/>
      <c r="D396" s="49"/>
      <c r="E396" s="50">
        <v>36961</v>
      </c>
      <c r="F396" s="49" t="s">
        <v>42</v>
      </c>
      <c r="G396" s="49" t="s">
        <v>43</v>
      </c>
      <c r="H396" s="51">
        <v>5.7</v>
      </c>
      <c r="I396" s="51">
        <v>137</v>
      </c>
      <c r="J396" s="51">
        <v>0</v>
      </c>
      <c r="K396" s="51">
        <v>7</v>
      </c>
      <c r="L396" s="51">
        <v>130</v>
      </c>
      <c r="M396" s="51">
        <v>6</v>
      </c>
      <c r="N396" s="51">
        <v>2.2400000000000002</v>
      </c>
      <c r="O396" s="51">
        <v>0</v>
      </c>
      <c r="P396" s="51">
        <v>0</v>
      </c>
      <c r="Q396" s="51">
        <v>0</v>
      </c>
      <c r="R396" s="51" t="s">
        <v>610</v>
      </c>
      <c r="S396" s="51" t="s">
        <v>610</v>
      </c>
      <c r="T396" s="51" t="s">
        <v>741</v>
      </c>
      <c r="U396" s="51">
        <v>0</v>
      </c>
      <c r="V396" s="51" t="s">
        <v>665</v>
      </c>
      <c r="W396" s="51">
        <v>6.9</v>
      </c>
      <c r="X396" s="51"/>
      <c r="Y396" s="30" t="s">
        <v>440</v>
      </c>
      <c r="Z396" s="30">
        <v>25</v>
      </c>
      <c r="AA396" s="7" t="s">
        <v>818</v>
      </c>
      <c r="AB396" s="7"/>
    </row>
    <row r="397" spans="1:28" ht="15" x14ac:dyDescent="0.25">
      <c r="A397" s="48">
        <v>25217107474</v>
      </c>
      <c r="B397" s="49" t="s">
        <v>356</v>
      </c>
      <c r="C397" s="49"/>
      <c r="D397" s="49"/>
      <c r="E397" s="50">
        <v>37122</v>
      </c>
      <c r="F397" s="49" t="s">
        <v>42</v>
      </c>
      <c r="G397" s="49" t="s">
        <v>43</v>
      </c>
      <c r="H397" s="51">
        <v>6.5</v>
      </c>
      <c r="I397" s="51">
        <v>137</v>
      </c>
      <c r="J397" s="51">
        <v>0</v>
      </c>
      <c r="K397" s="51">
        <v>0</v>
      </c>
      <c r="L397" s="51">
        <v>137</v>
      </c>
      <c r="M397" s="51">
        <v>6.52</v>
      </c>
      <c r="N397" s="51">
        <v>2.5299999999999998</v>
      </c>
      <c r="O397" s="51">
        <v>0</v>
      </c>
      <c r="P397" s="51">
        <v>0</v>
      </c>
      <c r="Q397" s="51">
        <v>0</v>
      </c>
      <c r="R397" s="51" t="s">
        <v>610</v>
      </c>
      <c r="S397" s="51" t="s">
        <v>610</v>
      </c>
      <c r="T397" s="51" t="s">
        <v>741</v>
      </c>
      <c r="U397" s="51">
        <v>0</v>
      </c>
      <c r="V397" s="51" t="s">
        <v>665</v>
      </c>
      <c r="W397" s="51"/>
      <c r="X397" s="51"/>
      <c r="Y397" s="30" t="s">
        <v>440</v>
      </c>
      <c r="Z397" s="30">
        <v>25</v>
      </c>
      <c r="AA397" s="7" t="s">
        <v>861</v>
      </c>
      <c r="AB397" s="7"/>
    </row>
    <row r="398" spans="1:28" ht="15" x14ac:dyDescent="0.25">
      <c r="A398" s="48">
        <v>24207108486</v>
      </c>
      <c r="B398" s="49" t="s">
        <v>362</v>
      </c>
      <c r="C398" s="49"/>
      <c r="D398" s="49"/>
      <c r="E398" s="50">
        <v>36627</v>
      </c>
      <c r="F398" s="49" t="s">
        <v>42</v>
      </c>
      <c r="G398" s="49" t="s">
        <v>43</v>
      </c>
      <c r="H398" s="51">
        <v>7.3</v>
      </c>
      <c r="I398" s="51">
        <v>137</v>
      </c>
      <c r="J398" s="51">
        <v>0</v>
      </c>
      <c r="K398" s="51">
        <v>0</v>
      </c>
      <c r="L398" s="51">
        <v>137</v>
      </c>
      <c r="M398" s="51">
        <v>6.55</v>
      </c>
      <c r="N398" s="51">
        <v>2.57</v>
      </c>
      <c r="O398" s="51">
        <v>0</v>
      </c>
      <c r="P398" s="51">
        <v>0</v>
      </c>
      <c r="Q398" s="51">
        <v>0</v>
      </c>
      <c r="R398" s="51" t="s">
        <v>610</v>
      </c>
      <c r="S398" s="51" t="s">
        <v>610</v>
      </c>
      <c r="T398" s="51" t="s">
        <v>741</v>
      </c>
      <c r="U398" s="51">
        <v>0</v>
      </c>
      <c r="V398" s="51" t="s">
        <v>665</v>
      </c>
      <c r="W398" s="51"/>
      <c r="X398" s="51"/>
      <c r="Y398" s="30" t="s">
        <v>440</v>
      </c>
      <c r="Z398" s="30">
        <v>25</v>
      </c>
      <c r="AA398" s="7" t="s">
        <v>818</v>
      </c>
      <c r="AB398" s="7"/>
    </row>
  </sheetData>
  <autoFilter ref="A9:AD998" xr:uid="{00000000-0009-0000-0000-000003000000}"/>
  <mergeCells count="2">
    <mergeCell ref="A1:G4"/>
    <mergeCell ref="H3: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150"/>
  <sheetViews>
    <sheetView workbookViewId="0">
      <selection activeCell="B1" sqref="B1:B1048576"/>
    </sheetView>
  </sheetViews>
  <sheetFormatPr defaultColWidth="12.5703125" defaultRowHeight="15.75" customHeight="1" x14ac:dyDescent="0.2"/>
  <cols>
    <col min="2" max="2" width="34" bestFit="1" customWidth="1"/>
    <col min="3" max="3" width="21.5703125" bestFit="1" customWidth="1"/>
    <col min="4" max="4" width="31.28515625" bestFit="1" customWidth="1"/>
  </cols>
  <sheetData>
    <row r="1" spans="1:12" x14ac:dyDescent="0.2">
      <c r="A1" s="1" t="str">
        <f ca="1">IFERROR(__xludf.DUMMYFUNCTION("IMPORTRANGE(""https://docs.google.com/spreadsheets/d/1P039WQJPxK7cIr8MVQBI3WRRNWsc6AsxTpnxazGdtEE/edit?gid=1999326211#gid=1999326211"",""Form Responses 1!A:L"")"),"Timestamp")</f>
        <v>Timestamp</v>
      </c>
      <c r="B1" s="1"/>
      <c r="C1" s="1" t="str">
        <f ca="1">IFERROR(__xludf.DUMMYFUNCTION("""COMPUTED_VALUE"""),"Mã số sinh viên (đầy đủ)")</f>
        <v>Mã số sinh viên (đầy đủ)</v>
      </c>
      <c r="D1" s="1" t="str">
        <f ca="1">IFERROR(__xludf.DUMMYFUNCTION("""COMPUTED_VALUE"""),"Họ và tên")</f>
        <v>Họ và tên</v>
      </c>
      <c r="E1" s="1" t="str">
        <f ca="1">IFERROR(__xludf.DUMMYFUNCTION("""COMPUTED_VALUE"""),"Ngày sinh")</f>
        <v>Ngày sinh</v>
      </c>
      <c r="F1" s="1" t="str">
        <f ca="1">IFERROR(__xludf.DUMMYFUNCTION("""COMPUTED_VALUE"""),"Lớp (ví dụ: K25PSUDLK 1)")</f>
        <v>Lớp (ví dụ: K25PSUDLK 1)</v>
      </c>
      <c r="G1" s="1" t="str">
        <f ca="1">IFERROR(__xludf.DUMMYFUNCTION("""COMPUTED_VALUE"""),"Chuyên ngành")</f>
        <v>Chuyên ngành</v>
      </c>
      <c r="H1" s="1" t="str">
        <f ca="1">IFERROR(__xludf.DUMMYFUNCTION("""COMPUTED_VALUE"""),"Khóa ")</f>
        <v xml:space="preserve">Khóa </v>
      </c>
      <c r="I1" s="1"/>
      <c r="J1" s="1" t="str">
        <f ca="1">IFERROR(__xludf.DUMMYFUNCTION("""COMPUTED_VALUE"""),"Lý do sinh viên xin chuyển hình thức làm bài cho đợt thực tập 06/2025 từ Khóa luận sang Chuyên đề ")</f>
        <v xml:space="preserve">Lý do sinh viên xin chuyển hình thức làm bài cho đợt thực tập 06/2025 từ Khóa luận sang Chuyên đề </v>
      </c>
      <c r="K1" s="1" t="str">
        <f ca="1">IFERROR(__xludf.DUMMYFUNCTION("""COMPUTED_VALUE"""),"Em cam kết sẽ nộp đơn thay đổi hình thức tốt nghiệp cuối khóa trước ngày 12/02/2024")</f>
        <v>Em cam kết sẽ nộp đơn thay đổi hình thức tốt nghiệp cuối khóa trước ngày 12/02/2024</v>
      </c>
      <c r="L1" s="1" t="str">
        <f ca="1">IFERROR(__xludf.DUMMYFUNCTION("""COMPUTED_VALUE"""),"Đơn xin chuyển đổi hình thức")</f>
        <v>Đơn xin chuyển đổi hình thức</v>
      </c>
    </row>
    <row r="2" spans="1:12" x14ac:dyDescent="0.2">
      <c r="A2" s="6">
        <f ca="1">IFERROR(__xludf.DUMMYFUNCTION("""COMPUTED_VALUE"""),45698.8288394444)</f>
        <v>45698.828839444403</v>
      </c>
      <c r="B2" s="1"/>
      <c r="C2" s="1">
        <f ca="1">IFERROR(__xludf.DUMMYFUNCTION("""COMPUTED_VALUE"""),27207142127)</f>
        <v>27207142127</v>
      </c>
      <c r="D2" s="1" t="str">
        <f ca="1">IFERROR(__xludf.DUMMYFUNCTION("""COMPUTED_VALUE"""),"Huỳnh Thị Thanh Nhàn")</f>
        <v>Huỳnh Thị Thanh Nhàn</v>
      </c>
      <c r="E2" s="4">
        <f ca="1">IFERROR(__xludf.DUMMYFUNCTION("""COMPUTED_VALUE"""),37689)</f>
        <v>37689</v>
      </c>
      <c r="F2" s="1" t="str">
        <f ca="1">IFERROR(__xludf.DUMMYFUNCTION("""COMPUTED_VALUE"""),"K27PSUDLK1")</f>
        <v>K27PSUDLK1</v>
      </c>
      <c r="G2" s="1" t="str">
        <f ca="1">IFERROR(__xludf.DUMMYFUNCTION("""COMPUTED_VALUE"""),"Quản trị Du lịch &amp; Khách sạn chuẩn PSU")</f>
        <v>Quản trị Du lịch &amp; Khách sạn chuẩn PSU</v>
      </c>
      <c r="H2" s="1" t="str">
        <f ca="1">IFERROR(__xludf.DUMMYFUNCTION("""COMPUTED_VALUE"""),"K27")</f>
        <v>K27</v>
      </c>
      <c r="I2" s="1"/>
      <c r="J2" s="1" t="str">
        <f ca="1">IFERROR(__xludf.DUMMYFUNCTION("""COMPUTED_VALUE"""),"Nhận thấy bản thân phù hợp với làm Chuyên Đề")</f>
        <v>Nhận thấy bản thân phù hợp với làm Chuyên Đề</v>
      </c>
      <c r="K2" s="1" t="str">
        <f ca="1">IFERROR(__xludf.DUMMYFUNCTION("""COMPUTED_VALUE"""),"cam kết")</f>
        <v>cam kết</v>
      </c>
      <c r="L2" s="1"/>
    </row>
    <row r="3" spans="1:12" x14ac:dyDescent="0.2">
      <c r="A3" s="6">
        <f ca="1">IFERROR(__xludf.DUMMYFUNCTION("""COMPUTED_VALUE"""),45698.8310751157)</f>
        <v>45698.831075115697</v>
      </c>
      <c r="B3" s="1"/>
      <c r="C3" s="67">
        <v>27217126810</v>
      </c>
      <c r="D3" s="1" t="str">
        <f ca="1">IFERROR(__xludf.DUMMYFUNCTION("""COMPUTED_VALUE"""),"Nguyễn Văn Hưng")</f>
        <v>Nguyễn Văn Hưng</v>
      </c>
      <c r="E3" s="4">
        <f ca="1">IFERROR(__xludf.DUMMYFUNCTION("""COMPUTED_VALUE"""),37721)</f>
        <v>37721</v>
      </c>
      <c r="F3" s="1" t="str">
        <f ca="1">IFERROR(__xludf.DUMMYFUNCTION("""COMPUTED_VALUE"""),"K27DLK2")</f>
        <v>K27DLK2</v>
      </c>
      <c r="G3" s="1" t="str">
        <f ca="1">IFERROR(__xludf.DUMMYFUNCTION("""COMPUTED_VALUE"""),"Quản trị Du lịch &amp; Khách sạn")</f>
        <v>Quản trị Du lịch &amp; Khách sạn</v>
      </c>
      <c r="H3" s="1" t="str">
        <f ca="1">IFERROR(__xludf.DUMMYFUNCTION("""COMPUTED_VALUE"""),"K27")</f>
        <v>K27</v>
      </c>
      <c r="I3" s="1"/>
      <c r="J3" s="1" t="str">
        <f ca="1">IFERROR(__xludf.DUMMYFUNCTION("""COMPUTED_VALUE"""),"Em còn 4 tín chỉ học phần ạ")</f>
        <v>Em còn 4 tín chỉ học phần ạ</v>
      </c>
      <c r="K3" s="1" t="str">
        <f ca="1">IFERROR(__xludf.DUMMYFUNCTION("""COMPUTED_VALUE"""),"cam kết")</f>
        <v>cam kết</v>
      </c>
      <c r="L3" s="1" t="str">
        <f ca="1">IFERROR(__xludf.DUMMYFUNCTION("""COMPUTED_VALUE"""),"ĐÃ NỘP")</f>
        <v>ĐÃ NỘP</v>
      </c>
    </row>
    <row r="4" spans="1:12" x14ac:dyDescent="0.2">
      <c r="A4" s="6">
        <f ca="1">IFERROR(__xludf.DUMMYFUNCTION("""COMPUTED_VALUE"""),45698.8350046759)</f>
        <v>45698.835004675901</v>
      </c>
      <c r="B4" s="1"/>
      <c r="C4" s="1">
        <f ca="1">IFERROR(__xludf.DUMMYFUNCTION("""COMPUTED_VALUE"""),27217101593)</f>
        <v>27217101593</v>
      </c>
      <c r="D4" s="1" t="str">
        <f ca="1">IFERROR(__xludf.DUMMYFUNCTION("""COMPUTED_VALUE"""),"Nguyễn Huỳnh Thảo Nhi ")</f>
        <v xml:space="preserve">Nguyễn Huỳnh Thảo Nhi </v>
      </c>
      <c r="E4" s="4">
        <f ca="1">IFERROR(__xludf.DUMMYFUNCTION("""COMPUTED_VALUE"""),37699)</f>
        <v>37699</v>
      </c>
      <c r="F4" s="1" t="str">
        <f ca="1">IFERROR(__xludf.DUMMYFUNCTION("""COMPUTED_VALUE"""),"K27DLK 1")</f>
        <v>K27DLK 1</v>
      </c>
      <c r="G4" s="1" t="str">
        <f ca="1">IFERROR(__xludf.DUMMYFUNCTION("""COMPUTED_VALUE"""),"Quản trị Du lịch &amp; Khách sạn")</f>
        <v>Quản trị Du lịch &amp; Khách sạn</v>
      </c>
      <c r="H4" s="1" t="str">
        <f ca="1">IFERROR(__xludf.DUMMYFUNCTION("""COMPUTED_VALUE"""),"K27")</f>
        <v>K27</v>
      </c>
      <c r="I4" s="1"/>
      <c r="J4" s="1" t="str">
        <f ca="1">IFERROR(__xludf.DUMMYFUNCTION("""COMPUTED_VALUE"""),"Em cảm thấy mình không đủ khả năng để làm khoá luận và tình hình tài chính của nhà không đáp ứng được khả năng để em làm theo khoá luận ")</f>
        <v xml:space="preserve">Em cảm thấy mình không đủ khả năng để làm khoá luận và tình hình tài chính của nhà không đáp ứng được khả năng để em làm theo khoá luận </v>
      </c>
      <c r="K4" s="1" t="str">
        <f ca="1">IFERROR(__xludf.DUMMYFUNCTION("""COMPUTED_VALUE"""),"cam kết")</f>
        <v>cam kết</v>
      </c>
      <c r="L4" s="1" t="str">
        <f ca="1">IFERROR(__xludf.DUMMYFUNCTION("""COMPUTED_VALUE"""),"ĐÃ NỘP")</f>
        <v>ĐÃ NỘP</v>
      </c>
    </row>
    <row r="5" spans="1:12" x14ac:dyDescent="0.2">
      <c r="A5" s="6">
        <f ca="1">IFERROR(__xludf.DUMMYFUNCTION("""COMPUTED_VALUE"""),45698.8366772685)</f>
        <v>45698.836677268497</v>
      </c>
      <c r="B5" s="1"/>
      <c r="C5" s="1">
        <f ca="1">IFERROR(__xludf.DUMMYFUNCTION("""COMPUTED_VALUE"""),27207152986)</f>
        <v>27207152986</v>
      </c>
      <c r="D5" s="1" t="str">
        <f ca="1">IFERROR(__xludf.DUMMYFUNCTION("""COMPUTED_VALUE"""),"Ngô Thị Thanh Tâm ")</f>
        <v xml:space="preserve">Ngô Thị Thanh Tâm </v>
      </c>
      <c r="E5" s="4">
        <f ca="1">IFERROR(__xludf.DUMMYFUNCTION("""COMPUTED_VALUE"""),37899)</f>
        <v>37899</v>
      </c>
      <c r="F5" s="1" t="str">
        <f ca="1">IFERROR(__xludf.DUMMYFUNCTION("""COMPUTED_VALUE"""),"K27DLK6 ")</f>
        <v xml:space="preserve">K27DLK6 </v>
      </c>
      <c r="G5" s="1" t="str">
        <f ca="1">IFERROR(__xludf.DUMMYFUNCTION("""COMPUTED_VALUE"""),"Quản trị Du lịch &amp; Khách sạn")</f>
        <v>Quản trị Du lịch &amp; Khách sạn</v>
      </c>
      <c r="H5" s="1" t="str">
        <f ca="1">IFERROR(__xludf.DUMMYFUNCTION("""COMPUTED_VALUE"""),"K27")</f>
        <v>K27</v>
      </c>
      <c r="I5" s="1"/>
      <c r="J5" s="1" t="str">
        <f ca="1">IFERROR(__xludf.DUMMYFUNCTION("""COMPUTED_VALUE"""),"Gia đình em không đủ chi phí làm khoá luận ạ")</f>
        <v>Gia đình em không đủ chi phí làm khoá luận ạ</v>
      </c>
      <c r="K5" s="1" t="str">
        <f ca="1">IFERROR(__xludf.DUMMYFUNCTION("""COMPUTED_VALUE"""),"cam kết")</f>
        <v>cam kết</v>
      </c>
      <c r="L5" s="1" t="str">
        <f ca="1">IFERROR(__xludf.DUMMYFUNCTION("""COMPUTED_VALUE"""),"ĐÃ NỘP")</f>
        <v>ĐÃ NỘP</v>
      </c>
    </row>
    <row r="6" spans="1:12" x14ac:dyDescent="0.2">
      <c r="A6" s="6">
        <f ca="1">IFERROR(__xludf.DUMMYFUNCTION("""COMPUTED_VALUE"""),45698.83814228)</f>
        <v>45698.838142280001</v>
      </c>
      <c r="B6" s="1"/>
      <c r="C6" s="1">
        <f ca="1">IFERROR(__xludf.DUMMYFUNCTION("""COMPUTED_VALUE"""),27217102556)</f>
        <v>27217102556</v>
      </c>
      <c r="D6" s="1" t="str">
        <f ca="1">IFERROR(__xludf.DUMMYFUNCTION("""COMPUTED_VALUE"""),"Đặng Thu Phương")</f>
        <v>Đặng Thu Phương</v>
      </c>
      <c r="E6" s="4">
        <f ca="1">IFERROR(__xludf.DUMMYFUNCTION("""COMPUTED_VALUE"""),37652)</f>
        <v>37652</v>
      </c>
      <c r="F6" s="1" t="str">
        <f ca="1">IFERROR(__xludf.DUMMYFUNCTION("""COMPUTED_VALUE"""),"K27 DLK7")</f>
        <v>K27 DLK7</v>
      </c>
      <c r="G6" s="1" t="str">
        <f ca="1">IFERROR(__xludf.DUMMYFUNCTION("""COMPUTED_VALUE"""),"Quản trị Du lịch &amp; Khách sạn")</f>
        <v>Quản trị Du lịch &amp; Khách sạn</v>
      </c>
      <c r="H6" s="1" t="str">
        <f ca="1">IFERROR(__xludf.DUMMYFUNCTION("""COMPUTED_VALUE"""),"K27")</f>
        <v>K27</v>
      </c>
      <c r="I6" s="1"/>
      <c r="J6" s="1" t="str">
        <f ca="1">IFERROR(__xludf.DUMMYFUNCTION("""COMPUTED_VALUE"""),"Ít kinh nghiệm, không có đủ năng lực và thời gian ")</f>
        <v xml:space="preserve">Ít kinh nghiệm, không có đủ năng lực và thời gian </v>
      </c>
      <c r="K6" s="1" t="str">
        <f ca="1">IFERROR(__xludf.DUMMYFUNCTION("""COMPUTED_VALUE"""),"cam kết")</f>
        <v>cam kết</v>
      </c>
      <c r="L6" s="1" t="str">
        <f ca="1">IFERROR(__xludf.DUMMYFUNCTION("""COMPUTED_VALUE"""),"ĐÃ NỘP")</f>
        <v>ĐÃ NỘP</v>
      </c>
    </row>
    <row r="7" spans="1:12" x14ac:dyDescent="0.2">
      <c r="A7" s="6">
        <f ca="1">IFERROR(__xludf.DUMMYFUNCTION("""COMPUTED_VALUE"""),45698.8389468634)</f>
        <v>45698.838946863398</v>
      </c>
      <c r="B7" s="1"/>
      <c r="C7" s="1">
        <f ca="1">IFERROR(__xludf.DUMMYFUNCTION("""COMPUTED_VALUE"""),27207140430)</f>
        <v>27207140430</v>
      </c>
      <c r="D7" s="1" t="str">
        <f ca="1">IFERROR(__xludf.DUMMYFUNCTION("""COMPUTED_VALUE"""),"Vũ Bùi Hương Giang")</f>
        <v>Vũ Bùi Hương Giang</v>
      </c>
      <c r="E7" s="4">
        <f ca="1">IFERROR(__xludf.DUMMYFUNCTION("""COMPUTED_VALUE"""),37763)</f>
        <v>37763</v>
      </c>
      <c r="F7" s="1" t="str">
        <f ca="1">IFERROR(__xludf.DUMMYFUNCTION("""COMPUTED_VALUE"""),"K27PSUDLK2")</f>
        <v>K27PSUDLK2</v>
      </c>
      <c r="G7" s="1" t="str">
        <f ca="1">IFERROR(__xludf.DUMMYFUNCTION("""COMPUTED_VALUE"""),"Quản trị Du lịch &amp; Khách sạn chuẩn PSU")</f>
        <v>Quản trị Du lịch &amp; Khách sạn chuẩn PSU</v>
      </c>
      <c r="H7" s="1" t="str">
        <f ca="1">IFERROR(__xludf.DUMMYFUNCTION("""COMPUTED_VALUE"""),"K27")</f>
        <v>K27</v>
      </c>
      <c r="I7" s="1"/>
      <c r="J7" s="1" t="str">
        <f ca="1">IFERROR(__xludf.DUMMYFUNCTION("""COMPUTED_VALUE"""),"Em xin chuyển từ Khóa luận sang Chuyên đề vì lý do khối lượng công việc quá lớn, , khả năng nghiên cứu hạn chế, em cảm thấy không phù hợp và quá sức với em.")</f>
        <v>Em xin chuyển từ Khóa luận sang Chuyên đề vì lý do khối lượng công việc quá lớn, , khả năng nghiên cứu hạn chế, em cảm thấy không phù hợp và quá sức với em.</v>
      </c>
      <c r="K7" s="1" t="str">
        <f ca="1">IFERROR(__xludf.DUMMYFUNCTION("""COMPUTED_VALUE"""),"cam kết")</f>
        <v>cam kết</v>
      </c>
      <c r="L7" s="1" t="str">
        <f ca="1">IFERROR(__xludf.DUMMYFUNCTION("""COMPUTED_VALUE"""),"ĐÃ NỘP")</f>
        <v>ĐÃ NỘP</v>
      </c>
    </row>
    <row r="8" spans="1:12" x14ac:dyDescent="0.2">
      <c r="A8" s="6">
        <f ca="1">IFERROR(__xludf.DUMMYFUNCTION("""COMPUTED_VALUE"""),45698.8408393634)</f>
        <v>45698.840839363402</v>
      </c>
      <c r="B8" s="1"/>
      <c r="C8" s="1">
        <f ca="1">IFERROR(__xludf.DUMMYFUNCTION("""COMPUTED_VALUE"""),27207152531)</f>
        <v>27207152531</v>
      </c>
      <c r="D8" s="1" t="str">
        <f ca="1">IFERROR(__xludf.DUMMYFUNCTION("""COMPUTED_VALUE"""),"Cao Nguyễn Minh Châu")</f>
        <v>Cao Nguyễn Minh Châu</v>
      </c>
      <c r="E8" s="4">
        <f ca="1">IFERROR(__xludf.DUMMYFUNCTION("""COMPUTED_VALUE"""),37801)</f>
        <v>37801</v>
      </c>
      <c r="F8" s="1" t="str">
        <f ca="1">IFERROR(__xludf.DUMMYFUNCTION("""COMPUTED_VALUE"""),"K27DLK1")</f>
        <v>K27DLK1</v>
      </c>
      <c r="G8" s="1" t="str">
        <f ca="1">IFERROR(__xludf.DUMMYFUNCTION("""COMPUTED_VALUE"""),"Quản trị Du lịch &amp; Khách sạn")</f>
        <v>Quản trị Du lịch &amp; Khách sạn</v>
      </c>
      <c r="H8" s="1" t="str">
        <f ca="1">IFERROR(__xludf.DUMMYFUNCTION("""COMPUTED_VALUE"""),"K27")</f>
        <v>K27</v>
      </c>
      <c r="I8" s="1"/>
      <c r="J8" s="1" t="str">
        <f ca="1">IFERROR(__xludf.DUMMYFUNCTION("""COMPUTED_VALUE"""),"E chưa bao giờ làm nghiên cứu khoa học nên không có kinh nghiệm và khả năng làm khóa luận không tốt. Gia đình em gia đoạn này về tài chính lại không đủ. Mong nhà trường thông cảm cho em. ")</f>
        <v xml:space="preserve">E chưa bao giờ làm nghiên cứu khoa học nên không có kinh nghiệm và khả năng làm khóa luận không tốt. Gia đình em gia đoạn này về tài chính lại không đủ. Mong nhà trường thông cảm cho em. </v>
      </c>
      <c r="K8" s="1" t="str">
        <f ca="1">IFERROR(__xludf.DUMMYFUNCTION("""COMPUTED_VALUE"""),"cam kết")</f>
        <v>cam kết</v>
      </c>
      <c r="L8" s="1" t="str">
        <f ca="1">IFERROR(__xludf.DUMMYFUNCTION("""COMPUTED_VALUE"""),"ĐÃ NỘP")</f>
        <v>ĐÃ NỘP</v>
      </c>
    </row>
    <row r="9" spans="1:12" x14ac:dyDescent="0.2">
      <c r="A9" s="6">
        <f ca="1">IFERROR(__xludf.DUMMYFUNCTION("""COMPUTED_VALUE"""),45698.844879155)</f>
        <v>45698.844879155004</v>
      </c>
      <c r="B9" s="1"/>
      <c r="C9" s="1">
        <f ca="1">IFERROR(__xludf.DUMMYFUNCTION("""COMPUTED_VALUE"""),27217133738)</f>
        <v>27217133738</v>
      </c>
      <c r="D9" s="1" t="str">
        <f ca="1">IFERROR(__xludf.DUMMYFUNCTION("""COMPUTED_VALUE"""),"Hoàng Trần Thuý Vy")</f>
        <v>Hoàng Trần Thuý Vy</v>
      </c>
      <c r="E9" s="4">
        <f ca="1">IFERROR(__xludf.DUMMYFUNCTION("""COMPUTED_VALUE"""),37881)</f>
        <v>37881</v>
      </c>
      <c r="F9" s="1" t="str">
        <f ca="1">IFERROR(__xludf.DUMMYFUNCTION("""COMPUTED_VALUE"""),"K27DLK1")</f>
        <v>K27DLK1</v>
      </c>
      <c r="G9" s="1" t="str">
        <f ca="1">IFERROR(__xludf.DUMMYFUNCTION("""COMPUTED_VALUE"""),"Quản trị Du lịch &amp; Khách sạn")</f>
        <v>Quản trị Du lịch &amp; Khách sạn</v>
      </c>
      <c r="H9" s="1" t="str">
        <f ca="1">IFERROR(__xludf.DUMMYFUNCTION("""COMPUTED_VALUE"""),"K27")</f>
        <v>K27</v>
      </c>
      <c r="I9" s="1"/>
      <c r="J9" s="1" t="str">
        <f ca="1">IFERROR(__xludf.DUMMYFUNCTION("""COMPUTED_VALUE"""),"Em cảm thấy bản thân chưa có đủ kiến thức chuyên môn và kỹ năng cần thiết để hoàn thành khóa luận một cách tốt nhất, vì vậy em không thể nhận làm khóa luận trong đợt này.")</f>
        <v>Em cảm thấy bản thân chưa có đủ kiến thức chuyên môn và kỹ năng cần thiết để hoàn thành khóa luận một cách tốt nhất, vì vậy em không thể nhận làm khóa luận trong đợt này.</v>
      </c>
      <c r="K9" s="1" t="str">
        <f ca="1">IFERROR(__xludf.DUMMYFUNCTION("""COMPUTED_VALUE"""),"cam kết")</f>
        <v>cam kết</v>
      </c>
      <c r="L9" s="1" t="str">
        <f ca="1">IFERROR(__xludf.DUMMYFUNCTION("""COMPUTED_VALUE"""),"ĐÃ NỘP")</f>
        <v>ĐÃ NỘP</v>
      </c>
    </row>
    <row r="10" spans="1:12" x14ac:dyDescent="0.2">
      <c r="A10" s="6">
        <f ca="1">IFERROR(__xludf.DUMMYFUNCTION("""COMPUTED_VALUE"""),45699.5394782638)</f>
        <v>45699.539478263803</v>
      </c>
      <c r="B10" s="1"/>
      <c r="C10" s="1">
        <f ca="1">IFERROR(__xludf.DUMMYFUNCTION("""COMPUTED_VALUE"""),27207152556)</f>
        <v>27207152556</v>
      </c>
      <c r="D10" s="1" t="str">
        <f ca="1">IFERROR(__xludf.DUMMYFUNCTION("""COMPUTED_VALUE"""),"Võ Thị Cúc")</f>
        <v>Võ Thị Cúc</v>
      </c>
      <c r="E10" s="4">
        <f ca="1">IFERROR(__xludf.DUMMYFUNCTION("""COMPUTED_VALUE"""),37718)</f>
        <v>37718</v>
      </c>
      <c r="F10" s="1" t="str">
        <f ca="1">IFERROR(__xludf.DUMMYFUNCTION("""COMPUTED_VALUE"""),"K27DLK7")</f>
        <v>K27DLK7</v>
      </c>
      <c r="G10" s="1" t="str">
        <f ca="1">IFERROR(__xludf.DUMMYFUNCTION("""COMPUTED_VALUE"""),"Quản trị Du lịch &amp; Khách sạn")</f>
        <v>Quản trị Du lịch &amp; Khách sạn</v>
      </c>
      <c r="H10" s="1" t="str">
        <f ca="1">IFERROR(__xludf.DUMMYFUNCTION("""COMPUTED_VALUE"""),"K27")</f>
        <v>K27</v>
      </c>
      <c r="I10" s="1"/>
      <c r="J10" s="1" t="str">
        <f ca="1">IFERROR(__xludf.DUMMYFUNCTION("""COMPUTED_VALUE"""),"Em cảm thấy Khóa luận quá khó so với năng lực của em.")</f>
        <v>Em cảm thấy Khóa luận quá khó so với năng lực của em.</v>
      </c>
      <c r="K10" s="1" t="str">
        <f ca="1">IFERROR(__xludf.DUMMYFUNCTION("""COMPUTED_VALUE"""),"cam kết")</f>
        <v>cam kết</v>
      </c>
      <c r="L10" s="1"/>
    </row>
    <row r="11" spans="1:12" x14ac:dyDescent="0.2">
      <c r="A11" s="6">
        <f ca="1">IFERROR(__xludf.DUMMYFUNCTION("""COMPUTED_VALUE"""),45698.8503326273)</f>
        <v>45698.850332627298</v>
      </c>
      <c r="B11" s="1"/>
      <c r="C11" s="1">
        <f ca="1">IFERROR(__xludf.DUMMYFUNCTION("""COMPUTED_VALUE"""),27217128739)</f>
        <v>27217128739</v>
      </c>
      <c r="D11" s="1" t="str">
        <f ca="1">IFERROR(__xludf.DUMMYFUNCTION("""COMPUTED_VALUE"""),"Nguyễn Khắc Anh")</f>
        <v>Nguyễn Khắc Anh</v>
      </c>
      <c r="E11" s="4">
        <f ca="1">IFERROR(__xludf.DUMMYFUNCTION("""COMPUTED_VALUE"""),37883)</f>
        <v>37883</v>
      </c>
      <c r="F11" s="1" t="str">
        <f ca="1">IFERROR(__xludf.DUMMYFUNCTION("""COMPUTED_VALUE"""),"K27DLK1")</f>
        <v>K27DLK1</v>
      </c>
      <c r="G11" s="1" t="str">
        <f ca="1">IFERROR(__xludf.DUMMYFUNCTION("""COMPUTED_VALUE"""),"Quản trị Du lịch &amp; Khách sạn")</f>
        <v>Quản trị Du lịch &amp; Khách sạn</v>
      </c>
      <c r="H11" s="1" t="str">
        <f ca="1">IFERROR(__xludf.DUMMYFUNCTION("""COMPUTED_VALUE"""),"K27")</f>
        <v>K27</v>
      </c>
      <c r="I11" s="1"/>
      <c r="J11" s="1" t="str">
        <f ca="1">IFERROR(__xludf.DUMMYFUNCTION("""COMPUTED_VALUE"""),"Không đủ thời gian và chưa đủ nội dung để làm khoá luận một cách tốt nhất")</f>
        <v>Không đủ thời gian và chưa đủ nội dung để làm khoá luận một cách tốt nhất</v>
      </c>
      <c r="K11" s="1" t="str">
        <f ca="1">IFERROR(__xludf.DUMMYFUNCTION("""COMPUTED_VALUE"""),"cam kết")</f>
        <v>cam kết</v>
      </c>
      <c r="L11" s="1" t="str">
        <f ca="1">IFERROR(__xludf.DUMMYFUNCTION("""COMPUTED_VALUE"""),"ĐÃ NỘP")</f>
        <v>ĐÃ NỘP</v>
      </c>
    </row>
    <row r="12" spans="1:12" x14ac:dyDescent="0.2">
      <c r="A12" s="6">
        <f ca="1">IFERROR(__xludf.DUMMYFUNCTION("""COMPUTED_VALUE"""),45698.8549799537)</f>
        <v>45698.8549799537</v>
      </c>
      <c r="B12" s="1"/>
      <c r="C12" s="1">
        <f ca="1">IFERROR(__xludf.DUMMYFUNCTION("""COMPUTED_VALUE"""),27207130741)</f>
        <v>27207130741</v>
      </c>
      <c r="D12" s="1" t="str">
        <f ca="1">IFERROR(__xludf.DUMMYFUNCTION("""COMPUTED_VALUE"""),"PHẠM NGỌC TƯƠI")</f>
        <v>PHẠM NGỌC TƯƠI</v>
      </c>
      <c r="E12" s="4">
        <f ca="1">IFERROR(__xludf.DUMMYFUNCTION("""COMPUTED_VALUE"""),37931)</f>
        <v>37931</v>
      </c>
      <c r="F12" s="1" t="str">
        <f ca="1">IFERROR(__xludf.DUMMYFUNCTION("""COMPUTED_VALUE"""),"K27_DLK3")</f>
        <v>K27_DLK3</v>
      </c>
      <c r="G12" s="1" t="str">
        <f ca="1">IFERROR(__xludf.DUMMYFUNCTION("""COMPUTED_VALUE"""),"Quản trị Du lịch &amp; Khách sạn")</f>
        <v>Quản trị Du lịch &amp; Khách sạn</v>
      </c>
      <c r="H12" s="1" t="str">
        <f ca="1">IFERROR(__xludf.DUMMYFUNCTION("""COMPUTED_VALUE"""),"K27")</f>
        <v>K27</v>
      </c>
      <c r="I12" s="1"/>
      <c r="J12" s="1" t="str">
        <f ca="1">IFERROR(__xludf.DUMMYFUNCTION("""COMPUTED_VALUE"""),"Em muốn làm chuyên đề vì em cảm thấy nó vừa với khả năng của mình")</f>
        <v>Em muốn làm chuyên đề vì em cảm thấy nó vừa với khả năng của mình</v>
      </c>
      <c r="K12" s="1" t="str">
        <f ca="1">IFERROR(__xludf.DUMMYFUNCTION("""COMPUTED_VALUE"""),"cam kết")</f>
        <v>cam kết</v>
      </c>
      <c r="L12" s="1"/>
    </row>
    <row r="13" spans="1:12" x14ac:dyDescent="0.2">
      <c r="A13" s="6">
        <f ca="1">IFERROR(__xludf.DUMMYFUNCTION("""COMPUTED_VALUE"""),45698.8598056134)</f>
        <v>45698.8598056134</v>
      </c>
      <c r="B13" s="1"/>
      <c r="C13" s="1">
        <f ca="1">IFERROR(__xludf.DUMMYFUNCTION("""COMPUTED_VALUE"""),27213445193)</f>
        <v>27213445193</v>
      </c>
      <c r="D13" s="1" t="str">
        <f ca="1">IFERROR(__xludf.DUMMYFUNCTION("""COMPUTED_VALUE"""),"Nguyễn Đăng Khoa")</f>
        <v>Nguyễn Đăng Khoa</v>
      </c>
      <c r="E13" s="4">
        <f ca="1">IFERROR(__xludf.DUMMYFUNCTION("""COMPUTED_VALUE"""),37673)</f>
        <v>37673</v>
      </c>
      <c r="F13" s="1" t="str">
        <f ca="1">IFERROR(__xludf.DUMMYFUNCTION("""COMPUTED_VALUE"""),"K27PSUDLK 1")</f>
        <v>K27PSUDLK 1</v>
      </c>
      <c r="G13" s="1" t="str">
        <f ca="1">IFERROR(__xludf.DUMMYFUNCTION("""COMPUTED_VALUE"""),"Quản trị Du lịch &amp; Khách sạn chuẩn PSU")</f>
        <v>Quản trị Du lịch &amp; Khách sạn chuẩn PSU</v>
      </c>
      <c r="H13" s="1" t="str">
        <f ca="1">IFERROR(__xludf.DUMMYFUNCTION("""COMPUTED_VALUE"""),"K27")</f>
        <v>K27</v>
      </c>
      <c r="I13" s="1"/>
      <c r="J13" s="1" t="str">
        <f ca="1">IFERROR(__xludf.DUMMYFUNCTION("""COMPUTED_VALUE"""),"Không đủ điều kiện làm khoá luận vì chưa hoàn thành hết chương trình học")</f>
        <v>Không đủ điều kiện làm khoá luận vì chưa hoàn thành hết chương trình học</v>
      </c>
      <c r="K13" s="1" t="str">
        <f ca="1">IFERROR(__xludf.DUMMYFUNCTION("""COMPUTED_VALUE"""),"cam kết")</f>
        <v>cam kết</v>
      </c>
      <c r="L13" s="1"/>
    </row>
    <row r="14" spans="1:12" x14ac:dyDescent="0.2">
      <c r="A14" s="6">
        <f ca="1">IFERROR(__xludf.DUMMYFUNCTION("""COMPUTED_VALUE"""),45698.8628937384)</f>
        <v>45698.862893738398</v>
      </c>
      <c r="B14" s="1"/>
      <c r="C14" s="1">
        <f ca="1">IFERROR(__xludf.DUMMYFUNCTION("""COMPUTED_VALUE"""),27207129095)</f>
        <v>27207129095</v>
      </c>
      <c r="D14" s="1" t="str">
        <f ca="1">IFERROR(__xludf.DUMMYFUNCTION("""COMPUTED_VALUE"""),"Lê Thị Như Thiện")</f>
        <v>Lê Thị Như Thiện</v>
      </c>
      <c r="E14" s="4">
        <f ca="1">IFERROR(__xludf.DUMMYFUNCTION("""COMPUTED_VALUE"""),37866)</f>
        <v>37866</v>
      </c>
      <c r="F14" s="1" t="str">
        <f ca="1">IFERROR(__xludf.DUMMYFUNCTION("""COMPUTED_VALUE"""),"K27DLK2")</f>
        <v>K27DLK2</v>
      </c>
      <c r="G14" s="1" t="str">
        <f ca="1">IFERROR(__xludf.DUMMYFUNCTION("""COMPUTED_VALUE"""),"Quản trị Du lịch &amp; Khách sạn")</f>
        <v>Quản trị Du lịch &amp; Khách sạn</v>
      </c>
      <c r="H14" s="1" t="str">
        <f ca="1">IFERROR(__xludf.DUMMYFUNCTION("""COMPUTED_VALUE"""),"K27")</f>
        <v>K27</v>
      </c>
      <c r="I14" s="1"/>
      <c r="J14" s="1" t="str">
        <f ca="1">IFERROR(__xludf.DUMMYFUNCTION("""COMPUTED_VALUE"""),"Do bản thân em cảm thấy mình không đủ năng lực để thực hiện, vì vậy mong quý thầy cô xem xét cho phép em chuyển hình thức làm bài từ khoá luận sang chuyên đề. Em xin cảm ơn ạ")</f>
        <v>Do bản thân em cảm thấy mình không đủ năng lực để thực hiện, vì vậy mong quý thầy cô xem xét cho phép em chuyển hình thức làm bài từ khoá luận sang chuyên đề. Em xin cảm ơn ạ</v>
      </c>
      <c r="K14" s="1" t="str">
        <f ca="1">IFERROR(__xludf.DUMMYFUNCTION("""COMPUTED_VALUE"""),"cam kết")</f>
        <v>cam kết</v>
      </c>
      <c r="L14" s="1"/>
    </row>
    <row r="15" spans="1:12" x14ac:dyDescent="0.2">
      <c r="A15" s="6">
        <f ca="1">IFERROR(__xludf.DUMMYFUNCTION("""COMPUTED_VALUE"""),45698.8758371296)</f>
        <v>45698.875837129599</v>
      </c>
      <c r="B15" s="1"/>
      <c r="C15" s="1">
        <f ca="1">IFERROR(__xludf.DUMMYFUNCTION("""COMPUTED_VALUE"""),27207139716)</f>
        <v>27207139716</v>
      </c>
      <c r="D15" s="1" t="str">
        <f ca="1">IFERROR(__xludf.DUMMYFUNCTION("""COMPUTED_VALUE"""),"Phạm Thị Thanh Huyền")</f>
        <v>Phạm Thị Thanh Huyền</v>
      </c>
      <c r="E15" s="4">
        <f ca="1">IFERROR(__xludf.DUMMYFUNCTION("""COMPUTED_VALUE"""),37723)</f>
        <v>37723</v>
      </c>
      <c r="F15" s="1" t="str">
        <f ca="1">IFERROR(__xludf.DUMMYFUNCTION("""COMPUTED_VALUE"""),"K27DLK1")</f>
        <v>K27DLK1</v>
      </c>
      <c r="G15" s="1" t="str">
        <f ca="1">IFERROR(__xludf.DUMMYFUNCTION("""COMPUTED_VALUE"""),"Quản trị Du lịch &amp; Khách sạn")</f>
        <v>Quản trị Du lịch &amp; Khách sạn</v>
      </c>
      <c r="H15" s="1" t="str">
        <f ca="1">IFERROR(__xludf.DUMMYFUNCTION("""COMPUTED_VALUE"""),"K27")</f>
        <v>K27</v>
      </c>
      <c r="I15" s="1"/>
      <c r="J15" s="1" t="str">
        <f ca="1">IFERROR(__xludf.DUMMYFUNCTION("""COMPUTED_VALUE""")," Em cảm thấy bản thân chưa có đủ kiến thức chuyên môn và kỹ năng cần thiết để hoàn thành khóa luận một cách tốt nhất, vì vậy em không thể nhận làm khóa luận trong đợt này.")</f>
        <v xml:space="preserve"> Em cảm thấy bản thân chưa có đủ kiến thức chuyên môn và kỹ năng cần thiết để hoàn thành khóa luận một cách tốt nhất, vì vậy em không thể nhận làm khóa luận trong đợt này.</v>
      </c>
      <c r="K15" s="1" t="str">
        <f ca="1">IFERROR(__xludf.DUMMYFUNCTION("""COMPUTED_VALUE"""),"cam kết")</f>
        <v>cam kết</v>
      </c>
      <c r="L15" s="1" t="str">
        <f ca="1">IFERROR(__xludf.DUMMYFUNCTION("""COMPUTED_VALUE"""),"ĐÃ NỘP")</f>
        <v>ĐÃ NỘP</v>
      </c>
    </row>
    <row r="16" spans="1:12" x14ac:dyDescent="0.2">
      <c r="A16" s="6">
        <f ca="1">IFERROR(__xludf.DUMMYFUNCTION("""COMPUTED_VALUE"""),45698.8986760532)</f>
        <v>45698.898676053199</v>
      </c>
      <c r="B16" s="1"/>
      <c r="C16" s="1">
        <f ca="1">IFERROR(__xludf.DUMMYFUNCTION("""COMPUTED_VALUE"""),27207123321)</f>
        <v>27207123321</v>
      </c>
      <c r="D16" s="1" t="str">
        <f ca="1">IFERROR(__xludf.DUMMYFUNCTION("""COMPUTED_VALUE"""),"Trần Thị Thanh Lê")</f>
        <v>Trần Thị Thanh Lê</v>
      </c>
      <c r="E16" s="4">
        <f ca="1">IFERROR(__xludf.DUMMYFUNCTION("""COMPUTED_VALUE"""),37666)</f>
        <v>37666</v>
      </c>
      <c r="F16" s="1" t="str">
        <f ca="1">IFERROR(__xludf.DUMMYFUNCTION("""COMPUTED_VALUE"""),"K27DLK1 ")</f>
        <v xml:space="preserve">K27DLK1 </v>
      </c>
      <c r="G16" s="1" t="str">
        <f ca="1">IFERROR(__xludf.DUMMYFUNCTION("""COMPUTED_VALUE"""),"Quản trị Du lịch &amp; Khách sạn")</f>
        <v>Quản trị Du lịch &amp; Khách sạn</v>
      </c>
      <c r="H16" s="1" t="str">
        <f ca="1">IFERROR(__xludf.DUMMYFUNCTION("""COMPUTED_VALUE"""),"K27")</f>
        <v>K27</v>
      </c>
      <c r="I16" s="1"/>
      <c r="J16" s="1" t="str">
        <f ca="1">IFERROR(__xludf.DUMMYFUNCTION("""COMPUTED_VALUE"""),"Cảm thấy không đủ khả năng làm khoá luận ")</f>
        <v xml:space="preserve">Cảm thấy không đủ khả năng làm khoá luận </v>
      </c>
      <c r="K16" s="1" t="str">
        <f ca="1">IFERROR(__xludf.DUMMYFUNCTION("""COMPUTED_VALUE"""),"cam kết")</f>
        <v>cam kết</v>
      </c>
      <c r="L16" s="1" t="str">
        <f ca="1">IFERROR(__xludf.DUMMYFUNCTION("""COMPUTED_VALUE"""),"ĐÃ NỘP")</f>
        <v>ĐÃ NỘP</v>
      </c>
    </row>
    <row r="17" spans="1:12" x14ac:dyDescent="0.2">
      <c r="A17" s="6">
        <f ca="1">IFERROR(__xludf.DUMMYFUNCTION("""COMPUTED_VALUE"""),45699.6140016319)</f>
        <v>45699.614001631897</v>
      </c>
      <c r="B17" s="1"/>
      <c r="C17" s="1">
        <f ca="1">IFERROR(__xludf.DUMMYFUNCTION("""COMPUTED_VALUE"""),27217120413)</f>
        <v>27217120413</v>
      </c>
      <c r="D17" s="1" t="str">
        <f ca="1">IFERROR(__xludf.DUMMYFUNCTION("""COMPUTED_VALUE"""),"Nguyễn Phú Nhân")</f>
        <v>Nguyễn Phú Nhân</v>
      </c>
      <c r="E17" s="4">
        <f ca="1">IFERROR(__xludf.DUMMYFUNCTION("""COMPUTED_VALUE"""),37325)</f>
        <v>37325</v>
      </c>
      <c r="F17" s="1" t="str">
        <f ca="1">IFERROR(__xludf.DUMMYFUNCTION("""COMPUTED_VALUE"""),"K27DLK 1")</f>
        <v>K27DLK 1</v>
      </c>
      <c r="G17" s="1" t="str">
        <f ca="1">IFERROR(__xludf.DUMMYFUNCTION("""COMPUTED_VALUE"""),"Quản trị Du lịch &amp; Khách sạn")</f>
        <v>Quản trị Du lịch &amp; Khách sạn</v>
      </c>
      <c r="H17" s="1" t="str">
        <f ca="1">IFERROR(__xludf.DUMMYFUNCTION("""COMPUTED_VALUE"""),"K27")</f>
        <v>K27</v>
      </c>
      <c r="I17" s="1"/>
      <c r="J17" s="1" t="str">
        <f ca="1">IFERROR(__xludf.DUMMYFUNCTION("""COMPUTED_VALUE"""),"Em cảm thấy không thể hoàn thành khóa luận một cách chất lượng trong thời gian thực tập.")</f>
        <v>Em cảm thấy không thể hoàn thành khóa luận một cách chất lượng trong thời gian thực tập.</v>
      </c>
      <c r="K17" s="1" t="str">
        <f ca="1">IFERROR(__xludf.DUMMYFUNCTION("""COMPUTED_VALUE"""),"cam kết")</f>
        <v>cam kết</v>
      </c>
      <c r="L17" s="1" t="str">
        <f ca="1">IFERROR(__xludf.DUMMYFUNCTION("""COMPUTED_VALUE"""),"ĐÃ NỘP")</f>
        <v>ĐÃ NỘP</v>
      </c>
    </row>
    <row r="18" spans="1:12" x14ac:dyDescent="0.2">
      <c r="A18" s="6">
        <f ca="1">IFERROR(__xludf.DUMMYFUNCTION("""COMPUTED_VALUE"""),45698.9066469907)</f>
        <v>45698.906646990697</v>
      </c>
      <c r="B18" s="1"/>
      <c r="C18" s="1">
        <f ca="1">IFERROR(__xludf.DUMMYFUNCTION("""COMPUTED_VALUE"""),27217142556)</f>
        <v>27217142556</v>
      </c>
      <c r="D18" s="1" t="str">
        <f ca="1">IFERROR(__xludf.DUMMYFUNCTION("""COMPUTED_VALUE"""),"Trần Thu Phương")</f>
        <v>Trần Thu Phương</v>
      </c>
      <c r="E18" s="4">
        <f ca="1">IFERROR(__xludf.DUMMYFUNCTION("""COMPUTED_VALUE"""),37789)</f>
        <v>37789</v>
      </c>
      <c r="F18" s="1" t="str">
        <f ca="1">IFERROR(__xludf.DUMMYFUNCTION("""COMPUTED_VALUE"""),"K27DLK5")</f>
        <v>K27DLK5</v>
      </c>
      <c r="G18" s="1" t="str">
        <f ca="1">IFERROR(__xludf.DUMMYFUNCTION("""COMPUTED_VALUE"""),"Quản trị Du lịch &amp; Khách sạn")</f>
        <v>Quản trị Du lịch &amp; Khách sạn</v>
      </c>
      <c r="H18" s="1" t="str">
        <f ca="1">IFERROR(__xludf.DUMMYFUNCTION("""COMPUTED_VALUE"""),"K27")</f>
        <v>K27</v>
      </c>
      <c r="I18" s="1"/>
      <c r="J18" s="1" t="str">
        <f ca="1">IFERROR(__xludf.DUMMYFUNCTION("""COMPUTED_VALUE"""),"Em muốn làm chuyên đề ")</f>
        <v xml:space="preserve">Em muốn làm chuyên đề </v>
      </c>
      <c r="K18" s="1" t="str">
        <f ca="1">IFERROR(__xludf.DUMMYFUNCTION("""COMPUTED_VALUE"""),"cam kết")</f>
        <v>cam kết</v>
      </c>
      <c r="L18" s="1" t="str">
        <f ca="1">IFERROR(__xludf.DUMMYFUNCTION("""COMPUTED_VALUE"""),"ĐÃ NỘP")</f>
        <v>ĐÃ NỘP</v>
      </c>
    </row>
    <row r="19" spans="1:12" x14ac:dyDescent="0.2">
      <c r="A19" s="6">
        <f ca="1">IFERROR(__xludf.DUMMYFUNCTION("""COMPUTED_VALUE"""),45698.9125320949)</f>
        <v>45698.912532094902</v>
      </c>
      <c r="B19" s="1"/>
      <c r="C19" s="1">
        <f ca="1">IFERROR(__xludf.DUMMYFUNCTION("""COMPUTED_VALUE"""),27207128512)</f>
        <v>27207128512</v>
      </c>
      <c r="D19" s="1" t="str">
        <f ca="1">IFERROR(__xludf.DUMMYFUNCTION("""COMPUTED_VALUE"""),"Nguyễn Thị Thu Hiền")</f>
        <v>Nguyễn Thị Thu Hiền</v>
      </c>
      <c r="E19" s="4">
        <f ca="1">IFERROR(__xludf.DUMMYFUNCTION("""COMPUTED_VALUE"""),37980)</f>
        <v>37980</v>
      </c>
      <c r="F19" s="1" t="str">
        <f ca="1">IFERROR(__xludf.DUMMYFUNCTION("""COMPUTED_VALUE"""),"K27DLK 1")</f>
        <v>K27DLK 1</v>
      </c>
      <c r="G19" s="1" t="str">
        <f ca="1">IFERROR(__xludf.DUMMYFUNCTION("""COMPUTED_VALUE"""),"Quản trị Du lịch &amp; Khách sạn")</f>
        <v>Quản trị Du lịch &amp; Khách sạn</v>
      </c>
      <c r="H19" s="1" t="str">
        <f ca="1">IFERROR(__xludf.DUMMYFUNCTION("""COMPUTED_VALUE"""),"K27")</f>
        <v>K27</v>
      </c>
      <c r="I19" s="1"/>
      <c r="J19" s="1" t="str">
        <f ca="1">IFERROR(__xludf.DUMMYFUNCTION("""COMPUTED_VALUE"""),"Hiện tại em còn nhiều môn học cần hoàn thành và ôn thi, do đó không thể dành đủ thời gian và sự tập trung cho việc nghiên cứu khóa luận. Gia đình em đang trong giai đoạn khó khăn không đủ kinh tế vì vậy em không thể làm khóa luận ạ.")</f>
        <v>Hiện tại em còn nhiều môn học cần hoàn thành và ôn thi, do đó không thể dành đủ thời gian và sự tập trung cho việc nghiên cứu khóa luận. Gia đình em đang trong giai đoạn khó khăn không đủ kinh tế vì vậy em không thể làm khóa luận ạ.</v>
      </c>
      <c r="K19" s="1" t="str">
        <f ca="1">IFERROR(__xludf.DUMMYFUNCTION("""COMPUTED_VALUE"""),"cam kết")</f>
        <v>cam kết</v>
      </c>
      <c r="L19" s="1" t="str">
        <f ca="1">IFERROR(__xludf.DUMMYFUNCTION("""COMPUTED_VALUE"""),"ĐÃ NỘP")</f>
        <v>ĐÃ NỘP</v>
      </c>
    </row>
    <row r="20" spans="1:12" x14ac:dyDescent="0.2">
      <c r="A20" s="6">
        <f ca="1">IFERROR(__xludf.DUMMYFUNCTION("""COMPUTED_VALUE"""),45698.9201340046)</f>
        <v>45698.920134004598</v>
      </c>
      <c r="B20" s="1"/>
      <c r="C20" s="1">
        <f ca="1">IFERROR(__xludf.DUMMYFUNCTION("""COMPUTED_VALUE"""),27207140629)</f>
        <v>27207140629</v>
      </c>
      <c r="D20" s="1" t="str">
        <f ca="1">IFERROR(__xludf.DUMMYFUNCTION("""COMPUTED_VALUE"""),"Trần Thị Hương")</f>
        <v>Trần Thị Hương</v>
      </c>
      <c r="E20" s="4">
        <f ca="1">IFERROR(__xludf.DUMMYFUNCTION("""COMPUTED_VALUE"""),37764)</f>
        <v>37764</v>
      </c>
      <c r="F20" s="1" t="str">
        <f ca="1">IFERROR(__xludf.DUMMYFUNCTION("""COMPUTED_VALUE"""),"K27DLK5 ")</f>
        <v xml:space="preserve">K27DLK5 </v>
      </c>
      <c r="G20" s="1" t="str">
        <f ca="1">IFERROR(__xludf.DUMMYFUNCTION("""COMPUTED_VALUE"""),"Quản trị Du lịch &amp; Khách sạn")</f>
        <v>Quản trị Du lịch &amp; Khách sạn</v>
      </c>
      <c r="H20" s="1" t="str">
        <f ca="1">IFERROR(__xludf.DUMMYFUNCTION("""COMPUTED_VALUE"""),"K27")</f>
        <v>K27</v>
      </c>
      <c r="I20" s="1"/>
      <c r="J20" s="1" t="str">
        <f ca="1">IFERROR(__xludf.DUMMYFUNCTION("""COMPUTED_VALUE"""),"Không có nhiều thời gian để tập trung vào làm khoá luận")</f>
        <v>Không có nhiều thời gian để tập trung vào làm khoá luận</v>
      </c>
      <c r="K20" s="1" t="str">
        <f ca="1">IFERROR(__xludf.DUMMYFUNCTION("""COMPUTED_VALUE"""),"cam kết")</f>
        <v>cam kết</v>
      </c>
      <c r="L20" s="1" t="str">
        <f ca="1">IFERROR(__xludf.DUMMYFUNCTION("""COMPUTED_VALUE"""),"ĐÃ NỘP")</f>
        <v>ĐÃ NỘP</v>
      </c>
    </row>
    <row r="21" spans="1:12" x14ac:dyDescent="0.2">
      <c r="A21" s="6">
        <f ca="1">IFERROR(__xludf.DUMMYFUNCTION("""COMPUTED_VALUE"""),45698.9332898958)</f>
        <v>45698.933289895802</v>
      </c>
      <c r="B21" s="1"/>
      <c r="C21" s="1">
        <f ca="1">IFERROR(__xludf.DUMMYFUNCTION("""COMPUTED_VALUE"""),27207146805)</f>
        <v>27207146805</v>
      </c>
      <c r="D21" s="1" t="str">
        <f ca="1">IFERROR(__xludf.DUMMYFUNCTION("""COMPUTED_VALUE"""),"Nguyễn Thị Như ÝK27")</f>
        <v>Nguyễn Thị Như ÝK27</v>
      </c>
      <c r="E21" s="4">
        <f ca="1">IFERROR(__xludf.DUMMYFUNCTION("""COMPUTED_VALUE"""),37947)</f>
        <v>37947</v>
      </c>
      <c r="F21" s="1" t="str">
        <f ca="1">IFERROR(__xludf.DUMMYFUNCTION("""COMPUTED_VALUE"""),"K27DLK 7")</f>
        <v>K27DLK 7</v>
      </c>
      <c r="G21" s="1" t="str">
        <f ca="1">IFERROR(__xludf.DUMMYFUNCTION("""COMPUTED_VALUE"""),"Quản trị Du lịch &amp; Khách sạn")</f>
        <v>Quản trị Du lịch &amp; Khách sạn</v>
      </c>
      <c r="H21" s="1" t="str">
        <f ca="1">IFERROR(__xludf.DUMMYFUNCTION("""COMPUTED_VALUE"""),"K27")</f>
        <v>K27</v>
      </c>
      <c r="I21" s="1"/>
      <c r="J21" s="1" t="str">
        <f ca="1">IFERROR(__xludf.DUMMYFUNCTION("""COMPUTED_VALUE"""),"Em cảm thấy năng lực bản thân chưa phù hợp với yêu cầu của một Khóa luận, cần thời gian để trau dồi thêm kiến thức và kỹ năng và có thể cảm thấy chưa tự tin với những kỹ năng như nghiên cứu khoa học, thu thập và phân tích dữ liệu, viết báo cáo nên em muốn"&amp;" chuyển từ Khóa Luận sang Chuyên Đề ạ")</f>
        <v>Em cảm thấy năng lực bản thân chưa phù hợp với yêu cầu của một Khóa luận, cần thời gian để trau dồi thêm kiến thức và kỹ năng và có thể cảm thấy chưa tự tin với những kỹ năng như nghiên cứu khoa học, thu thập và phân tích dữ liệu, viết báo cáo nên em muốn chuyển từ Khóa Luận sang Chuyên Đề ạ</v>
      </c>
      <c r="K21" s="1" t="str">
        <f ca="1">IFERROR(__xludf.DUMMYFUNCTION("""COMPUTED_VALUE"""),"cam kết")</f>
        <v>cam kết</v>
      </c>
      <c r="L21" s="1" t="str">
        <f ca="1">IFERROR(__xludf.DUMMYFUNCTION("""COMPUTED_VALUE"""),"ĐÃ NỘP")</f>
        <v>ĐÃ NỘP</v>
      </c>
    </row>
    <row r="22" spans="1:12" x14ac:dyDescent="0.2">
      <c r="A22" s="6">
        <f ca="1">IFERROR(__xludf.DUMMYFUNCTION("""COMPUTED_VALUE"""),45698.9400076967)</f>
        <v>45698.940007696699</v>
      </c>
      <c r="B22" s="1"/>
      <c r="C22" s="1">
        <f ca="1">IFERROR(__xludf.DUMMYFUNCTION("""COMPUTED_VALUE"""),27217144878)</f>
        <v>27217144878</v>
      </c>
      <c r="D22" s="1" t="str">
        <f ca="1">IFERROR(__xludf.DUMMYFUNCTION("""COMPUTED_VALUE"""),"Lê Ngọc Chinh")</f>
        <v>Lê Ngọc Chinh</v>
      </c>
      <c r="E22" s="4">
        <f ca="1">IFERROR(__xludf.DUMMYFUNCTION("""COMPUTED_VALUE"""),37679)</f>
        <v>37679</v>
      </c>
      <c r="F22" s="1" t="str">
        <f ca="1">IFERROR(__xludf.DUMMYFUNCTION("""COMPUTED_VALUE"""),"K27DLK1")</f>
        <v>K27DLK1</v>
      </c>
      <c r="G22" s="1" t="str">
        <f ca="1">IFERROR(__xludf.DUMMYFUNCTION("""COMPUTED_VALUE"""),"Quản trị Du lịch &amp; Khách sạn")</f>
        <v>Quản trị Du lịch &amp; Khách sạn</v>
      </c>
      <c r="H22" s="1" t="str">
        <f ca="1">IFERROR(__xludf.DUMMYFUNCTION("""COMPUTED_VALUE"""),"K27")</f>
        <v>K27</v>
      </c>
      <c r="I22" s="1"/>
      <c r="J22" s="1" t="str">
        <f ca="1">IFERROR(__xludf.DUMMYFUNCTION("""COMPUTED_VALUE"""),"Dạ lí do vì áp lực thời gian  , khó khăn trong tài chính và kỷ năng viết lách không tốt .")</f>
        <v>Dạ lí do vì áp lực thời gian  , khó khăn trong tài chính và kỷ năng viết lách không tốt .</v>
      </c>
      <c r="K22" s="1" t="str">
        <f ca="1">IFERROR(__xludf.DUMMYFUNCTION("""COMPUTED_VALUE"""),"cam kết")</f>
        <v>cam kết</v>
      </c>
      <c r="L22" s="1" t="str">
        <f ca="1">IFERROR(__xludf.DUMMYFUNCTION("""COMPUTED_VALUE"""),"ĐÃ NỘP")</f>
        <v>ĐÃ NỘP</v>
      </c>
    </row>
    <row r="23" spans="1:12" x14ac:dyDescent="0.2">
      <c r="A23" s="6">
        <f ca="1">IFERROR(__xludf.DUMMYFUNCTION("""COMPUTED_VALUE"""),45698.963720081)</f>
        <v>45698.963720081003</v>
      </c>
      <c r="B23" s="1"/>
      <c r="C23" s="1">
        <f ca="1">IFERROR(__xludf.DUMMYFUNCTION("""COMPUTED_VALUE"""),27203801181)</f>
        <v>27203801181</v>
      </c>
      <c r="D23" s="1" t="str">
        <f ca="1">IFERROR(__xludf.DUMMYFUNCTION("""COMPUTED_VALUE"""),"Nguyễn Phùng Linh Chi")</f>
        <v>Nguyễn Phùng Linh Chi</v>
      </c>
      <c r="E23" s="4">
        <f ca="1">IFERROR(__xludf.DUMMYFUNCTION("""COMPUTED_VALUE"""),37899)</f>
        <v>37899</v>
      </c>
      <c r="F23" s="1" t="str">
        <f ca="1">IFERROR(__xludf.DUMMYFUNCTION("""COMPUTED_VALUE"""),"K27DLK7")</f>
        <v>K27DLK7</v>
      </c>
      <c r="G23" s="1" t="str">
        <f ca="1">IFERROR(__xludf.DUMMYFUNCTION("""COMPUTED_VALUE"""),"Quản trị Du lịch &amp; Khách sạn")</f>
        <v>Quản trị Du lịch &amp; Khách sạn</v>
      </c>
      <c r="H23" s="1" t="str">
        <f ca="1">IFERROR(__xludf.DUMMYFUNCTION("""COMPUTED_VALUE"""),"K27")</f>
        <v>K27</v>
      </c>
      <c r="I23" s="1"/>
      <c r="J23" s="1" t="str">
        <f ca="1">IFERROR(__xludf.DUMMYFUNCTION("""COMPUTED_VALUE"""),"Kiến thức và khả năng của em hiện tại phù hợp với làm chuyên đề hơn.")</f>
        <v>Kiến thức và khả năng của em hiện tại phù hợp với làm chuyên đề hơn.</v>
      </c>
      <c r="K23" s="1" t="str">
        <f ca="1">IFERROR(__xludf.DUMMYFUNCTION("""COMPUTED_VALUE"""),"cam kết")</f>
        <v>cam kết</v>
      </c>
      <c r="L23" s="1" t="str">
        <f ca="1">IFERROR(__xludf.DUMMYFUNCTION("""COMPUTED_VALUE"""),"ĐÃ NỘP")</f>
        <v>ĐÃ NỘP</v>
      </c>
    </row>
    <row r="24" spans="1:12" x14ac:dyDescent="0.2">
      <c r="A24" s="6">
        <f ca="1">IFERROR(__xludf.DUMMYFUNCTION("""COMPUTED_VALUE"""),45698.9811481828)</f>
        <v>45698.9811481828</v>
      </c>
      <c r="B24" s="1"/>
      <c r="C24" s="1">
        <f ca="1">IFERROR(__xludf.DUMMYFUNCTION("""COMPUTED_VALUE"""),27217123844)</f>
        <v>27217123844</v>
      </c>
      <c r="D24" s="1" t="str">
        <f ca="1">IFERROR(__xludf.DUMMYFUNCTION("""COMPUTED_VALUE"""),"Nguyễn Trương Hải Hà")</f>
        <v>Nguyễn Trương Hải Hà</v>
      </c>
      <c r="E24" s="4">
        <f ca="1">IFERROR(__xludf.DUMMYFUNCTION("""COMPUTED_VALUE"""),37938)</f>
        <v>37938</v>
      </c>
      <c r="F24" s="1" t="str">
        <f ca="1">IFERROR(__xludf.DUMMYFUNCTION("""COMPUTED_VALUE"""),"K27DLK2")</f>
        <v>K27DLK2</v>
      </c>
      <c r="G24" s="1" t="str">
        <f ca="1">IFERROR(__xludf.DUMMYFUNCTION("""COMPUTED_VALUE"""),"Quản trị Du lịch &amp; Khách sạn")</f>
        <v>Quản trị Du lịch &amp; Khách sạn</v>
      </c>
      <c r="H24" s="1" t="str">
        <f ca="1">IFERROR(__xludf.DUMMYFUNCTION("""COMPUTED_VALUE"""),"K27")</f>
        <v>K27</v>
      </c>
      <c r="I24" s="1"/>
      <c r="J24" s="1" t="str">
        <f ca="1">IFERROR(__xludf.DUMMYFUNCTION("""COMPUTED_VALUE"""),"Vì em cảm thấy em ko đủ năng lực để làm được khoá luận")</f>
        <v>Vì em cảm thấy em ko đủ năng lực để làm được khoá luận</v>
      </c>
      <c r="K24" s="1" t="str">
        <f ca="1">IFERROR(__xludf.DUMMYFUNCTION("""COMPUTED_VALUE"""),"cam kết")</f>
        <v>cam kết</v>
      </c>
      <c r="L24" s="1" t="str">
        <f ca="1">IFERROR(__xludf.DUMMYFUNCTION("""COMPUTED_VALUE"""),"ĐÃ NỘP")</f>
        <v>ĐÃ NỘP</v>
      </c>
    </row>
    <row r="25" spans="1:12" x14ac:dyDescent="0.2">
      <c r="A25" s="6">
        <f ca="1">IFERROR(__xludf.DUMMYFUNCTION("""COMPUTED_VALUE"""),45699.2914832175)</f>
        <v>45699.291483217501</v>
      </c>
      <c r="B25" s="1"/>
      <c r="C25" s="1">
        <f ca="1">IFERROR(__xludf.DUMMYFUNCTION("""COMPUTED_VALUE"""),27202124339)</f>
        <v>27202124339</v>
      </c>
      <c r="D25" s="1" t="str">
        <f ca="1">IFERROR(__xludf.DUMMYFUNCTION("""COMPUTED_VALUE"""),"Đặng Thị Tuyết Trinh ")</f>
        <v xml:space="preserve">Đặng Thị Tuyết Trinh </v>
      </c>
      <c r="E25" s="4">
        <f ca="1">IFERROR(__xludf.DUMMYFUNCTION("""COMPUTED_VALUE"""),37650)</f>
        <v>37650</v>
      </c>
      <c r="F25" s="1" t="str">
        <f ca="1">IFERROR(__xludf.DUMMYFUNCTION("""COMPUTED_VALUE"""),"K27DLK7")</f>
        <v>K27DLK7</v>
      </c>
      <c r="G25" s="1" t="str">
        <f ca="1">IFERROR(__xludf.DUMMYFUNCTION("""COMPUTED_VALUE"""),"Quản trị Du lịch &amp; Khách sạn")</f>
        <v>Quản trị Du lịch &amp; Khách sạn</v>
      </c>
      <c r="H25" s="1" t="str">
        <f ca="1">IFERROR(__xludf.DUMMYFUNCTION("""COMPUTED_VALUE"""),"K27")</f>
        <v>K27</v>
      </c>
      <c r="I25" s="1"/>
      <c r="J25" s="1" t="str">
        <f ca="1">IFERROR(__xludf.DUMMYFUNCTION("""COMPUTED_VALUE"""),"Chuyên đề phù hợp hơn ")</f>
        <v xml:space="preserve">Chuyên đề phù hợp hơn </v>
      </c>
      <c r="K25" s="1" t="str">
        <f ca="1">IFERROR(__xludf.DUMMYFUNCTION("""COMPUTED_VALUE"""),"cam kết")</f>
        <v>cam kết</v>
      </c>
      <c r="L25" s="1" t="str">
        <f ca="1">IFERROR(__xludf.DUMMYFUNCTION("""COMPUTED_VALUE"""),"ĐÃ NỘP")</f>
        <v>ĐÃ NỘP</v>
      </c>
    </row>
    <row r="26" spans="1:12" x14ac:dyDescent="0.2">
      <c r="A26" s="6">
        <f ca="1">IFERROR(__xludf.DUMMYFUNCTION("""COMPUTED_VALUE"""),45699.3358697685)</f>
        <v>45699.335869768503</v>
      </c>
      <c r="B26" s="1"/>
      <c r="C26" s="1">
        <f ca="1">IFERROR(__xludf.DUMMYFUNCTION("""COMPUTED_VALUE"""),27207102076)</f>
        <v>27207102076</v>
      </c>
      <c r="D26" s="1" t="str">
        <f ca="1">IFERROR(__xludf.DUMMYFUNCTION("""COMPUTED_VALUE"""),"Trần Thị Thủy Tiên")</f>
        <v>Trần Thị Thủy Tiên</v>
      </c>
      <c r="E26" s="4">
        <f ca="1">IFERROR(__xludf.DUMMYFUNCTION("""COMPUTED_VALUE"""),37940)</f>
        <v>37940</v>
      </c>
      <c r="F26" s="1" t="str">
        <f ca="1">IFERROR(__xludf.DUMMYFUNCTION("""COMPUTED_VALUE"""),"K27DLK6 ")</f>
        <v xml:space="preserve">K27DLK6 </v>
      </c>
      <c r="G26" s="1" t="str">
        <f ca="1">IFERROR(__xludf.DUMMYFUNCTION("""COMPUTED_VALUE"""),"Quản trị Du lịch &amp; Khách sạn")</f>
        <v>Quản trị Du lịch &amp; Khách sạn</v>
      </c>
      <c r="H26" s="1" t="str">
        <f ca="1">IFERROR(__xludf.DUMMYFUNCTION("""COMPUTED_VALUE"""),"K27")</f>
        <v>K27</v>
      </c>
      <c r="I26" s="1"/>
      <c r="J26" s="1" t="str">
        <f ca="1">IFERROR(__xludf.DUMMYFUNCTION("""COMPUTED_VALUE"""),"Em muốn làm chuyên đề")</f>
        <v>Em muốn làm chuyên đề</v>
      </c>
      <c r="K26" s="1" t="str">
        <f ca="1">IFERROR(__xludf.DUMMYFUNCTION("""COMPUTED_VALUE"""),"cam kết")</f>
        <v>cam kết</v>
      </c>
      <c r="L26" s="1" t="str">
        <f ca="1">IFERROR(__xludf.DUMMYFUNCTION("""COMPUTED_VALUE"""),"ĐÃ NỘP")</f>
        <v>ĐÃ NỘP</v>
      </c>
    </row>
    <row r="27" spans="1:12" x14ac:dyDescent="0.2">
      <c r="A27" s="6">
        <f ca="1">IFERROR(__xludf.DUMMYFUNCTION("""COMPUTED_VALUE"""),45699.356864456)</f>
        <v>45699.356864456</v>
      </c>
      <c r="B27" s="1"/>
      <c r="C27" s="1">
        <f ca="1">IFERROR(__xludf.DUMMYFUNCTION("""COMPUTED_VALUE"""),27203449750)</f>
        <v>27203449750</v>
      </c>
      <c r="D27" s="1" t="str">
        <f ca="1">IFERROR(__xludf.DUMMYFUNCTION("""COMPUTED_VALUE"""),"Lương Thị Minh Tâm ")</f>
        <v xml:space="preserve">Lương Thị Minh Tâm </v>
      </c>
      <c r="E27" s="4">
        <f ca="1">IFERROR(__xludf.DUMMYFUNCTION("""COMPUTED_VALUE"""),37856)</f>
        <v>37856</v>
      </c>
      <c r="F27" s="1" t="str">
        <f ca="1">IFERROR(__xludf.DUMMYFUNCTION("""COMPUTED_VALUE"""),"K27DLK7 ")</f>
        <v xml:space="preserve">K27DLK7 </v>
      </c>
      <c r="G27" s="1" t="str">
        <f ca="1">IFERROR(__xludf.DUMMYFUNCTION("""COMPUTED_VALUE"""),"Quản trị Du lịch &amp; Khách sạn")</f>
        <v>Quản trị Du lịch &amp; Khách sạn</v>
      </c>
      <c r="H27" s="1" t="str">
        <f ca="1">IFERROR(__xludf.DUMMYFUNCTION("""COMPUTED_VALUE"""),"K27")</f>
        <v>K27</v>
      </c>
      <c r="I27" s="1"/>
      <c r="J27" s="1" t="str">
        <f ca="1">IFERROR(__xludf.DUMMYFUNCTION("""COMPUTED_VALUE"""),"Do điều kiện kinh tế gia đình gặp khó khăn. Em cũng nhờ thời gian thực tập kiếm được 1 chút phụ cấp đủ để trang trải cuộc sống. Mong thầy cô hỗ trợ cho em chuyển từ Khoá luận sang Chuyên đề ạ.")</f>
        <v>Do điều kiện kinh tế gia đình gặp khó khăn. Em cũng nhờ thời gian thực tập kiếm được 1 chút phụ cấp đủ để trang trải cuộc sống. Mong thầy cô hỗ trợ cho em chuyển từ Khoá luận sang Chuyên đề ạ.</v>
      </c>
      <c r="K27" s="1" t="str">
        <f ca="1">IFERROR(__xludf.DUMMYFUNCTION("""COMPUTED_VALUE"""),"cam kết")</f>
        <v>cam kết</v>
      </c>
      <c r="L27" s="1" t="str">
        <f ca="1">IFERROR(__xludf.DUMMYFUNCTION("""COMPUTED_VALUE"""),"ĐÃ NỘP")</f>
        <v>ĐÃ NỘP</v>
      </c>
    </row>
    <row r="28" spans="1:12" x14ac:dyDescent="0.2">
      <c r="A28" s="6">
        <f ca="1">IFERROR(__xludf.DUMMYFUNCTION("""COMPUTED_VALUE"""),45699.4108934722)</f>
        <v>45699.410893472203</v>
      </c>
      <c r="B28" s="1"/>
      <c r="C28" s="1">
        <f ca="1">IFERROR(__xludf.DUMMYFUNCTION("""COMPUTED_VALUE"""),27207141615)</f>
        <v>27207141615</v>
      </c>
      <c r="D28" s="1" t="str">
        <f ca="1">IFERROR(__xludf.DUMMYFUNCTION("""COMPUTED_VALUE"""),"Lê Thị Thủy Tiên")</f>
        <v>Lê Thị Thủy Tiên</v>
      </c>
      <c r="E28" s="4">
        <f ca="1">IFERROR(__xludf.DUMMYFUNCTION("""COMPUTED_VALUE"""),37791)</f>
        <v>37791</v>
      </c>
      <c r="F28" s="1" t="str">
        <f ca="1">IFERROR(__xludf.DUMMYFUNCTION("""COMPUTED_VALUE"""),"K27DLK2")</f>
        <v>K27DLK2</v>
      </c>
      <c r="G28" s="1" t="str">
        <f ca="1">IFERROR(__xludf.DUMMYFUNCTION("""COMPUTED_VALUE"""),"Quản trị Du lịch &amp; Khách sạn")</f>
        <v>Quản trị Du lịch &amp; Khách sạn</v>
      </c>
      <c r="H28" s="1" t="str">
        <f ca="1">IFERROR(__xludf.DUMMYFUNCTION("""COMPUTED_VALUE"""),"K27")</f>
        <v>K27</v>
      </c>
      <c r="I28" s="1"/>
      <c r="J28" s="1" t="str">
        <f ca="1">IFERROR(__xludf.DUMMYFUNCTION("""COMPUTED_VALUE""")," cảm thấy mình không đủ khả năng và điều kiện để thực hiện một nghiên cứu sâu rộng như khóa luận. ")</f>
        <v xml:space="preserve"> cảm thấy mình không đủ khả năng và điều kiện để thực hiện một nghiên cứu sâu rộng như khóa luận. </v>
      </c>
      <c r="K28" s="1" t="str">
        <f ca="1">IFERROR(__xludf.DUMMYFUNCTION("""COMPUTED_VALUE"""),"cam kết")</f>
        <v>cam kết</v>
      </c>
      <c r="L28" s="1" t="str">
        <f ca="1">IFERROR(__xludf.DUMMYFUNCTION("""COMPUTED_VALUE"""),"ĐÃ NỘP")</f>
        <v>ĐÃ NỘP</v>
      </c>
    </row>
    <row r="29" spans="1:12" x14ac:dyDescent="0.2">
      <c r="A29" s="6">
        <f ca="1">IFERROR(__xludf.DUMMYFUNCTION("""COMPUTED_VALUE"""),45699.4599161111)</f>
        <v>45699.459916111096</v>
      </c>
      <c r="B29" s="1"/>
      <c r="C29" s="1">
        <f ca="1">IFERROR(__xludf.DUMMYFUNCTION("""COMPUTED_VALUE"""),27207141751)</f>
        <v>27207141751</v>
      </c>
      <c r="D29" s="1" t="str">
        <f ca="1">IFERROR(__xludf.DUMMYFUNCTION("""COMPUTED_VALUE"""),"Nguyễn Ngọc Kim Khánh")</f>
        <v>Nguyễn Ngọc Kim Khánh</v>
      </c>
      <c r="E29" s="4">
        <f ca="1">IFERROR(__xludf.DUMMYFUNCTION("""COMPUTED_VALUE"""),37774)</f>
        <v>37774</v>
      </c>
      <c r="F29" s="1" t="str">
        <f ca="1">IFERROR(__xludf.DUMMYFUNCTION("""COMPUTED_VALUE"""),"K27DLK1")</f>
        <v>K27DLK1</v>
      </c>
      <c r="G29" s="1" t="str">
        <f ca="1">IFERROR(__xludf.DUMMYFUNCTION("""COMPUTED_VALUE"""),"Quản trị Du lịch &amp; Khách sạn")</f>
        <v>Quản trị Du lịch &amp; Khách sạn</v>
      </c>
      <c r="H29" s="1" t="str">
        <f ca="1">IFERROR(__xludf.DUMMYFUNCTION("""COMPUTED_VALUE"""),"K27")</f>
        <v>K27</v>
      </c>
      <c r="I29" s="1"/>
      <c r="J29" s="1" t="str">
        <f ca="1">IFERROR(__xludf.DUMMYFUNCTION("""COMPUTED_VALUE"""),"Em xin được chuyển từ Khóa luận tốt nghiệp sang Chuyên đề do điều kiện cá nhân và quỹ thời gian hiện tại không cho phép em hoàn thành Khóa luận một cách tốt nhất. Em mong Khoa xem xét và chấp thuận nguyện vọng này, em xin cam kết tuân thủ đầy đủ các quy đ"&amp;"ịnh và hoàn thành tốt Chuyên đề.")</f>
        <v>Em xin được chuyển từ Khóa luận tốt nghiệp sang Chuyên đề do điều kiện cá nhân và quỹ thời gian hiện tại không cho phép em hoàn thành Khóa luận một cách tốt nhất. Em mong Khoa xem xét và chấp thuận nguyện vọng này, em xin cam kết tuân thủ đầy đủ các quy định và hoàn thành tốt Chuyên đề.</v>
      </c>
      <c r="K29" s="1" t="str">
        <f ca="1">IFERROR(__xludf.DUMMYFUNCTION("""COMPUTED_VALUE"""),"cam kết")</f>
        <v>cam kết</v>
      </c>
      <c r="L29" s="1" t="str">
        <f ca="1">IFERROR(__xludf.DUMMYFUNCTION("""COMPUTED_VALUE"""),"ĐÃ NỘP")</f>
        <v>ĐÃ NỘP</v>
      </c>
    </row>
    <row r="30" spans="1:12" x14ac:dyDescent="0.2">
      <c r="A30" s="6">
        <f ca="1">IFERROR(__xludf.DUMMYFUNCTION("""COMPUTED_VALUE"""),45699.4615924652)</f>
        <v>45699.461592465203</v>
      </c>
      <c r="B30" s="1"/>
      <c r="C30" s="1">
        <f ca="1">IFERROR(__xludf.DUMMYFUNCTION("""COMPUTED_VALUE"""),27207133735)</f>
        <v>27207133735</v>
      </c>
      <c r="D30" s="1" t="str">
        <f ca="1">IFERROR(__xludf.DUMMYFUNCTION("""COMPUTED_VALUE"""),"Nguyễn Thị Thúy Hiền ")</f>
        <v xml:space="preserve">Nguyễn Thị Thúy Hiền </v>
      </c>
      <c r="E30" s="4">
        <f ca="1">IFERROR(__xludf.DUMMYFUNCTION("""COMPUTED_VALUE"""),37953)</f>
        <v>37953</v>
      </c>
      <c r="F30" s="1" t="str">
        <f ca="1">IFERROR(__xludf.DUMMYFUNCTION("""COMPUTED_VALUE"""),"K27DLK1")</f>
        <v>K27DLK1</v>
      </c>
      <c r="G30" s="1" t="str">
        <f ca="1">IFERROR(__xludf.DUMMYFUNCTION("""COMPUTED_VALUE"""),"Quản trị Du lịch &amp; Khách sạn")</f>
        <v>Quản trị Du lịch &amp; Khách sạn</v>
      </c>
      <c r="H30" s="1" t="str">
        <f ca="1">IFERROR(__xludf.DUMMYFUNCTION("""COMPUTED_VALUE"""),"K27")</f>
        <v>K27</v>
      </c>
      <c r="I30" s="1"/>
      <c r="J30" s="1" t="str">
        <f ca="1">IFERROR(__xludf.DUMMYFUNCTION("""COMPUTED_VALUE"""),"Chi phí Khoá Luận cao quá nên gia đình em không đủ khả năng ạ")</f>
        <v>Chi phí Khoá Luận cao quá nên gia đình em không đủ khả năng ạ</v>
      </c>
      <c r="K30" s="1" t="str">
        <f ca="1">IFERROR(__xludf.DUMMYFUNCTION("""COMPUTED_VALUE"""),"cam kết")</f>
        <v>cam kết</v>
      </c>
      <c r="L30" s="1" t="str">
        <f ca="1">IFERROR(__xludf.DUMMYFUNCTION("""COMPUTED_VALUE"""),"ĐÃ NỘP")</f>
        <v>ĐÃ NỘP</v>
      </c>
    </row>
    <row r="31" spans="1:12" x14ac:dyDescent="0.2">
      <c r="A31" s="6">
        <f ca="1">IFERROR(__xludf.DUMMYFUNCTION("""COMPUTED_VALUE"""),45699.4767447222)</f>
        <v>45699.476744722197</v>
      </c>
      <c r="B31" s="1"/>
      <c r="C31" s="1">
        <f ca="1">IFERROR(__xludf.DUMMYFUNCTION("""COMPUTED_VALUE"""),27207138525)</f>
        <v>27207138525</v>
      </c>
      <c r="D31" s="1" t="str">
        <f ca="1">IFERROR(__xludf.DUMMYFUNCTION("""COMPUTED_VALUE"""),"Đặng Thị Thuý Kiều ")</f>
        <v xml:space="preserve">Đặng Thị Thuý Kiều </v>
      </c>
      <c r="E31" s="4">
        <f ca="1">IFERROR(__xludf.DUMMYFUNCTION("""COMPUTED_VALUE"""),37685)</f>
        <v>37685</v>
      </c>
      <c r="F31" s="1" t="str">
        <f ca="1">IFERROR(__xludf.DUMMYFUNCTION("""COMPUTED_VALUE"""),"K27DLK3")</f>
        <v>K27DLK3</v>
      </c>
      <c r="G31" s="1" t="str">
        <f ca="1">IFERROR(__xludf.DUMMYFUNCTION("""COMPUTED_VALUE"""),"Quản trị Du lịch &amp; Khách sạn")</f>
        <v>Quản trị Du lịch &amp; Khách sạn</v>
      </c>
      <c r="H31" s="1" t="str">
        <f ca="1">IFERROR(__xludf.DUMMYFUNCTION("""COMPUTED_VALUE"""),"K27")</f>
        <v>K27</v>
      </c>
      <c r="I31" s="1"/>
      <c r="J31" s="1" t="str">
        <f ca="1">IFERROR(__xludf.DUMMYFUNCTION("""COMPUTED_VALUE"""),"Em thấy việc làm chuyên đề sẽ phù hợp với khả năng và nâng lực của em.")</f>
        <v>Em thấy việc làm chuyên đề sẽ phù hợp với khả năng và nâng lực của em.</v>
      </c>
      <c r="K31" s="1" t="str">
        <f ca="1">IFERROR(__xludf.DUMMYFUNCTION("""COMPUTED_VALUE"""),"cam kết")</f>
        <v>cam kết</v>
      </c>
      <c r="L31" s="1" t="str">
        <f ca="1">IFERROR(__xludf.DUMMYFUNCTION("""COMPUTED_VALUE"""),"ĐÃ NỘP")</f>
        <v>ĐÃ NỘP</v>
      </c>
    </row>
    <row r="32" spans="1:12" x14ac:dyDescent="0.2">
      <c r="A32" s="6">
        <f ca="1">IFERROR(__xludf.DUMMYFUNCTION("""COMPUTED_VALUE"""),45699.5123672916)</f>
        <v>45699.512367291602</v>
      </c>
      <c r="B32" s="1"/>
      <c r="C32" s="1">
        <f ca="1">IFERROR(__xludf.DUMMYFUNCTION("""COMPUTED_VALUE"""),27207146875)</f>
        <v>27207146875</v>
      </c>
      <c r="D32" s="1" t="str">
        <f ca="1">IFERROR(__xludf.DUMMYFUNCTION("""COMPUTED_VALUE"""),"Võ Thị Y Ngân")</f>
        <v>Võ Thị Y Ngân</v>
      </c>
      <c r="E32" s="4">
        <f ca="1">IFERROR(__xludf.DUMMYFUNCTION("""COMPUTED_VALUE"""),37731)</f>
        <v>37731</v>
      </c>
      <c r="F32" s="1" t="str">
        <f ca="1">IFERROR(__xludf.DUMMYFUNCTION("""COMPUTED_VALUE"""),"K27DLK7")</f>
        <v>K27DLK7</v>
      </c>
      <c r="G32" s="1" t="str">
        <f ca="1">IFERROR(__xludf.DUMMYFUNCTION("""COMPUTED_VALUE"""),"Quản trị Du lịch &amp; Khách sạn")</f>
        <v>Quản trị Du lịch &amp; Khách sạn</v>
      </c>
      <c r="H32" s="1" t="str">
        <f ca="1">IFERROR(__xludf.DUMMYFUNCTION("""COMPUTED_VALUE"""),"K27")</f>
        <v>K27</v>
      </c>
      <c r="I32" s="1"/>
      <c r="J32" s="1" t="str">
        <f ca="1">IFERROR(__xludf.DUMMYFUNCTION("""COMPUTED_VALUE"""),"Không có khả năng làm khoá luận")</f>
        <v>Không có khả năng làm khoá luận</v>
      </c>
      <c r="K32" s="1" t="str">
        <f ca="1">IFERROR(__xludf.DUMMYFUNCTION("""COMPUTED_VALUE"""),"cam kết")</f>
        <v>cam kết</v>
      </c>
      <c r="L32" s="1" t="str">
        <f ca="1">IFERROR(__xludf.DUMMYFUNCTION("""COMPUTED_VALUE"""),"ĐÃ NỘP")</f>
        <v>ĐÃ NỘP</v>
      </c>
    </row>
    <row r="33" spans="1:12" x14ac:dyDescent="0.2">
      <c r="A33" s="6">
        <f ca="1">IFERROR(__xludf.DUMMYFUNCTION("""COMPUTED_VALUE"""),45699.5205317361)</f>
        <v>45699.520531736103</v>
      </c>
      <c r="B33" s="1"/>
      <c r="C33" s="1">
        <f ca="1">IFERROR(__xludf.DUMMYFUNCTION("""COMPUTED_VALUE"""),27207103184)</f>
        <v>27207103184</v>
      </c>
      <c r="D33" s="1" t="str">
        <f ca="1">IFERROR(__xludf.DUMMYFUNCTION("""COMPUTED_VALUE"""),"Trần Thị Kiều Duyên")</f>
        <v>Trần Thị Kiều Duyên</v>
      </c>
      <c r="E33" s="4">
        <f ca="1">IFERROR(__xludf.DUMMYFUNCTION("""COMPUTED_VALUE"""),37902)</f>
        <v>37902</v>
      </c>
      <c r="F33" s="1" t="str">
        <f ca="1">IFERROR(__xludf.DUMMYFUNCTION("""COMPUTED_VALUE"""),"K27DLK7")</f>
        <v>K27DLK7</v>
      </c>
      <c r="G33" s="1" t="str">
        <f ca="1">IFERROR(__xludf.DUMMYFUNCTION("""COMPUTED_VALUE"""),"Quản trị Du lịch &amp; Khách sạn")</f>
        <v>Quản trị Du lịch &amp; Khách sạn</v>
      </c>
      <c r="H33" s="1" t="str">
        <f ca="1">IFERROR(__xludf.DUMMYFUNCTION("""COMPUTED_VALUE"""),"K27")</f>
        <v>K27</v>
      </c>
      <c r="I33" s="1"/>
      <c r="J33" s="1" t="str">
        <f ca="1">IFERROR(__xludf.DUMMYFUNCTION("""COMPUTED_VALUE"""),"Em chưa có kinh nghiệm trong việc nghiên cứu khoa học, nên em không đủ tự tin và khả năng để làm một Khoá luận có phạm vi nghiên cứu rộng. Thêm vào đó em có vài tín chỉ chưa học xong ở trường và đi thực tập 6 ngày/tuần nên không có đủ thời gian để đảm bảo"&amp;" chất lượng cho Khoá luận")</f>
        <v>Em chưa có kinh nghiệm trong việc nghiên cứu khoa học, nên em không đủ tự tin và khả năng để làm một Khoá luận có phạm vi nghiên cứu rộng. Thêm vào đó em có vài tín chỉ chưa học xong ở trường và đi thực tập 6 ngày/tuần nên không có đủ thời gian để đảm bảo chất lượng cho Khoá luận</v>
      </c>
      <c r="K33" s="1" t="str">
        <f ca="1">IFERROR(__xludf.DUMMYFUNCTION("""COMPUTED_VALUE"""),"cam kết")</f>
        <v>cam kết</v>
      </c>
      <c r="L33" s="1" t="str">
        <f ca="1">IFERROR(__xludf.DUMMYFUNCTION("""COMPUTED_VALUE"""),"ĐÃ NỘP")</f>
        <v>ĐÃ NỘP</v>
      </c>
    </row>
    <row r="34" spans="1:12" x14ac:dyDescent="0.2">
      <c r="A34" s="6">
        <f ca="1">IFERROR(__xludf.DUMMYFUNCTION("""COMPUTED_VALUE"""),45699.5882004398)</f>
        <v>45699.588200439801</v>
      </c>
      <c r="B34" s="1"/>
      <c r="C34" s="1">
        <f ca="1">IFERROR(__xludf.DUMMYFUNCTION("""COMPUTED_VALUE"""),27207147747)</f>
        <v>27207147747</v>
      </c>
      <c r="D34" s="1" t="str">
        <f ca="1">IFERROR(__xludf.DUMMYFUNCTION("""COMPUTED_VALUE"""),"Nguyễn Thu Phương")</f>
        <v>Nguyễn Thu Phương</v>
      </c>
      <c r="E34" s="4">
        <f ca="1">IFERROR(__xludf.DUMMYFUNCTION("""COMPUTED_VALUE"""),37879)</f>
        <v>37879</v>
      </c>
      <c r="F34" s="1" t="str">
        <f ca="1">IFERROR(__xludf.DUMMYFUNCTION("""COMPUTED_VALUE"""),"K27DLK7")</f>
        <v>K27DLK7</v>
      </c>
      <c r="G34" s="1" t="str">
        <f ca="1">IFERROR(__xludf.DUMMYFUNCTION("""COMPUTED_VALUE"""),"Quản trị Du lịch &amp; Khách sạn")</f>
        <v>Quản trị Du lịch &amp; Khách sạn</v>
      </c>
      <c r="H34" s="1" t="str">
        <f ca="1">IFERROR(__xludf.DUMMYFUNCTION("""COMPUTED_VALUE"""),"K27")</f>
        <v>K27</v>
      </c>
      <c r="I34" s="1"/>
      <c r="J34" s="1" t="str">
        <f ca="1">IFERROR(__xludf.DUMMYFUNCTION("""COMPUTED_VALUE"""),"Không có khả năng làm Khoá luận ")</f>
        <v xml:space="preserve">Không có khả năng làm Khoá luận </v>
      </c>
      <c r="K34" s="1" t="str">
        <f ca="1">IFERROR(__xludf.DUMMYFUNCTION("""COMPUTED_VALUE"""),"cam kết")</f>
        <v>cam kết</v>
      </c>
      <c r="L34" s="1" t="str">
        <f ca="1">IFERROR(__xludf.DUMMYFUNCTION("""COMPUTED_VALUE"""),"ĐÃ NỘP")</f>
        <v>ĐÃ NỘP</v>
      </c>
    </row>
    <row r="35" spans="1:12" x14ac:dyDescent="0.2">
      <c r="A35" s="6">
        <f ca="1">IFERROR(__xludf.DUMMYFUNCTION("""COMPUTED_VALUE"""),45699.5997059606)</f>
        <v>45699.599705960602</v>
      </c>
      <c r="B35" s="1"/>
      <c r="C35" s="1">
        <f ca="1">IFERROR(__xludf.DUMMYFUNCTION("""COMPUTED_VALUE"""),27207120272)</f>
        <v>27207120272</v>
      </c>
      <c r="D35" s="1" t="str">
        <f ca="1">IFERROR(__xludf.DUMMYFUNCTION("""COMPUTED_VALUE"""),"Nguyễn Thị Hồng Vân")</f>
        <v>Nguyễn Thị Hồng Vân</v>
      </c>
      <c r="E35" s="4">
        <f ca="1">IFERROR(__xludf.DUMMYFUNCTION("""COMPUTED_VALUE"""),37939)</f>
        <v>37939</v>
      </c>
      <c r="F35" s="1" t="str">
        <f ca="1">IFERROR(__xludf.DUMMYFUNCTION("""COMPUTED_VALUE"""),"K27DLK1")</f>
        <v>K27DLK1</v>
      </c>
      <c r="G35" s="1" t="str">
        <f ca="1">IFERROR(__xludf.DUMMYFUNCTION("""COMPUTED_VALUE"""),"Quản trị Du lịch &amp; Khách sạn")</f>
        <v>Quản trị Du lịch &amp; Khách sạn</v>
      </c>
      <c r="H35" s="1" t="str">
        <f ca="1">IFERROR(__xludf.DUMMYFUNCTION("""COMPUTED_VALUE"""),"K27")</f>
        <v>K27</v>
      </c>
      <c r="I35" s="1"/>
      <c r="J35" s="1" t="str">
        <f ca="1">IFERROR(__xludf.DUMMYFUNCTION("""COMPUTED_VALUE"""),"Vì gia đình em khó khăn không đủ kinh phí chi trả")</f>
        <v>Vì gia đình em khó khăn không đủ kinh phí chi trả</v>
      </c>
      <c r="K35" s="1" t="str">
        <f ca="1">IFERROR(__xludf.DUMMYFUNCTION("""COMPUTED_VALUE"""),"cam kết")</f>
        <v>cam kết</v>
      </c>
      <c r="L35" s="1" t="str">
        <f ca="1">IFERROR(__xludf.DUMMYFUNCTION("""COMPUTED_VALUE"""),"ĐÃ NỘP")</f>
        <v>ĐÃ NỘP</v>
      </c>
    </row>
    <row r="36" spans="1:12" x14ac:dyDescent="0.2">
      <c r="A36" s="6">
        <f ca="1">IFERROR(__xludf.DUMMYFUNCTION("""COMPUTED_VALUE"""),45699.6048733796)</f>
        <v>45699.604873379598</v>
      </c>
      <c r="B36" s="1"/>
      <c r="C36" s="1">
        <f ca="1">IFERROR(__xludf.DUMMYFUNCTION("""COMPUTED_VALUE"""),27217130749)</f>
        <v>27217130749</v>
      </c>
      <c r="D36" s="1" t="str">
        <f ca="1">IFERROR(__xludf.DUMMYFUNCTION("""COMPUTED_VALUE"""),"Vương Khánh Duy Anh")</f>
        <v>Vương Khánh Duy Anh</v>
      </c>
      <c r="E36" s="4">
        <f ca="1">IFERROR(__xludf.DUMMYFUNCTION("""COMPUTED_VALUE"""),37813)</f>
        <v>37813</v>
      </c>
      <c r="F36" s="1" t="str">
        <f ca="1">IFERROR(__xludf.DUMMYFUNCTION("""COMPUTED_VALUE"""),"K27DLK3")</f>
        <v>K27DLK3</v>
      </c>
      <c r="G36" s="1" t="str">
        <f ca="1">IFERROR(__xludf.DUMMYFUNCTION("""COMPUTED_VALUE"""),"Quản trị Du lịch &amp; Khách sạn")</f>
        <v>Quản trị Du lịch &amp; Khách sạn</v>
      </c>
      <c r="H36" s="1" t="str">
        <f ca="1">IFERROR(__xludf.DUMMYFUNCTION("""COMPUTED_VALUE"""),"K27")</f>
        <v>K27</v>
      </c>
      <c r="I36" s="1"/>
      <c r="J36" s="1" t="str">
        <f ca="1">IFERROR(__xludf.DUMMYFUNCTION("""COMPUTED_VALUE"""),"Do khối lượng công việc, thực tập, thời gian ôn luyện thi các chứng chỉ liên quan và một vài lý do cá nhân, em không thể đảm bảo thời gian để thực hiện một khóa luận đầy đủ theo yêu cầu nghiên cứu sâu và phân tích phức tạp.")</f>
        <v>Do khối lượng công việc, thực tập, thời gian ôn luyện thi các chứng chỉ liên quan và một vài lý do cá nhân, em không thể đảm bảo thời gian để thực hiện một khóa luận đầy đủ theo yêu cầu nghiên cứu sâu và phân tích phức tạp.</v>
      </c>
      <c r="K36" s="1" t="str">
        <f ca="1">IFERROR(__xludf.DUMMYFUNCTION("""COMPUTED_VALUE"""),"cam kết")</f>
        <v>cam kết</v>
      </c>
      <c r="L36" s="1" t="str">
        <f ca="1">IFERROR(__xludf.DUMMYFUNCTION("""COMPUTED_VALUE"""),"ĐÃ NỘP")</f>
        <v>ĐÃ NỘP</v>
      </c>
    </row>
    <row r="37" spans="1:12" x14ac:dyDescent="0.2">
      <c r="A37" s="6">
        <f ca="1">IFERROR(__xludf.DUMMYFUNCTION("""COMPUTED_VALUE"""),45699.6075497222)</f>
        <v>45699.607549722197</v>
      </c>
      <c r="B37" s="1"/>
      <c r="C37" s="1">
        <f ca="1">IFERROR(__xludf.DUMMYFUNCTION("""COMPUTED_VALUE"""),27207141358)</f>
        <v>27207141358</v>
      </c>
      <c r="D37" s="1" t="str">
        <f ca="1">IFERROR(__xludf.DUMMYFUNCTION("""COMPUTED_VALUE"""),"Trần Lê Lan Hương")</f>
        <v>Trần Lê Lan Hương</v>
      </c>
      <c r="E37" s="4">
        <f ca="1">IFERROR(__xludf.DUMMYFUNCTION("""COMPUTED_VALUE"""),37677)</f>
        <v>37677</v>
      </c>
      <c r="F37" s="1" t="str">
        <f ca="1">IFERROR(__xludf.DUMMYFUNCTION("""COMPUTED_VALUE"""),"K27DLK 7")</f>
        <v>K27DLK 7</v>
      </c>
      <c r="G37" s="1" t="str">
        <f ca="1">IFERROR(__xludf.DUMMYFUNCTION("""COMPUTED_VALUE"""),"Quản trị Du lịch &amp; Khách sạn")</f>
        <v>Quản trị Du lịch &amp; Khách sạn</v>
      </c>
      <c r="H37" s="1" t="str">
        <f ca="1">IFERROR(__xludf.DUMMYFUNCTION("""COMPUTED_VALUE"""),"K27")</f>
        <v>K27</v>
      </c>
      <c r="I37" s="1"/>
      <c r="J37" s="1" t="str">
        <f ca="1">IFERROR(__xludf.DUMMYFUNCTION("""COMPUTED_VALUE"""),"Em chưa đủ khả năng để bảo vệ Khoá luận nên xin phép khoa chuyển hình thức từ Khoá luận sang Chuyên đề")</f>
        <v>Em chưa đủ khả năng để bảo vệ Khoá luận nên xin phép khoa chuyển hình thức từ Khoá luận sang Chuyên đề</v>
      </c>
      <c r="K37" s="1" t="str">
        <f ca="1">IFERROR(__xludf.DUMMYFUNCTION("""COMPUTED_VALUE"""),"cam kết")</f>
        <v>cam kết</v>
      </c>
      <c r="L37" s="1" t="str">
        <f ca="1">IFERROR(__xludf.DUMMYFUNCTION("""COMPUTED_VALUE"""),"ĐÃ NỘP")</f>
        <v>ĐÃ NỘP</v>
      </c>
    </row>
    <row r="38" spans="1:12" x14ac:dyDescent="0.2">
      <c r="A38" s="6">
        <f ca="1">IFERROR(__xludf.DUMMYFUNCTION("""COMPUTED_VALUE"""),45699.6191432291)</f>
        <v>45699.619143229102</v>
      </c>
      <c r="B38" s="1"/>
      <c r="C38" s="1">
        <f ca="1">IFERROR(__xludf.DUMMYFUNCTION("""COMPUTED_VALUE"""),27207101634)</f>
        <v>27207101634</v>
      </c>
      <c r="D38" s="1" t="str">
        <f ca="1">IFERROR(__xludf.DUMMYFUNCTION("""COMPUTED_VALUE"""),"Lê Thị Trà My")</f>
        <v>Lê Thị Trà My</v>
      </c>
      <c r="E38" s="4">
        <f ca="1">IFERROR(__xludf.DUMMYFUNCTION("""COMPUTED_VALUE"""),37726)</f>
        <v>37726</v>
      </c>
      <c r="F38" s="1" t="str">
        <f ca="1">IFERROR(__xludf.DUMMYFUNCTION("""COMPUTED_VALUE"""),"K27DLK1")</f>
        <v>K27DLK1</v>
      </c>
      <c r="G38" s="1" t="str">
        <f ca="1">IFERROR(__xludf.DUMMYFUNCTION("""COMPUTED_VALUE"""),"Quản trị Du lịch &amp; Khách sạn")</f>
        <v>Quản trị Du lịch &amp; Khách sạn</v>
      </c>
      <c r="H38" s="1" t="str">
        <f ca="1">IFERROR(__xludf.DUMMYFUNCTION("""COMPUTED_VALUE"""),"K27")</f>
        <v>K27</v>
      </c>
      <c r="I38" s="1"/>
      <c r="J38" s="1" t="str">
        <f ca="1">IFERROR(__xludf.DUMMYFUNCTION("""COMPUTED_VALUE"""),"Tài chính gia đình em không đáp ứng để làm khóa luận")</f>
        <v>Tài chính gia đình em không đáp ứng để làm khóa luận</v>
      </c>
      <c r="K38" s="1" t="str">
        <f ca="1">IFERROR(__xludf.DUMMYFUNCTION("""COMPUTED_VALUE"""),"cam kết")</f>
        <v>cam kết</v>
      </c>
      <c r="L38" s="1" t="str">
        <f ca="1">IFERROR(__xludf.DUMMYFUNCTION("""COMPUTED_VALUE"""),"ĐÃ NỘP")</f>
        <v>ĐÃ NỘP</v>
      </c>
    </row>
    <row r="39" spans="1:12" x14ac:dyDescent="0.2">
      <c r="A39" s="6">
        <f ca="1">IFERROR(__xludf.DUMMYFUNCTION("""COMPUTED_VALUE"""),45699.6531897453)</f>
        <v>45699.653189745302</v>
      </c>
      <c r="B39" s="1"/>
      <c r="C39" s="1">
        <f ca="1">IFERROR(__xludf.DUMMYFUNCTION("""COMPUTED_VALUE"""),27207133010)</f>
        <v>27207133010</v>
      </c>
      <c r="D39" s="1" t="str">
        <f ca="1">IFERROR(__xludf.DUMMYFUNCTION("""COMPUTED_VALUE"""),"Nguyễn Thị Kim Yến ")</f>
        <v xml:space="preserve">Nguyễn Thị Kim Yến </v>
      </c>
      <c r="E39" s="4">
        <f ca="1">IFERROR(__xludf.DUMMYFUNCTION("""COMPUTED_VALUE"""),37952)</f>
        <v>37952</v>
      </c>
      <c r="F39" s="1" t="str">
        <f ca="1">IFERROR(__xludf.DUMMYFUNCTION("""COMPUTED_VALUE"""),"K27DLK2")</f>
        <v>K27DLK2</v>
      </c>
      <c r="G39" s="1" t="str">
        <f ca="1">IFERROR(__xludf.DUMMYFUNCTION("""COMPUTED_VALUE"""),"Quản trị Du lịch &amp; Khách sạn")</f>
        <v>Quản trị Du lịch &amp; Khách sạn</v>
      </c>
      <c r="H39" s="1" t="str">
        <f ca="1">IFERROR(__xludf.DUMMYFUNCTION("""COMPUTED_VALUE"""),"K27")</f>
        <v>K27</v>
      </c>
      <c r="I39" s="1"/>
      <c r="J39" s="1" t="str">
        <f ca="1">IFERROR(__xludf.DUMMYFUNCTION("""COMPUTED_VALUE"""),"Cảm thấy bản thân em chưa đủ kiến thức chuyên sâu và năng lực để làm khoá luận")</f>
        <v>Cảm thấy bản thân em chưa đủ kiến thức chuyên sâu và năng lực để làm khoá luận</v>
      </c>
      <c r="K39" s="1" t="str">
        <f ca="1">IFERROR(__xludf.DUMMYFUNCTION("""COMPUTED_VALUE"""),"cam kết")</f>
        <v>cam kết</v>
      </c>
      <c r="L39" s="1" t="str">
        <f ca="1">IFERROR(__xludf.DUMMYFUNCTION("""COMPUTED_VALUE"""),"ĐÃ NỘP")</f>
        <v>ĐÃ NỘP</v>
      </c>
    </row>
    <row r="40" spans="1:12" x14ac:dyDescent="0.2">
      <c r="A40" s="6">
        <f ca="1">IFERROR(__xludf.DUMMYFUNCTION("""COMPUTED_VALUE"""),45699.6708113773)</f>
        <v>45699.670811377298</v>
      </c>
      <c r="B40" s="1"/>
      <c r="C40" s="1">
        <f ca="1">IFERROR(__xludf.DUMMYFUNCTION("""COMPUTED_VALUE"""),27217132620)</f>
        <v>27217132620</v>
      </c>
      <c r="D40" s="1" t="str">
        <f ca="1">IFERROR(__xludf.DUMMYFUNCTION("""COMPUTED_VALUE"""),"Nguyễn Minh Hoà")</f>
        <v>Nguyễn Minh Hoà</v>
      </c>
      <c r="E40" s="4">
        <f ca="1">IFERROR(__xludf.DUMMYFUNCTION("""COMPUTED_VALUE"""),37910)</f>
        <v>37910</v>
      </c>
      <c r="F40" s="1" t="str">
        <f ca="1">IFERROR(__xludf.DUMMYFUNCTION("""COMPUTED_VALUE"""),"K27PSUDLK2")</f>
        <v>K27PSUDLK2</v>
      </c>
      <c r="G40" s="1" t="str">
        <f ca="1">IFERROR(__xludf.DUMMYFUNCTION("""COMPUTED_VALUE"""),"Quản trị Du lịch &amp; Khách sạn chuẩn PSU")</f>
        <v>Quản trị Du lịch &amp; Khách sạn chuẩn PSU</v>
      </c>
      <c r="H40" s="1" t="str">
        <f ca="1">IFERROR(__xludf.DUMMYFUNCTION("""COMPUTED_VALUE"""),"K27")</f>
        <v>K27</v>
      </c>
      <c r="I40" s="1"/>
      <c r="J40" s="1" t="str">
        <f ca="1">IFERROR(__xludf.DUMMYFUNCTION("""COMPUTED_VALUE"""),"Vì Khoá luận cần nhiều thời gian và lượng kiến thức quá sâu rộng mà thời gian thực tập của em chiếm 6 ngày trong 1 tuần bản thân em không đủ khả băng để hoàn thành tốt khoá luận xuất sắc và hiện nay kinh tế gia đình không đủ điều kiện để thực hiện bài kho"&amp;"á luận bản thân em mong muốn được chuyển sang làm chuyên đề để hoàn thành tốt hơn và em mong khoa xét duyệt ạ ")</f>
        <v xml:space="preserve">Vì Khoá luận cần nhiều thời gian và lượng kiến thức quá sâu rộng mà thời gian thực tập của em chiếm 6 ngày trong 1 tuần bản thân em không đủ khả băng để hoàn thành tốt khoá luận xuất sắc và hiện nay kinh tế gia đình không đủ điều kiện để thực hiện bài khoá luận bản thân em mong muốn được chuyển sang làm chuyên đề để hoàn thành tốt hơn và em mong khoa xét duyệt ạ </v>
      </c>
      <c r="K40" s="1" t="str">
        <f ca="1">IFERROR(__xludf.DUMMYFUNCTION("""COMPUTED_VALUE"""),"cam kết")</f>
        <v>cam kết</v>
      </c>
      <c r="L40" s="1" t="str">
        <f ca="1">IFERROR(__xludf.DUMMYFUNCTION("""COMPUTED_VALUE"""),"ĐÃ NỘP")</f>
        <v>ĐÃ NỘP</v>
      </c>
    </row>
    <row r="41" spans="1:12" x14ac:dyDescent="0.2">
      <c r="A41" s="6">
        <f ca="1">IFERROR(__xludf.DUMMYFUNCTION("""COMPUTED_VALUE"""),45699.6758074189)</f>
        <v>45699.675807418898</v>
      </c>
      <c r="B41" s="1"/>
      <c r="C41" s="1">
        <f ca="1">IFERROR(__xludf.DUMMYFUNCTION("""COMPUTED_VALUE"""),27207128591)</f>
        <v>27207128591</v>
      </c>
      <c r="D41" s="1" t="str">
        <f ca="1">IFERROR(__xludf.DUMMYFUNCTION("""COMPUTED_VALUE"""),"Trương Thị Ngọc Lan")</f>
        <v>Trương Thị Ngọc Lan</v>
      </c>
      <c r="E41" s="4">
        <f ca="1">IFERROR(__xludf.DUMMYFUNCTION("""COMPUTED_VALUE"""),37758)</f>
        <v>37758</v>
      </c>
      <c r="F41" s="1" t="str">
        <f ca="1">IFERROR(__xludf.DUMMYFUNCTION("""COMPUTED_VALUE"""),"K27DLK2")</f>
        <v>K27DLK2</v>
      </c>
      <c r="G41" s="1" t="str">
        <f ca="1">IFERROR(__xludf.DUMMYFUNCTION("""COMPUTED_VALUE"""),"Quản trị Du lịch &amp; Khách sạn")</f>
        <v>Quản trị Du lịch &amp; Khách sạn</v>
      </c>
      <c r="H41" s="1" t="str">
        <f ca="1">IFERROR(__xludf.DUMMYFUNCTION("""COMPUTED_VALUE"""),"K27")</f>
        <v>K27</v>
      </c>
      <c r="I41" s="1"/>
      <c r="J41" s="1" t="str">
        <f ca="1">IFERROR(__xludf.DUMMYFUNCTION("""COMPUTED_VALUE"""),"Vì kinh tế suy thoái, ba mẹ cũng như gia đình em làm ăn khó khăn. Em đi thực tập song song đi làm kiếm được chút ít tiền để đóng học phí trang trải cuộc sống nhưng không đủ nhiều. Mong thầy cô giúp đỡ cho phép em xuống làm chuyên đề tốt nghiệp để hoàn thà"&amp;"nh chặng đường còn lại ạ.")</f>
        <v>Vì kinh tế suy thoái, ba mẹ cũng như gia đình em làm ăn khó khăn. Em đi thực tập song song đi làm kiếm được chút ít tiền để đóng học phí trang trải cuộc sống nhưng không đủ nhiều. Mong thầy cô giúp đỡ cho phép em xuống làm chuyên đề tốt nghiệp để hoàn thành chặng đường còn lại ạ.</v>
      </c>
      <c r="K41" s="1" t="str">
        <f ca="1">IFERROR(__xludf.DUMMYFUNCTION("""COMPUTED_VALUE"""),"cam kết")</f>
        <v>cam kết</v>
      </c>
      <c r="L41" s="1" t="str">
        <f ca="1">IFERROR(__xludf.DUMMYFUNCTION("""COMPUTED_VALUE"""),"ĐÃ NỘP")</f>
        <v>ĐÃ NỘP</v>
      </c>
    </row>
    <row r="42" spans="1:12" x14ac:dyDescent="0.2">
      <c r="A42" s="6">
        <f ca="1">IFERROR(__xludf.DUMMYFUNCTION("""COMPUTED_VALUE"""),45699.676213993)</f>
        <v>45699.676213993</v>
      </c>
      <c r="B42" s="1"/>
      <c r="C42" s="1">
        <f ca="1">IFERROR(__xludf.DUMMYFUNCTION("""COMPUTED_VALUE"""),26207142302)</f>
        <v>26207142302</v>
      </c>
      <c r="D42" s="1" t="str">
        <f ca="1">IFERROR(__xludf.DUMMYFUNCTION("""COMPUTED_VALUE"""),"Trần Thị Mi")</f>
        <v>Trần Thị Mi</v>
      </c>
      <c r="E42" s="4">
        <f ca="1">IFERROR(__xludf.DUMMYFUNCTION("""COMPUTED_VALUE"""),37576)</f>
        <v>37576</v>
      </c>
      <c r="F42" s="1" t="str">
        <f ca="1">IFERROR(__xludf.DUMMYFUNCTION("""COMPUTED_VALUE"""),"K27PSUDLK2")</f>
        <v>K27PSUDLK2</v>
      </c>
      <c r="G42" s="1" t="str">
        <f ca="1">IFERROR(__xludf.DUMMYFUNCTION("""COMPUTED_VALUE"""),"Quản trị Du lịch &amp; Khách sạn chuẩn PSU")</f>
        <v>Quản trị Du lịch &amp; Khách sạn chuẩn PSU</v>
      </c>
      <c r="H42" s="1" t="str">
        <f ca="1">IFERROR(__xludf.DUMMYFUNCTION("""COMPUTED_VALUE"""),"K27")</f>
        <v>K27</v>
      </c>
      <c r="I42" s="1"/>
      <c r="J42" s="1" t="str">
        <f ca="1">IFERROR(__xludf.DUMMYFUNCTION("""COMPUTED_VALUE"""),"cảm thấy chưa đủ khả năng nghiên cứu sâu để làm khoá luận")</f>
        <v>cảm thấy chưa đủ khả năng nghiên cứu sâu để làm khoá luận</v>
      </c>
      <c r="K42" s="1" t="str">
        <f ca="1">IFERROR(__xludf.DUMMYFUNCTION("""COMPUTED_VALUE"""),"cam kết")</f>
        <v>cam kết</v>
      </c>
      <c r="L42" s="1"/>
    </row>
    <row r="43" spans="1:12" x14ac:dyDescent="0.2">
      <c r="A43" s="6">
        <f ca="1">IFERROR(__xludf.DUMMYFUNCTION("""COMPUTED_VALUE"""),45699.6910429166)</f>
        <v>45699.691042916602</v>
      </c>
      <c r="B43" s="1"/>
      <c r="C43" s="1">
        <f ca="1">IFERROR(__xludf.DUMMYFUNCTION("""COMPUTED_VALUE"""),27217128728)</f>
        <v>27217128728</v>
      </c>
      <c r="D43" s="1" t="str">
        <f ca="1">IFERROR(__xludf.DUMMYFUNCTION("""COMPUTED_VALUE"""),"H'Trùng Mlô")</f>
        <v>H'Trùng Mlô</v>
      </c>
      <c r="E43" s="4">
        <f ca="1">IFERROR(__xludf.DUMMYFUNCTION("""COMPUTED_VALUE"""),37520)</f>
        <v>37520</v>
      </c>
      <c r="F43" s="1" t="str">
        <f ca="1">IFERROR(__xludf.DUMMYFUNCTION("""COMPUTED_VALUE"""),"K27DLK2")</f>
        <v>K27DLK2</v>
      </c>
      <c r="G43" s="1" t="str">
        <f ca="1">IFERROR(__xludf.DUMMYFUNCTION("""COMPUTED_VALUE"""),"Quản trị Du lịch &amp; Khách sạn")</f>
        <v>Quản trị Du lịch &amp; Khách sạn</v>
      </c>
      <c r="H43" s="1" t="str">
        <f ca="1">IFERROR(__xludf.DUMMYFUNCTION("""COMPUTED_VALUE"""),"K27")</f>
        <v>K27</v>
      </c>
      <c r="I43" s="1"/>
      <c r="J43" s="1" t="str">
        <f ca="1">IFERROR(__xludf.DUMMYFUNCTION("""COMPUTED_VALUE"""),"Lí do em muốn chuyển từ khóa luận Tốt nghiệp sang Chuyên đề Tốt nghiệp bởi vì là thời gian tới em vừa đang đi thực tập tốt nghiệp và đang học mấy môn chứng chỉ để ra trường. Song song với đó là em đang học tiềng và làm giấy tờ đề chuẩn bị đi Du học, vì ch"&amp;"uyên đề tốt nghiệp thường có khối lượng nhẹ hơn và cần ít thời gian hơn so với khóa luận tốt nghiệp nên việc lựa chọn chuyển sang làm chuyên đề giúp em có thể sắp xếp thời gian cho phù hợp nhất.")</f>
        <v>Lí do em muốn chuyển từ khóa luận Tốt nghiệp sang Chuyên đề Tốt nghiệp bởi vì là thời gian tới em vừa đang đi thực tập tốt nghiệp và đang học mấy môn chứng chỉ để ra trường. Song song với đó là em đang học tiềng và làm giấy tờ đề chuẩn bị đi Du học, vì chuyên đề tốt nghiệp thường có khối lượng nhẹ hơn và cần ít thời gian hơn so với khóa luận tốt nghiệp nên việc lựa chọn chuyển sang làm chuyên đề giúp em có thể sắp xếp thời gian cho phù hợp nhất.</v>
      </c>
      <c r="K43" s="1" t="str">
        <f ca="1">IFERROR(__xludf.DUMMYFUNCTION("""COMPUTED_VALUE"""),"cam kết")</f>
        <v>cam kết</v>
      </c>
      <c r="L43" s="1" t="str">
        <f ca="1">IFERROR(__xludf.DUMMYFUNCTION("""COMPUTED_VALUE"""),"ĐÃ NỘP")</f>
        <v>ĐÃ NỘP</v>
      </c>
    </row>
    <row r="44" spans="1:12" x14ac:dyDescent="0.2">
      <c r="A44" s="6">
        <f ca="1">IFERROR(__xludf.DUMMYFUNCTION("""COMPUTED_VALUE"""),45699.6971281134)</f>
        <v>45699.697128113403</v>
      </c>
      <c r="B44" s="1"/>
      <c r="C44" s="1">
        <f ca="1">IFERROR(__xludf.DUMMYFUNCTION("""COMPUTED_VALUE"""),27207120879)</f>
        <v>27207120879</v>
      </c>
      <c r="D44" s="1" t="str">
        <f ca="1">IFERROR(__xludf.DUMMYFUNCTION("""COMPUTED_VALUE"""),"Nguyễn Thị Thanh Thảo")</f>
        <v>Nguyễn Thị Thanh Thảo</v>
      </c>
      <c r="E44" s="4">
        <f ca="1">IFERROR(__xludf.DUMMYFUNCTION("""COMPUTED_VALUE"""),37883)</f>
        <v>37883</v>
      </c>
      <c r="F44" s="1" t="str">
        <f ca="1">IFERROR(__xludf.DUMMYFUNCTION("""COMPUTED_VALUE"""),"K27DLK2")</f>
        <v>K27DLK2</v>
      </c>
      <c r="G44" s="1" t="str">
        <f ca="1">IFERROR(__xludf.DUMMYFUNCTION("""COMPUTED_VALUE"""),"Quản trị Du lịch &amp; Khách sạn")</f>
        <v>Quản trị Du lịch &amp; Khách sạn</v>
      </c>
      <c r="H44" s="1" t="str">
        <f ca="1">IFERROR(__xludf.DUMMYFUNCTION("""COMPUTED_VALUE"""),"K27")</f>
        <v>K27</v>
      </c>
      <c r="I44" s="1"/>
      <c r="J44" s="1" t="str">
        <f ca="1">IFERROR(__xludf.DUMMYFUNCTION("""COMPUTED_VALUE"""),"Em cảm thấy không phù hợp và không chuyên về làm khoá luận.")</f>
        <v>Em cảm thấy không phù hợp và không chuyên về làm khoá luận.</v>
      </c>
      <c r="K44" s="1" t="str">
        <f ca="1">IFERROR(__xludf.DUMMYFUNCTION("""COMPUTED_VALUE"""),"cam kết")</f>
        <v>cam kết</v>
      </c>
      <c r="L44" s="1" t="str">
        <f ca="1">IFERROR(__xludf.DUMMYFUNCTION("""COMPUTED_VALUE"""),"ĐÃ NỘP")</f>
        <v>ĐÃ NỘP</v>
      </c>
    </row>
    <row r="45" spans="1:12" x14ac:dyDescent="0.2">
      <c r="A45" s="6">
        <f ca="1">IFERROR(__xludf.DUMMYFUNCTION("""COMPUTED_VALUE"""),45699.7120505439)</f>
        <v>45699.712050543902</v>
      </c>
      <c r="B45" s="1"/>
      <c r="C45" s="1">
        <f ca="1">IFERROR(__xludf.DUMMYFUNCTION("""COMPUTED_VALUE"""),27207103121)</f>
        <v>27207103121</v>
      </c>
      <c r="D45" s="1" t="str">
        <f ca="1">IFERROR(__xludf.DUMMYFUNCTION("""COMPUTED_VALUE"""),"Ngô Thị Ánh Quỳnh")</f>
        <v>Ngô Thị Ánh Quỳnh</v>
      </c>
      <c r="E45" s="4">
        <f ca="1">IFERROR(__xludf.DUMMYFUNCTION("""COMPUTED_VALUE"""),37719)</f>
        <v>37719</v>
      </c>
      <c r="F45" s="1" t="str">
        <f ca="1">IFERROR(__xludf.DUMMYFUNCTION("""COMPUTED_VALUE"""),"K27DLK1")</f>
        <v>K27DLK1</v>
      </c>
      <c r="G45" s="1" t="str">
        <f ca="1">IFERROR(__xludf.DUMMYFUNCTION("""COMPUTED_VALUE"""),"Quản trị Du lịch &amp; Khách sạn")</f>
        <v>Quản trị Du lịch &amp; Khách sạn</v>
      </c>
      <c r="H45" s="1" t="str">
        <f ca="1">IFERROR(__xludf.DUMMYFUNCTION("""COMPUTED_VALUE"""),"K27")</f>
        <v>K27</v>
      </c>
      <c r="I45" s="1"/>
      <c r="J45" s="1" t="str">
        <f ca="1">IFERROR(__xludf.DUMMYFUNCTION("""COMPUTED_VALUE"""),"Dạ em cảm thấy bản thân chưa đảm bảo kĩ năng và tư duy sâu để trình bày hoàn thành tốt một khoá luận hoàn chỉnh")</f>
        <v>Dạ em cảm thấy bản thân chưa đảm bảo kĩ năng và tư duy sâu để trình bày hoàn thành tốt một khoá luận hoàn chỉnh</v>
      </c>
      <c r="K45" s="1" t="str">
        <f ca="1">IFERROR(__xludf.DUMMYFUNCTION("""COMPUTED_VALUE"""),"cam kết")</f>
        <v>cam kết</v>
      </c>
      <c r="L45" s="1" t="str">
        <f ca="1">IFERROR(__xludf.DUMMYFUNCTION("""COMPUTED_VALUE"""),"ĐÃ NỘP")</f>
        <v>ĐÃ NỘP</v>
      </c>
    </row>
    <row r="46" spans="1:12" x14ac:dyDescent="0.2">
      <c r="A46" s="6">
        <f ca="1">IFERROR(__xludf.DUMMYFUNCTION("""COMPUTED_VALUE"""),45699.7130033101)</f>
        <v>45699.713003310098</v>
      </c>
      <c r="B46" s="1"/>
      <c r="C46" s="1">
        <f ca="1">IFERROR(__xludf.DUMMYFUNCTION("""COMPUTED_VALUE"""),27217127461)</f>
        <v>27217127461</v>
      </c>
      <c r="D46" s="1" t="str">
        <f ca="1">IFERROR(__xludf.DUMMYFUNCTION("""COMPUTED_VALUE"""),"Bùi Văn Lợi ")</f>
        <v xml:space="preserve">Bùi Văn Lợi </v>
      </c>
      <c r="E46" s="4">
        <f ca="1">IFERROR(__xludf.DUMMYFUNCTION("""COMPUTED_VALUE"""),37788)</f>
        <v>37788</v>
      </c>
      <c r="F46" s="1" t="str">
        <f ca="1">IFERROR(__xludf.DUMMYFUNCTION("""COMPUTED_VALUE"""),"K27DLK1")</f>
        <v>K27DLK1</v>
      </c>
      <c r="G46" s="1" t="str">
        <f ca="1">IFERROR(__xludf.DUMMYFUNCTION("""COMPUTED_VALUE"""),"Quản trị Du lịch &amp; Khách sạn")</f>
        <v>Quản trị Du lịch &amp; Khách sạn</v>
      </c>
      <c r="H46" s="1" t="str">
        <f ca="1">IFERROR(__xludf.DUMMYFUNCTION("""COMPUTED_VALUE"""),"K27")</f>
        <v>K27</v>
      </c>
      <c r="I46" s="1"/>
      <c r="J46" s="1" t="str">
        <f ca="1">IFERROR(__xludf.DUMMYFUNCTION("""COMPUTED_VALUE"""),"Thiếu kinh nghiệm ")</f>
        <v xml:space="preserve">Thiếu kinh nghiệm </v>
      </c>
      <c r="K46" s="1" t="str">
        <f ca="1">IFERROR(__xludf.DUMMYFUNCTION("""COMPUTED_VALUE"""),"cam kết")</f>
        <v>cam kết</v>
      </c>
      <c r="L46" s="1" t="str">
        <f ca="1">IFERROR(__xludf.DUMMYFUNCTION("""COMPUTED_VALUE"""),"ĐÃ NỘP")</f>
        <v>ĐÃ NỘP</v>
      </c>
    </row>
    <row r="47" spans="1:12" x14ac:dyDescent="0.2">
      <c r="A47" s="6">
        <f ca="1">IFERROR(__xludf.DUMMYFUNCTION("""COMPUTED_VALUE"""),45699.7499080902)</f>
        <v>45699.749908090198</v>
      </c>
      <c r="B47" s="1"/>
      <c r="C47" s="1">
        <f ca="1">IFERROR(__xludf.DUMMYFUNCTION("""COMPUTED_VALUE"""),26212932260)</f>
        <v>26212932260</v>
      </c>
      <c r="D47" s="1" t="str">
        <f ca="1">IFERROR(__xludf.DUMMYFUNCTION("""COMPUTED_VALUE"""),"Nguyễn Lê Anh Duy")</f>
        <v>Nguyễn Lê Anh Duy</v>
      </c>
      <c r="E47" s="4">
        <f ca="1">IFERROR(__xludf.DUMMYFUNCTION("""COMPUTED_VALUE"""),37609)</f>
        <v>37609</v>
      </c>
      <c r="F47" s="1" t="str">
        <f ca="1">IFERROR(__xludf.DUMMYFUNCTION("""COMPUTED_VALUE"""),"K26PSUDLK 1")</f>
        <v>K26PSUDLK 1</v>
      </c>
      <c r="G47" s="1" t="str">
        <f ca="1">IFERROR(__xludf.DUMMYFUNCTION("""COMPUTED_VALUE"""),"Quản trị Du lịch &amp; Khách sạn chuẩn PSU")</f>
        <v>Quản trị Du lịch &amp; Khách sạn chuẩn PSU</v>
      </c>
      <c r="H47" s="1" t="str">
        <f ca="1">IFERROR(__xludf.DUMMYFUNCTION("""COMPUTED_VALUE"""),"K26")</f>
        <v>K26</v>
      </c>
      <c r="I47" s="1"/>
      <c r="J47" s="1" t="str">
        <f ca="1">IFERROR(__xludf.DUMMYFUNCTION("""COMPUTED_VALUE"""),"Dạ em cảm thấy không đủ năng lực và thời gian nghiên cứu ạ")</f>
        <v>Dạ em cảm thấy không đủ năng lực và thời gian nghiên cứu ạ</v>
      </c>
      <c r="K47" s="1" t="str">
        <f ca="1">IFERROR(__xludf.DUMMYFUNCTION("""COMPUTED_VALUE"""),"cam kết")</f>
        <v>cam kết</v>
      </c>
      <c r="L47" s="1" t="str">
        <f ca="1">IFERROR(__xludf.DUMMYFUNCTION("""COMPUTED_VALUE"""),"ĐÃ NỘP")</f>
        <v>ĐÃ NỘP</v>
      </c>
    </row>
    <row r="48" spans="1:12" x14ac:dyDescent="0.2">
      <c r="A48" s="6">
        <f ca="1">IFERROR(__xludf.DUMMYFUNCTION("""COMPUTED_VALUE"""),45699.8132742129)</f>
        <v>45699.813274212902</v>
      </c>
      <c r="B48" s="1"/>
      <c r="C48" s="1">
        <f ca="1">IFERROR(__xludf.DUMMYFUNCTION("""COMPUTED_VALUE"""),27207122197)</f>
        <v>27207122197</v>
      </c>
      <c r="D48" s="1" t="str">
        <f ca="1">IFERROR(__xludf.DUMMYFUNCTION("""COMPUTED_VALUE"""),"Nguyễn Thị Ngọc Tứ")</f>
        <v>Nguyễn Thị Ngọc Tứ</v>
      </c>
      <c r="E48" s="4">
        <f ca="1">IFERROR(__xludf.DUMMYFUNCTION("""COMPUTED_VALUE"""),37684)</f>
        <v>37684</v>
      </c>
      <c r="F48" s="1" t="str">
        <f ca="1">IFERROR(__xludf.DUMMYFUNCTION("""COMPUTED_VALUE"""),"K27DLK3")</f>
        <v>K27DLK3</v>
      </c>
      <c r="G48" s="1" t="str">
        <f ca="1">IFERROR(__xludf.DUMMYFUNCTION("""COMPUTED_VALUE"""),"Quản trị Du lịch &amp; Khách sạn")</f>
        <v>Quản trị Du lịch &amp; Khách sạn</v>
      </c>
      <c r="H48" s="1" t="str">
        <f ca="1">IFERROR(__xludf.DUMMYFUNCTION("""COMPUTED_VALUE"""),"K27")</f>
        <v>K27</v>
      </c>
      <c r="I48" s="1"/>
      <c r="J48" s="1" t="str">
        <f ca="1">IFERROR(__xludf.DUMMYFUNCTION("""COMPUTED_VALUE"""),"Không đủ điều kiện tài chính ( Gia đình có mẹ bị bệnh nặng).")</f>
        <v>Không đủ điều kiện tài chính ( Gia đình có mẹ bị bệnh nặng).</v>
      </c>
      <c r="K48" s="1" t="str">
        <f ca="1">IFERROR(__xludf.DUMMYFUNCTION("""COMPUTED_VALUE"""),"cam kết")</f>
        <v>cam kết</v>
      </c>
      <c r="L48" s="1" t="str">
        <f ca="1">IFERROR(__xludf.DUMMYFUNCTION("""COMPUTED_VALUE"""),"ĐÃ NỘP")</f>
        <v>ĐÃ NỘP</v>
      </c>
    </row>
    <row r="49" spans="1:12" x14ac:dyDescent="0.2">
      <c r="A49" s="6">
        <f ca="1">IFERROR(__xludf.DUMMYFUNCTION("""COMPUTED_VALUE"""),45699.8906307523)</f>
        <v>45699.890630752299</v>
      </c>
      <c r="B49" s="1"/>
      <c r="C49" s="1">
        <f ca="1">IFERROR(__xludf.DUMMYFUNCTION("""COMPUTED_VALUE"""),27207100850)</f>
        <v>27207100850</v>
      </c>
      <c r="D49" s="1" t="str">
        <f ca="1">IFERROR(__xludf.DUMMYFUNCTION("""COMPUTED_VALUE"""),"DƯƠNG NGUYỄN KHÁNH GIANG ")</f>
        <v xml:space="preserve">DƯƠNG NGUYỄN KHÁNH GIANG </v>
      </c>
      <c r="E49" s="4">
        <f ca="1">IFERROR(__xludf.DUMMYFUNCTION("""COMPUTED_VALUE"""),37856)</f>
        <v>37856</v>
      </c>
      <c r="F49" s="1" t="str">
        <f ca="1">IFERROR(__xludf.DUMMYFUNCTION("""COMPUTED_VALUE"""),"K27DLK1")</f>
        <v>K27DLK1</v>
      </c>
      <c r="G49" s="1" t="str">
        <f ca="1">IFERROR(__xludf.DUMMYFUNCTION("""COMPUTED_VALUE"""),"Quản trị Du lịch &amp; Khách sạn")</f>
        <v>Quản trị Du lịch &amp; Khách sạn</v>
      </c>
      <c r="H49" s="1" t="str">
        <f ca="1">IFERROR(__xludf.DUMMYFUNCTION("""COMPUTED_VALUE"""),"K27")</f>
        <v>K27</v>
      </c>
      <c r="I49" s="1"/>
      <c r="J49" s="1" t="str">
        <f ca="1">IFERROR(__xludf.DUMMYFUNCTION("""COMPUTED_VALUE"""),"Em cảm thấy bản thân mình chưa có đủ kiến thức cũng như kỹ năng chuyên môn để hoàn thành khóa luận một cách tốt nhất, vì vậy em không thể nhận làm khóa luận trong đợt này.")</f>
        <v>Em cảm thấy bản thân mình chưa có đủ kiến thức cũng như kỹ năng chuyên môn để hoàn thành khóa luận một cách tốt nhất, vì vậy em không thể nhận làm khóa luận trong đợt này.</v>
      </c>
      <c r="K49" s="1" t="str">
        <f ca="1">IFERROR(__xludf.DUMMYFUNCTION("""COMPUTED_VALUE"""),"cam kết")</f>
        <v>cam kết</v>
      </c>
      <c r="L49" s="1" t="str">
        <f ca="1">IFERROR(__xludf.DUMMYFUNCTION("""COMPUTED_VALUE"""),"ĐÃ NỘP")</f>
        <v>ĐÃ NỘP</v>
      </c>
    </row>
    <row r="50" spans="1:12" x14ac:dyDescent="0.2">
      <c r="A50" s="6">
        <f ca="1">IFERROR(__xludf.DUMMYFUNCTION("""COMPUTED_VALUE"""),45699.9336950115)</f>
        <v>45699.933695011503</v>
      </c>
      <c r="B50" s="1"/>
      <c r="C50" s="1">
        <f ca="1">IFERROR(__xludf.DUMMYFUNCTION("""COMPUTED_VALUE"""),27217130071)</f>
        <v>27217130071</v>
      </c>
      <c r="D50" s="1" t="str">
        <f ca="1">IFERROR(__xludf.DUMMYFUNCTION("""COMPUTED_VALUE"""),"Trần Văn Tứ ")</f>
        <v xml:space="preserve">Trần Văn Tứ </v>
      </c>
      <c r="E50" s="4">
        <f ca="1">IFERROR(__xludf.DUMMYFUNCTION("""COMPUTED_VALUE"""),37926)</f>
        <v>37926</v>
      </c>
      <c r="F50" s="1" t="str">
        <f ca="1">IFERROR(__xludf.DUMMYFUNCTION("""COMPUTED_VALUE"""),"K27DLK1")</f>
        <v>K27DLK1</v>
      </c>
      <c r="G50" s="1" t="str">
        <f ca="1">IFERROR(__xludf.DUMMYFUNCTION("""COMPUTED_VALUE"""),"Quản trị Du lịch &amp; Khách sạn")</f>
        <v>Quản trị Du lịch &amp; Khách sạn</v>
      </c>
      <c r="H50" s="1" t="str">
        <f ca="1">IFERROR(__xludf.DUMMYFUNCTION("""COMPUTED_VALUE"""),"K27")</f>
        <v>K27</v>
      </c>
      <c r="I50" s="1"/>
      <c r="J50" s="1" t="str">
        <f ca="1">IFERROR(__xludf.DUMMYFUNCTION("""COMPUTED_VALUE"""),"Chi phí cho khoá luận cao quá nên gia đình em không đủ khả năng")</f>
        <v>Chi phí cho khoá luận cao quá nên gia đình em không đủ khả năng</v>
      </c>
      <c r="K50" s="1" t="str">
        <f ca="1">IFERROR(__xludf.DUMMYFUNCTION("""COMPUTED_VALUE"""),"cam kết")</f>
        <v>cam kết</v>
      </c>
      <c r="L50" s="1" t="str">
        <f ca="1">IFERROR(__xludf.DUMMYFUNCTION("""COMPUTED_VALUE"""),"ĐÃ NỘP")</f>
        <v>ĐÃ NỘP</v>
      </c>
    </row>
    <row r="51" spans="1:12" x14ac:dyDescent="0.2">
      <c r="A51" s="1"/>
      <c r="B51" s="1"/>
      <c r="C51" s="1"/>
      <c r="D51" s="1"/>
      <c r="E51" s="1"/>
      <c r="F51" s="1"/>
      <c r="G51" s="1"/>
      <c r="H51" s="1"/>
      <c r="I51" s="1"/>
      <c r="J51" s="1"/>
      <c r="K51" s="1"/>
      <c r="L51" s="1"/>
    </row>
    <row r="52" spans="1:12" x14ac:dyDescent="0.2">
      <c r="A52" s="1"/>
      <c r="B52" s="1"/>
      <c r="C52" s="1"/>
      <c r="D52" s="1"/>
      <c r="E52" s="1"/>
      <c r="F52" s="1"/>
      <c r="G52" s="1"/>
      <c r="H52" s="1"/>
      <c r="I52" s="1"/>
      <c r="J52" s="1"/>
      <c r="K52" s="1"/>
      <c r="L52" s="1"/>
    </row>
    <row r="53" spans="1:12" x14ac:dyDescent="0.2">
      <c r="A53" s="1"/>
      <c r="B53" s="1"/>
      <c r="C53" s="1"/>
      <c r="D53" s="1"/>
      <c r="E53" s="1"/>
      <c r="F53" s="1"/>
      <c r="G53" s="1"/>
      <c r="H53" s="1"/>
      <c r="I53" s="1"/>
      <c r="J53" s="1"/>
      <c r="K53" s="1"/>
      <c r="L53" s="1"/>
    </row>
    <row r="54" spans="1:12" x14ac:dyDescent="0.2">
      <c r="A54" s="1"/>
      <c r="B54" s="1"/>
      <c r="C54" s="1"/>
      <c r="D54" s="1"/>
      <c r="E54" s="1"/>
      <c r="F54" s="1"/>
      <c r="G54" s="1"/>
      <c r="H54" s="1"/>
      <c r="I54" s="1"/>
      <c r="J54" s="1"/>
      <c r="K54" s="1"/>
      <c r="L54" s="1"/>
    </row>
    <row r="55" spans="1:12" x14ac:dyDescent="0.2">
      <c r="A55" s="1"/>
      <c r="B55" s="1"/>
      <c r="C55" s="1"/>
      <c r="D55" s="1"/>
      <c r="E55" s="1"/>
      <c r="F55" s="1"/>
      <c r="G55" s="1"/>
      <c r="H55" s="1"/>
      <c r="I55" s="1"/>
      <c r="J55" s="1"/>
      <c r="K55" s="1"/>
      <c r="L55" s="1"/>
    </row>
    <row r="56" spans="1:12" x14ac:dyDescent="0.2">
      <c r="A56" s="1"/>
      <c r="B56" s="1"/>
      <c r="C56" s="1"/>
      <c r="D56" s="1"/>
      <c r="E56" s="1"/>
      <c r="F56" s="1"/>
      <c r="G56" s="1"/>
      <c r="H56" s="1"/>
      <c r="I56" s="1"/>
      <c r="J56" s="1"/>
      <c r="K56" s="1"/>
      <c r="L56" s="1"/>
    </row>
    <row r="57" spans="1:12" x14ac:dyDescent="0.2">
      <c r="A57" s="1"/>
      <c r="B57" s="1"/>
      <c r="C57" s="1"/>
      <c r="D57" s="1"/>
      <c r="E57" s="1"/>
      <c r="F57" s="1"/>
      <c r="G57" s="1"/>
      <c r="H57" s="1"/>
      <c r="I57" s="1"/>
      <c r="J57" s="1"/>
      <c r="K57" s="1"/>
      <c r="L57" s="1"/>
    </row>
    <row r="58" spans="1:12" x14ac:dyDescent="0.2">
      <c r="A58" s="1"/>
      <c r="B58" s="1"/>
      <c r="C58" s="1"/>
      <c r="D58" s="1"/>
      <c r="E58" s="1"/>
      <c r="F58" s="1"/>
      <c r="G58" s="1"/>
      <c r="H58" s="1"/>
      <c r="I58" s="1"/>
      <c r="J58" s="1"/>
      <c r="K58" s="1"/>
      <c r="L58" s="1"/>
    </row>
    <row r="59" spans="1:12" x14ac:dyDescent="0.2">
      <c r="A59" s="1"/>
      <c r="B59" s="1"/>
      <c r="C59" s="1"/>
      <c r="D59" s="1"/>
      <c r="E59" s="1"/>
      <c r="F59" s="1"/>
      <c r="G59" s="1"/>
      <c r="H59" s="1"/>
      <c r="I59" s="1"/>
      <c r="J59" s="1"/>
      <c r="K59" s="1"/>
      <c r="L59" s="1"/>
    </row>
    <row r="60" spans="1:12" x14ac:dyDescent="0.2">
      <c r="A60" s="1"/>
      <c r="B60" s="1"/>
      <c r="C60" s="1"/>
      <c r="D60" s="1"/>
      <c r="E60" s="1"/>
      <c r="F60" s="1"/>
      <c r="G60" s="1"/>
      <c r="H60" s="1"/>
      <c r="I60" s="1"/>
      <c r="J60" s="1"/>
      <c r="K60" s="1"/>
      <c r="L60" s="1"/>
    </row>
    <row r="61" spans="1:12" x14ac:dyDescent="0.2">
      <c r="A61" s="1"/>
      <c r="B61" s="1"/>
      <c r="C61" s="1"/>
      <c r="D61" s="1"/>
      <c r="E61" s="1"/>
      <c r="F61" s="1"/>
      <c r="G61" s="1"/>
      <c r="H61" s="1"/>
      <c r="I61" s="1"/>
      <c r="J61" s="1"/>
      <c r="K61" s="1"/>
      <c r="L61" s="1"/>
    </row>
    <row r="62" spans="1:12" x14ac:dyDescent="0.2">
      <c r="A62" s="1"/>
      <c r="B62" s="1"/>
      <c r="C62" s="1"/>
      <c r="D62" s="1"/>
      <c r="E62" s="1"/>
      <c r="F62" s="1"/>
      <c r="G62" s="1"/>
      <c r="H62" s="1"/>
      <c r="I62" s="1"/>
      <c r="J62" s="1"/>
      <c r="K62" s="1"/>
      <c r="L62" s="1"/>
    </row>
    <row r="63" spans="1:12" x14ac:dyDescent="0.2">
      <c r="A63" s="1"/>
      <c r="B63" s="1"/>
      <c r="C63" s="1"/>
      <c r="D63" s="1"/>
      <c r="E63" s="1"/>
      <c r="F63" s="1"/>
      <c r="G63" s="1"/>
      <c r="H63" s="1"/>
      <c r="I63" s="1"/>
      <c r="J63" s="1"/>
      <c r="K63" s="1"/>
      <c r="L63" s="1"/>
    </row>
    <row r="64" spans="1:12" x14ac:dyDescent="0.2">
      <c r="A64" s="1"/>
      <c r="B64" s="1"/>
      <c r="C64" s="1"/>
      <c r="D64" s="1"/>
      <c r="E64" s="1"/>
      <c r="F64" s="1"/>
      <c r="G64" s="1"/>
      <c r="H64" s="1"/>
      <c r="I64" s="1"/>
      <c r="J64" s="1"/>
      <c r="K64" s="1"/>
      <c r="L64" s="1"/>
    </row>
    <row r="65" spans="1:12" x14ac:dyDescent="0.2">
      <c r="A65" s="1"/>
      <c r="B65" s="1"/>
      <c r="C65" s="1"/>
      <c r="D65" s="1"/>
      <c r="E65" s="1"/>
      <c r="F65" s="1"/>
      <c r="G65" s="1"/>
      <c r="H65" s="1"/>
      <c r="I65" s="1"/>
      <c r="J65" s="1"/>
      <c r="K65" s="1"/>
      <c r="L65" s="1"/>
    </row>
    <row r="66" spans="1:12" x14ac:dyDescent="0.2">
      <c r="A66" s="1"/>
      <c r="B66" s="1"/>
      <c r="C66" s="1"/>
      <c r="D66" s="1"/>
      <c r="E66" s="1"/>
      <c r="F66" s="1"/>
      <c r="G66" s="1"/>
      <c r="H66" s="1"/>
      <c r="I66" s="1"/>
      <c r="J66" s="1"/>
      <c r="K66" s="1"/>
      <c r="L66" s="1"/>
    </row>
    <row r="67" spans="1:12" x14ac:dyDescent="0.2">
      <c r="A67" s="1"/>
      <c r="B67" s="1"/>
      <c r="C67" s="1"/>
      <c r="D67" s="1"/>
      <c r="E67" s="1"/>
      <c r="F67" s="1"/>
      <c r="G67" s="1"/>
      <c r="H67" s="1"/>
      <c r="I67" s="1"/>
      <c r="J67" s="1"/>
      <c r="K67" s="1"/>
      <c r="L67" s="1"/>
    </row>
    <row r="68" spans="1:12" x14ac:dyDescent="0.2">
      <c r="A68" s="1"/>
      <c r="B68" s="1"/>
      <c r="C68" s="1"/>
      <c r="D68" s="1"/>
      <c r="E68" s="1"/>
      <c r="F68" s="1"/>
      <c r="G68" s="1"/>
      <c r="H68" s="1"/>
      <c r="I68" s="1"/>
      <c r="J68" s="1"/>
      <c r="K68" s="1"/>
      <c r="L68" s="1"/>
    </row>
    <row r="69" spans="1:12" x14ac:dyDescent="0.2">
      <c r="A69" s="1"/>
      <c r="B69" s="1"/>
      <c r="C69" s="1"/>
      <c r="D69" s="1"/>
      <c r="E69" s="1"/>
      <c r="F69" s="1"/>
      <c r="G69" s="1"/>
      <c r="H69" s="1"/>
      <c r="I69" s="1"/>
      <c r="J69" s="1"/>
      <c r="K69" s="1"/>
      <c r="L69" s="1"/>
    </row>
    <row r="70" spans="1:12" x14ac:dyDescent="0.2">
      <c r="A70" s="1"/>
      <c r="B70" s="1"/>
      <c r="C70" s="1"/>
      <c r="D70" s="1"/>
      <c r="E70" s="1"/>
      <c r="F70" s="1"/>
      <c r="G70" s="1"/>
      <c r="H70" s="1"/>
      <c r="I70" s="1"/>
      <c r="J70" s="1"/>
      <c r="K70" s="1"/>
      <c r="L70" s="1"/>
    </row>
    <row r="71" spans="1:12" x14ac:dyDescent="0.2">
      <c r="A71" s="1"/>
      <c r="B71" s="1"/>
      <c r="C71" s="1"/>
      <c r="D71" s="1"/>
      <c r="E71" s="1"/>
      <c r="F71" s="1"/>
      <c r="G71" s="1"/>
      <c r="H71" s="1"/>
      <c r="I71" s="1"/>
      <c r="J71" s="1"/>
      <c r="K71" s="1"/>
      <c r="L71" s="1"/>
    </row>
    <row r="72" spans="1:12" x14ac:dyDescent="0.2">
      <c r="A72" s="1"/>
      <c r="B72" s="1"/>
      <c r="C72" s="1"/>
      <c r="D72" s="1"/>
      <c r="E72" s="1"/>
      <c r="F72" s="1"/>
      <c r="G72" s="1"/>
      <c r="H72" s="1"/>
      <c r="I72" s="1"/>
      <c r="J72" s="1"/>
      <c r="K72" s="1"/>
      <c r="L72" s="1"/>
    </row>
    <row r="73" spans="1:12" x14ac:dyDescent="0.2">
      <c r="A73" s="1"/>
      <c r="B73" s="1"/>
      <c r="C73" s="1"/>
      <c r="D73" s="1"/>
      <c r="E73" s="1"/>
      <c r="F73" s="1"/>
      <c r="G73" s="1"/>
      <c r="H73" s="1"/>
      <c r="I73" s="1"/>
      <c r="J73" s="1"/>
      <c r="K73" s="1"/>
      <c r="L73" s="1"/>
    </row>
    <row r="74" spans="1:12" x14ac:dyDescent="0.2">
      <c r="A74" s="1"/>
      <c r="B74" s="1"/>
      <c r="C74" s="1"/>
      <c r="D74" s="1"/>
      <c r="E74" s="1"/>
      <c r="F74" s="1"/>
      <c r="G74" s="1"/>
      <c r="H74" s="1"/>
      <c r="I74" s="1"/>
      <c r="J74" s="1"/>
      <c r="K74" s="1"/>
      <c r="L74" s="1"/>
    </row>
    <row r="75" spans="1:12" x14ac:dyDescent="0.2">
      <c r="A75" s="1"/>
      <c r="B75" s="1"/>
      <c r="C75" s="1"/>
      <c r="D75" s="1"/>
      <c r="E75" s="1"/>
      <c r="F75" s="1"/>
      <c r="G75" s="1"/>
      <c r="H75" s="1"/>
      <c r="I75" s="1"/>
      <c r="J75" s="1"/>
      <c r="K75" s="1"/>
      <c r="L75" s="1"/>
    </row>
    <row r="76" spans="1:12" x14ac:dyDescent="0.2">
      <c r="A76" s="1"/>
      <c r="B76" s="1"/>
      <c r="C76" s="1"/>
      <c r="D76" s="1"/>
      <c r="E76" s="1"/>
      <c r="F76" s="1"/>
      <c r="G76" s="1"/>
      <c r="H76" s="1"/>
      <c r="I76" s="1"/>
      <c r="J76" s="1"/>
      <c r="K76" s="1"/>
      <c r="L76" s="1"/>
    </row>
    <row r="77" spans="1:12" x14ac:dyDescent="0.2">
      <c r="A77" s="1"/>
      <c r="B77" s="1"/>
      <c r="C77" s="1"/>
      <c r="D77" s="1"/>
      <c r="E77" s="1"/>
      <c r="F77" s="1"/>
      <c r="G77" s="1"/>
      <c r="H77" s="1"/>
      <c r="I77" s="1"/>
      <c r="J77" s="1"/>
      <c r="K77" s="1"/>
      <c r="L77" s="1"/>
    </row>
    <row r="78" spans="1:12" x14ac:dyDescent="0.2">
      <c r="A78" s="1"/>
      <c r="B78" s="1"/>
      <c r="C78" s="1"/>
      <c r="D78" s="1"/>
      <c r="E78" s="1"/>
      <c r="F78" s="1"/>
      <c r="G78" s="1"/>
      <c r="H78" s="1"/>
      <c r="I78" s="1"/>
      <c r="J78" s="1"/>
      <c r="K78" s="1"/>
      <c r="L78" s="1"/>
    </row>
    <row r="79" spans="1:12" x14ac:dyDescent="0.2">
      <c r="A79" s="1"/>
      <c r="B79" s="1"/>
      <c r="C79" s="1"/>
      <c r="D79" s="1"/>
      <c r="E79" s="1"/>
      <c r="F79" s="1"/>
      <c r="G79" s="1"/>
      <c r="H79" s="1"/>
      <c r="I79" s="1"/>
      <c r="J79" s="1"/>
      <c r="K79" s="1"/>
      <c r="L79" s="1"/>
    </row>
    <row r="80" spans="1:12" x14ac:dyDescent="0.2">
      <c r="A80" s="1"/>
      <c r="B80" s="1"/>
      <c r="C80" s="1"/>
      <c r="D80" s="1"/>
      <c r="E80" s="1"/>
      <c r="F80" s="1"/>
      <c r="G80" s="1"/>
      <c r="H80" s="1"/>
      <c r="I80" s="1"/>
      <c r="J80" s="1"/>
      <c r="K80" s="1"/>
      <c r="L80" s="1"/>
    </row>
    <row r="81" spans="1:12" x14ac:dyDescent="0.2">
      <c r="A81" s="1"/>
      <c r="B81" s="1"/>
      <c r="C81" s="1"/>
      <c r="D81" s="1"/>
      <c r="E81" s="1"/>
      <c r="F81" s="1"/>
      <c r="G81" s="1"/>
      <c r="H81" s="1"/>
      <c r="I81" s="1"/>
      <c r="J81" s="1"/>
      <c r="K81" s="1"/>
      <c r="L81" s="1"/>
    </row>
    <row r="82" spans="1:12" x14ac:dyDescent="0.2">
      <c r="A82" s="1"/>
      <c r="B82" s="1"/>
      <c r="C82" s="1"/>
      <c r="D82" s="1"/>
      <c r="E82" s="1"/>
      <c r="F82" s="1"/>
      <c r="G82" s="1"/>
      <c r="H82" s="1"/>
      <c r="I82" s="1"/>
      <c r="J82" s="1"/>
      <c r="K82" s="1"/>
      <c r="L82" s="1"/>
    </row>
    <row r="83" spans="1:12" x14ac:dyDescent="0.2">
      <c r="A83" s="1"/>
      <c r="B83" s="1"/>
      <c r="C83" s="1"/>
      <c r="D83" s="1"/>
      <c r="E83" s="1"/>
      <c r="F83" s="1"/>
      <c r="G83" s="1"/>
      <c r="H83" s="1"/>
      <c r="I83" s="1"/>
      <c r="J83" s="1"/>
      <c r="K83" s="1"/>
      <c r="L83" s="1"/>
    </row>
    <row r="84" spans="1:12" x14ac:dyDescent="0.2">
      <c r="A84" s="1"/>
      <c r="B84" s="1"/>
      <c r="C84" s="1"/>
      <c r="D84" s="1"/>
      <c r="E84" s="1"/>
      <c r="F84" s="1"/>
      <c r="G84" s="1"/>
      <c r="H84" s="1"/>
      <c r="I84" s="1"/>
      <c r="J84" s="1"/>
      <c r="K84" s="1"/>
      <c r="L84" s="1"/>
    </row>
    <row r="85" spans="1:12" x14ac:dyDescent="0.2">
      <c r="A85" s="1"/>
      <c r="B85" s="1"/>
      <c r="C85" s="1"/>
      <c r="D85" s="1"/>
      <c r="E85" s="1"/>
      <c r="F85" s="1"/>
      <c r="G85" s="1"/>
      <c r="H85" s="1"/>
      <c r="I85" s="1"/>
      <c r="J85" s="1"/>
      <c r="K85" s="1"/>
      <c r="L85" s="1"/>
    </row>
    <row r="86" spans="1:12" x14ac:dyDescent="0.2">
      <c r="A86" s="1"/>
      <c r="B86" s="1"/>
      <c r="C86" s="1"/>
      <c r="D86" s="1"/>
      <c r="E86" s="1"/>
      <c r="F86" s="1"/>
      <c r="G86" s="1"/>
      <c r="H86" s="1"/>
      <c r="I86" s="1"/>
      <c r="J86" s="1"/>
      <c r="K86" s="1"/>
      <c r="L86" s="1"/>
    </row>
    <row r="87" spans="1:12" x14ac:dyDescent="0.2">
      <c r="A87" s="1"/>
      <c r="B87" s="1"/>
      <c r="C87" s="1"/>
      <c r="D87" s="1"/>
      <c r="E87" s="1"/>
      <c r="F87" s="1"/>
      <c r="G87" s="1"/>
      <c r="H87" s="1"/>
      <c r="I87" s="1"/>
      <c r="J87" s="1"/>
      <c r="K87" s="1"/>
      <c r="L87" s="1"/>
    </row>
    <row r="88" spans="1:12" x14ac:dyDescent="0.2">
      <c r="A88" s="1"/>
      <c r="B88" s="1"/>
      <c r="C88" s="1"/>
      <c r="D88" s="1"/>
      <c r="E88" s="1"/>
      <c r="F88" s="1"/>
      <c r="G88" s="1"/>
      <c r="H88" s="1"/>
      <c r="I88" s="1"/>
      <c r="J88" s="1"/>
      <c r="K88" s="1"/>
      <c r="L88" s="1"/>
    </row>
    <row r="89" spans="1:12" x14ac:dyDescent="0.2">
      <c r="A89" s="1"/>
      <c r="B89" s="1"/>
      <c r="C89" s="1"/>
      <c r="D89" s="1"/>
      <c r="E89" s="1"/>
      <c r="F89" s="1"/>
      <c r="G89" s="1"/>
      <c r="H89" s="1"/>
      <c r="I89" s="1"/>
      <c r="J89" s="1"/>
      <c r="K89" s="1"/>
      <c r="L89" s="1"/>
    </row>
    <row r="90" spans="1:12" x14ac:dyDescent="0.2">
      <c r="A90" s="1"/>
      <c r="B90" s="1"/>
      <c r="C90" s="1"/>
      <c r="D90" s="1"/>
      <c r="E90" s="1"/>
      <c r="F90" s="1"/>
      <c r="G90" s="1"/>
      <c r="H90" s="1"/>
      <c r="I90" s="1"/>
      <c r="J90" s="1"/>
      <c r="K90" s="1"/>
      <c r="L90" s="1"/>
    </row>
    <row r="91" spans="1:12" x14ac:dyDescent="0.2">
      <c r="A91" s="1"/>
      <c r="B91" s="1"/>
      <c r="C91" s="1"/>
      <c r="D91" s="1"/>
      <c r="E91" s="1"/>
      <c r="F91" s="1"/>
      <c r="G91" s="1"/>
      <c r="H91" s="1"/>
      <c r="I91" s="1"/>
      <c r="J91" s="1"/>
      <c r="K91" s="1"/>
      <c r="L91" s="1"/>
    </row>
    <row r="92" spans="1:12" x14ac:dyDescent="0.2">
      <c r="A92" s="1"/>
      <c r="B92" s="1"/>
      <c r="C92" s="1"/>
      <c r="D92" s="1"/>
      <c r="E92" s="1"/>
      <c r="F92" s="1"/>
      <c r="G92" s="1"/>
      <c r="H92" s="1"/>
      <c r="I92" s="1"/>
      <c r="J92" s="1"/>
      <c r="K92" s="1"/>
      <c r="L92" s="1"/>
    </row>
    <row r="93" spans="1:12" x14ac:dyDescent="0.2">
      <c r="A93" s="1"/>
      <c r="B93" s="1"/>
      <c r="C93" s="1"/>
      <c r="D93" s="1"/>
      <c r="E93" s="1"/>
      <c r="F93" s="1"/>
      <c r="G93" s="1"/>
      <c r="H93" s="1"/>
      <c r="I93" s="1"/>
      <c r="J93" s="1"/>
      <c r="K93" s="1"/>
      <c r="L93" s="1"/>
    </row>
    <row r="94" spans="1:12" x14ac:dyDescent="0.2">
      <c r="A94" s="1"/>
      <c r="B94" s="1"/>
      <c r="C94" s="1"/>
      <c r="D94" s="1"/>
      <c r="E94" s="1"/>
      <c r="F94" s="1"/>
      <c r="G94" s="1"/>
      <c r="H94" s="1"/>
      <c r="I94" s="1"/>
      <c r="J94" s="1"/>
      <c r="K94" s="1"/>
      <c r="L94" s="1"/>
    </row>
    <row r="95" spans="1:12" x14ac:dyDescent="0.2">
      <c r="A95" s="1"/>
      <c r="B95" s="1"/>
      <c r="C95" s="1"/>
      <c r="D95" s="1"/>
      <c r="E95" s="1"/>
      <c r="F95" s="1"/>
      <c r="G95" s="1"/>
      <c r="H95" s="1"/>
      <c r="I95" s="1"/>
      <c r="J95" s="1"/>
      <c r="K95" s="1"/>
      <c r="L95" s="1"/>
    </row>
    <row r="96" spans="1:12" x14ac:dyDescent="0.2">
      <c r="A96" s="1"/>
      <c r="B96" s="1"/>
      <c r="C96" s="1"/>
      <c r="D96" s="1"/>
      <c r="E96" s="1"/>
      <c r="F96" s="1"/>
      <c r="G96" s="1"/>
      <c r="H96" s="1"/>
      <c r="I96" s="1"/>
      <c r="J96" s="1"/>
      <c r="K96" s="1"/>
      <c r="L96" s="1"/>
    </row>
    <row r="97" spans="1:12" x14ac:dyDescent="0.2">
      <c r="A97" s="1"/>
      <c r="B97" s="1"/>
      <c r="C97" s="1"/>
      <c r="D97" s="1"/>
      <c r="E97" s="1"/>
      <c r="F97" s="1"/>
      <c r="G97" s="1"/>
      <c r="H97" s="1"/>
      <c r="I97" s="1"/>
      <c r="J97" s="1"/>
      <c r="K97" s="1"/>
      <c r="L97" s="1"/>
    </row>
    <row r="98" spans="1:12" x14ac:dyDescent="0.2">
      <c r="A98" s="1"/>
      <c r="B98" s="1"/>
      <c r="C98" s="1"/>
      <c r="D98" s="1"/>
      <c r="E98" s="1"/>
      <c r="F98" s="1"/>
      <c r="G98" s="1"/>
      <c r="H98" s="1"/>
      <c r="I98" s="1"/>
      <c r="J98" s="1"/>
      <c r="K98" s="1"/>
      <c r="L98" s="1"/>
    </row>
    <row r="99" spans="1:12" x14ac:dyDescent="0.2">
      <c r="A99" s="1"/>
      <c r="B99" s="1"/>
      <c r="C99" s="1"/>
      <c r="D99" s="1"/>
      <c r="E99" s="1"/>
      <c r="F99" s="1"/>
      <c r="G99" s="1"/>
      <c r="H99" s="1"/>
      <c r="I99" s="1"/>
      <c r="J99" s="1"/>
      <c r="K99" s="1"/>
      <c r="L99" s="1"/>
    </row>
    <row r="100" spans="1:12" x14ac:dyDescent="0.2">
      <c r="A100" s="1"/>
      <c r="B100" s="1"/>
      <c r="C100" s="1"/>
      <c r="D100" s="1"/>
      <c r="E100" s="1"/>
      <c r="F100" s="1"/>
      <c r="G100" s="1"/>
      <c r="H100" s="1"/>
      <c r="I100" s="1"/>
      <c r="J100" s="1"/>
      <c r="K100" s="1"/>
      <c r="L100" s="1"/>
    </row>
    <row r="101" spans="1:12" x14ac:dyDescent="0.2">
      <c r="A101" s="1"/>
      <c r="B101" s="1"/>
      <c r="C101" s="1"/>
      <c r="D101" s="1"/>
      <c r="E101" s="1"/>
      <c r="F101" s="1"/>
      <c r="G101" s="1"/>
      <c r="H101" s="1"/>
      <c r="I101" s="1"/>
      <c r="J101" s="1"/>
      <c r="K101" s="1"/>
      <c r="L101" s="1"/>
    </row>
    <row r="102" spans="1:12" x14ac:dyDescent="0.2">
      <c r="A102" s="1"/>
      <c r="B102" s="1"/>
      <c r="C102" s="1"/>
      <c r="D102" s="1"/>
      <c r="E102" s="1"/>
      <c r="F102" s="1"/>
      <c r="G102" s="1"/>
      <c r="H102" s="1"/>
      <c r="I102" s="1"/>
      <c r="J102" s="1"/>
      <c r="K102" s="1"/>
      <c r="L102" s="1"/>
    </row>
    <row r="103" spans="1:12" x14ac:dyDescent="0.2">
      <c r="A103" s="1"/>
      <c r="B103" s="1"/>
      <c r="C103" s="1"/>
      <c r="D103" s="1"/>
      <c r="E103" s="1"/>
      <c r="F103" s="1"/>
      <c r="G103" s="1"/>
      <c r="H103" s="1"/>
      <c r="I103" s="1"/>
      <c r="J103" s="1"/>
      <c r="K103" s="1"/>
      <c r="L103" s="1"/>
    </row>
    <row r="104" spans="1:12" x14ac:dyDescent="0.2">
      <c r="A104" s="1"/>
      <c r="B104" s="1"/>
      <c r="C104" s="1"/>
      <c r="D104" s="1"/>
      <c r="E104" s="1"/>
      <c r="F104" s="1"/>
      <c r="G104" s="1"/>
      <c r="H104" s="1"/>
      <c r="I104" s="1"/>
      <c r="J104" s="1"/>
      <c r="K104" s="1"/>
      <c r="L104" s="1"/>
    </row>
    <row r="105" spans="1:12" x14ac:dyDescent="0.2">
      <c r="A105" s="1"/>
      <c r="B105" s="1"/>
      <c r="C105" s="1"/>
      <c r="D105" s="1"/>
      <c r="E105" s="1"/>
      <c r="F105" s="1"/>
      <c r="G105" s="1"/>
      <c r="H105" s="1"/>
      <c r="I105" s="1"/>
      <c r="J105" s="1"/>
      <c r="K105" s="1"/>
      <c r="L105" s="1"/>
    </row>
    <row r="106" spans="1:12" x14ac:dyDescent="0.2">
      <c r="A106" s="1"/>
      <c r="B106" s="1"/>
      <c r="C106" s="1"/>
      <c r="D106" s="1"/>
      <c r="E106" s="1"/>
      <c r="F106" s="1"/>
      <c r="G106" s="1"/>
      <c r="H106" s="1"/>
      <c r="I106" s="1"/>
      <c r="J106" s="1"/>
      <c r="K106" s="1"/>
      <c r="L106" s="1"/>
    </row>
    <row r="107" spans="1:12" x14ac:dyDescent="0.2">
      <c r="A107" s="1"/>
      <c r="B107" s="1"/>
      <c r="C107" s="1"/>
      <c r="D107" s="1"/>
      <c r="E107" s="1"/>
      <c r="F107" s="1"/>
      <c r="G107" s="1"/>
      <c r="H107" s="1"/>
      <c r="I107" s="1"/>
      <c r="J107" s="1"/>
      <c r="K107" s="1"/>
      <c r="L107" s="1"/>
    </row>
    <row r="108" spans="1:12" x14ac:dyDescent="0.2">
      <c r="A108" s="1"/>
      <c r="B108" s="1"/>
      <c r="C108" s="1"/>
      <c r="D108" s="1"/>
      <c r="E108" s="1"/>
      <c r="F108" s="1"/>
      <c r="G108" s="1"/>
      <c r="H108" s="1"/>
      <c r="I108" s="1"/>
      <c r="J108" s="1"/>
      <c r="K108" s="1"/>
      <c r="L108" s="1"/>
    </row>
    <row r="109" spans="1:12" x14ac:dyDescent="0.2">
      <c r="A109" s="1"/>
      <c r="B109" s="1"/>
      <c r="C109" s="1"/>
      <c r="D109" s="1"/>
      <c r="E109" s="1"/>
      <c r="F109" s="1"/>
      <c r="G109" s="1"/>
      <c r="H109" s="1"/>
      <c r="I109" s="1"/>
      <c r="J109" s="1"/>
      <c r="K109" s="1"/>
      <c r="L109" s="1"/>
    </row>
    <row r="110" spans="1:12" x14ac:dyDescent="0.2">
      <c r="A110" s="1"/>
      <c r="B110" s="1"/>
      <c r="C110" s="1"/>
      <c r="D110" s="1"/>
      <c r="E110" s="1"/>
      <c r="F110" s="1"/>
      <c r="G110" s="1"/>
      <c r="H110" s="1"/>
      <c r="I110" s="1"/>
      <c r="J110" s="1"/>
      <c r="K110" s="1"/>
      <c r="L110" s="1"/>
    </row>
    <row r="111" spans="1:12" x14ac:dyDescent="0.2">
      <c r="A111" s="1"/>
      <c r="B111" s="1"/>
      <c r="C111" s="1"/>
      <c r="D111" s="1"/>
      <c r="E111" s="1"/>
      <c r="F111" s="1"/>
      <c r="G111" s="1"/>
      <c r="H111" s="1"/>
      <c r="I111" s="1"/>
      <c r="J111" s="1"/>
      <c r="K111" s="1"/>
      <c r="L111" s="1"/>
    </row>
    <row r="112" spans="1:12" x14ac:dyDescent="0.2">
      <c r="A112" s="1"/>
      <c r="B112" s="1"/>
      <c r="C112" s="1"/>
      <c r="D112" s="1"/>
      <c r="E112" s="1"/>
      <c r="F112" s="1"/>
      <c r="G112" s="1"/>
      <c r="H112" s="1"/>
      <c r="I112" s="1"/>
      <c r="J112" s="1"/>
      <c r="K112" s="1"/>
      <c r="L112" s="1"/>
    </row>
    <row r="113" spans="1:12" x14ac:dyDescent="0.2">
      <c r="A113" s="1"/>
      <c r="B113" s="1"/>
      <c r="C113" s="1"/>
      <c r="D113" s="1"/>
      <c r="E113" s="1"/>
      <c r="F113" s="1"/>
      <c r="G113" s="1"/>
      <c r="H113" s="1"/>
      <c r="I113" s="1"/>
      <c r="J113" s="1"/>
      <c r="K113" s="1"/>
      <c r="L113" s="1"/>
    </row>
    <row r="114" spans="1:12" x14ac:dyDescent="0.2">
      <c r="A114" s="1"/>
      <c r="B114" s="1"/>
      <c r="C114" s="1"/>
      <c r="D114" s="1"/>
      <c r="E114" s="1"/>
      <c r="F114" s="1"/>
      <c r="G114" s="1"/>
      <c r="H114" s="1"/>
      <c r="I114" s="1"/>
      <c r="J114" s="1"/>
      <c r="K114" s="1"/>
      <c r="L114" s="1"/>
    </row>
    <row r="115" spans="1:12" x14ac:dyDescent="0.2">
      <c r="A115" s="1"/>
      <c r="B115" s="1"/>
      <c r="C115" s="1"/>
      <c r="D115" s="1"/>
      <c r="E115" s="1"/>
      <c r="F115" s="1"/>
      <c r="G115" s="1"/>
      <c r="H115" s="1"/>
      <c r="I115" s="1"/>
      <c r="J115" s="1"/>
      <c r="K115" s="1"/>
      <c r="L115" s="1"/>
    </row>
    <row r="116" spans="1:12" x14ac:dyDescent="0.2">
      <c r="A116" s="1"/>
      <c r="B116" s="1"/>
      <c r="C116" s="1"/>
      <c r="D116" s="1"/>
      <c r="E116" s="1"/>
      <c r="F116" s="1"/>
      <c r="G116" s="1"/>
      <c r="H116" s="1"/>
      <c r="I116" s="1"/>
      <c r="J116" s="1"/>
      <c r="K116" s="1"/>
      <c r="L116" s="1"/>
    </row>
    <row r="117" spans="1:12" x14ac:dyDescent="0.2">
      <c r="A117" s="1"/>
      <c r="B117" s="1"/>
      <c r="C117" s="1"/>
      <c r="D117" s="1"/>
      <c r="E117" s="1"/>
      <c r="F117" s="1"/>
      <c r="G117" s="1"/>
      <c r="H117" s="1"/>
      <c r="I117" s="1"/>
      <c r="J117" s="1"/>
      <c r="K117" s="1"/>
      <c r="L117" s="1"/>
    </row>
    <row r="118" spans="1:12" x14ac:dyDescent="0.2">
      <c r="A118" s="1"/>
      <c r="B118" s="1"/>
      <c r="C118" s="1"/>
      <c r="D118" s="1"/>
      <c r="E118" s="1"/>
      <c r="F118" s="1"/>
      <c r="G118" s="1"/>
      <c r="H118" s="1"/>
      <c r="I118" s="1"/>
      <c r="J118" s="1"/>
      <c r="K118" s="1"/>
      <c r="L118" s="1"/>
    </row>
    <row r="119" spans="1:12" x14ac:dyDescent="0.2">
      <c r="A119" s="1"/>
      <c r="B119" s="1"/>
      <c r="C119" s="1"/>
      <c r="D119" s="1"/>
      <c r="E119" s="1"/>
      <c r="F119" s="1"/>
      <c r="G119" s="1"/>
      <c r="H119" s="1"/>
      <c r="I119" s="1"/>
      <c r="J119" s="1"/>
      <c r="K119" s="1"/>
      <c r="L119" s="1"/>
    </row>
    <row r="120" spans="1:12" x14ac:dyDescent="0.2">
      <c r="A120" s="1"/>
      <c r="B120" s="1"/>
      <c r="C120" s="1"/>
      <c r="D120" s="1"/>
      <c r="E120" s="1"/>
      <c r="F120" s="1"/>
      <c r="G120" s="1"/>
      <c r="H120" s="1"/>
      <c r="I120" s="1"/>
      <c r="J120" s="1"/>
      <c r="K120" s="1"/>
      <c r="L120" s="1"/>
    </row>
    <row r="121" spans="1:12" x14ac:dyDescent="0.2">
      <c r="A121" s="1"/>
      <c r="B121" s="1"/>
      <c r="C121" s="1"/>
      <c r="D121" s="1"/>
      <c r="E121" s="1"/>
      <c r="F121" s="1"/>
      <c r="G121" s="1"/>
      <c r="H121" s="1"/>
      <c r="I121" s="1"/>
      <c r="J121" s="1"/>
      <c r="K121" s="1"/>
      <c r="L121" s="1"/>
    </row>
    <row r="122" spans="1:12" x14ac:dyDescent="0.2">
      <c r="A122" s="1"/>
      <c r="B122" s="1"/>
      <c r="C122" s="1"/>
      <c r="D122" s="1"/>
      <c r="E122" s="1"/>
      <c r="F122" s="1"/>
      <c r="G122" s="1"/>
      <c r="H122" s="1"/>
      <c r="I122" s="1"/>
      <c r="J122" s="1"/>
      <c r="K122" s="1"/>
      <c r="L122" s="1"/>
    </row>
    <row r="123" spans="1:12" x14ac:dyDescent="0.2">
      <c r="A123" s="1"/>
      <c r="B123" s="1"/>
      <c r="C123" s="1"/>
      <c r="D123" s="1"/>
      <c r="E123" s="1"/>
      <c r="F123" s="1"/>
      <c r="G123" s="1"/>
      <c r="H123" s="1"/>
      <c r="I123" s="1"/>
      <c r="J123" s="1"/>
      <c r="K123" s="1"/>
      <c r="L123" s="1"/>
    </row>
    <row r="124" spans="1:12" x14ac:dyDescent="0.2">
      <c r="A124" s="1"/>
      <c r="B124" s="1"/>
      <c r="C124" s="1"/>
      <c r="D124" s="1"/>
      <c r="E124" s="1"/>
      <c r="F124" s="1"/>
      <c r="G124" s="1"/>
      <c r="H124" s="1"/>
      <c r="I124" s="1"/>
      <c r="J124" s="1"/>
      <c r="K124" s="1"/>
      <c r="L124" s="1"/>
    </row>
    <row r="125" spans="1:12" x14ac:dyDescent="0.2">
      <c r="A125" s="1"/>
      <c r="B125" s="1"/>
      <c r="C125" s="1"/>
      <c r="D125" s="1"/>
      <c r="E125" s="1"/>
      <c r="F125" s="1"/>
      <c r="G125" s="1"/>
      <c r="H125" s="1"/>
      <c r="I125" s="1"/>
      <c r="J125" s="1"/>
      <c r="K125" s="1"/>
      <c r="L125" s="1"/>
    </row>
    <row r="126" spans="1:12" x14ac:dyDescent="0.2">
      <c r="A126" s="1"/>
      <c r="B126" s="1"/>
      <c r="C126" s="1"/>
      <c r="D126" s="1"/>
      <c r="E126" s="1"/>
      <c r="F126" s="1"/>
      <c r="G126" s="1"/>
      <c r="H126" s="1"/>
      <c r="I126" s="1"/>
      <c r="J126" s="1"/>
      <c r="K126" s="1"/>
      <c r="L126" s="1"/>
    </row>
    <row r="127" spans="1:12" x14ac:dyDescent="0.2">
      <c r="A127" s="1"/>
      <c r="B127" s="1"/>
      <c r="C127" s="1"/>
      <c r="D127" s="1"/>
      <c r="E127" s="1"/>
      <c r="F127" s="1"/>
      <c r="G127" s="1"/>
      <c r="H127" s="1"/>
      <c r="I127" s="1"/>
      <c r="J127" s="1"/>
      <c r="K127" s="1"/>
      <c r="L127" s="1"/>
    </row>
    <row r="128" spans="1:12" x14ac:dyDescent="0.2">
      <c r="A128" s="1"/>
      <c r="B128" s="1"/>
      <c r="C128" s="1"/>
      <c r="D128" s="1"/>
      <c r="E128" s="1"/>
      <c r="F128" s="1"/>
      <c r="G128" s="1"/>
      <c r="H128" s="1"/>
      <c r="I128" s="1"/>
      <c r="J128" s="1"/>
      <c r="K128" s="1"/>
      <c r="L128" s="1"/>
    </row>
    <row r="129" spans="1:12" x14ac:dyDescent="0.2">
      <c r="A129" s="1"/>
      <c r="B129" s="1"/>
      <c r="C129" s="1"/>
      <c r="D129" s="1"/>
      <c r="E129" s="1"/>
      <c r="F129" s="1"/>
      <c r="G129" s="1"/>
      <c r="H129" s="1"/>
      <c r="I129" s="1"/>
      <c r="J129" s="1"/>
      <c r="K129" s="1"/>
      <c r="L129" s="1"/>
    </row>
    <row r="130" spans="1:12" x14ac:dyDescent="0.2">
      <c r="A130" s="1"/>
      <c r="B130" s="1"/>
      <c r="C130" s="1"/>
      <c r="D130" s="1"/>
      <c r="E130" s="1"/>
      <c r="F130" s="1"/>
      <c r="G130" s="1"/>
      <c r="H130" s="1"/>
      <c r="I130" s="1"/>
      <c r="J130" s="1"/>
      <c r="K130" s="1"/>
      <c r="L130" s="1"/>
    </row>
    <row r="131" spans="1:12" x14ac:dyDescent="0.2">
      <c r="A131" s="1"/>
      <c r="B131" s="1"/>
      <c r="C131" s="1"/>
      <c r="D131" s="1"/>
      <c r="E131" s="1"/>
      <c r="F131" s="1"/>
      <c r="G131" s="1"/>
      <c r="H131" s="1"/>
      <c r="I131" s="1"/>
      <c r="J131" s="1"/>
      <c r="K131" s="1"/>
      <c r="L131" s="1"/>
    </row>
    <row r="132" spans="1:12" x14ac:dyDescent="0.2">
      <c r="A132" s="1"/>
      <c r="B132" s="1"/>
      <c r="C132" s="1"/>
      <c r="D132" s="1"/>
      <c r="E132" s="1"/>
      <c r="F132" s="1"/>
      <c r="G132" s="1"/>
      <c r="H132" s="1"/>
      <c r="I132" s="1"/>
      <c r="J132" s="1"/>
      <c r="K132" s="1"/>
      <c r="L132" s="1"/>
    </row>
    <row r="133" spans="1:12" x14ac:dyDescent="0.2">
      <c r="A133" s="1"/>
      <c r="B133" s="1"/>
      <c r="C133" s="1"/>
      <c r="D133" s="1"/>
      <c r="E133" s="1"/>
      <c r="F133" s="1"/>
      <c r="G133" s="1"/>
      <c r="H133" s="1"/>
      <c r="I133" s="1"/>
      <c r="J133" s="1"/>
      <c r="K133" s="1"/>
      <c r="L133" s="1"/>
    </row>
    <row r="134" spans="1:12" x14ac:dyDescent="0.2">
      <c r="A134" s="1"/>
      <c r="B134" s="1"/>
      <c r="C134" s="1"/>
      <c r="D134" s="1"/>
      <c r="E134" s="1"/>
      <c r="F134" s="1"/>
      <c r="G134" s="1"/>
      <c r="H134" s="1"/>
      <c r="I134" s="1"/>
      <c r="J134" s="1"/>
      <c r="K134" s="1"/>
      <c r="L134" s="1"/>
    </row>
    <row r="135" spans="1:12" x14ac:dyDescent="0.2">
      <c r="A135" s="1"/>
      <c r="B135" s="1"/>
      <c r="C135" s="1"/>
      <c r="D135" s="1"/>
      <c r="E135" s="1"/>
      <c r="F135" s="1"/>
      <c r="G135" s="1"/>
      <c r="H135" s="1"/>
      <c r="I135" s="1"/>
      <c r="J135" s="1"/>
      <c r="K135" s="1"/>
      <c r="L135" s="1"/>
    </row>
    <row r="136" spans="1:12" x14ac:dyDescent="0.2">
      <c r="A136" s="1"/>
      <c r="B136" s="1"/>
      <c r="C136" s="1"/>
      <c r="D136" s="1"/>
      <c r="E136" s="1"/>
      <c r="F136" s="1"/>
      <c r="G136" s="1"/>
      <c r="H136" s="1"/>
      <c r="I136" s="1"/>
      <c r="J136" s="1"/>
      <c r="K136" s="1"/>
      <c r="L136" s="1"/>
    </row>
    <row r="137" spans="1:12" x14ac:dyDescent="0.2">
      <c r="A137" s="1"/>
      <c r="B137" s="1"/>
      <c r="C137" s="1"/>
      <c r="D137" s="1"/>
      <c r="E137" s="1"/>
      <c r="F137" s="1"/>
      <c r="G137" s="1"/>
      <c r="H137" s="1"/>
      <c r="I137" s="1"/>
      <c r="J137" s="1"/>
      <c r="K137" s="1"/>
      <c r="L137" s="1"/>
    </row>
    <row r="138" spans="1:12" x14ac:dyDescent="0.2">
      <c r="A138" s="1"/>
      <c r="B138" s="1"/>
      <c r="C138" s="1"/>
      <c r="D138" s="1"/>
      <c r="E138" s="1"/>
      <c r="F138" s="1"/>
      <c r="G138" s="1"/>
      <c r="H138" s="1"/>
      <c r="I138" s="1"/>
      <c r="J138" s="1"/>
      <c r="K138" s="1"/>
      <c r="L138" s="1"/>
    </row>
    <row r="139" spans="1:12" x14ac:dyDescent="0.2">
      <c r="A139" s="1"/>
      <c r="B139" s="1"/>
      <c r="C139" s="1"/>
      <c r="D139" s="1"/>
      <c r="E139" s="1"/>
      <c r="F139" s="1"/>
      <c r="G139" s="1"/>
      <c r="H139" s="1"/>
      <c r="I139" s="1"/>
      <c r="J139" s="1"/>
      <c r="K139" s="1"/>
      <c r="L139" s="1"/>
    </row>
    <row r="140" spans="1:12" x14ac:dyDescent="0.2">
      <c r="A140" s="1"/>
      <c r="B140" s="1"/>
      <c r="C140" s="1"/>
      <c r="D140" s="1"/>
      <c r="E140" s="1"/>
      <c r="F140" s="1"/>
      <c r="G140" s="1"/>
      <c r="H140" s="1"/>
      <c r="I140" s="1"/>
      <c r="J140" s="1"/>
      <c r="K140" s="1"/>
      <c r="L140" s="1"/>
    </row>
    <row r="141" spans="1:12" x14ac:dyDescent="0.2">
      <c r="A141" s="1"/>
      <c r="B141" s="1"/>
      <c r="C141" s="1"/>
      <c r="D141" s="1"/>
      <c r="E141" s="1"/>
      <c r="F141" s="1"/>
      <c r="G141" s="1"/>
      <c r="H141" s="1"/>
      <c r="I141" s="1"/>
      <c r="J141" s="1"/>
      <c r="K141" s="1"/>
      <c r="L141" s="1"/>
    </row>
    <row r="142" spans="1:12" x14ac:dyDescent="0.2">
      <c r="A142" s="1"/>
      <c r="B142" s="1"/>
      <c r="C142" s="1"/>
      <c r="D142" s="1"/>
      <c r="E142" s="1"/>
      <c r="F142" s="1"/>
      <c r="G142" s="1"/>
      <c r="H142" s="1"/>
      <c r="I142" s="1"/>
      <c r="J142" s="1"/>
      <c r="K142" s="1"/>
      <c r="L142" s="1"/>
    </row>
    <row r="143" spans="1:12" x14ac:dyDescent="0.2">
      <c r="A143" s="1"/>
      <c r="B143" s="1"/>
      <c r="C143" s="1"/>
      <c r="D143" s="1"/>
      <c r="E143" s="1"/>
      <c r="F143" s="1"/>
      <c r="G143" s="1"/>
      <c r="H143" s="1"/>
      <c r="I143" s="1"/>
      <c r="J143" s="1"/>
      <c r="K143" s="1"/>
      <c r="L143" s="1"/>
    </row>
    <row r="144" spans="1:12" x14ac:dyDescent="0.2">
      <c r="A144" s="1"/>
      <c r="B144" s="1"/>
      <c r="C144" s="1"/>
      <c r="D144" s="1"/>
      <c r="E144" s="1"/>
      <c r="F144" s="1"/>
      <c r="G144" s="1"/>
      <c r="H144" s="1"/>
      <c r="I144" s="1"/>
      <c r="J144" s="1"/>
      <c r="K144" s="1"/>
      <c r="L144" s="1"/>
    </row>
    <row r="145" spans="1:12" x14ac:dyDescent="0.2">
      <c r="A145" s="1"/>
      <c r="B145" s="1"/>
      <c r="C145" s="1"/>
      <c r="D145" s="1"/>
      <c r="E145" s="1"/>
      <c r="F145" s="1"/>
      <c r="G145" s="1"/>
      <c r="H145" s="1"/>
      <c r="I145" s="1"/>
      <c r="J145" s="1"/>
      <c r="K145" s="1"/>
      <c r="L145" s="1"/>
    </row>
    <row r="146" spans="1:12" x14ac:dyDescent="0.2">
      <c r="A146" s="1"/>
      <c r="B146" s="1"/>
      <c r="C146" s="1"/>
      <c r="D146" s="1"/>
      <c r="E146" s="1"/>
      <c r="F146" s="1"/>
      <c r="G146" s="1"/>
      <c r="H146" s="1"/>
      <c r="I146" s="1"/>
      <c r="J146" s="1"/>
      <c r="K146" s="1"/>
      <c r="L146" s="1"/>
    </row>
    <row r="147" spans="1:12" x14ac:dyDescent="0.2">
      <c r="A147" s="1"/>
      <c r="B147" s="1"/>
      <c r="C147" s="1"/>
      <c r="D147" s="1"/>
      <c r="E147" s="1"/>
      <c r="F147" s="1"/>
      <c r="G147" s="1"/>
      <c r="H147" s="1"/>
      <c r="I147" s="1"/>
      <c r="J147" s="1"/>
      <c r="K147" s="1"/>
      <c r="L147" s="1"/>
    </row>
    <row r="148" spans="1:12" x14ac:dyDescent="0.2">
      <c r="A148" s="1"/>
      <c r="B148" s="1"/>
      <c r="C148" s="1"/>
      <c r="D148" s="1"/>
      <c r="E148" s="1"/>
      <c r="F148" s="1"/>
      <c r="G148" s="1"/>
      <c r="H148" s="1"/>
      <c r="I148" s="1"/>
      <c r="J148" s="1"/>
      <c r="K148" s="1"/>
      <c r="L148" s="1"/>
    </row>
    <row r="149" spans="1:12" x14ac:dyDescent="0.2">
      <c r="A149" s="1"/>
      <c r="B149" s="1"/>
      <c r="C149" s="1"/>
      <c r="D149" s="1"/>
      <c r="E149" s="1"/>
      <c r="F149" s="1"/>
      <c r="G149" s="1"/>
      <c r="H149" s="1"/>
      <c r="I149" s="1"/>
      <c r="J149" s="1"/>
      <c r="K149" s="1"/>
      <c r="L149" s="1"/>
    </row>
    <row r="150" spans="1:12" x14ac:dyDescent="0.2">
      <c r="A150" s="1"/>
      <c r="B150" s="1"/>
      <c r="C150" s="1"/>
      <c r="D150" s="1"/>
      <c r="E150" s="1"/>
      <c r="F150" s="1"/>
      <c r="G150" s="1"/>
      <c r="H150" s="1"/>
      <c r="I150" s="1"/>
      <c r="J150" s="1"/>
      <c r="K150" s="1"/>
      <c r="L150" s="1"/>
    </row>
  </sheetData>
  <conditionalFormatting sqref="C3">
    <cfRule type="expression" dxfId="1" priority="1">
      <formula>COUNTIF(C:C,C2)&gt;1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DS SV đăng ký</vt:lpstr>
      <vt:lpstr>đơn vị tt</vt:lpstr>
      <vt:lpstr>XÉT ĐIỀU KIỆN THAM DỰ THỰC TẬP</vt:lpstr>
      <vt:lpstr>chuyển KL-&gt;CĐ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2025-02-12T11:10:57Z</dcterms:modified>
</cp:coreProperties>
</file>