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nh sách đăng ký" sheetId="1" r:id="rId4"/>
    <sheet state="visible" name="thống kê đơn vị TT" sheetId="2" r:id="rId5"/>
    <sheet state="visible" name="Sheet1" sheetId="3" r:id="rId6"/>
    <sheet state="visible" name="gvhd" sheetId="4" r:id="rId7"/>
  </sheets>
  <definedNames>
    <definedName hidden="1" localSheetId="0" name="_xlnm._FilterDatabase">'danh sách đăng ký'!$A$1:$AI$248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V26">
      <text>
        <t xml:space="preserve">Responder updated this value.</t>
      </text>
    </comment>
    <comment authorId="0" ref="K29">
      <text>
        <t xml:space="preserve">Responder updated this value.</t>
      </text>
    </comment>
    <comment authorId="0" ref="K31">
      <text>
        <t xml:space="preserve">Responder updated this value.</t>
      </text>
    </comment>
    <comment authorId="0" ref="M31">
      <text>
        <t xml:space="preserve">Responder updated this value.</t>
      </text>
    </comment>
    <comment authorId="0" ref="O31">
      <text>
        <t xml:space="preserve">Responder updated this value.</t>
      </text>
    </comment>
    <comment authorId="0" ref="Q31">
      <text>
        <t xml:space="preserve">Responder updated this value.</t>
      </text>
    </comment>
    <comment authorId="0" ref="U31">
      <text>
        <t xml:space="preserve">Responder updated this value.</t>
      </text>
    </comment>
    <comment authorId="0" ref="V31">
      <text>
        <t xml:space="preserve">Responder updated this value.</t>
      </text>
    </comment>
    <comment authorId="0" ref="J33">
      <text>
        <t xml:space="preserve">Responder updated this value.</t>
      </text>
    </comment>
    <comment authorId="0" ref="K33">
      <text>
        <t xml:space="preserve">Responder updated this value.</t>
      </text>
    </comment>
    <comment authorId="0" ref="L33">
      <text>
        <t xml:space="preserve">Responder updated this value.</t>
      </text>
    </comment>
    <comment authorId="0" ref="M33">
      <text>
        <t xml:space="preserve">Responder updated this value.</t>
      </text>
    </comment>
    <comment authorId="0" ref="U36">
      <text>
        <t xml:space="preserve">Responder updated this value.</t>
      </text>
    </comment>
    <comment authorId="0" ref="V36">
      <text>
        <t xml:space="preserve">Responder updated this value.</t>
      </text>
    </comment>
    <comment authorId="0" ref="U38">
      <text>
        <t xml:space="preserve">Responder updated this value.</t>
      </text>
    </comment>
    <comment authorId="0" ref="V38">
      <text>
        <t xml:space="preserve">Responder updated this value.</t>
      </text>
    </comment>
    <comment authorId="0" ref="Q44">
      <text>
        <t xml:space="preserve">Responder updated this value.</t>
      </text>
    </comment>
    <comment authorId="0" ref="Q45">
      <text>
        <t xml:space="preserve">Responder updated this value.</t>
      </text>
    </comment>
    <comment authorId="0" ref="K47">
      <text>
        <t xml:space="preserve">Responder updated this value.</t>
      </text>
    </comment>
    <comment authorId="0" ref="L47">
      <text>
        <t xml:space="preserve">Responder updated this value.</t>
      </text>
    </comment>
    <comment authorId="0" ref="M47">
      <text>
        <t xml:space="preserve">Responder updated this value.</t>
      </text>
    </comment>
    <comment authorId="0" ref="Q47">
      <text>
        <t xml:space="preserve">Responder updated this value.</t>
      </text>
    </comment>
    <comment authorId="0" ref="U47">
      <text>
        <t xml:space="preserve">Responder updated this value.</t>
      </text>
    </comment>
    <comment authorId="0" ref="V47">
      <text>
        <t xml:space="preserve">Responder updated this value.</t>
      </text>
    </comment>
    <comment authorId="0" ref="Q63">
      <text>
        <t xml:space="preserve">Responder updated this value.</t>
      </text>
    </comment>
    <comment authorId="0" ref="K64">
      <text>
        <t xml:space="preserve">Responder updated this value.</t>
      </text>
    </comment>
    <comment authorId="0" ref="M64">
      <text>
        <t xml:space="preserve">Responder updated this value.</t>
      </text>
    </comment>
    <comment authorId="0" ref="O64">
      <text>
        <t xml:space="preserve">Responder updated this value.</t>
      </text>
    </comment>
    <comment authorId="0" ref="Q64">
      <text>
        <t xml:space="preserve">Responder updated this value.</t>
      </text>
    </comment>
    <comment authorId="0" ref="U64">
      <text>
        <t xml:space="preserve">Responder updated this value.</t>
      </text>
    </comment>
    <comment authorId="0" ref="V64">
      <text>
        <t xml:space="preserve">Responder updated this value.</t>
      </text>
    </comment>
    <comment authorId="0" ref="F66">
      <text>
        <t xml:space="preserve">Responder updated this value.</t>
      </text>
    </comment>
    <comment authorId="0" ref="K66">
      <text>
        <t xml:space="preserve">Responder updated this value.</t>
      </text>
    </comment>
    <comment authorId="0" ref="L66">
      <text>
        <t xml:space="preserve">Responder updated this value.</t>
      </text>
    </comment>
    <comment authorId="0" ref="M66">
      <text>
        <t xml:space="preserve">Responder updated this value.</t>
      </text>
    </comment>
    <comment authorId="0" ref="Q66">
      <text>
        <t xml:space="preserve">Responder updated this value.</t>
      </text>
    </comment>
    <comment authorId="0" ref="U66">
      <text>
        <t xml:space="preserve">Responder updated this value.</t>
      </text>
    </comment>
    <comment authorId="0" ref="V66">
      <text>
        <t xml:space="preserve">Responder updated this value.</t>
      </text>
    </comment>
    <comment authorId="0" ref="K69">
      <text>
        <t xml:space="preserve">Responder updated this value.</t>
      </text>
    </comment>
    <comment authorId="0" ref="L69">
      <text>
        <t xml:space="preserve">Responder updated this value.</t>
      </text>
    </comment>
    <comment authorId="0" ref="M69">
      <text>
        <t xml:space="preserve">Responder updated this value.</t>
      </text>
    </comment>
    <comment authorId="0" ref="Q69">
      <text>
        <t xml:space="preserve">Responder updated this value.</t>
      </text>
    </comment>
    <comment authorId="0" ref="F74">
      <text>
        <t xml:space="preserve">Responder updated this value.</t>
      </text>
    </comment>
    <comment authorId="0" ref="J74">
      <text>
        <t xml:space="preserve">Responder updated this value.</t>
      </text>
    </comment>
    <comment authorId="0" ref="K91">
      <text>
        <t xml:space="preserve">Responder updated this value.</t>
      </text>
    </comment>
    <comment authorId="0" ref="L91">
      <text>
        <t xml:space="preserve">Responder updated this value.</t>
      </text>
    </comment>
    <comment authorId="0" ref="M91">
      <text>
        <t xml:space="preserve">Responder updated this value.</t>
      </text>
    </comment>
    <comment authorId="0" ref="N91">
      <text>
        <t xml:space="preserve">Responder updated this value.</t>
      </text>
    </comment>
    <comment authorId="0" ref="O91">
      <text>
        <t xml:space="preserve">Responder updated this value.</t>
      </text>
    </comment>
    <comment authorId="0" ref="Q91">
      <text>
        <t xml:space="preserve">Responder updated this value.</t>
      </text>
    </comment>
    <comment authorId="0" ref="U91">
      <text>
        <t xml:space="preserve">Responder updated this value.</t>
      </text>
    </comment>
    <comment authorId="0" ref="V91">
      <text>
        <t xml:space="preserve">Responder updated this value.</t>
      </text>
    </comment>
    <comment authorId="0" ref="Q96">
      <text>
        <t xml:space="preserve">Responder updated this value.</t>
      </text>
    </comment>
    <comment authorId="0" ref="Q98">
      <text>
        <t xml:space="preserve">Responder updated this value.</t>
      </text>
    </comment>
    <comment authorId="0" ref="K102">
      <text>
        <t xml:space="preserve">Responder updated this value.</t>
      </text>
    </comment>
    <comment authorId="0" ref="Q102">
      <text>
        <t xml:space="preserve">Responder updated this value.</t>
      </text>
    </comment>
    <comment authorId="0" ref="N107">
      <text>
        <t xml:space="preserve">Responder updated this value.</t>
      </text>
    </comment>
    <comment authorId="0" ref="U108">
      <text>
        <t xml:space="preserve">Responder updated this value.</t>
      </text>
    </comment>
    <comment authorId="0" ref="V108">
      <text>
        <t xml:space="preserve">Responder updated this value.</t>
      </text>
    </comment>
    <comment authorId="0" ref="Q109">
      <text>
        <t xml:space="preserve">Responder updated this value.</t>
      </text>
    </comment>
    <comment authorId="0" ref="Q114">
      <text>
        <t xml:space="preserve">Responder updated this value.</t>
      </text>
    </comment>
    <comment authorId="0" ref="O115">
      <text>
        <t xml:space="preserve">Responder updated this value.</t>
      </text>
    </comment>
    <comment authorId="0" ref="P115">
      <text>
        <t xml:space="preserve">Responder updated this value.</t>
      </text>
    </comment>
    <comment authorId="0" ref="AB115">
      <text>
        <t xml:space="preserve">Responder updated this value.</t>
      </text>
    </comment>
    <comment authorId="0" ref="T116">
      <text>
        <t xml:space="preserve">Responder updated this value.</t>
      </text>
    </comment>
    <comment authorId="0" ref="N117">
      <text>
        <t xml:space="preserve">Responder updated this value.</t>
      </text>
    </comment>
    <comment authorId="0" ref="T117">
      <text>
        <t xml:space="preserve">Responder updated this value.</t>
      </text>
    </comment>
    <comment authorId="0" ref="V117">
      <text>
        <t xml:space="preserve">Responder updated this value.</t>
      </text>
    </comment>
    <comment authorId="0" ref="V118">
      <text>
        <t xml:space="preserve">Responder updated this value.</t>
      </text>
    </comment>
    <comment authorId="0" ref="T120">
      <text>
        <t xml:space="preserve">Responder updated this value.</t>
      </text>
    </comment>
    <comment authorId="0" ref="V122">
      <text>
        <t xml:space="preserve">Responder updated this value.</t>
      </text>
    </comment>
    <comment authorId="0" ref="E135">
      <text>
        <t xml:space="preserve">Responder updated this value.</t>
      </text>
    </comment>
    <comment authorId="0" ref="K137">
      <text>
        <t xml:space="preserve">Responder updated this value.</t>
      </text>
    </comment>
    <comment authorId="0" ref="L137">
      <text>
        <t xml:space="preserve">Responder updated this value.</t>
      </text>
    </comment>
    <comment authorId="0" ref="M137">
      <text>
        <t xml:space="preserve">Responder updated this value.</t>
      </text>
    </comment>
    <comment authorId="0" ref="Q137">
      <text>
        <t xml:space="preserve">Responder updated this value.</t>
      </text>
    </comment>
    <comment authorId="0" ref="J140">
      <text>
        <t xml:space="preserve">Responder updated this value.</t>
      </text>
    </comment>
    <comment authorId="0" ref="K140">
      <text>
        <t xml:space="preserve">Responder updated this value.</t>
      </text>
    </comment>
    <comment authorId="0" ref="S140">
      <text>
        <t xml:space="preserve">Responder updated this value.</t>
      </text>
    </comment>
    <comment authorId="0" ref="Q141">
      <text>
        <t xml:space="preserve">Responder updated this value.</t>
      </text>
    </comment>
    <comment authorId="0" ref="V141">
      <text>
        <t xml:space="preserve">Responder updated this value.</t>
      </text>
    </comment>
    <comment authorId="0" ref="U149">
      <text>
        <t xml:space="preserve">Responder updated this value.</t>
      </text>
    </comment>
    <comment authorId="0" ref="K151">
      <text>
        <t xml:space="preserve">Responder updated this value.</t>
      </text>
    </comment>
    <comment authorId="0" ref="M151">
      <text>
        <t xml:space="preserve">Responder updated this value.</t>
      </text>
    </comment>
    <comment authorId="0" ref="O151">
      <text>
        <t xml:space="preserve">Responder updated this value.</t>
      </text>
    </comment>
    <comment authorId="0" ref="T151">
      <text>
        <t xml:space="preserve">Responder updated this value.</t>
      </text>
    </comment>
    <comment authorId="0" ref="Q157">
      <text>
        <t xml:space="preserve">Responder updated this value.</t>
      </text>
    </comment>
    <comment authorId="0" ref="Q161">
      <text>
        <t xml:space="preserve">Responder updated this value.</t>
      </text>
    </comment>
    <comment authorId="0" ref="F164">
      <text>
        <t xml:space="preserve">Responder updated this value.</t>
      </text>
    </comment>
    <comment authorId="0" ref="J165">
      <text>
        <t xml:space="preserve">Responder updated this value.</t>
      </text>
    </comment>
    <comment authorId="0" ref="K165">
      <text>
        <t xml:space="preserve">Responder updated this value.</t>
      </text>
    </comment>
    <comment authorId="0" ref="L165">
      <text>
        <t xml:space="preserve">Responder updated this value.</t>
      </text>
    </comment>
    <comment authorId="0" ref="M165">
      <text>
        <t xml:space="preserve">Responder updated this value.</t>
      </text>
    </comment>
    <comment authorId="0" ref="N165">
      <text>
        <t xml:space="preserve">Responder updated this value.</t>
      </text>
    </comment>
    <comment authorId="0" ref="O165">
      <text>
        <t xml:space="preserve">Responder updated this value.</t>
      </text>
    </comment>
    <comment authorId="0" ref="S165">
      <text>
        <t xml:space="preserve">Responder updated this value.</t>
      </text>
    </comment>
    <comment authorId="0" ref="M168">
      <text>
        <t xml:space="preserve">Responder updated this value.</t>
      </text>
    </comment>
    <comment authorId="0" ref="O175">
      <text>
        <t xml:space="preserve">Responder updated this value.</t>
      </text>
    </comment>
    <comment authorId="0" ref="P175">
      <text>
        <t xml:space="preserve">Responder updated this value.</t>
      </text>
    </comment>
    <comment authorId="0" ref="S179">
      <text>
        <t xml:space="preserve">Responder updated this value.</t>
      </text>
    </comment>
    <comment authorId="0" ref="D181">
      <text>
        <t xml:space="preserve">Responder updated this value.</t>
      </text>
    </comment>
    <comment authorId="0" ref="K181">
      <text>
        <t xml:space="preserve">Responder updated this value.</t>
      </text>
    </comment>
    <comment authorId="0" ref="L181">
      <text>
        <t xml:space="preserve">Responder updated this value.</t>
      </text>
    </comment>
    <comment authorId="0" ref="M181">
      <text>
        <t xml:space="preserve">Responder updated this value.</t>
      </text>
    </comment>
    <comment authorId="0" ref="K184">
      <text>
        <t xml:space="preserve">Responder updated this value.</t>
      </text>
    </comment>
    <comment authorId="0" ref="V187">
      <text>
        <t xml:space="preserve">Responder updated this value.</t>
      </text>
    </comment>
    <comment authorId="0" ref="Q197">
      <text>
        <t xml:space="preserve">Responder updated this value.</t>
      </text>
    </comment>
    <comment authorId="0" ref="V198">
      <text>
        <t xml:space="preserve">Responder updated this value.</t>
      </text>
    </comment>
    <comment authorId="0" ref="M199">
      <text>
        <t xml:space="preserve">Responder updated this value.</t>
      </text>
    </comment>
    <comment authorId="0" ref="U199">
      <text>
        <t xml:space="preserve">Responder updated this value.</t>
      </text>
    </comment>
    <comment authorId="0" ref="V199">
      <text>
        <t xml:space="preserve">Responder updated this value.</t>
      </text>
    </comment>
    <comment authorId="0" ref="U200">
      <text>
        <t xml:space="preserve">Responder updated this value.</t>
      </text>
    </comment>
    <comment authorId="0" ref="M206">
      <text>
        <t xml:space="preserve">Responder updated this value.</t>
      </text>
    </comment>
    <comment authorId="0" ref="L217">
      <text>
        <t xml:space="preserve">Responder updated this value.</t>
      </text>
    </comment>
    <comment authorId="0" ref="V220">
      <text>
        <t xml:space="preserve">Responder updated this value.</t>
      </text>
    </comment>
    <comment authorId="0" ref="V221">
      <text>
        <t xml:space="preserve">Responder updated this value.</t>
      </text>
    </comment>
    <comment authorId="0" ref="K226">
      <text>
        <t xml:space="preserve">Responder updated this value.</t>
      </text>
    </comment>
    <comment authorId="0" ref="L226">
      <text>
        <t xml:space="preserve">Responder updated this value.</t>
      </text>
    </comment>
    <comment authorId="0" ref="M226">
      <text>
        <t xml:space="preserve">Responder updated this value.</t>
      </text>
    </comment>
    <comment authorId="0" ref="L232">
      <text>
        <t xml:space="preserve">Responder updated this value.</t>
      </text>
    </comment>
    <comment authorId="0" ref="Q238">
      <text>
        <t xml:space="preserve">Responder updated this value.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47">
      <text>
        <t xml:space="preserve">Responder updated this value.</t>
      </text>
    </comment>
    <comment authorId="0" ref="A54">
      <text>
        <t xml:space="preserve">Responder updated this value.</t>
      </text>
    </comment>
    <comment authorId="0" ref="B61">
      <text>
        <t xml:space="preserve">Responder updated this value.</t>
      </text>
    </comment>
    <comment authorId="0" ref="A71">
      <text>
        <t xml:space="preserve">Responder updated this value.</t>
      </text>
    </comment>
  </commentList>
</comments>
</file>

<file path=xl/sharedStrings.xml><?xml version="1.0" encoding="utf-8"?>
<sst xmlns="http://schemas.openxmlformats.org/spreadsheetml/2006/main" count="5271" uniqueCount="1627">
  <si>
    <t>Timestamp</t>
  </si>
  <si>
    <t>Email Address</t>
  </si>
  <si>
    <t>Mã số sinh viên (đầy đủ)</t>
  </si>
  <si>
    <t>Họ và tên</t>
  </si>
  <si>
    <t>Ngày sinh</t>
  </si>
  <si>
    <t>Lớp (ví dụ: K23DLK 1)</t>
  </si>
  <si>
    <t>Chuyên ngành</t>
  </si>
  <si>
    <t>Khóa (ví dụ: K23)</t>
  </si>
  <si>
    <t>Số điện thoại</t>
  </si>
  <si>
    <t>Tham gia làm bài tốt nghiệp</t>
  </si>
  <si>
    <t>Tên đơn vị thực tập (sinh viên đã được doanh nghiệp xác nhận nhận vào thực tập)</t>
  </si>
  <si>
    <t>Nếu sinh viên thực tập tại đơn vị khác, không có ở danh mục trên, nhập chính xác tên khách sạn tại đây</t>
  </si>
  <si>
    <t>Địa chỉ đơn vị thực tập</t>
  </si>
  <si>
    <t>Thành phố nơi thực tập</t>
  </si>
  <si>
    <t>Bộ phận thực tập</t>
  </si>
  <si>
    <t>Nếu sinh viên thực tập tại bộ phận khác, không có tại danh mục trên, nhập tên bộ phận thực tập tại đây</t>
  </si>
  <si>
    <t>Ngày sinh viên nộp phiếu tiếp nhận sinh viên thực tập về Khoa</t>
  </si>
  <si>
    <t>Em cam kết thông tin đã kê khai là hoàn toàn chính xác</t>
  </si>
  <si>
    <t>Nếu sinh viên làm Khóa luận TN, SV mong muốn được giảng viên nào hướng dẫn (SV nên liên lạc GV trước khi đăng ký)</t>
  </si>
  <si>
    <t>Ngày bắt đầu thực tập</t>
  </si>
  <si>
    <t>Ngày kết thúc thực tập</t>
  </si>
  <si>
    <t>Mã phiếu tiếp nhận sv thực tập</t>
  </si>
  <si>
    <t>Ngày Khoa nhận phiếu tiếp nhận sinh viên thực tập</t>
  </si>
  <si>
    <t>Kết quả xét duyệt đơn vị thực tập</t>
  </si>
  <si>
    <t>Ngày duyệt đơn vị thực tập</t>
  </si>
  <si>
    <t>DN khoa đã duyệt</t>
  </si>
  <si>
    <t>Bộ phận TT khoa đã duyệt</t>
  </si>
  <si>
    <t>Đơn xin tham dự tốt nghiệp</t>
  </si>
  <si>
    <t>Ghi chú</t>
  </si>
  <si>
    <t>Column 1</t>
  </si>
  <si>
    <t>XÉT ĐIỀU KIỆN THỰC TẬP</t>
  </si>
  <si>
    <t>giảng viên hướng dẫn</t>
  </si>
  <si>
    <t>SĐT GIẢNG VIÊN HƯỚNG DẪN</t>
  </si>
  <si>
    <t>EMAIL GIẢNG VIÊN HƯỚNG DẪN</t>
  </si>
  <si>
    <t>kally1237@outlook.com</t>
  </si>
  <si>
    <t>NGUYỄN THỊ KIỀU TRINH</t>
  </si>
  <si>
    <t>K26PSUDLK3</t>
  </si>
  <si>
    <t>Quản trị Du lịch &amp; Khách sạn chuẩn PSU</t>
  </si>
  <si>
    <t>0898435704</t>
  </si>
  <si>
    <t>Chuyên đề</t>
  </si>
  <si>
    <t>Melia ChiangMai ThaiLand</t>
  </si>
  <si>
    <t>46, 48 Charoenprathet Road Chang Khlan, Thailand</t>
  </si>
  <si>
    <t>ChiangMai</t>
  </si>
  <si>
    <t>F&amp;B coordinator</t>
  </si>
  <si>
    <t>06/01/2025</t>
  </si>
  <si>
    <t>cam kết</t>
  </si>
  <si>
    <t>DUYỆT</t>
  </si>
  <si>
    <t>Trưởng khoa đã duyệt đơn</t>
  </si>
  <si>
    <t>Đặng Thị Thùy Trang</t>
  </si>
  <si>
    <t>vantam1103@gmail.com</t>
  </si>
  <si>
    <t>Nguyễn Võ Văn Tâm</t>
  </si>
  <si>
    <t>K25PSUDLK1</t>
  </si>
  <si>
    <t>0828025651</t>
  </si>
  <si>
    <t>Da Nang Mikazuki Japanese Resorts &amp; Spa</t>
  </si>
  <si>
    <t>Khu du lịch Xuân Thiều, Đ. Nguyễn Tất Thành, P. Hòa Hiệp Nam, Q. Liên Chiểu, TP Đà Nẵng</t>
  </si>
  <si>
    <t>Tp. Đà Nẵng</t>
  </si>
  <si>
    <t>Nhà hàng</t>
  </si>
  <si>
    <t>03/01/2025</t>
  </si>
  <si>
    <t>Hồ Sử Minh Tài</t>
  </si>
  <si>
    <t>Ngô Thị Thanh Nga</t>
  </si>
  <si>
    <t>kurot1910@gmail.com</t>
  </si>
  <si>
    <t>Nguyễn Ngọc Nhân</t>
  </si>
  <si>
    <t>K26DLK16</t>
  </si>
  <si>
    <t>Quản trị Du lịch &amp; Khách sạn</t>
  </si>
  <si>
    <t>0905510617</t>
  </si>
  <si>
    <t>Le Sands Oceanfront Da Nang Hotel</t>
  </si>
  <si>
    <t>Không có</t>
  </si>
  <si>
    <t>28 Võ Nguyên Giáp, Mân Thái, Sơn Trà, Đà Nẵng</t>
  </si>
  <si>
    <t>Đà Nẵng</t>
  </si>
  <si>
    <t>8/1/2025</t>
  </si>
  <si>
    <t>Phạm Thị Thu Thủy</t>
  </si>
  <si>
    <t>Huỳnh Lý Thùy Linh</t>
  </si>
  <si>
    <t>minhtringuyentruong08@gmail.com</t>
  </si>
  <si>
    <t>Nguyễn Trương Minh Trí</t>
  </si>
  <si>
    <t>0348222256</t>
  </si>
  <si>
    <t xml:space="preserve">Không có </t>
  </si>
  <si>
    <t>08/01/2025</t>
  </si>
  <si>
    <t>Trần Hoàng Anh</t>
  </si>
  <si>
    <t>nguyenthithanhnhung2588@gmail.com</t>
  </si>
  <si>
    <t xml:space="preserve">Nguyễn Thị Thanh Nhung </t>
  </si>
  <si>
    <t>K27DLK 2</t>
  </si>
  <si>
    <t>0832765506</t>
  </si>
  <si>
    <t>Novotel DaNang Premier Han River</t>
  </si>
  <si>
    <t>36 Bạch Đằng, Thạch Thang, Hải Châu, Đà Năng</t>
  </si>
  <si>
    <t>7/1/2025</t>
  </si>
  <si>
    <t>Nguyễn Thị Minh Thư</t>
  </si>
  <si>
    <t>phuongdiem1323@gmail.com</t>
  </si>
  <si>
    <t>Trần Phương Diễm</t>
  </si>
  <si>
    <t>K27DLK6</t>
  </si>
  <si>
    <t>0354526023</t>
  </si>
  <si>
    <t>Khách sạn Như Minh Plaza</t>
  </si>
  <si>
    <t>41 Phạm Văn Đồng, An Hải Bắc, Sơn Trà, Đà Nẵng</t>
  </si>
  <si>
    <t>Tiền sảnh</t>
  </si>
  <si>
    <t>Bùi Lê Anh Phương</t>
  </si>
  <si>
    <t>nhuthien2808@gmail.com</t>
  </si>
  <si>
    <t>Lê Thị Như Thiện</t>
  </si>
  <si>
    <t>K27DLK2</t>
  </si>
  <si>
    <t>0377529188</t>
  </si>
  <si>
    <t>Maximilan Danang Beach Hotel</t>
  </si>
  <si>
    <t>222 Võ Nguyên Giáp, Sơn Trà, Đà Nẵng</t>
  </si>
  <si>
    <t>23/12/2024</t>
  </si>
  <si>
    <t>Phạm Thị Hoàng Dung</t>
  </si>
  <si>
    <t>vietha19112002@gmail.com</t>
  </si>
  <si>
    <t>Nguyễn Việt Hà</t>
  </si>
  <si>
    <t>K27DLK 6</t>
  </si>
  <si>
    <t>0963072146</t>
  </si>
  <si>
    <t>thul39238@gmail.com</t>
  </si>
  <si>
    <t>Lê Thị Khánh Thư</t>
  </si>
  <si>
    <t>K27DLK3</t>
  </si>
  <si>
    <t>0827377827</t>
  </si>
  <si>
    <t>222 Võ Nguyên Giáp</t>
  </si>
  <si>
    <t>dtth.801@gmail.com</t>
  </si>
  <si>
    <t>Đặng Thị Thu Hoài</t>
  </si>
  <si>
    <t>0838868844</t>
  </si>
  <si>
    <t>Wyndham DaNang Golden Bay</t>
  </si>
  <si>
    <t>01 Lê Văn Duyệt, Sơn Trà, Đà Nẵng</t>
  </si>
  <si>
    <t>Thành phố Đà Nẵng</t>
  </si>
  <si>
    <t>Buồng phòng</t>
  </si>
  <si>
    <t>13/1</t>
  </si>
  <si>
    <t>14/01/2025</t>
  </si>
  <si>
    <t>Trịnh Thị Kim Chung</t>
  </si>
  <si>
    <t>nguyenhaj7prime@gmail.com</t>
  </si>
  <si>
    <t>Nguyễn Trương Hải Hà</t>
  </si>
  <si>
    <t>0964632897</t>
  </si>
  <si>
    <t>Paracel Danang Hotel</t>
  </si>
  <si>
    <t>204 Võ Nguyên Giáp</t>
  </si>
  <si>
    <t>2/1/2025</t>
  </si>
  <si>
    <t>nguyenvituong281@gmail.com</t>
  </si>
  <si>
    <t>Nguyễn Vi Tường</t>
  </si>
  <si>
    <t>K27DLK4</t>
  </si>
  <si>
    <t>0987820931</t>
  </si>
  <si>
    <t>36 Bạch Đằng, Thạch Thang, Hải Châu</t>
  </si>
  <si>
    <t>07/01/2025</t>
  </si>
  <si>
    <t>vyvy8811@gmail.com</t>
  </si>
  <si>
    <t xml:space="preserve">Nguyễn Lê Tường Vy </t>
  </si>
  <si>
    <t>0876820811</t>
  </si>
  <si>
    <t>01 Lê Văn Duyệt, Nại Hiên Đông, Sơn Trà, Đà Nẵng</t>
  </si>
  <si>
    <t>Mai Thị Thương</t>
  </si>
  <si>
    <t>sv phải đám bảo ko quá 5sv/nhà hàng</t>
  </si>
  <si>
    <t>Trần Thị Mỹ Linh</t>
  </si>
  <si>
    <t>nguyenthithuthuong01012003@gmail.com</t>
  </si>
  <si>
    <t>Nguyễn Thị Thu Thương</t>
  </si>
  <si>
    <t>0899202724</t>
  </si>
  <si>
    <t>ynguyen.22112003@gmail.com</t>
  </si>
  <si>
    <t>Nguyễn Thị Như Ý</t>
  </si>
  <si>
    <t>K27DLK7</t>
  </si>
  <si>
    <t>0765739874</t>
  </si>
  <si>
    <t>01 Lê Văn Duyệt, Nại Hiên Đông,Sơn Trà</t>
  </si>
  <si>
    <t xml:space="preserve">Thành phố Đà Nẵng </t>
  </si>
  <si>
    <t>9/1/2025</t>
  </si>
  <si>
    <t>lekieutrinh23022@gmail.com</t>
  </si>
  <si>
    <t>Nguyễn Lê Kiều Trinh</t>
  </si>
  <si>
    <t>K27DLK 7</t>
  </si>
  <si>
    <t>0389366431</t>
  </si>
  <si>
    <t>Diamond Sea Hotel</t>
  </si>
  <si>
    <t>232 Võ Nguyên Giáp, Phước Mỹ, Sơn Trà, Đà Nẵng</t>
  </si>
  <si>
    <t>10/02/2025</t>
  </si>
  <si>
    <t>nguyenthimyduyenn224@gmail.com</t>
  </si>
  <si>
    <t>Nguyễn Thị Mỹ Duyên</t>
  </si>
  <si>
    <t>0373618004</t>
  </si>
  <si>
    <t>Hyatt regency DaNang Resort</t>
  </si>
  <si>
    <t>05 Trường Sa</t>
  </si>
  <si>
    <t>04/02/2024</t>
  </si>
  <si>
    <t>chưa có thông tin người hướng dẫn tại ks</t>
  </si>
  <si>
    <t>tuyetpham.260200@gmail.com</t>
  </si>
  <si>
    <t xml:space="preserve">Phạm Thị Ánh Tuyết </t>
  </si>
  <si>
    <t xml:space="preserve">K27DLK3 </t>
  </si>
  <si>
    <t>0386874255</t>
  </si>
  <si>
    <t>Meliá Vinpearl Danang Riverfront</t>
  </si>
  <si>
    <t>341 Trần Hưng Đạo</t>
  </si>
  <si>
    <t xml:space="preserve">Đà Nẵng </t>
  </si>
  <si>
    <t>nguyenphunglinhchi132003@gmail.com</t>
  </si>
  <si>
    <t>Nguyễn Phùng Linh Chi</t>
  </si>
  <si>
    <t>0394905152</t>
  </si>
  <si>
    <t>05 Trường Sa, Hoà Hải, Ngũ Hành Sơn</t>
  </si>
  <si>
    <t>09/01/2025</t>
  </si>
  <si>
    <t>nguyenthithuyhien9630@gmail.com</t>
  </si>
  <si>
    <t xml:space="preserve">Nguyễn Thị Thuý Hiền </t>
  </si>
  <si>
    <t>K27DLK1</t>
  </si>
  <si>
    <t>0379479630</t>
  </si>
  <si>
    <t>TP.Đà Nẵng</t>
  </si>
  <si>
    <t>vanhungnguyen1042003@gmail.com</t>
  </si>
  <si>
    <t>Nguyễn Văn Hưng</t>
  </si>
  <si>
    <t>0337166538</t>
  </si>
  <si>
    <t>Ngày 07/01/2025</t>
  </si>
  <si>
    <t>nguyenkimlen30012003@gmail.com</t>
  </si>
  <si>
    <t>Nguyễn Thị Kim Lên</t>
  </si>
  <si>
    <t>0969193674</t>
  </si>
  <si>
    <t>Khách sạn Đức Long Gia Lai - Dung Quất</t>
  </si>
  <si>
    <t>Ngã ba Dốc Sỏi - khu kinh tế Dung Quất xã bình chánh huyện bình sơn tỉnh quảng ngãi</t>
  </si>
  <si>
    <t>Quảng ngãi</t>
  </si>
  <si>
    <t>Lễ tân</t>
  </si>
  <si>
    <t>anhphan.260203@gmail.com</t>
  </si>
  <si>
    <t>Phan Ngọc Nguyên Anh</t>
  </si>
  <si>
    <t>0934947827</t>
  </si>
  <si>
    <t>01 Lê Văn Duyệt, Nại Hiên Đông, Sơn Trà, Đà Nẵng 550000</t>
  </si>
  <si>
    <t>Đà nẵng</t>
  </si>
  <si>
    <t>lequangson04092003@gmail.com</t>
  </si>
  <si>
    <t xml:space="preserve">Lê Quang Sơn </t>
  </si>
  <si>
    <t>0339295515</t>
  </si>
  <si>
    <t xml:space="preserve">Khách sạn Avatar Đà Nẵng </t>
  </si>
  <si>
    <t>104 Hoàng Kế Viêm, phường Mỹ An,Quận Ngũ Hành Sơn, Thành phố Đà Nẵng</t>
  </si>
  <si>
    <t>hoangngocbaotram0611@gmail.com</t>
  </si>
  <si>
    <t xml:space="preserve">Hoàng Ngọc Bảo Trâm </t>
  </si>
  <si>
    <t>0913604959</t>
  </si>
  <si>
    <t>05 Trường Sa, Hoà Hải, Ngũ Hành Sơn, Đà Nẵng</t>
  </si>
  <si>
    <t>10/01/2025</t>
  </si>
  <si>
    <t>SV phải đảm bảo không thực tập quá 5sv/nhà hàng
chưa có thông tin người hướng dẫn tại ks</t>
  </si>
  <si>
    <t>myduyentrinh32@gmail.com</t>
  </si>
  <si>
    <t>Trịnh Thị Mỹ Duyên</t>
  </si>
  <si>
    <t>K25DLK14</t>
  </si>
  <si>
    <t>0826124677</t>
  </si>
  <si>
    <t>Grand Mercure Đà Nẵng</t>
  </si>
  <si>
    <t>Lô A1, Khu biệt thự Đảo Xanh, phường Hòa Cường Bắc, quận Hải Châu, Thành phố Đà Nẵng</t>
  </si>
  <si>
    <t>25/01/2025</t>
  </si>
  <si>
    <t>Dương Thị Xuân Diệu</t>
  </si>
  <si>
    <t>SV điền link bộ phận thực tập là nhà hàng, nhưng phiếu nộp về là Lễ tân</t>
  </si>
  <si>
    <t>vanchunga10daklak@gmail.com</t>
  </si>
  <si>
    <t>Nguyễn Văn Chung</t>
  </si>
  <si>
    <t>0326597052</t>
  </si>
  <si>
    <t>05 Trường Sa , Hòa Hải , Ngũ Hành Sơn , Đà Nẵng</t>
  </si>
  <si>
    <t>13/01/2025</t>
  </si>
  <si>
    <t>kirapuppy95@gmail.com</t>
  </si>
  <si>
    <t xml:space="preserve">Đinh Minh Thành </t>
  </si>
  <si>
    <t>0813585060</t>
  </si>
  <si>
    <t>99 Võ Nguyên Giáp</t>
  </si>
  <si>
    <t>6 tháng 2 năm 2025</t>
  </si>
  <si>
    <t>trieuducmanh003@gmail.com</t>
  </si>
  <si>
    <t>Triệu Đức Mạnh</t>
  </si>
  <si>
    <t>0935970825</t>
  </si>
  <si>
    <t>DLG Hotel DaNang</t>
  </si>
  <si>
    <t>258 Võ Nguyên Giáp, Phước Mỹ, Sơn Trà, Đà Nẵng</t>
  </si>
  <si>
    <t>ngocbao.dng03@gmail.com</t>
  </si>
  <si>
    <t xml:space="preserve">Nguyễn Thị Bảo Ngọc </t>
  </si>
  <si>
    <t>0968468527</t>
  </si>
  <si>
    <t>Paris Deli Danang Beach Hotel</t>
  </si>
  <si>
    <t xml:space="preserve">236 Võ Nguyên Giáp, Phước Mỹ, Sơn Trà, Đà Nẵng </t>
  </si>
  <si>
    <t>Ngày 08/02/2025</t>
  </si>
  <si>
    <t>SV chuyển từ Buồng phòng Mikazuki qua Nhà hàng Paris Deli</t>
  </si>
  <si>
    <t>htrungmlo210902@gmail.com</t>
  </si>
  <si>
    <t>H'Trùng Mlô</t>
  </si>
  <si>
    <t>0368299408</t>
  </si>
  <si>
    <t>36 Bạch Đằng, Thạch Thang, Hải Châu, Đà Nẵng</t>
  </si>
  <si>
    <t>TP Đà Nẵng</t>
  </si>
  <si>
    <t>05/02/2025</t>
  </si>
  <si>
    <t>tuakb881@gmail.com</t>
  </si>
  <si>
    <t>Lê Anh Tú</t>
  </si>
  <si>
    <t>K25PSUDLK17</t>
  </si>
  <si>
    <t>0399934068</t>
  </si>
  <si>
    <t>Mường Thanh Luxury Đà Nẵng Hotel</t>
  </si>
  <si>
    <t>270 Võ Nguyên Giáp</t>
  </si>
  <si>
    <t>20/01/2025</t>
  </si>
  <si>
    <t>KHÔNG DUYỆT</t>
  </si>
  <si>
    <t>13/02/2025</t>
  </si>
  <si>
    <t>Khoa ko duyệt đơn xin phê duyệt đơn vị thực tập</t>
  </si>
  <si>
    <t>hongthunguyen811@gmail.com</t>
  </si>
  <si>
    <t xml:space="preserve">Nguyễn Thị Hồng Thư </t>
  </si>
  <si>
    <t>0588917757</t>
  </si>
  <si>
    <t>phuongyen110703@gmail.com</t>
  </si>
  <si>
    <t>Võ Lương Phương Yến</t>
  </si>
  <si>
    <t>0777556109</t>
  </si>
  <si>
    <t xml:space="preserve">36 Bạch Đằng , Thạch Thang ,Hải Châu, Đà Nẵng </t>
  </si>
  <si>
    <t>manhnguyenhuu@gmail.com</t>
  </si>
  <si>
    <t>Nguyễn Hữu Mạnh</t>
  </si>
  <si>
    <t>K25PSUDLK 12</t>
  </si>
  <si>
    <t>0905676425</t>
  </si>
  <si>
    <t>Brilliant Hotel</t>
  </si>
  <si>
    <t>162 Bạch Đằng , Hải Châu , Đà Nẵng</t>
  </si>
  <si>
    <t>trưởng khoa đã duyệt đơn
Chưa có thông tin người hướng dẫn tại ks</t>
  </si>
  <si>
    <t>minhchauu296@gmail.com</t>
  </si>
  <si>
    <t>Cao Nguyễn Minh Châu</t>
  </si>
  <si>
    <t>0853840102</t>
  </si>
  <si>
    <t>01 Lê Văn Duyệt, Nại Hiên Đông, Sơn Trà, thành phố Đà Nẵng</t>
  </si>
  <si>
    <t>7.1.2025</t>
  </si>
  <si>
    <t>Tridoan24h@gmai.com</t>
  </si>
  <si>
    <t xml:space="preserve">Đoàn Minh Trí </t>
  </si>
  <si>
    <t>K27DLK5</t>
  </si>
  <si>
    <t>0779428858</t>
  </si>
  <si>
    <t>Risemount Premier Resort Danang</t>
  </si>
  <si>
    <t>120 Nguyễn Văn Thoại , Ngũ Hành Sơn , Đà Nẵng</t>
  </si>
  <si>
    <t>13/1/2025</t>
  </si>
  <si>
    <t>huynhthitho193@gmail.com</t>
  </si>
  <si>
    <t xml:space="preserve">Nguyễn Huỳnh Thảo Nhi </t>
  </si>
  <si>
    <t>0905816772</t>
  </si>
  <si>
    <t>trantthanhnguyet@dtu.edu.vn</t>
  </si>
  <si>
    <t>Trần Thị Thanh Nguyệt</t>
  </si>
  <si>
    <t>K27PSUDLK1</t>
  </si>
  <si>
    <t>0768557698</t>
  </si>
  <si>
    <t>Khóa luận</t>
  </si>
  <si>
    <t>5 Trường Sa, Hòa Hải, Ngũ Hành Sơn, Đà Nẵng</t>
  </si>
  <si>
    <t>SV phải đảm bảo không thực tập quá 5sv/nhà hàng</t>
  </si>
  <si>
    <t>tramy9a4cva@gmail.com</t>
  </si>
  <si>
    <t>Lê Thị Trà My</t>
  </si>
  <si>
    <t>0942138349</t>
  </si>
  <si>
    <t>01 Lê Văn Duyệt, Nại Hiên Đông, Sơn Trà</t>
  </si>
  <si>
    <t>luongthiminhtam9@gmail.com</t>
  </si>
  <si>
    <t xml:space="preserve">Lương Thị Minh Tâm </t>
  </si>
  <si>
    <t xml:space="preserve">K27DLK7 </t>
  </si>
  <si>
    <t>0867775018</t>
  </si>
  <si>
    <t>Tranthithanhle2003@gmail.com</t>
  </si>
  <si>
    <t>Trần Thị Thanh Lê</t>
  </si>
  <si>
    <t>0388924829</t>
  </si>
  <si>
    <t xml:space="preserve">01 Lê Văn Duyệt, Nại Hiên Đông, Sơn Trà </t>
  </si>
  <si>
    <t>nguyendangkhoa2102@gmail.com</t>
  </si>
  <si>
    <t>Nguyễn Đăng Khoa</t>
  </si>
  <si>
    <t>K27PSUDLK 1</t>
  </si>
  <si>
    <t>0346822472</t>
  </si>
  <si>
    <t>05 Trường Sa, Ngũ Hành Sơn, Đà Nẵng</t>
  </si>
  <si>
    <t>16/01/2025</t>
  </si>
  <si>
    <t>18/01/2025</t>
  </si>
  <si>
    <t>htthuyvy179@gmail.com</t>
  </si>
  <si>
    <t>Hoàng Trần Thuý Vy</t>
  </si>
  <si>
    <t>0795579551</t>
  </si>
  <si>
    <t>05 Trường Sa, Hoà Hải, Ngũ Hành Sơn, TP. Đà Nẵng</t>
  </si>
  <si>
    <t>14/1/2025</t>
  </si>
  <si>
    <t>thanhngan0705qng@gmail.com</t>
  </si>
  <si>
    <t>Bùi Phạm Thanh Ngân</t>
  </si>
  <si>
    <t>0986348276</t>
  </si>
  <si>
    <t>01 Lê Văn Duyệt , Phường Nại Hiên Đông , Quận Sơn Trà , TP Đà Nẵng</t>
  </si>
  <si>
    <t>Thành Phố Đà Nẵng</t>
  </si>
  <si>
    <t>vtkhanhlinh1901@gmail.com</t>
  </si>
  <si>
    <t>Vũ Thị Khánh Linh</t>
  </si>
  <si>
    <t>K27PSU-DLK1</t>
  </si>
  <si>
    <t>0905023211</t>
  </si>
  <si>
    <t>khách sạn khác</t>
  </si>
  <si>
    <t>Meliá Danang Beach Resort</t>
  </si>
  <si>
    <t>19 Trường Sa, Hải Hoà, Ngũ Hành Sơn, Đà Nẵng</t>
  </si>
  <si>
    <t>myduyen420592@gmail.com</t>
  </si>
  <si>
    <t>K27DLK 3</t>
  </si>
  <si>
    <t>0702540263</t>
  </si>
  <si>
    <t>nkanh1909@gmail.com</t>
  </si>
  <si>
    <t>Nguyễn Khắc Anh</t>
  </si>
  <si>
    <t>0777062869</t>
  </si>
  <si>
    <t>huuthang31102003@gmail.com</t>
  </si>
  <si>
    <t>Nguyễn Hữu Thắng</t>
  </si>
  <si>
    <t>K27 DLK1</t>
  </si>
  <si>
    <t>0779493716</t>
  </si>
  <si>
    <t>Vanda Hotel</t>
  </si>
  <si>
    <t>03 Nguyễn Văn Linh</t>
  </si>
  <si>
    <t>thungoc.transuyen1@gmail.com</t>
  </si>
  <si>
    <t xml:space="preserve">Lê Thị Thu Ngọc </t>
  </si>
  <si>
    <t>0934751273</t>
  </si>
  <si>
    <t xml:space="preserve">01 Lê Văn Duyệt, Nại Hiện Đông, Sơn Trà, Đà Nẵng </t>
  </si>
  <si>
    <t>vothithanhthao2k3qn@gmail.com</t>
  </si>
  <si>
    <t>Võ Thị Thanh Thảo</t>
  </si>
  <si>
    <t>K27-DLK5</t>
  </si>
  <si>
    <t>0352061751</t>
  </si>
  <si>
    <t>Nguyễn Tất Thành, Hòa Hiệp Nam, Liên Chiểu</t>
  </si>
  <si>
    <t>ngtha2506@gmail.com</t>
  </si>
  <si>
    <t>Nguyễn Thị Hà</t>
  </si>
  <si>
    <t>0941524143</t>
  </si>
  <si>
    <t>Nguyễn Tất Thành, Hoà Hiệp Nam, Liên Chiểu</t>
  </si>
  <si>
    <t>aprianh92@gmail.com</t>
  </si>
  <si>
    <t>Nguyễn Mai Anh</t>
  </si>
  <si>
    <t>K27PSUDLH</t>
  </si>
  <si>
    <t>Quản trị Du lịch &amp; Nhà hàng chuẩn PSU</t>
  </si>
  <si>
    <t>0367788521</t>
  </si>
  <si>
    <t>05 Trường Sa, Hoà Hải, Ngủ Hành Sơn, Đà Nẵng</t>
  </si>
  <si>
    <t>lec410443@gmail.com</t>
  </si>
  <si>
    <t>Lê ngọc chinh</t>
  </si>
  <si>
    <t>0369949927</t>
  </si>
  <si>
    <t>232 võ nguyên giáp , Quận sơn trà , Đà nẵng</t>
  </si>
  <si>
    <t>TP. Đà Nẵng</t>
  </si>
  <si>
    <t>phamthithanhhuyen60@gmail.com</t>
  </si>
  <si>
    <t>PHẠM THỊ THANH HUYỀN</t>
  </si>
  <si>
    <t>0984796664</t>
  </si>
  <si>
    <t>03 Đ. Nguyễn Văn Linh, Bình Hiên, Hải Châu, Đà Nẵng 550000</t>
  </si>
  <si>
    <t>ĐÀ NẴNG</t>
  </si>
  <si>
    <t>hoanmy2608@gmail.com</t>
  </si>
  <si>
    <t xml:space="preserve">Trần Thị Hoàn Mỹ </t>
  </si>
  <si>
    <t>0977499424</t>
  </si>
  <si>
    <t>buivanphongx01@gmail.com</t>
  </si>
  <si>
    <t>Bùi Văn Phong</t>
  </si>
  <si>
    <t>0964704645</t>
  </si>
  <si>
    <t>258 Võ Nguyên Giáp - Phước Mỹ - Sơn Trà - Đà Nẵng</t>
  </si>
  <si>
    <t>21/01/2025</t>
  </si>
  <si>
    <t>SV ghi sai mssv, đến ngày 20/01/2025 Khoa vẫn chưa gửi giấy giới thiệu</t>
  </si>
  <si>
    <t>ngocngabao68@gmail.com</t>
  </si>
  <si>
    <t xml:space="preserve">Nguyễn Xuân Bảo </t>
  </si>
  <si>
    <t>0358273324</t>
  </si>
  <si>
    <t>Satya Danang Hotel</t>
  </si>
  <si>
    <t>155 Trần Phú, Quận Hải Châu, Đà Nẵng</t>
  </si>
  <si>
    <t>duyanhcunguyen@gmail.com</t>
  </si>
  <si>
    <t>Cù Nguyễn Duy Anh</t>
  </si>
  <si>
    <t>K25 PSU DLK 11</t>
  </si>
  <si>
    <t>0707885127</t>
  </si>
  <si>
    <t>162 Bạch Đằng, Hải Châu 1, Hải Châu, Đà Nẵng</t>
  </si>
  <si>
    <t>Tp Đà Nẵng</t>
  </si>
  <si>
    <t>trưởng khoa đã duyệt đơn, phiếu tiếp nhận chưa có thông tin người trực tiếp hướng dẫn tại DN</t>
  </si>
  <si>
    <t>lungocman1234@gmail.com</t>
  </si>
  <si>
    <t>Lư Ngọc Mẫn</t>
  </si>
  <si>
    <t>K25DLK20</t>
  </si>
  <si>
    <t>0906757487</t>
  </si>
  <si>
    <t>New Orient Hotel Đà Nẵng</t>
  </si>
  <si>
    <t>20 Đống Đa, Thuận Phước, Hải Châu, Đà Nẵng</t>
  </si>
  <si>
    <t>7/2/2025</t>
  </si>
  <si>
    <t>ngomynuong0403@gmail.com</t>
  </si>
  <si>
    <t>Ngô Thị Mỹ Nương</t>
  </si>
  <si>
    <t>0394556635</t>
  </si>
  <si>
    <t xml:space="preserve">258 Võ Nguyên Giáp - Phước Mỹ - Sơn Trà - Đà Nẵng </t>
  </si>
  <si>
    <t>tranthithuytien151103@gmail.com</t>
  </si>
  <si>
    <t xml:space="preserve">Trần Thị Thủy Tiên </t>
  </si>
  <si>
    <t xml:space="preserve">K27DLK6 </t>
  </si>
  <si>
    <t>0772557388</t>
  </si>
  <si>
    <t>Lô A1 Khu biệt thự Đảo Xanh, phường Hòa Cường Bắc, quận Hải Châu, Đà Nẵng, Việt Nam</t>
  </si>
  <si>
    <t>10/2/2025</t>
  </si>
  <si>
    <t>Võ Đức Hiếu</t>
  </si>
  <si>
    <t>tranthamai123@gmail.com</t>
  </si>
  <si>
    <t>Nguyễn Yến Nhi</t>
  </si>
  <si>
    <t>0362069800</t>
  </si>
  <si>
    <t>120A Nguyễn Văn Thoại, Bắc Phú Mỹ, Ngũ Hành Sơn, Đà Nẵng</t>
  </si>
  <si>
    <t>nguyenvulananh0502@gmail.com</t>
  </si>
  <si>
    <t>Nguyễn Vũ Lan Anh</t>
  </si>
  <si>
    <t>0398496791</t>
  </si>
  <si>
    <t>19 Trường Sa, Hoà Hải, Ngũ Hành Sơn, Đà Nẵng</t>
  </si>
  <si>
    <t>08/02/2025</t>
  </si>
  <si>
    <t>ctu17102003@gmail.com</t>
  </si>
  <si>
    <t xml:space="preserve">Nguyễn Thị Cẩm Tú </t>
  </si>
  <si>
    <t>0935440401</t>
  </si>
  <si>
    <t xml:space="preserve"> A1 Khu biệt thự Đảo Xanh, P. Hòa Cường Bắc, Q. Hải Châu, Đà Nẵng </t>
  </si>
  <si>
    <t>04/02/2025</t>
  </si>
  <si>
    <t>thanhqbcc@gmail.com</t>
  </si>
  <si>
    <t>Trần Văn Thành</t>
  </si>
  <si>
    <t>0846033214</t>
  </si>
  <si>
    <t>Royal Lotus Hotel Danang</t>
  </si>
  <si>
    <t>120A Nguyễn Văn Thoại</t>
  </si>
  <si>
    <t>15/1/2025</t>
  </si>
  <si>
    <t>Đề nghị SV nộp lại phiếu tiếp nhận SV thực tập có đóng dấu tròn. Ko chấp nhận dấu vuông bộ phận</t>
  </si>
  <si>
    <t>lehuy7539@gmail.com</t>
  </si>
  <si>
    <t>Lê Quốc Huy</t>
  </si>
  <si>
    <t>0967453824</t>
  </si>
  <si>
    <t>Thuyduyen251103@gmail.com</t>
  </si>
  <si>
    <t>Nguyễn Thị Thuỳ Duyên</t>
  </si>
  <si>
    <t>K27DLK 4</t>
  </si>
  <si>
    <t>0989004980</t>
  </si>
  <si>
    <t>Rosamia Da Nang Hotel</t>
  </si>
  <si>
    <t>282 Võ Nguyên Giáp, phường Mỹ An, quận Ngũ Hành Sơn, tp Đà Nẵng</t>
  </si>
  <si>
    <t>21/1/2025</t>
  </si>
  <si>
    <t>vothicuc2003@gmail.com</t>
  </si>
  <si>
    <t>Võ Thị Cúc</t>
  </si>
  <si>
    <t>0905234637</t>
  </si>
  <si>
    <t>Canvas Danang Beach Hotel</t>
  </si>
  <si>
    <t>234 Võ Nguyên Giáp, Sơn Trà, Đà Nẵng</t>
  </si>
  <si>
    <t>15/01/2025</t>
  </si>
  <si>
    <t>17/01/2025</t>
  </si>
  <si>
    <t>nguyenngocthach0718@gmail.com</t>
  </si>
  <si>
    <t>Nguyễn Ngọc Thạch</t>
  </si>
  <si>
    <t>0345546330</t>
  </si>
  <si>
    <t>Bếp</t>
  </si>
  <si>
    <t>17/1/2025</t>
  </si>
  <si>
    <t>Phiếu tiếp nhận chưa có lãnh đạo ký</t>
  </si>
  <si>
    <t>tamthanhh.0510@gmail.com</t>
  </si>
  <si>
    <t>Ngô Thị Thanh Tâm</t>
  </si>
  <si>
    <t>0905120615</t>
  </si>
  <si>
    <t>Hilton Garden Inn Danang</t>
  </si>
  <si>
    <t>Hilton Garden Inn Đà Nẵng</t>
  </si>
  <si>
    <t>96 Võ Nguyên Giáp, Phường Mân Thái, Quận Sơn Trà, Đà Nẵng</t>
  </si>
  <si>
    <t>20/1/2025</t>
  </si>
  <si>
    <t>thaongo4002@gmail.com</t>
  </si>
  <si>
    <t>Ngô Thị Phương Thảo</t>
  </si>
  <si>
    <t>0347764051</t>
  </si>
  <si>
    <t>05 Trường Sa, Hòa Hải, Ngũ Hành Sơn, Đà Nẵng</t>
  </si>
  <si>
    <t>leny050703@gmail.com</t>
  </si>
  <si>
    <t xml:space="preserve">Lê Thị Thu Ny </t>
  </si>
  <si>
    <t xml:space="preserve">K27PSU DLK 1 </t>
  </si>
  <si>
    <t>0967514570</t>
  </si>
  <si>
    <t xml:space="preserve">05 Trường Sa, Hoà Hải, Ngũ Hành Sơn, Đà Nẵng </t>
  </si>
  <si>
    <t xml:space="preserve">16/01/2025 </t>
  </si>
  <si>
    <t>tthuphuong444@gmail.com</t>
  </si>
  <si>
    <t>Trần Thu Phương</t>
  </si>
  <si>
    <t>0568059779</t>
  </si>
  <si>
    <t xml:space="preserve">05 Trường Sa,Hoà Hải, Ngũ Hành Sơn, Đà Nẵng </t>
  </si>
  <si>
    <t>ysuong308@gmail.com</t>
  </si>
  <si>
    <t>MAI THỊ YẾN SƯƠNG</t>
  </si>
  <si>
    <t>0899202920</t>
  </si>
  <si>
    <t>Khách sạn Mandila Beach Đà Nẵng</t>
  </si>
  <si>
    <t>218 Võ Nguyên Giáp, Phước Mỹ, Sơn Trà, Đà Nẵng</t>
  </si>
  <si>
    <t>09/02/2025</t>
  </si>
  <si>
    <t>21/02/2025</t>
  </si>
  <si>
    <t>thuhien2042@gmail.com</t>
  </si>
  <si>
    <t>Nguyễn Thị Thu Hiền</t>
  </si>
  <si>
    <t>K27DLK 1</t>
  </si>
  <si>
    <t>0896406241</t>
  </si>
  <si>
    <t>232 Võ Nguyên Giáp, Sơn Trà, Đà Nẵng</t>
  </si>
  <si>
    <t>duongnguyenkhanhgiang@gmail.com</t>
  </si>
  <si>
    <t xml:space="preserve">Dương Nguyễn Khánh Giang </t>
  </si>
  <si>
    <t>0329659054</t>
  </si>
  <si>
    <t>341 Trần Hưng Đạo - An Hải Bắc - Sơn Trà - Đà Nẵng</t>
  </si>
  <si>
    <t>huynhaily03@gmail.com</t>
  </si>
  <si>
    <t>Nguyễn Huỳnh Ái Ly</t>
  </si>
  <si>
    <t>0334808343</t>
  </si>
  <si>
    <t>222 Võ Nguyên Giáp - Phước Mỹ - Sơn Trà - Đà Nẵng</t>
  </si>
  <si>
    <t>huynhtthanhnhan1@dtu.edu.vn</t>
  </si>
  <si>
    <t>Huỳnh Thị Thanh Nhàn</t>
  </si>
  <si>
    <t>0347291926</t>
  </si>
  <si>
    <t>lethanhhieu012@gmail.com</t>
  </si>
  <si>
    <t>Lê Thanh Hiếu</t>
  </si>
  <si>
    <t>0982299727</t>
  </si>
  <si>
    <t>232 Võ Nguyên Giáp, Quận Sơn Trà, Đà Nẵng</t>
  </si>
  <si>
    <t>trantamphuc2@gmail.com</t>
  </si>
  <si>
    <t>Trần Thị Tâm Phúc</t>
  </si>
  <si>
    <t>0901133024</t>
  </si>
  <si>
    <t>341 Trần Hưng Đạo, An Hải Bắc, Sơn Trà</t>
  </si>
  <si>
    <t>hanhi08052003@gmail.com</t>
  </si>
  <si>
    <t>Đậu Thị Hà Nhi</t>
  </si>
  <si>
    <t>0332999703</t>
  </si>
  <si>
    <t xml:space="preserve">282 Võ Nguyên Giáp, Ngũ Hành Sơn, Đà Nẵng </t>
  </si>
  <si>
    <t>Lễ tân Spa</t>
  </si>
  <si>
    <t>Spa</t>
  </si>
  <si>
    <t>chỉ chấp nhận nếu SV làm lễ tân spa, ko chấp nhận nếu sv làm công việc khác tại bộ phận này</t>
  </si>
  <si>
    <t>phunhannguyen1003@gmail.com</t>
  </si>
  <si>
    <t>Nguyễn Phú Nhân</t>
  </si>
  <si>
    <t>0905936118</t>
  </si>
  <si>
    <t>1 Lê Văn Duyệt</t>
  </si>
  <si>
    <t>dung96702@gmail.com</t>
  </si>
  <si>
    <t>Huỳnh Thị Bích Dung</t>
  </si>
  <si>
    <t>K27PSU DLK 1</t>
  </si>
  <si>
    <t>0395788872</t>
  </si>
  <si>
    <t>Renaissance Hoi An Resort &amp; Spa</t>
  </si>
  <si>
    <t>Block 6, Phuoc Hai, Cửa Đại, Hội An, Quảng Nam 51300</t>
  </si>
  <si>
    <t>Quảng Nam</t>
  </si>
  <si>
    <t>tuoiphamcsnt12a5@gmail.com</t>
  </si>
  <si>
    <t>PHẠM NGỌC TƯƠI</t>
  </si>
  <si>
    <t>0818985934</t>
  </si>
  <si>
    <t>Khách sạn Hilton Đà Nẵng</t>
  </si>
  <si>
    <t>50 Bạch Đằng, Quận Hải Châu, Đà Nẵng , Việt Nam</t>
  </si>
  <si>
    <t>nguyenphuonganh22003@gmail.com</t>
  </si>
  <si>
    <t>Nguyễn Phương Anh</t>
  </si>
  <si>
    <t>DLK5</t>
  </si>
  <si>
    <t>0898245540</t>
  </si>
  <si>
    <t>3 Nguyễn Văn Linh</t>
  </si>
  <si>
    <t>nhinhi780023@gmail.com</t>
  </si>
  <si>
    <t>Ngô Thị Tuyết Nhi</t>
  </si>
  <si>
    <t>0796584786</t>
  </si>
  <si>
    <t>18/11/2025</t>
  </si>
  <si>
    <t>phtuongvy23@gmail.com</t>
  </si>
  <si>
    <t xml:space="preserve">Phạm Huỳnh Tường Vy </t>
  </si>
  <si>
    <t>K37DLK3</t>
  </si>
  <si>
    <t>0708179364</t>
  </si>
  <si>
    <t xml:space="preserve">120 Nguyễn Văn Thoại , Bắc Mỹ Phú, Ngũ Hành Sơn </t>
  </si>
  <si>
    <t xml:space="preserve">Thành Phố Đà Nẵng </t>
  </si>
  <si>
    <t>Nhà hàng, Buồng phòng</t>
  </si>
  <si>
    <t>hoangthuytienlop9a1718@gmail.con</t>
  </si>
  <si>
    <t>Hoàng Thị Thuỷ Tiên</t>
  </si>
  <si>
    <t>0702792336</t>
  </si>
  <si>
    <t>120 Nguyễn Văn Thoại, Bắc Mỹ Phú, Ngũ Hành Sơn, TP. Đà Nẵng</t>
  </si>
  <si>
    <t>trangminhphuc1203@gmail.com</t>
  </si>
  <si>
    <t>Trang Minh Phúc</t>
  </si>
  <si>
    <t>0793146370</t>
  </si>
  <si>
    <t>Khách Sạn Paris Deli</t>
  </si>
  <si>
    <t>236 Võ Nguyên Giáp, Phường Phước Mỹ, Quận Sơn Trà, Thành Phố Đà Nẵng</t>
  </si>
  <si>
    <t>07/02/2025</t>
  </si>
  <si>
    <t>vantutran11103@gmail.com</t>
  </si>
  <si>
    <t xml:space="preserve">Trần Văn Tứ </t>
  </si>
  <si>
    <t>341 Trần Hưng Đạo, An Hải Bắc, Sơn Trà, Đà Nẵng</t>
  </si>
  <si>
    <t>truongtngoclan@gmail.com</t>
  </si>
  <si>
    <t xml:space="preserve">Trương Thị Ngọc Lan </t>
  </si>
  <si>
    <t>0345644312</t>
  </si>
  <si>
    <t xml:space="preserve"> 341 Trần Đạo - An Hải Bắc - Sơn Trà - Đà Nẵng</t>
  </si>
  <si>
    <t>phuongdang3113@gmail.com</t>
  </si>
  <si>
    <t>Đặng Thu Phương</t>
  </si>
  <si>
    <t>0899850889</t>
  </si>
  <si>
    <t xml:space="preserve">5 Trường Sa , Hoà Hải,Ngũ Hành Sơn,Đà Nẵng </t>
  </si>
  <si>
    <t>22/01/2025</t>
  </si>
  <si>
    <t>SV phải đảm bảo không thực tập quá 5sv/nhà hàng
Sv chưa ghi thông tin người hướng dẫn tại khách sạn</t>
  </si>
  <si>
    <t>ngocmui.0607@gmail.com</t>
  </si>
  <si>
    <t>Phạm Thị Ngọc Mùi</t>
  </si>
  <si>
    <t>0379249336</t>
  </si>
  <si>
    <t>Loibui1606@gmail.com</t>
  </si>
  <si>
    <t xml:space="preserve">Bùi Văn Lợi </t>
  </si>
  <si>
    <t>0833198242</t>
  </si>
  <si>
    <t xml:space="preserve">36 Bạch Đằng, Hải Châu, Đà Nẵng </t>
  </si>
  <si>
    <t>hongvannguyenthi1708@gmail.com</t>
  </si>
  <si>
    <t>Nguyễn Thị Hồng Vân</t>
  </si>
  <si>
    <t>0822532154</t>
  </si>
  <si>
    <t>3/1/2025</t>
  </si>
  <si>
    <t>lhdt1029@gmail.com</t>
  </si>
  <si>
    <t>Lê Hoàng Đoan Trang</t>
  </si>
  <si>
    <t>0905686328</t>
  </si>
  <si>
    <t>19/1/2025</t>
  </si>
  <si>
    <t>nnhuy0609@gmail.com</t>
  </si>
  <si>
    <t>NGUYỄN NHƯ Ý</t>
  </si>
  <si>
    <t>0935516604</t>
  </si>
  <si>
    <t>03 Nguyễn Văn Linh, Đà Nẵng</t>
  </si>
  <si>
    <t>Ngày 19/01/2025</t>
  </si>
  <si>
    <t>huongtranlelan@gmail.com</t>
  </si>
  <si>
    <t>Trần Lê Lan Hương</t>
  </si>
  <si>
    <t>0788439151</t>
  </si>
  <si>
    <t>Lô A1 Khu biệt thự Đảo Xanh, phường Hoà Cường Bắc, quận Hải Châu, Đà Nẵng</t>
  </si>
  <si>
    <t>Bộ phận Sales</t>
  </si>
  <si>
    <t>hoangmaitam16022003@gmail.com</t>
  </si>
  <si>
    <t>Hoàng Mai Tâm</t>
  </si>
  <si>
    <t>K27DLk2</t>
  </si>
  <si>
    <t>0357121028</t>
  </si>
  <si>
    <t>96Võ Nguyên Giáp, Mân Thái, Sơn Trà, Đà Nẵng</t>
  </si>
  <si>
    <t>Sv chưa ghi thông tin người hướng dẫn tại khách sạn</t>
  </si>
  <si>
    <t>ng.congquoc@gmail.com</t>
  </si>
  <si>
    <t>Nguyễn Công Quốc</t>
  </si>
  <si>
    <t>K23DLK9</t>
  </si>
  <si>
    <t>0392245257</t>
  </si>
  <si>
    <t>Grand Tourane Hotel</t>
  </si>
  <si>
    <t xml:space="preserve">252 Võ Nguyên Giáp, Phước Mỹ, Sơn Trà, Đà Nẵng </t>
  </si>
  <si>
    <t>quan29092003@gmail.com</t>
  </si>
  <si>
    <t xml:space="preserve">Đặng Trần Minh Quân </t>
  </si>
  <si>
    <t>0926328637</t>
  </si>
  <si>
    <t xml:space="preserve">Lô 1A Khu Biệt Thự Đảo Xanh </t>
  </si>
  <si>
    <t>4/2/2025</t>
  </si>
  <si>
    <t>thaithuyvi0207@gmail.com</t>
  </si>
  <si>
    <t>Thái Thị Thuý Vi</t>
  </si>
  <si>
    <t>K27PSU-DLK2</t>
  </si>
  <si>
    <t>0847660126</t>
  </si>
  <si>
    <t>Meliá Danang beach resort</t>
  </si>
  <si>
    <t>thuongthuong1682003@gmail.com</t>
  </si>
  <si>
    <t>0795598551</t>
  </si>
  <si>
    <t>linhnguyentruc2424@gmail.com</t>
  </si>
  <si>
    <t>Nguyễn Trúc Linh</t>
  </si>
  <si>
    <t>K26DLK13</t>
  </si>
  <si>
    <t>0378634540</t>
  </si>
  <si>
    <t>luuvhamy@dtu.edu.vn</t>
  </si>
  <si>
    <t>Lưu Vương Hà My</t>
  </si>
  <si>
    <t>0359829347</t>
  </si>
  <si>
    <t>Khách sạn Shilla Monogram Quangnam Danang</t>
  </si>
  <si>
    <t>Lạc Long Quân, phường Điện Ngọc, thị xã Điện Bàn, tỉnh Quảng Nam, Việt Nam</t>
  </si>
  <si>
    <t>sinh viên phải đảm bảo ko quá 5sv/nhà hàng</t>
  </si>
  <si>
    <t>vanlai01032003@gmail.com</t>
  </si>
  <si>
    <t>Đoàn Văn Lại</t>
  </si>
  <si>
    <t>0373603420</t>
  </si>
  <si>
    <t>252 Võ Nguyên Giáp, Phường Phước Mỹ, Quận Sơn Trà, Thành phố Đà Nẵng</t>
  </si>
  <si>
    <t>trankhang232003@gmail.com</t>
  </si>
  <si>
    <t>Trần Dỉnh Khang</t>
  </si>
  <si>
    <t>0905655972</t>
  </si>
  <si>
    <t>36 Bạch Đằng, quận Hải Châu, Thành Phố Đà Nẵng</t>
  </si>
  <si>
    <t>btphnga1523@gmail.com</t>
  </si>
  <si>
    <t xml:space="preserve">Bùi Thị Phương Nga </t>
  </si>
  <si>
    <t>0774426268</t>
  </si>
  <si>
    <t>tranquocdang7713@gnail.com</t>
  </si>
  <si>
    <t>Trần Quốc Đăng</t>
  </si>
  <si>
    <t>0377305613</t>
  </si>
  <si>
    <t>232 Võ Nguyên Giáp</t>
  </si>
  <si>
    <t>minhbe30042002@gmail.com</t>
  </si>
  <si>
    <t>Đoàn Tuấn Minh</t>
  </si>
  <si>
    <t>K26dlk4</t>
  </si>
  <si>
    <t>0858039002</t>
  </si>
  <si>
    <t>Sheraton Grand Danang resort and Convention Center</t>
  </si>
  <si>
    <t>35 trường sa ngũ hành sơn đà nẵng</t>
  </si>
  <si>
    <t>cunbalan1311@gmail.com</t>
  </si>
  <si>
    <t>Lê Hoàng Long</t>
  </si>
  <si>
    <t>0931983051</t>
  </si>
  <si>
    <t>252 Võ Nguyên Giáp. Phường Phước Mỹ. Quận Sơn Trà. TP Đà Nẵng</t>
  </si>
  <si>
    <t>thanhhuyen1011@gmail.com</t>
  </si>
  <si>
    <t>Trương Thị Thanh Huyền</t>
  </si>
  <si>
    <t>0972904315</t>
  </si>
  <si>
    <t>36 Bạch Đằng</t>
  </si>
  <si>
    <t>khanhlinhp541@gmail.com</t>
  </si>
  <si>
    <t>Phạm Khánh Linh</t>
  </si>
  <si>
    <t>0825950234</t>
  </si>
  <si>
    <t>phanthanhuyen2003@gmail.com</t>
  </si>
  <si>
    <t>Phan Thị Thanh Uyên</t>
  </si>
  <si>
    <t>K27PSU- DLK1</t>
  </si>
  <si>
    <t>0386233073</t>
  </si>
  <si>
    <t>24/01/2025</t>
  </si>
  <si>
    <t>thanhthao260923@gmail.com</t>
  </si>
  <si>
    <t>Hoàng Thị Thanh Thảo</t>
  </si>
  <si>
    <t>PSUDLK1</t>
  </si>
  <si>
    <t>0792659443</t>
  </si>
  <si>
    <t>Lạc Long Quân, Điện Ngọc, Điện Bàn, Quảng Nam</t>
  </si>
  <si>
    <t>trungtoan0801@gmail.com</t>
  </si>
  <si>
    <t>Nguyễn Hữu Trung Toàn</t>
  </si>
  <si>
    <t>K26PSUDLK1</t>
  </si>
  <si>
    <t>0345576907</t>
  </si>
  <si>
    <t>Lạc Long Quân, phường Điện Ngọc, xã Điện Bàn, tỉnh Quảng Nam</t>
  </si>
  <si>
    <t>24/1/2025</t>
  </si>
  <si>
    <t>lamtuankiet2002yahoo@gmail.com</t>
  </si>
  <si>
    <t>Lâm Tuấn Kiệt</t>
  </si>
  <si>
    <t>K26PSUSLK 1</t>
  </si>
  <si>
    <t>0825000302</t>
  </si>
  <si>
    <t>Lạc Long Quân, Phường Điện Ngọc, Thị xã Điện Bàn, Tỉnh Quảng Nam</t>
  </si>
  <si>
    <t>hochilynt@gmail.com</t>
  </si>
  <si>
    <t>Hồ Chí Lý</t>
  </si>
  <si>
    <t>K26PSU-DLK1</t>
  </si>
  <si>
    <t>0396970457</t>
  </si>
  <si>
    <t>letanhuy2010@gmail.com</t>
  </si>
  <si>
    <t>Lê Tấn Huy</t>
  </si>
  <si>
    <t>0774591249</t>
  </si>
  <si>
    <t>18/02/2025</t>
  </si>
  <si>
    <t>nguyentkimnguyen2@gmail.com</t>
  </si>
  <si>
    <t>Nguyễn Thị Kim Nguyên</t>
  </si>
  <si>
    <t>0935822973</t>
  </si>
  <si>
    <t xml:space="preserve">Avatar Hotel </t>
  </si>
  <si>
    <t>Avatar Danang Hotel</t>
  </si>
  <si>
    <t>104 Hoàng Kế Viêm</t>
  </si>
  <si>
    <t>23/01/2025</t>
  </si>
  <si>
    <t>anhle.bc28@gmail.com</t>
  </si>
  <si>
    <t>Lê Quốc Anh</t>
  </si>
  <si>
    <t>0789472807</t>
  </si>
  <si>
    <t>Lô A1, Khu biệt thự Đảo Xanh, Phường Hòa Cường Bắc, Quận Hải Châu, Thành phố Đà Nẵng</t>
  </si>
  <si>
    <t>hothidiem31082003@gmail.com</t>
  </si>
  <si>
    <t>Hồ Thị Diễm</t>
  </si>
  <si>
    <t>0325588074</t>
  </si>
  <si>
    <t>155 Tran Phu, Hải Châu, Đà nẵng</t>
  </si>
  <si>
    <t>quyduongpro2003@gmail.com</t>
  </si>
  <si>
    <t>Phạm Trần Quí Dương</t>
  </si>
  <si>
    <t>0702566340</t>
  </si>
  <si>
    <t>01 đảo xanh</t>
  </si>
  <si>
    <t xml:space="preserve">Đà nẵng </t>
  </si>
  <si>
    <t>22/1</t>
  </si>
  <si>
    <t>phungvantho2020@gmail.com</t>
  </si>
  <si>
    <t>Phùng Văn Thọ</t>
  </si>
  <si>
    <t>0905465510</t>
  </si>
  <si>
    <t>Balcona Hotel &amp; Spa</t>
  </si>
  <si>
    <t>288 Võ Nguyên Giáp</t>
  </si>
  <si>
    <t>tamlogang@gmail.com</t>
  </si>
  <si>
    <t>Y Tâm Hwing</t>
  </si>
  <si>
    <t>0947506358</t>
  </si>
  <si>
    <t>03 Nguyễn Văn Linh-Hải Châu-Đà Nẵng</t>
  </si>
  <si>
    <t>22/1/2025</t>
  </si>
  <si>
    <t>tth23532@gmail.com</t>
  </si>
  <si>
    <t>Trần Thị Hương</t>
  </si>
  <si>
    <t>0346402430</t>
  </si>
  <si>
    <t>Melia Danang Beach &amp; Resort</t>
  </si>
  <si>
    <t>19 Trường Sa, Hoà Hải, Ngũ Hành Sơn</t>
  </si>
  <si>
    <t>huynhducquy606@gmail.com</t>
  </si>
  <si>
    <t xml:space="preserve">Huỳnh Đức Quý </t>
  </si>
  <si>
    <t>0898416049</t>
  </si>
  <si>
    <t xml:space="preserve">288 Võ Nguyên Giáp </t>
  </si>
  <si>
    <t>ovan8433@gmail.com</t>
  </si>
  <si>
    <t>Ông Thị Huyền Vân</t>
  </si>
  <si>
    <t>0901941061</t>
  </si>
  <si>
    <t>Sala Danang Beach Hotel</t>
  </si>
  <si>
    <t>36-38 Lâm Hoành,Sơn Trà,Đà Nẵng</t>
  </si>
  <si>
    <t>Đà Nắng</t>
  </si>
  <si>
    <t>phamngochau2002@gmail.com</t>
  </si>
  <si>
    <t>Nguyễn Đức Hậu</t>
  </si>
  <si>
    <t>K26DLK2</t>
  </si>
  <si>
    <t>0916660275</t>
  </si>
  <si>
    <t>Hilton Garden Inn</t>
  </si>
  <si>
    <t>96 Võ Nguyên Giáp, Mân Thái, Sơn Trà, Đà Nẵng</t>
  </si>
  <si>
    <t>Nguyenthituongvi124@gmail.com</t>
  </si>
  <si>
    <t xml:space="preserve">Nguyễn Thị Tường Vi </t>
  </si>
  <si>
    <t>K27 psu DLk2</t>
  </si>
  <si>
    <t>0932501117</t>
  </si>
  <si>
    <t>Premier Village Danang Resort</t>
  </si>
  <si>
    <t xml:space="preserve">99 võ Nguyên Giáp , p . Mỹ An , Q . Ngũ Hành Sơn , tp Đà Nẵng </t>
  </si>
  <si>
    <t>minhhoanguyen1603@gmail.com</t>
  </si>
  <si>
    <t>Nguyễn Minh Hoà</t>
  </si>
  <si>
    <t>K27 PSU DLK2</t>
  </si>
  <si>
    <t>0898149203</t>
  </si>
  <si>
    <t>99 Võ Nguyên Giáp, Mỹ An, Ngũ Hành Sơn, Đà Nẵng</t>
  </si>
  <si>
    <t>nongthuhoai692@gmail.com</t>
  </si>
  <si>
    <t>Nông Thị Thu Hoài</t>
  </si>
  <si>
    <t>0345741424</t>
  </si>
  <si>
    <t>28 Võ Nguyễn Giáp, Mân Thái , Sơn Trà , Đà Nẵng</t>
  </si>
  <si>
    <t>baongoc1602203@gmail.com</t>
  </si>
  <si>
    <t>Nguyễn Thị Bảo Ngọc</t>
  </si>
  <si>
    <t>0375045398</t>
  </si>
  <si>
    <t>DaNang Marriott Resort &amp; Spa, Non Nuoc Beach Villas</t>
  </si>
  <si>
    <t>23 Trường Sa, Ngũ Hành Sơn, Đà Nẵng</t>
  </si>
  <si>
    <t>kimyen27112k3@gmail.com</t>
  </si>
  <si>
    <t>Nguyễn Thị Kim Yến</t>
  </si>
  <si>
    <t>0328872782</t>
  </si>
  <si>
    <t>03 Nguyễn Văn Linh, Hải Châu, Đà Nẵng</t>
  </si>
  <si>
    <t>guineban2000@gmail.com</t>
  </si>
  <si>
    <t>H GUIN Ê BAN</t>
  </si>
  <si>
    <t>K24DLK12</t>
  </si>
  <si>
    <t>0981201062</t>
  </si>
  <si>
    <t>Diamond sea hotel</t>
  </si>
  <si>
    <t>tranxuanthai02032000@gmail.com</t>
  </si>
  <si>
    <t>Trần Xuân Thái</t>
  </si>
  <si>
    <t>K25DLK23</t>
  </si>
  <si>
    <t>0899883969</t>
  </si>
  <si>
    <t>Phú Long Tam Kỳ Hotel &amp; Restaurant</t>
  </si>
  <si>
    <t>495 Phan Châu Trinh, phường Hoà Hương, Tam Kỳ, Quảng Nam</t>
  </si>
  <si>
    <t>Tam kỳ</t>
  </si>
  <si>
    <t>10/2</t>
  </si>
  <si>
    <t>nguyenductiencr7@gmail.com</t>
  </si>
  <si>
    <t>Nguyễn Đức Tiến</t>
  </si>
  <si>
    <t>0928430157</t>
  </si>
  <si>
    <t>23 Trường Sa</t>
  </si>
  <si>
    <t>minhdum1612@gmail.com</t>
  </si>
  <si>
    <t>Võ Minh Nguyệt</t>
  </si>
  <si>
    <t>0934931109</t>
  </si>
  <si>
    <t>Danang Marriott Resort &amp; Spa, Non Nuoc Beach Villas.</t>
  </si>
  <si>
    <t>ngocmai.3042003@gmail.com</t>
  </si>
  <si>
    <t>Mai Thị Kim Ngọc</t>
  </si>
  <si>
    <t>0384831612</t>
  </si>
  <si>
    <t>luonghuynhyennhi@hmail.com</t>
  </si>
  <si>
    <t>Lương Huỳnh Yến Nhi</t>
  </si>
  <si>
    <t>0934780976</t>
  </si>
  <si>
    <t>Số 19, Đường Trường Sa, Phường Hòa Hải, Quận Ngũ Hành Sơn, Thành phố Đà Nẵng, Việt Nam. Da Nang</t>
  </si>
  <si>
    <t>nguyenphuc301002@gmail.com</t>
  </si>
  <si>
    <t>Nguyễn Phúc</t>
  </si>
  <si>
    <t>0938741507</t>
  </si>
  <si>
    <t>5 Trường Sa, Hoà Hải, Ngũ Hành Sơn, Đà Nẵng</t>
  </si>
  <si>
    <t>nguyenthituyettram652003@gmail.com</t>
  </si>
  <si>
    <t>Nguyễn Thị Tuyết Trâm</t>
  </si>
  <si>
    <t>0383228364</t>
  </si>
  <si>
    <t xml:space="preserve">Mandila Beach Hotel </t>
  </si>
  <si>
    <t>truongvantung103@gmail.com</t>
  </si>
  <si>
    <t>Trương Văn Tùng</t>
  </si>
  <si>
    <t>0867602447</t>
  </si>
  <si>
    <t>duyanhvuongkhanh@gmail.com</t>
  </si>
  <si>
    <t>Vương Khánh Duy Anh</t>
  </si>
  <si>
    <t>0971288714</t>
  </si>
  <si>
    <t>fuongtaliw24@gmail.com</t>
  </si>
  <si>
    <t>Nguyễn Thị Minh Phương</t>
  </si>
  <si>
    <t>K26DLK9</t>
  </si>
  <si>
    <t>0934942120</t>
  </si>
  <si>
    <t>155 Trần Phú</t>
  </si>
  <si>
    <t>donhi021092@gmail.com</t>
  </si>
  <si>
    <t>Đỗ Như Tuyết Nhi</t>
  </si>
  <si>
    <t>0769467655</t>
  </si>
  <si>
    <t>Four Points by Sheraton Danang</t>
  </si>
  <si>
    <t>118-120 Võ Nguyên Giáp, Phước Mỹ, Sơn Trà, Đà Nẵng</t>
  </si>
  <si>
    <t>nhungngo.01072003@gmail.com</t>
  </si>
  <si>
    <t>Ngô Thị Hồng Nhung</t>
  </si>
  <si>
    <t>K27PSU-DLH</t>
  </si>
  <si>
    <t>0814309890</t>
  </si>
  <si>
    <t>omaidao5122002@gmail.com</t>
  </si>
  <si>
    <t>Võ Lê Bích Trâm</t>
  </si>
  <si>
    <t>k26dlk10</t>
  </si>
  <si>
    <t>0799444780</t>
  </si>
  <si>
    <t>lô a01 khu biệt thự đảo xanh đà nẵng</t>
  </si>
  <si>
    <t>đà nẵng</t>
  </si>
  <si>
    <t>kimjunminkim@gmail.com</t>
  </si>
  <si>
    <t>Trần Kim Anh Tú</t>
  </si>
  <si>
    <t>K26 DLK2</t>
  </si>
  <si>
    <t>0905084110</t>
  </si>
  <si>
    <t>5/02/2025</t>
  </si>
  <si>
    <t>huytrannguyen06@gmail.com</t>
  </si>
  <si>
    <t>Trần Nguyên Huy</t>
  </si>
  <si>
    <t>K26PSUDLK 3</t>
  </si>
  <si>
    <t>0898158061</t>
  </si>
  <si>
    <t>trưởng khoa đã duyệt đơn
SV đến văn phòng khoa nhận lại giấy xác nhận thực tập và nhận xét của DN</t>
  </si>
  <si>
    <t>Hoquy1309@gmail.com</t>
  </si>
  <si>
    <t>HỒ THỊ QUÝ</t>
  </si>
  <si>
    <t>0352521309</t>
  </si>
  <si>
    <t>Khu du lịch Xuân Thiều, đường Nguyễn Tất Thành, P. Hoà Hiệp Nam, Q. Liên Chiểu, TP Đà Nẵng</t>
  </si>
  <si>
    <t>dangtonu0609@gmail.com</t>
  </si>
  <si>
    <t>Đặng Thị Tố Nữ</t>
  </si>
  <si>
    <t>0934957421</t>
  </si>
  <si>
    <t>05 Trường Sa, phường Hòa Hải, quận Ngũ Hành Sơn, Đà Nẵng</t>
  </si>
  <si>
    <t>thanthiphuongthao2019@gmail.com</t>
  </si>
  <si>
    <t>Thân Thị Phương Thảo</t>
  </si>
  <si>
    <t>0707166914</t>
  </si>
  <si>
    <t>204 Võ Nguyên Gíap</t>
  </si>
  <si>
    <t>dangthituyettrinh129@gmail.com</t>
  </si>
  <si>
    <t>ĐẶNG THỊ TUYẾT TRINH</t>
  </si>
  <si>
    <t>0983062403</t>
  </si>
  <si>
    <t>Khách sạn Avatar Đà Nẵng</t>
  </si>
  <si>
    <t>104 Hoàng Kế Viêm,P.Mỹ An, Q.Ngũ Hành Sơn,TP.Đà Nẵng</t>
  </si>
  <si>
    <t>tientien190603@gmail.com</t>
  </si>
  <si>
    <t>Lê Thị Thuỷ Tiên</t>
  </si>
  <si>
    <t>0905795387</t>
  </si>
  <si>
    <t>155 Trần Phú, Hải Châu, Đà Nẵng</t>
  </si>
  <si>
    <t>kimtruc23112003@gmail.com</t>
  </si>
  <si>
    <t>Nguyễn Kim Thanh Trúc</t>
  </si>
  <si>
    <t>0779589412</t>
  </si>
  <si>
    <t>Meliá DaNang Beach Resort</t>
  </si>
  <si>
    <t>Lễ Tân</t>
  </si>
  <si>
    <t>hieuthaovothi@gmail.com</t>
  </si>
  <si>
    <t xml:space="preserve">Võ Thị Hiếu Thảo </t>
  </si>
  <si>
    <t>K26DLK 14</t>
  </si>
  <si>
    <t>0934033975</t>
  </si>
  <si>
    <t xml:space="preserve">104 Hoàng Kế Viêm, Bắc Mỹ Phú, Ngũ Hành Sơn, Đà Nẵng </t>
  </si>
  <si>
    <t>03/02/2025</t>
  </si>
  <si>
    <t>tranliem232001@gmail.com</t>
  </si>
  <si>
    <t>Trần Văn Liêm</t>
  </si>
  <si>
    <t>K25DLK 19</t>
  </si>
  <si>
    <t>0774441502</t>
  </si>
  <si>
    <t>232 Võ Nguyên Giáp, phường Phước Mỹ, quận Sơn Trà, TP Đà Nẵng</t>
  </si>
  <si>
    <t>truc21477@gmail.com</t>
  </si>
  <si>
    <t>Nguyễn Tạ Thanh Trúc</t>
  </si>
  <si>
    <t>K27PSUDLK2</t>
  </si>
  <si>
    <t>0386689429</t>
  </si>
  <si>
    <t>Số 99 Võ Nguyên Giáp, Bắc Mỹ An, Ngũ Hành Sơn, Đà Nẵng</t>
  </si>
  <si>
    <t>Phiếu tiếp nhận chưa ghi thông tin người hướng dẫn tại ks, SV phải đảm bảo không thực tập quá 5sv/nhà hàng</t>
  </si>
  <si>
    <t>nguyencconghau@gmail.com</t>
  </si>
  <si>
    <t xml:space="preserve">Nguyễn Công Hậu </t>
  </si>
  <si>
    <t>k25DLK24</t>
  </si>
  <si>
    <t>0905483087</t>
  </si>
  <si>
    <t>06/02/2025</t>
  </si>
  <si>
    <t>nguyentngoctu2@dtu.edu.vn</t>
  </si>
  <si>
    <t>Nguyễn Thị Ngọc Tứ</t>
  </si>
  <si>
    <t>0906478276</t>
  </si>
  <si>
    <t>Lạc Long Quân, phường Điện Nam Đông, thị xã Điện Bàn, tỉnh Quảng Nam</t>
  </si>
  <si>
    <t>thanhthao811003@gmail.com</t>
  </si>
  <si>
    <t>Văn Thị Thanh Thảo</t>
  </si>
  <si>
    <t>0707021742</t>
  </si>
  <si>
    <t>Lạc Long Quân P. Điện Nam Đông TX. Điện Bàn Quảng Nam Việt Nam</t>
  </si>
  <si>
    <t>nguyenquynhnhu020603@gmail.com</t>
  </si>
  <si>
    <t>Nguyễn Thị Quỳnh Như</t>
  </si>
  <si>
    <t>0935383425</t>
  </si>
  <si>
    <t>Chicland Hotel</t>
  </si>
  <si>
    <t>210 Võ Nguyên Giáp, Phước Mỹ, Sơn Trà</t>
  </si>
  <si>
    <t>duongkhanhvycmg@gmail.com</t>
  </si>
  <si>
    <t>Dương Khánh Vy</t>
  </si>
  <si>
    <t>0354100151</t>
  </si>
  <si>
    <t>Lô A1, Khụ biệt thự Đảo Xanh, Phường Hòa Cường Bắc, Quận Hải Châu, Thành phố Đà Nẵng</t>
  </si>
  <si>
    <t>5/2/2025</t>
  </si>
  <si>
    <t>SV đến VP khoa nhận lại Thỏa thuận thực tập</t>
  </si>
  <si>
    <t>dinhmo33@gmail.com</t>
  </si>
  <si>
    <t>Đinh Hoàng Mơ</t>
  </si>
  <si>
    <t>0377024521</t>
  </si>
  <si>
    <t xml:space="preserve">36-38 Đ. Lâm Hoành, Phước Mỹ, Sơn Trà, Đà Nẵng </t>
  </si>
  <si>
    <t>hoyennhi136@gmail.com</t>
  </si>
  <si>
    <t>Hồ Yến Nhi</t>
  </si>
  <si>
    <t>0933850295</t>
  </si>
  <si>
    <t>Pullman Danang Beach Resort</t>
  </si>
  <si>
    <t>101 Võ Nguyên Giáp, Ngũ Hành Sơn, Đà Nẵng</t>
  </si>
  <si>
    <t>dinhthivytam2003.vn@gmail.com</t>
  </si>
  <si>
    <t xml:space="preserve">Đinh Thị Vỹ Tâm </t>
  </si>
  <si>
    <t>K27_PSU_DLK1</t>
  </si>
  <si>
    <t>0799318958</t>
  </si>
  <si>
    <t>101 Võ Nguyên Giáp, Ngũ, Hành Sơn, Đà Nẵng</t>
  </si>
  <si>
    <t>vietvanthanh2003@gmail.com</t>
  </si>
  <si>
    <t>Văn Thanh Việt</t>
  </si>
  <si>
    <t>0915066334</t>
  </si>
  <si>
    <t>101 Võ Nguyên Giáp, Street, Ngũ Hành Sơn, Đà Nẵng</t>
  </si>
  <si>
    <t>dohaithanhha@gmail.com</t>
  </si>
  <si>
    <t>Đỗ Hải Thanh Hà</t>
  </si>
  <si>
    <t>K26DLK 15</t>
  </si>
  <si>
    <t>0905900285</t>
  </si>
  <si>
    <t>Hotel Royal HoiAn</t>
  </si>
  <si>
    <t>39 Đào Duy Từ</t>
  </si>
  <si>
    <t>Hội An</t>
  </si>
  <si>
    <t>sus411053@gmail.com</t>
  </si>
  <si>
    <t>Sử Hoàng Tú Quyên</t>
  </si>
  <si>
    <t>0916501120</t>
  </si>
  <si>
    <t>Khu du lịch Xuân Thiều, Đường Nguyễn Tất Thành, Đà Nẵng</t>
  </si>
  <si>
    <t>leyennhi3333@gmail.com</t>
  </si>
  <si>
    <t>Lê Thị Yến Nhi</t>
  </si>
  <si>
    <t>0396095413</t>
  </si>
  <si>
    <t>Radisson Hotel Danang</t>
  </si>
  <si>
    <t>170 Võ Nguyên Giáp</t>
  </si>
  <si>
    <t>trungtran85200@gmail.com</t>
  </si>
  <si>
    <t>Trần hữu chung</t>
  </si>
  <si>
    <t>K27DLK 5</t>
  </si>
  <si>
    <t>0356485200</t>
  </si>
  <si>
    <t>Radisson hotel danang</t>
  </si>
  <si>
    <t>nmy11.4m@gmail.com</t>
  </si>
  <si>
    <t>Nguyễn Thị Thùy Dương</t>
  </si>
  <si>
    <t>K25DLK15</t>
  </si>
  <si>
    <t>0373114140</t>
  </si>
  <si>
    <t>Khu du lịch Xuân Thiều, Đ. Nguyễn Tất Thành, P. Hòa Hiệp Nam, Q. Liên Chiểu, TP Đà Nẵng.</t>
  </si>
  <si>
    <t>Lễ tân Water Park</t>
  </si>
  <si>
    <t>7/02/2025</t>
  </si>
  <si>
    <t xml:space="preserve">Làm tất cả vị trí khi thực tập ở Water Park Mikazuki </t>
  </si>
  <si>
    <t>1. SV chưa nộp đơn tham dự thực tập TT
2. Mikazuki không nằm trong danh sách đơn vị thực tập cho PSU
3. Vị trí và công việc ko rõ ràng</t>
  </si>
  <si>
    <t>truongthanhlong1809@gmail.com</t>
  </si>
  <si>
    <t>TRƯƠNG THÀNH LONG</t>
  </si>
  <si>
    <t>K26DLK3</t>
  </si>
  <si>
    <t>0522863461</t>
  </si>
  <si>
    <t>Crowne Plaza Danang</t>
  </si>
  <si>
    <t xml:space="preserve">08 võ nguyên giáp </t>
  </si>
  <si>
    <t>6/2</t>
  </si>
  <si>
    <t>qto19082002@gmail.com</t>
  </si>
  <si>
    <t>Lê Trà Tố Quyên</t>
  </si>
  <si>
    <t>0704644610</t>
  </si>
  <si>
    <t>Ussina Sky 77- Aging Beef &amp; Bar</t>
  </si>
  <si>
    <t>Tầng 77- tòa Landmark 81, 720A Điện Biên Phủ, phường 22, Bình Thạnh, TP. Hồ Chí Minh</t>
  </si>
  <si>
    <t>Thành phố Hồ Chí Minh</t>
  </si>
  <si>
    <t>đơn đã được trưởng khoa duyệt</t>
  </si>
  <si>
    <t>ttri52278@gmail.com</t>
  </si>
  <si>
    <t>Trần Minh Trí</t>
  </si>
  <si>
    <t>0914689322</t>
  </si>
  <si>
    <t>50 Bạch Đằng</t>
  </si>
  <si>
    <t>hoangxuanphuoc6@gmail.com</t>
  </si>
  <si>
    <t>Hoàng Xuân Phước</t>
  </si>
  <si>
    <t>0769701103</t>
  </si>
  <si>
    <t>ngong2507@gmail.com</t>
  </si>
  <si>
    <t>Nguyễn Ngọ</t>
  </si>
  <si>
    <t>0901172893</t>
  </si>
  <si>
    <t xml:space="preserve">99 Võ Nguyên Giáp, Mỹ An, Ngũ Hành Sơn, Đà Nẵng </t>
  </si>
  <si>
    <t>thanhtuyenpro26072003@gmail.com</t>
  </si>
  <si>
    <t>Võ Thị Thanh Tuyền</t>
  </si>
  <si>
    <t>K27 DLK6</t>
  </si>
  <si>
    <t>0779494325</t>
  </si>
  <si>
    <t>Cicilia Hotel &amp; Spa</t>
  </si>
  <si>
    <t xml:space="preserve">6-8-10 Đỗ Bá ,Phường Mỹ An , Quận Ngũ Hành Sơn </t>
  </si>
  <si>
    <t>10-02-2025</t>
  </si>
  <si>
    <t>nhuquynhthqc@gmail.com</t>
  </si>
  <si>
    <t>Trần Nguyễn Quỳnh Như</t>
  </si>
  <si>
    <t>0836487217</t>
  </si>
  <si>
    <t>236 Võ Nguyên Giáp, phường Phước Mỹ, quận Sơn Trà, thành phố Đà Nẵng</t>
  </si>
  <si>
    <t>nguyennhatlee22@gmail.com</t>
  </si>
  <si>
    <t>Nguyễn Thị Nhật Lệ</t>
  </si>
  <si>
    <t>0775182166</t>
  </si>
  <si>
    <t>155 Trần Phú , quận Hải Châu , TP Đà Nẵng</t>
  </si>
  <si>
    <t>6/2/2025</t>
  </si>
  <si>
    <t>phambichvan260601@gmail.com</t>
  </si>
  <si>
    <t>Phạm Thị Bích Vân</t>
  </si>
  <si>
    <t>K25DLK26</t>
  </si>
  <si>
    <t>0777549728</t>
  </si>
  <si>
    <t>Rosamia Danang Hotel</t>
  </si>
  <si>
    <t>282 Võ Nguyên Giáp</t>
  </si>
  <si>
    <t>10.2.2025</t>
  </si>
  <si>
    <t>huonggiang9.10pht@gmail.com</t>
  </si>
  <si>
    <t>Vũ Bùi Hương Giang</t>
  </si>
  <si>
    <t>0942703069</t>
  </si>
  <si>
    <t>miinhduc1311@gmail.com</t>
  </si>
  <si>
    <t>Nguyễn Minh Đức</t>
  </si>
  <si>
    <t>0974380500</t>
  </si>
  <si>
    <t>Phiếu tiếp nhận chưa ghi thông tin người hướng dẫn tại ks</t>
  </si>
  <si>
    <t>trannmo2k2@gmail.com</t>
  </si>
  <si>
    <t>Trần Thị Mơ</t>
  </si>
  <si>
    <t>0886632281</t>
  </si>
  <si>
    <t>99 Võ Nguyên Giáp, quận Ngũ Hành Sơn</t>
  </si>
  <si>
    <t>kieudiemahihi@gmail.com</t>
  </si>
  <si>
    <t>Nguyễn Thị Kiều Diễm</t>
  </si>
  <si>
    <t>K27 PSU DLK1</t>
  </si>
  <si>
    <t>0944066871</t>
  </si>
  <si>
    <t>không</t>
  </si>
  <si>
    <t>ngày 7/2/2025</t>
  </si>
  <si>
    <t>quy042017@gmail.com</t>
  </si>
  <si>
    <t>Lê Kim Quy</t>
  </si>
  <si>
    <t>0943742719</t>
  </si>
  <si>
    <t>Không</t>
  </si>
  <si>
    <t>99 Võ Nguyên Giáp, phường Mỹ An, quận Ngũ Hành Sơn, thành phố Đà Nẵng</t>
  </si>
  <si>
    <t>Ngày 7/2/2025</t>
  </si>
  <si>
    <t>thuynguyen.2011001@gmail.com</t>
  </si>
  <si>
    <t>Nguyễn Thị Diễm Thuý</t>
  </si>
  <si>
    <t>K27PSUDLK 2</t>
  </si>
  <si>
    <t>0387344662</t>
  </si>
  <si>
    <t>Phiếu tiếp nhận chưa ghi thông tin người hướng dẫn tại ks,</t>
  </si>
  <si>
    <t>thanhc2nct2021@gmail.com</t>
  </si>
  <si>
    <t>Đỗ Kim Thành</t>
  </si>
  <si>
    <t>0339983767</t>
  </si>
  <si>
    <t>thaovo.101198@gmail.com</t>
  </si>
  <si>
    <t>Võ Thị Thu Thảo</t>
  </si>
  <si>
    <t>0384754700</t>
  </si>
  <si>
    <t>99 Võ Nguyên Giáp/ Mỹ An/ Ngũ Hành Sơn/ Đà Nẵng</t>
  </si>
  <si>
    <t>nguyenhoanganhtho0510@gmail.com</t>
  </si>
  <si>
    <t>Nguyễn Hoàng Anh Thơ</t>
  </si>
  <si>
    <t>0905830255</t>
  </si>
  <si>
    <t>trandinhtanhao3@gmail.com</t>
  </si>
  <si>
    <t>Tran Dinh Tan Hao</t>
  </si>
  <si>
    <t>psu k27dlk2</t>
  </si>
  <si>
    <t>0793643674</t>
  </si>
  <si>
    <t>honglantrinhqn2003@gmail.com</t>
  </si>
  <si>
    <t>Hồng Thị Lan Trinh</t>
  </si>
  <si>
    <t>0708542603</t>
  </si>
  <si>
    <t>35 Trường Sa, Hoà Hải, Ngũ Hành Sơn, Đà Nẵng</t>
  </si>
  <si>
    <t>6/02/2025</t>
  </si>
  <si>
    <t>nnkk.262003@gmail.com</t>
  </si>
  <si>
    <t xml:space="preserve">Nguyễn Ngọc Kim Khánh </t>
  </si>
  <si>
    <t>0905807687</t>
  </si>
  <si>
    <t xml:space="preserve">341 trần hưng đạo </t>
  </si>
  <si>
    <t>sinh viên phải đảm bảo không quá 5sv/nhà hàng</t>
  </si>
  <si>
    <t>mhuyen903@gmail.com</t>
  </si>
  <si>
    <t>Nguyễn Thị Huyền My</t>
  </si>
  <si>
    <t>0392095189</t>
  </si>
  <si>
    <t>252 Võ Nguyên Giáp, Phước Mỹ, Sơn Trà, Đà nẵng</t>
  </si>
  <si>
    <t>kieunhuks1@gmail.com</t>
  </si>
  <si>
    <t>Lê Thị Kiều Như</t>
  </si>
  <si>
    <t>0352916132</t>
  </si>
  <si>
    <t>210 Võ Nguyên Giáp</t>
  </si>
  <si>
    <t>thanhthao19092003@gmail.com</t>
  </si>
  <si>
    <t>Nguyễn Thị Thanh Thảo</t>
  </si>
  <si>
    <t>0708061703</t>
  </si>
  <si>
    <t>nguyenthingocnhi12092003@gmail.com</t>
  </si>
  <si>
    <t>Nguyễn Thị Ngọc Nhi</t>
  </si>
  <si>
    <t>0898450230</t>
  </si>
  <si>
    <t>20 Đống Đa</t>
  </si>
  <si>
    <t>bngoc280803@gmail.com</t>
  </si>
  <si>
    <t xml:space="preserve">Võ Thị Bích Ngọc </t>
  </si>
  <si>
    <t>0334809597</t>
  </si>
  <si>
    <t>36 Bạch Đằng - Thạch Thang - Hải Châu - Đà Nẵng</t>
  </si>
  <si>
    <t xml:space="preserve"> Đà Nẵng</t>
  </si>
  <si>
    <t>yennhinguyenthi241@gmail.com</t>
  </si>
  <si>
    <t xml:space="preserve">Nguyễn Thị Yến Nhi </t>
  </si>
  <si>
    <t>0357884586</t>
  </si>
  <si>
    <t xml:space="preserve">36 Bạch Đằng - Thạch Thang - Hải Châu - Đà Nẵng </t>
  </si>
  <si>
    <t>vyngan2001@gmail.com</t>
  </si>
  <si>
    <t>Võ Thị Y Ngân</t>
  </si>
  <si>
    <t>0787483403</t>
  </si>
  <si>
    <t>341 Trần Hưng Đạo, Đà Nẵng</t>
  </si>
  <si>
    <t>nthuphuong1509@gmail.com</t>
  </si>
  <si>
    <t xml:space="preserve">Nguyễn Thu Phương </t>
  </si>
  <si>
    <t>0376988620</t>
  </si>
  <si>
    <t>341 Trần Hưng Đạo, Phường An Hải Bắc, Quận Sơn Trà, Thành phố Đà Nẵng</t>
  </si>
  <si>
    <t>dotu2k03@gmail.com</t>
  </si>
  <si>
    <t>Đỗ Anh Tú</t>
  </si>
  <si>
    <t>0363879316</t>
  </si>
  <si>
    <t>Hoangthaopbc@gmail.com</t>
  </si>
  <si>
    <t>Hoàng Thanh Thảo</t>
  </si>
  <si>
    <t xml:space="preserve">K26DLK9 </t>
  </si>
  <si>
    <t>0774800237</t>
  </si>
  <si>
    <t xml:space="preserve">Sherwood Residence </t>
  </si>
  <si>
    <t>127 Pasteur, phường Võ Thị Sáu, Quận 3</t>
  </si>
  <si>
    <t>Hồ Chí Minh</t>
  </si>
  <si>
    <t>bachhuynhngoctran22032003@gmail.com</t>
  </si>
  <si>
    <t>Bạch Huỳnh Ngọc Trân</t>
  </si>
  <si>
    <t>0813939317</t>
  </si>
  <si>
    <t>29-33 Lê Văn Quý, An Hải Bắc, Sơn Trà, Đà Nẵng</t>
  </si>
  <si>
    <t>nguyenthitrang150805@gmail.com</t>
  </si>
  <si>
    <t>Nguyễn Thị Trang</t>
  </si>
  <si>
    <t>0346787402</t>
  </si>
  <si>
    <t xml:space="preserve">The Nalod Đà Năng </t>
  </si>
  <si>
    <t>192 Võ Nguyên Giáp</t>
  </si>
  <si>
    <t>7/2</t>
  </si>
  <si>
    <t>10/02/2025: không thấy thông tin tại CSDL</t>
  </si>
  <si>
    <t>nhudtq3003@gmail.com</t>
  </si>
  <si>
    <t>Đặng Thị Quỳnh Như</t>
  </si>
  <si>
    <t>K27ldk2</t>
  </si>
  <si>
    <t>0975277852</t>
  </si>
  <si>
    <t>Minh Toàn Galaxy Hotel Đà Nẵng</t>
  </si>
  <si>
    <t>162 đường 2/9 phường Hoà Thuận Đông quận Hải Châu , tp Đà Nẵng</t>
  </si>
  <si>
    <t>8/2/2025</t>
  </si>
  <si>
    <t>tntnguyen0303@gmail.com</t>
  </si>
  <si>
    <t xml:space="preserve">Trương Ngọc Thảo Nguyên </t>
  </si>
  <si>
    <t>0356775953</t>
  </si>
  <si>
    <t xml:space="preserve">218 Võ Nguyên Giáp, Phước Mỹ, Sơn Trà, Đà Nẵng </t>
  </si>
  <si>
    <t>kimhieunguyen281@gmail.com</t>
  </si>
  <si>
    <t>Nguyễn Kim Hiếu</t>
  </si>
  <si>
    <t>0795534765</t>
  </si>
  <si>
    <t>Silk Sense Hoi An River Resort</t>
  </si>
  <si>
    <t>01 Đống Đa, Cẩm An, Hội An, Quảng Nam</t>
  </si>
  <si>
    <t>Hội An, Quảng Nam</t>
  </si>
  <si>
    <t>20/09/2024</t>
  </si>
  <si>
    <t>đơn vị thực tập đủ điều kiện nhưng sinh viên chưa đăng ký thực tập</t>
  </si>
  <si>
    <t>kieuduyen081003@gmail.com</t>
  </si>
  <si>
    <t>Trần Thị Kiều Duyên</t>
  </si>
  <si>
    <t>0906571524</t>
  </si>
  <si>
    <t>Hoi An Historic Hotel</t>
  </si>
  <si>
    <t>Số 10 Trần Hưng Đạo, Phường Minh An, Thành phố Hội An, Quảng Nam</t>
  </si>
  <si>
    <t>Thành phố Hội An, Quảng Nam</t>
  </si>
  <si>
    <t>nguyenphuongphuong2104@gmail.com</t>
  </si>
  <si>
    <t>Nguyễn Thị Ngọc Phương</t>
  </si>
  <si>
    <t>0399662145</t>
  </si>
  <si>
    <t xml:space="preserve">306 đường 2/9, Hải Châu, Đà Nẵng </t>
  </si>
  <si>
    <t>meltuyettrantn@gmail.com</t>
  </si>
  <si>
    <t>Trần Tuyết Nhi</t>
  </si>
  <si>
    <t>0941145005</t>
  </si>
  <si>
    <t>trieutran5473@gmail.com</t>
  </si>
  <si>
    <t>Trần Thanh Triều</t>
  </si>
  <si>
    <t>K26DLK6</t>
  </si>
  <si>
    <t>0976065160</t>
  </si>
  <si>
    <t>210 Võ Nguyên Giáp - Phước Mỹ - Sơn Trà - Đà Nẵng</t>
  </si>
  <si>
    <t>hientran.051003@gmail.com</t>
  </si>
  <si>
    <t>Trần Nguyễn Thu Huyền</t>
  </si>
  <si>
    <t>0935663316</t>
  </si>
  <si>
    <t>218 Võ Nguyên Giáp,Phước Mỹ,Sơn Trà,Đà Nẵng</t>
  </si>
  <si>
    <t>vyvylove123234@gmail.com</t>
  </si>
  <si>
    <t>Nguyễn Thị Tường Vi</t>
  </si>
  <si>
    <t>0352048667</t>
  </si>
  <si>
    <t>Làng lụa Hội An - HoiAn Silk Village Resort &amp; Spa</t>
  </si>
  <si>
    <t>28 Nguyễn Tất Thành, Phường Minh An, Thành phố Hội An, Quảng Nam</t>
  </si>
  <si>
    <t>tại csdl: khách sạn 3*</t>
  </si>
  <si>
    <t>kimyhoang2107@gmail.com</t>
  </si>
  <si>
    <t>Hoàng Thị Kim Ý</t>
  </si>
  <si>
    <t>0779805613</t>
  </si>
  <si>
    <t>Crowne Plaza Danang City Centre</t>
  </si>
  <si>
    <t>17 Quang Trung, Hai Chau 1 Ward, Hai Chau District Da Nang, Viet Nam</t>
  </si>
  <si>
    <t xml:space="preserve">Nhà hàng + Banquet </t>
  </si>
  <si>
    <t>uyennguyen.050203@gmail.com</t>
  </si>
  <si>
    <t>Nguyễn Thị Phương Uyên</t>
  </si>
  <si>
    <t>0787517656</t>
  </si>
  <si>
    <t>17 Quang Trung , Hai Chau 1 Ward , Hai Chau Dictrict</t>
  </si>
  <si>
    <t>Nhà hàng &amp; Banquet</t>
  </si>
  <si>
    <t>nguyenminhphuong30121611@gmail.com</t>
  </si>
  <si>
    <t>Nguyễn Minh Phương</t>
  </si>
  <si>
    <t>K26-DLK10</t>
  </si>
  <si>
    <t>0775464998</t>
  </si>
  <si>
    <t>99 Võ Nguyên Giáp, phường Mỹ An, Quận Ngũ Hành Sơn</t>
  </si>
  <si>
    <t>10-2-2025</t>
  </si>
  <si>
    <t>dngnguen123@gmail.com</t>
  </si>
  <si>
    <t>Trần Như Phong</t>
  </si>
  <si>
    <t>K25DLK13</t>
  </si>
  <si>
    <t>0763676090</t>
  </si>
  <si>
    <t>Số 306 đường 2 tháng 9, Hoà Cường Bắc, Hải Châu, Đà Nẵnv</t>
  </si>
  <si>
    <t>vyverygood@gmail.com</t>
  </si>
  <si>
    <t>Lê Thị Thanh Vy</t>
  </si>
  <si>
    <t>K24PSUDLK1</t>
  </si>
  <si>
    <t>0901935738</t>
  </si>
  <si>
    <t>Đường Lạc Long Quân , Xã Điện Ngọc , Huyện Điện Bàn , Tỉnh Quảng Nam</t>
  </si>
  <si>
    <t>Tỉnh Quảng Nam</t>
  </si>
  <si>
    <t>trưởng khoa đã duyệt đơn</t>
  </si>
  <si>
    <t>nguyencaohoangkim.tk1@gmail.com</t>
  </si>
  <si>
    <t>Nguyễn Cao Hoàng Kim</t>
  </si>
  <si>
    <t>K27 DLK5</t>
  </si>
  <si>
    <t>0707722091</t>
  </si>
  <si>
    <t xml:space="preserve">222 Võ Nguyên Giáp </t>
  </si>
  <si>
    <t>vuhuynang2000@gmail.com</t>
  </si>
  <si>
    <t xml:space="preserve">Vũ Huy Năng </t>
  </si>
  <si>
    <t xml:space="preserve">K25DLK15 </t>
  </si>
  <si>
    <t>210 Võ Nguyên Giáp, biển Mỹ Khê, Ngũ Hành Sơn</t>
  </si>
  <si>
    <t>truonghoangngocngi24052003@gmail.com</t>
  </si>
  <si>
    <t>Trương Hoàng Ngọc Nhi</t>
  </si>
  <si>
    <t>0826557727</t>
  </si>
  <si>
    <t>hongdan227@gmail.com</t>
  </si>
  <si>
    <t xml:space="preserve">Lê Hồng Dân </t>
  </si>
  <si>
    <t>K26DLK5</t>
  </si>
  <si>
    <t>0366904742</t>
  </si>
  <si>
    <t>120A Nguyễn Văn Thoại, Ngũ Hành Sơn, Đà Nẵng</t>
  </si>
  <si>
    <t>lethihoaimy123@gmail.com</t>
  </si>
  <si>
    <t>Lê Thị Hoài My</t>
  </si>
  <si>
    <t>0348109804</t>
  </si>
  <si>
    <t xml:space="preserve">6-8-10 đường Đỗ Bá, Phường Mỹ An, Quận Ngũ Hành Sơn, Thành phố Đà Nẵng </t>
  </si>
  <si>
    <t>Nhân sự</t>
  </si>
  <si>
    <t>trinhthiaithuong2000@gmail.com</t>
  </si>
  <si>
    <t>Trịnh Thị Ý Thương</t>
  </si>
  <si>
    <t>K24PSUDLH</t>
  </si>
  <si>
    <t>0967611154</t>
  </si>
  <si>
    <t>210 võ nguyên giáp</t>
  </si>
  <si>
    <t>Ngày 11/02/2025</t>
  </si>
  <si>
    <t>giang186asd@gmail.com</t>
  </si>
  <si>
    <t xml:space="preserve">Huỳnh Phạm Hương Giang </t>
  </si>
  <si>
    <t>0708010637</t>
  </si>
  <si>
    <t xml:space="preserve">210 Võ Nguyên Giáp, Phước Mỹ, Sơn Trà, Đà Nẵng </t>
  </si>
  <si>
    <t>nguyenhaphong04052002@gmail.com</t>
  </si>
  <si>
    <t>Nguyễn Hà Phong</t>
  </si>
  <si>
    <t>K26DLK1</t>
  </si>
  <si>
    <t>0923385166</t>
  </si>
  <si>
    <t>chaupham.04022002@gmail.com</t>
  </si>
  <si>
    <t>Phạm Ngọc Châu</t>
  </si>
  <si>
    <t>K26 DLK15</t>
  </si>
  <si>
    <t>0905851600</t>
  </si>
  <si>
    <t>ÊMM Hotel Hoi An</t>
  </si>
  <si>
    <t>187 Lý Thường Kiệt</t>
  </si>
  <si>
    <t>không tìm thấy thông tin tại csdl</t>
  </si>
  <si>
    <t>ntpd2703@gmail.com</t>
  </si>
  <si>
    <t>Nguyễn Thị Phương Dung</t>
  </si>
  <si>
    <t>K27-dlk5</t>
  </si>
  <si>
    <t>0762667434</t>
  </si>
  <si>
    <t>Allegro Hoi An - A Little Luxury Hotel &amp; Spa</t>
  </si>
  <si>
    <t>Lô 02-86 trần hưng đạo, cẩm phô , hội an</t>
  </si>
  <si>
    <t>Thanhhanef@gmail.com</t>
  </si>
  <si>
    <t xml:space="preserve">Nguyễn Thị Thanh Hà </t>
  </si>
  <si>
    <t xml:space="preserve">K27DLK5 </t>
  </si>
  <si>
    <t>0819023337</t>
  </si>
  <si>
    <t>20 đống đa, thuận phước, hải châu, đà nẵng</t>
  </si>
  <si>
    <t>thuanhoang1809@gmail.com</t>
  </si>
  <si>
    <t xml:space="preserve">Phan Văn Thuận </t>
  </si>
  <si>
    <t>K25 PSU DLK14</t>
  </si>
  <si>
    <t>0779584254</t>
  </si>
  <si>
    <t xml:space="preserve">99 Võ Nguyên Giáp , Ngũ Hành Sơn , Đà Nẵng </t>
  </si>
  <si>
    <t>kieukieukiki5@gmail.com</t>
  </si>
  <si>
    <t xml:space="preserve">Đặng Thị Thuý Kiều </t>
  </si>
  <si>
    <t>0326110452</t>
  </si>
  <si>
    <t>Lô A1 khu biệt thự Đảo Xanh, phưòng Hoà Cường Bắc, quận Hải Châu, Đà Nẵng, Việt Nam</t>
  </si>
  <si>
    <t>11/2/2025</t>
  </si>
  <si>
    <t>hth180803@gmail.com</t>
  </si>
  <si>
    <t>Hồ Thị Hiếu</t>
  </si>
  <si>
    <t>K23DLK2</t>
  </si>
  <si>
    <t>0869780430</t>
  </si>
  <si>
    <t>Canvas Hotel</t>
  </si>
  <si>
    <t>243 Võ Nguyên Giáp, Phường Phước Mỹ, Sơn Trà, Đà Nẵng</t>
  </si>
  <si>
    <t>Đà Nãng</t>
  </si>
  <si>
    <t>Ngày 16/1/2025</t>
  </si>
  <si>
    <t>khanhtruong.work@gmail.com</t>
  </si>
  <si>
    <t>Trương Văn Khánh</t>
  </si>
  <si>
    <t>K26DLK4</t>
  </si>
  <si>
    <t>0559278686</t>
  </si>
  <si>
    <t>252 Võ Nguyên Giáp, Phước Mỹ, Sơn Trà, Đà Nẵng</t>
  </si>
  <si>
    <t>Khoa du lịch nhà hàng và khách sạn</t>
  </si>
  <si>
    <t>nhatyenpd.73@gmail.com</t>
  </si>
  <si>
    <t xml:space="preserve">Nguyễn Lương Nhật Yến </t>
  </si>
  <si>
    <t>K26DLK7</t>
  </si>
  <si>
    <t>0378099134</t>
  </si>
  <si>
    <t>Vinh Hung Riverside Resort &amp; Spa</t>
  </si>
  <si>
    <t>111 Ngô Quyền, Phường Minh An, Hội An, Quảng Nam</t>
  </si>
  <si>
    <t xml:space="preserve">Hội An </t>
  </si>
  <si>
    <t>18/1/2025</t>
  </si>
  <si>
    <t>quanglongn121@gmail.com</t>
  </si>
  <si>
    <t>Nguyễn Quang Long</t>
  </si>
  <si>
    <t>K26DLK 16</t>
  </si>
  <si>
    <t>0906481995</t>
  </si>
  <si>
    <t>03 Nguyễn Văn Linh, Bình Hiên, Hải Châu, Đà Nẵng</t>
  </si>
  <si>
    <t>dovan21092003@gmail.com</t>
  </si>
  <si>
    <t>Đỗ Lê Tường Vân</t>
  </si>
  <si>
    <t>0916761844</t>
  </si>
  <si>
    <t>RENAISSANCE HOI AN RESORT &amp; SPA</t>
  </si>
  <si>
    <t xml:space="preserve">Cửa Đại, Tp. Hội An </t>
  </si>
  <si>
    <t>Thành phố Hội An</t>
  </si>
  <si>
    <t>luunguyencattuyen@gmail.com</t>
  </si>
  <si>
    <t xml:space="preserve">Lưu Nguyễn Cát Tuyên </t>
  </si>
  <si>
    <t>0383685587</t>
  </si>
  <si>
    <t>Cửa Đại, Tp. Hội An</t>
  </si>
  <si>
    <t>20/02/2025</t>
  </si>
  <si>
    <t>khvan019@gmail.com</t>
  </si>
  <si>
    <t>Trương Thị Khánh Vân</t>
  </si>
  <si>
    <t>0372352302</t>
  </si>
  <si>
    <t>Thành Phố Hội An</t>
  </si>
  <si>
    <t>15/02/2025</t>
  </si>
  <si>
    <t>vutkimngan309@gmail.com</t>
  </si>
  <si>
    <t>Vũ Thị Kim Ngân</t>
  </si>
  <si>
    <t>0393671089</t>
  </si>
  <si>
    <t xml:space="preserve">Renaissance Hội An Resort &amp; Spa </t>
  </si>
  <si>
    <t xml:space="preserve">Block 6, Phuoc Hai Village, Cua Dai Beach, Hoi An </t>
  </si>
  <si>
    <t>12/2</t>
  </si>
  <si>
    <t>hanhquy1811@gmail.com</t>
  </si>
  <si>
    <t>Trần Thị Hạnh Quý</t>
  </si>
  <si>
    <t>K25 PSU DLK6</t>
  </si>
  <si>
    <t>0935194033</t>
  </si>
  <si>
    <t>118-120 Võ Nguyên Giáp , Phước Mỹ , Sơn Trà , Đà Nẵng</t>
  </si>
  <si>
    <t>thaidau19@gmail.com</t>
  </si>
  <si>
    <t>Lê Thái Đẩu</t>
  </si>
  <si>
    <t>0366040112</t>
  </si>
  <si>
    <t>KHU 6 PHƯỚC HẢI, PHƯỜNG CỬA ĐẠI, THÀNH PHỐ HỘI AN, QUẢNG NAM</t>
  </si>
  <si>
    <t>chưa nộp</t>
  </si>
  <si>
    <t>ngothianhquynhpbc@gmail.com</t>
  </si>
  <si>
    <t>Ngô Thị Ánh Quỳnh</t>
  </si>
  <si>
    <t>0985819222</t>
  </si>
  <si>
    <t>Renaissance Hội An Resort&amp;Spa</t>
  </si>
  <si>
    <t>Lô 6, Phước Hải, Phường Cửa Đại, Hội An, Việt Nam</t>
  </si>
  <si>
    <t>10/3/2025, dạ tại vì bên resort chưa có triển khai lịch phỏng vấn nên em chưa biết được ngày nào để gặp doanh nghiệp đóng dấu được ạ, em xin lỗi ạ</t>
  </si>
  <si>
    <t>14/02/2025</t>
  </si>
  <si>
    <t>yennhidangthi2003@gmail.com</t>
  </si>
  <si>
    <t>Đặng Thị Yến Nhi</t>
  </si>
  <si>
    <t>0931639451</t>
  </si>
  <si>
    <t xml:space="preserve"> Renaissance Hoi An Resort &amp; Spa</t>
  </si>
  <si>
    <t>Cửa Đại, Hội An, tỉnh Quảng Nam</t>
  </si>
  <si>
    <t>11/2</t>
  </si>
  <si>
    <t>Nthamyyer@gmail.com</t>
  </si>
  <si>
    <t>Nguyễn Thị Hà My</t>
  </si>
  <si>
    <t>0862753703</t>
  </si>
  <si>
    <t>BLOCK 6, PHUOC HAI, CUA DAI WARD, HOI AN CITY, QUANG NAM, VIETNAM</t>
  </si>
  <si>
    <t xml:space="preserve">Em chưa nộp ạ </t>
  </si>
  <si>
    <r>
      <rPr/>
      <t xml:space="preserve">Sinh viên phải đăng ký vào link đăng ký thực tập: </t>
    </r>
    <r>
      <rPr>
        <color rgb="FF1155CC"/>
        <u/>
      </rPr>
      <t>https://docs.google.com/forms/d/e/1FAIpQLSf3dYBrxF7LPX3LhjFXa2_KBpfpxzDZktSpurwnPHzfIwaOTg/viewform</t>
    </r>
  </si>
  <si>
    <t>Ms</t>
  </si>
  <si>
    <t>Trần Thị Phước</t>
  </si>
  <si>
    <t>trưởng bộ phận buồng phòng</t>
  </si>
  <si>
    <t>0935264246</t>
  </si>
  <si>
    <t>hr@avatardanang.vn</t>
  </si>
  <si>
    <t>Nguyễn Thị Nghĩa</t>
  </si>
  <si>
    <t>trưởng bộ phận Nhà hàng</t>
  </si>
  <si>
    <t>Dương Tấn Phấn</t>
  </si>
  <si>
    <t>trưởng bộ phận ẩm thực</t>
  </si>
  <si>
    <t>0767632240</t>
  </si>
  <si>
    <t>fbm@balconahotel.com</t>
  </si>
  <si>
    <t>Đỗ Thị Diệu Huyền</t>
  </si>
  <si>
    <t>trưởng bộ phận lễ tân</t>
  </si>
  <si>
    <t>0905557964</t>
  </si>
  <si>
    <t>fom@canvashotel.com.vn</t>
  </si>
  <si>
    <t>Phan thanh Bình</t>
  </si>
  <si>
    <t>restaurant supervisor</t>
  </si>
  <si>
    <t>0343200769</t>
  </si>
  <si>
    <t>binhphan2110@gmail.com</t>
  </si>
  <si>
    <t>Nguyễn Thị Ánh Phương</t>
  </si>
  <si>
    <t>Assitant HK manager</t>
  </si>
  <si>
    <t>0905932183</t>
  </si>
  <si>
    <t>bộ phận khác</t>
  </si>
  <si>
    <t>Danang Marriot Resort-Non Nuoc Beach Villas</t>
  </si>
  <si>
    <t>Mr</t>
  </si>
  <si>
    <t>Đỗ Tấn Lực</t>
  </si>
  <si>
    <t>Outlet manager</t>
  </si>
  <si>
    <t>0935316337</t>
  </si>
  <si>
    <t>luc.do@mariott.com</t>
  </si>
  <si>
    <t>Đoàn Văn Phong</t>
  </si>
  <si>
    <t>FBM</t>
  </si>
  <si>
    <t>0935303388</t>
  </si>
  <si>
    <t>fbm@diamondseahotel.com</t>
  </si>
  <si>
    <t>Phan Thị Kim Vui</t>
  </si>
  <si>
    <t>trợ ký bộ phận buồng</t>
  </si>
  <si>
    <t>0905117311</t>
  </si>
  <si>
    <t>ahkm@diamondseahotel.com</t>
  </si>
  <si>
    <t>Châu Ngọc Kỳ</t>
  </si>
  <si>
    <t>trưởng bộ phận HK</t>
  </si>
  <si>
    <t>0902487539</t>
  </si>
  <si>
    <t>ehk@dlghoteldanang.com</t>
  </si>
  <si>
    <t>Nguyễn Hồ Đức Thiện</t>
  </si>
  <si>
    <t>0917993141</t>
  </si>
  <si>
    <t>thien.nguyen@fourpoints.com</t>
  </si>
  <si>
    <t>Lê Quang Dũng</t>
  </si>
  <si>
    <t>restaurant manager</t>
  </si>
  <si>
    <t>0935442221</t>
  </si>
  <si>
    <t>Nguyễn Thị Phương</t>
  </si>
  <si>
    <t>giám sát</t>
  </si>
  <si>
    <t>0866918836</t>
  </si>
  <si>
    <t>phuongphuong0866918836@gmail.com</t>
  </si>
  <si>
    <t>Lê thị Đoan Trang</t>
  </si>
  <si>
    <t>Director of sales</t>
  </si>
  <si>
    <t>0905510671</t>
  </si>
  <si>
    <t>Nguyễn Thị Bạch Yến</t>
  </si>
  <si>
    <t>giám đốc bộ phận buồng phòng</t>
  </si>
  <si>
    <t>0918937168</t>
  </si>
  <si>
    <t>Lương Xuân Kỳ</t>
  </si>
  <si>
    <t>0905455466</t>
  </si>
  <si>
    <t>Lê Thị Anh</t>
  </si>
  <si>
    <t>giám sát buồng phòng</t>
  </si>
  <si>
    <t>0933625495</t>
  </si>
  <si>
    <t>anh.le@hilton.com</t>
  </si>
  <si>
    <t>Lê Thị Thu Sang</t>
  </si>
  <si>
    <t>giám sát nhà hàng</t>
  </si>
  <si>
    <t>0905989443</t>
  </si>
  <si>
    <t>sang.le@hilton.com</t>
  </si>
  <si>
    <t>Phạm Thị Tuyết Nhung</t>
  </si>
  <si>
    <t>0935876207</t>
  </si>
  <si>
    <t>Huỳnh Đoàn Hạnh Nguyên</t>
  </si>
  <si>
    <t>Guest Relations - lobby</t>
  </si>
  <si>
    <t>02363891234</t>
  </si>
  <si>
    <t>nguyen.huynh@hyatt.com</t>
  </si>
  <si>
    <t>trưởng bộ phận FB</t>
  </si>
  <si>
    <t>0962765477</t>
  </si>
  <si>
    <t>Huỳnh Thị Thùy</t>
  </si>
  <si>
    <t>phụ trách bộ phận</t>
  </si>
  <si>
    <t>0329926718</t>
  </si>
  <si>
    <t>fos2@dlgl_dungquathotel.com.vn</t>
  </si>
  <si>
    <t>Nguyễn Thị Thùy An</t>
  </si>
  <si>
    <t>02363874000</t>
  </si>
  <si>
    <t>daddv.hrd@hilton.com</t>
  </si>
  <si>
    <t>lê văn Tâm</t>
  </si>
  <si>
    <t>trưởng bộ phận nhà hàng</t>
  </si>
  <si>
    <t>0905705735</t>
  </si>
  <si>
    <t>Trương Thị Hùng</t>
  </si>
  <si>
    <t>trưởng bộ phận Buồng phòng</t>
  </si>
  <si>
    <t>0935840961</t>
  </si>
  <si>
    <t>hro2@mandilabeachhotel.com</t>
  </si>
  <si>
    <t>Lê Phạm Quốc Anh</t>
  </si>
  <si>
    <t>Quản lý</t>
  </si>
  <si>
    <t>0819687979</t>
  </si>
  <si>
    <t>Lê Thị Hồng Nhung</t>
  </si>
  <si>
    <t>0935210799</t>
  </si>
  <si>
    <t>rm1@danangshillamonogram.com</t>
  </si>
  <si>
    <t>Đỗ Hoài Phương</t>
  </si>
  <si>
    <t>Guest relatrons manager</t>
  </si>
  <si>
    <t>0777456744</t>
  </si>
  <si>
    <t>grm@danangshillamonogram.com</t>
  </si>
  <si>
    <t>Koi Resort Spa Hội An</t>
  </si>
  <si>
    <t>Lương Trương Uyên Phương</t>
  </si>
  <si>
    <t>0906703135</t>
  </si>
  <si>
    <t>fbm@lesandshotel.com</t>
  </si>
  <si>
    <t>Ngô Thị Hồng Vấn</t>
  </si>
  <si>
    <t>FOM</t>
  </si>
  <si>
    <t>0906511505</t>
  </si>
  <si>
    <t>nthvan910@gmail.com</t>
  </si>
  <si>
    <t>Trần Quốc Huy</t>
  </si>
  <si>
    <t>0905206066</t>
  </si>
  <si>
    <t>richand201980@gmail.com</t>
  </si>
  <si>
    <t>Đinh Thị Hoa</t>
  </si>
  <si>
    <t>HKM</t>
  </si>
  <si>
    <t>0898654024</t>
  </si>
  <si>
    <t>hkm@maximilan.com.vn</t>
  </si>
  <si>
    <t>Nguyễn Thị Kiều Vi</t>
  </si>
  <si>
    <t>Trợ lý trưởng bộ phận ẩm thực</t>
  </si>
  <si>
    <t>0905898343</t>
  </si>
  <si>
    <t>Đoàn Thị Vân</t>
  </si>
  <si>
    <t>Housekeeping manager</t>
  </si>
  <si>
    <t>Phan Thị Thanh Sương</t>
  </si>
  <si>
    <t>0905385348</t>
  </si>
  <si>
    <t>suong.phan@melia.com</t>
  </si>
  <si>
    <t>Nguyễn Thị Kiều Linh</t>
  </si>
  <si>
    <t>quản lý bộ phận</t>
  </si>
  <si>
    <t>Lê Thị Phúc</t>
  </si>
  <si>
    <t>quản lý tiền sảnh</t>
  </si>
  <si>
    <t>0905413613</t>
  </si>
  <si>
    <t>fom@neworienthoteldanang.com</t>
  </si>
  <si>
    <t>Nguyễn Thị Diệu</t>
  </si>
  <si>
    <t>trưởng bộ phận Buồng</t>
  </si>
  <si>
    <t>0772423152</t>
  </si>
  <si>
    <t>hkm@neworienthoteldanang.com</t>
  </si>
  <si>
    <t>Dương Mỹ Nghi</t>
  </si>
  <si>
    <t>phó quản lý nhà hàng</t>
  </si>
  <si>
    <t>0937699500</t>
  </si>
  <si>
    <t>nghiduong@accor.com</t>
  </si>
  <si>
    <t>Nguyễn Cao tín</t>
  </si>
  <si>
    <t>0906504508</t>
  </si>
  <si>
    <t>caotin.nguyen@accor.com</t>
  </si>
  <si>
    <t>Nguyễn Thị Thủy</t>
  </si>
  <si>
    <t>0906536399</t>
  </si>
  <si>
    <t>Phạm Thị Mỹ Lựu</t>
  </si>
  <si>
    <t>quản lý bộ phận giải trí</t>
  </si>
  <si>
    <t>0934877949</t>
  </si>
  <si>
    <t>myluu.pham@accor.com</t>
  </si>
  <si>
    <t>Nguyễn văn Đông</t>
  </si>
  <si>
    <t>0359883131</t>
  </si>
  <si>
    <t>Phan Thị Quỳnh Giao</t>
  </si>
  <si>
    <t>Quản lý nhà hàng Lemongrass</t>
  </si>
  <si>
    <t>077303505</t>
  </si>
  <si>
    <t>giao.quynh@accor.com</t>
  </si>
  <si>
    <t>Phạm Thị Ái Lan</t>
  </si>
  <si>
    <t>0905364566</t>
  </si>
  <si>
    <t>lan.pham@accor.com</t>
  </si>
  <si>
    <t>lê thị Hơn</t>
  </si>
  <si>
    <t>quản lý nhà hàng</t>
  </si>
  <si>
    <t>0834572745</t>
  </si>
  <si>
    <t>hon.le@accor.com</t>
  </si>
  <si>
    <t>Nguyễn văn Thành</t>
  </si>
  <si>
    <t>F&amp;B manager</t>
  </si>
  <si>
    <t>0905533846</t>
  </si>
  <si>
    <t>fbm@radissondanang.com</t>
  </si>
  <si>
    <t>Nguyễn Văn Chánh</t>
  </si>
  <si>
    <t>giám sát Buồng phòng</t>
  </si>
  <si>
    <t>0905782635</t>
  </si>
  <si>
    <t>hkm@risemountresortdanang</t>
  </si>
  <si>
    <t>Lê Đình Hiếu</t>
  </si>
  <si>
    <t>giám sát Ẩm thực</t>
  </si>
  <si>
    <t>0718137087</t>
  </si>
  <si>
    <t>Phạm Thanh Kiên</t>
  </si>
  <si>
    <t>0968185196</t>
  </si>
  <si>
    <t>Nguyễn Thị Bích Hạnh</t>
  </si>
  <si>
    <t>trưởng bộ phận spa</t>
  </si>
  <si>
    <t>0905447887</t>
  </si>
  <si>
    <t>Dương Trọng Nghĩa</t>
  </si>
  <si>
    <t>0774499694</t>
  </si>
  <si>
    <t>Nguyễn Thị Diễm Phúc</t>
  </si>
  <si>
    <t>trường bộ phận tiền sảnh</t>
  </si>
  <si>
    <t>0935895931</t>
  </si>
  <si>
    <t>Tô Anh Duyên</t>
  </si>
  <si>
    <t>trợ lý trưởng bộ phận nhà hàng</t>
  </si>
  <si>
    <t>0963351489</t>
  </si>
  <si>
    <t>Lê Thị Cẩm Vy</t>
  </si>
  <si>
    <t>02363588999</t>
  </si>
  <si>
    <t>hrm@satya.danang.com.vn</t>
  </si>
  <si>
    <t>Lê Thị Anh Thư</t>
  </si>
  <si>
    <t>0792191218</t>
  </si>
  <si>
    <t>thu.t.le@gmail.com</t>
  </si>
  <si>
    <t>Võ Duy hải</t>
  </si>
  <si>
    <t>0934821035</t>
  </si>
  <si>
    <t>fb@vandahotel.vn</t>
  </si>
  <si>
    <t>Nguyễn Hoàng Tề My</t>
  </si>
  <si>
    <t>0905608329</t>
  </si>
  <si>
    <t>hkm@vandahotel.vn</t>
  </si>
  <si>
    <t>Thái Thị Kim Dương</t>
  </si>
  <si>
    <t>trưởng bộ phận Tiền sảnh</t>
  </si>
  <si>
    <t>0904842675</t>
  </si>
  <si>
    <t>Wafaifo Resort Hoi An</t>
  </si>
  <si>
    <t>Nguyễn Thị Nữ</t>
  </si>
  <si>
    <t>Assistant to Housekeeping Manager</t>
  </si>
  <si>
    <t>02363878999</t>
  </si>
  <si>
    <t>recruitment@dananggoldenbay.com</t>
  </si>
  <si>
    <t>Lê Phước Điệp</t>
  </si>
  <si>
    <t>Nguyễn Bá Vũ</t>
  </si>
  <si>
    <t>Room division manager</t>
  </si>
  <si>
    <t>0905140213</t>
  </si>
  <si>
    <t>FOM@dananggoldenbay.com</t>
  </si>
  <si>
    <t>0905409403</t>
  </si>
  <si>
    <t>Vũ Thị Phượng Trinh</t>
  </si>
  <si>
    <t>0962860963</t>
  </si>
  <si>
    <t>tiffany.vu@ihg.com</t>
  </si>
  <si>
    <t>Lê trung Hiếu</t>
  </si>
  <si>
    <t>0976559920</t>
  </si>
  <si>
    <t>fom@minhtoangalaxyhotel.com</t>
  </si>
  <si>
    <t>Lê Thị Thu Hà</t>
  </si>
  <si>
    <t>0906474472</t>
  </si>
  <si>
    <t>fom@parisdelihotel.com</t>
  </si>
  <si>
    <t>Nguyễn Trương Quốc Đạt</t>
  </si>
  <si>
    <t>Restaurant manager</t>
  </si>
  <si>
    <t>0905600245</t>
  </si>
  <si>
    <t>rm@parisdelihotel.com</t>
  </si>
  <si>
    <t>Trần Quang Lượng</t>
  </si>
  <si>
    <t>Assistant direct of F&amp;B</t>
  </si>
  <si>
    <t>0983033279</t>
  </si>
  <si>
    <t>ce.chiclandhotel@gmail.com</t>
  </si>
  <si>
    <t>Lê Thị Thanh Ngà</t>
  </si>
  <si>
    <t>0934899646</t>
  </si>
  <si>
    <t>ehkchiclandhotel@gmail.com</t>
  </si>
  <si>
    <t>Nguyễn Thị Ngọc Diệu</t>
  </si>
  <si>
    <t>0763867162</t>
  </si>
  <si>
    <t>afbm@alanseahotel.com</t>
  </si>
  <si>
    <t>THÔNG TIN GIẢNG VIÊN HƯỚNG DẪN</t>
  </si>
  <si>
    <t>THỰC TẾ</t>
  </si>
  <si>
    <t>DỰ KIẾN</t>
  </si>
  <si>
    <t>STT</t>
  </si>
  <si>
    <t>HỌ</t>
  </si>
  <si>
    <t>TÊN</t>
  </si>
  <si>
    <t>HỌC HÀM/HỌC VỊ</t>
  </si>
  <si>
    <t>XÉT LÀM KHÓA LUẬN</t>
  </si>
  <si>
    <t>CHUYÊN ĐỀ</t>
  </si>
  <si>
    <t>KHÓA LUẬN</t>
  </si>
  <si>
    <t>CHUYÊN ĐỀ
249</t>
  </si>
  <si>
    <t>KHÓA LUẬN
19</t>
  </si>
  <si>
    <t>SỐ ĐIỆN THOẠI</t>
  </si>
  <si>
    <t>EMAIL</t>
  </si>
  <si>
    <t>LINK NHÓM</t>
  </si>
  <si>
    <t>Bùi Lê Anh</t>
  </si>
  <si>
    <t>Phương</t>
  </si>
  <si>
    <t>Tiến sĩ</t>
  </si>
  <si>
    <t>0904464092</t>
  </si>
  <si>
    <t>anhphuong@duytan.edu.vn</t>
  </si>
  <si>
    <t>0975718029</t>
  </si>
  <si>
    <t>trantmylinh5@duytan.edu.vn</t>
  </si>
  <si>
    <t>Phạm Thị Hoàng</t>
  </si>
  <si>
    <t>Dung</t>
  </si>
  <si>
    <t>Thạc sĩ</t>
  </si>
  <si>
    <t>0935 141614</t>
  </si>
  <si>
    <t>phamthoangdung@duytan.edu.vn</t>
  </si>
  <si>
    <t>Phạm Thị Thu</t>
  </si>
  <si>
    <t>Thủy</t>
  </si>
  <si>
    <t>0938290678</t>
  </si>
  <si>
    <t>phamtthuthuy2@dtu-hti.edu.vn</t>
  </si>
  <si>
    <t>Trần Hoàng</t>
  </si>
  <si>
    <t>Anh</t>
  </si>
  <si>
    <t>0906 029 602</t>
  </si>
  <si>
    <t>tranhoanganh@dtu-hti.edu.vn</t>
  </si>
  <si>
    <t>Mai Thị</t>
  </si>
  <si>
    <t>Thương</t>
  </si>
  <si>
    <t>0905767050</t>
  </si>
  <si>
    <t>maithithuong@dtu-hti.edu.vn</t>
  </si>
  <si>
    <t>Dương Thị Xuân</t>
  </si>
  <si>
    <t>Diệu</t>
  </si>
  <si>
    <t>0905938748</t>
  </si>
  <si>
    <t>duongtxuandieu@dtu-hti.edu.vn</t>
  </si>
  <si>
    <t>Hồ Sử Minh</t>
  </si>
  <si>
    <t>Tài</t>
  </si>
  <si>
    <t>Thạc sĩ</t>
  </si>
  <si>
    <t>0905 874 626</t>
  </si>
  <si>
    <t>hosminhtai@dtu-hti.edu.vn</t>
  </si>
  <si>
    <t>Võ Đức</t>
  </si>
  <si>
    <t>Hiếu</t>
  </si>
  <si>
    <t>0905767997</t>
  </si>
  <si>
    <t>voduchieu@dtu-hti.edu.vn</t>
  </si>
  <si>
    <t>Ngô Thị Thanh</t>
  </si>
  <si>
    <t>Nga</t>
  </si>
  <si>
    <t>0355072844</t>
  </si>
  <si>
    <t>Ngotthanhnga@dtu-hti.edu.vn</t>
  </si>
  <si>
    <t>Hồ Minh</t>
  </si>
  <si>
    <t>Phúc</t>
  </si>
  <si>
    <t>Hồ Minh Phúc</t>
  </si>
  <si>
    <t>0935336716</t>
  </si>
  <si>
    <t>hominhphuc@dtu-hti.edu.vn</t>
  </si>
  <si>
    <t>Nguyễn Thị Minh</t>
  </si>
  <si>
    <t>Thư</t>
  </si>
  <si>
    <t>0396.153.687</t>
  </si>
  <si>
    <t>nguyentminhthu@dtu-hti.edu.vn</t>
  </si>
  <si>
    <t>Trịnh Thị Kim</t>
  </si>
  <si>
    <t>Chung</t>
  </si>
  <si>
    <t>0375658728</t>
  </si>
  <si>
    <t>trinhtkimchung@dtu-hti.edu.vn</t>
  </si>
  <si>
    <t>Huỳnh Lý Thùy</t>
  </si>
  <si>
    <t>Linh</t>
  </si>
  <si>
    <t>0702605664</t>
  </si>
  <si>
    <t>huynhlthuylinh@dtu-hti.edu.vn</t>
  </si>
  <si>
    <t>Đặng Thị Thùy</t>
  </si>
  <si>
    <t>Trang</t>
  </si>
  <si>
    <t>0327892117</t>
  </si>
  <si>
    <t>dangtthuytrang3@dtu-hti.edu.vn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</si>
</sst>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 h:mm:ss"/>
    <numFmt numFmtId="165" formatCode="mm/dd/yyyy"/>
  </numFmts>
  <fonts count="14">
    <font>
      <sz val="10.0"/>
      <color rgb="FF000000"/>
      <name val="Arial"/>
      <scheme val="minor"/>
    </font>
    <font>
      <color theme="1"/>
      <name val="Arial"/>
      <scheme val="minor"/>
    </font>
    <font>
      <color rgb="FFFF0000"/>
      <name val="Arial"/>
      <scheme val="minor"/>
    </font>
    <font>
      <color rgb="FF434343"/>
      <name val="Roboto"/>
    </font>
    <font>
      <u/>
      <color rgb="FF0000FF"/>
      <name val="Roboto"/>
    </font>
    <font>
      <i/>
      <color theme="1"/>
      <name val="Arial"/>
      <scheme val="minor"/>
    </font>
    <font>
      <i/>
      <color rgb="FFFF0000"/>
      <name val="Arial"/>
      <scheme val="minor"/>
    </font>
    <font>
      <b/>
      <sz val="13.0"/>
      <color theme="1"/>
      <name val="&quot;Times New Roman&quot;"/>
    </font>
    <font/>
    <font>
      <color theme="1"/>
      <name val="Arial"/>
    </font>
    <font>
      <b/>
      <color theme="1"/>
      <name val="Arial"/>
    </font>
    <font>
      <sz val="13.0"/>
      <color theme="1"/>
      <name val="&quot;Times New Roman&quot;"/>
    </font>
    <font>
      <sz val="13.0"/>
      <color rgb="FFFF0000"/>
      <name val="&quot;Times New Roman&quot;"/>
    </font>
    <font>
      <color rgb="FFFF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  <fill>
      <patternFill patternType="solid">
        <fgColor rgb="FFDAF1F3"/>
        <bgColor rgb="FFDAF1F3"/>
      </patternFill>
    </fill>
    <fill>
      <patternFill patternType="solid">
        <fgColor rgb="FFB5E3E8"/>
        <bgColor rgb="FFB5E3E8"/>
      </patternFill>
    </fill>
  </fills>
  <borders count="18">
    <border/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442F65"/>
      </bottom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442F65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2" fillId="0" fontId="1" numFmtId="49" xfId="0" applyAlignment="1" applyBorder="1" applyFont="1" applyNumberFormat="1">
      <alignment horizontal="center" readingOrder="0" shrinkToFit="0" vertical="center" wrapText="1"/>
    </xf>
    <xf borderId="2" fillId="0" fontId="1" numFmtId="49" xfId="0" applyAlignment="1" applyBorder="1" applyFont="1" applyNumberForma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3" fillId="0" fontId="1" numFmtId="0" xfId="0" applyAlignment="1" applyBorder="1" applyFont="1">
      <alignment horizontal="left" readingOrder="0" shrinkToFit="0" vertical="center" wrapText="1"/>
    </xf>
    <xf borderId="4" fillId="0" fontId="1" numFmtId="164" xfId="0" applyAlignment="1" applyBorder="1" applyFont="1" applyNumberFormat="1">
      <alignment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4" fillId="0" fontId="1" numFmtId="14" xfId="0" applyAlignment="1" applyBorder="1" applyFont="1" applyNumberFormat="1">
      <alignment readingOrder="0" shrinkToFit="0" vertical="center" wrapText="0"/>
    </xf>
    <xf borderId="4" fillId="0" fontId="1" numFmtId="0" xfId="0" applyAlignment="1" applyBorder="1" applyFont="1">
      <alignment readingOrder="0" shrinkToFit="0" vertical="center" wrapText="1"/>
    </xf>
    <xf quotePrefix="1" borderId="4" fillId="0" fontId="1" numFmtId="0" xfId="0" applyAlignment="1" applyBorder="1" applyFont="1">
      <alignment readingOrder="0" shrinkToFit="0" vertical="center" wrapText="1"/>
    </xf>
    <xf borderId="4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horizontal="center" readingOrder="0" shrinkToFit="0" vertical="center" wrapText="1"/>
    </xf>
    <xf borderId="4" fillId="0" fontId="1" numFmtId="165" xfId="0" applyAlignment="1" applyBorder="1" applyFont="1" applyNumberFormat="1">
      <alignment horizontal="center" readingOrder="0" shrinkToFit="0" vertical="center" wrapText="1"/>
    </xf>
    <xf borderId="4" fillId="0" fontId="1" numFmtId="0" xfId="0" applyAlignment="1" applyBorder="1" applyFont="1">
      <alignment readingOrder="0" shrinkToFit="0" vertical="center" wrapText="1"/>
    </xf>
    <xf borderId="4" fillId="0" fontId="1" numFmtId="0" xfId="0" applyAlignment="1" applyBorder="1" applyFont="1">
      <alignment readingOrder="0" shrinkToFit="0" vertical="center" wrapText="1"/>
    </xf>
    <xf borderId="5" fillId="0" fontId="1" numFmtId="0" xfId="0" applyAlignment="1" applyBorder="1" applyFont="1">
      <alignment readingOrder="0" shrinkToFit="0" vertical="center" wrapText="1"/>
    </xf>
    <xf borderId="6" fillId="0" fontId="1" numFmtId="0" xfId="0" applyAlignment="1" applyBorder="1" applyFont="1">
      <alignment readingOrder="0" shrinkToFit="0" vertical="center" wrapText="1"/>
    </xf>
    <xf borderId="4" fillId="0" fontId="1" numFmtId="164" xfId="0" applyAlignment="1" applyBorder="1" applyFont="1" applyNumberFormat="1">
      <alignment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4" fillId="0" fontId="1" numFmtId="14" xfId="0" applyAlignment="1" applyBorder="1" applyFont="1" applyNumberFormat="1">
      <alignment readingOrder="0" shrinkToFit="0" vertical="center" wrapText="0"/>
    </xf>
    <xf borderId="4" fillId="0" fontId="1" numFmtId="0" xfId="0" applyAlignment="1" applyBorder="1" applyFont="1">
      <alignment readingOrder="0" shrinkToFit="0" vertical="center" wrapText="1"/>
    </xf>
    <xf quotePrefix="1" borderId="4" fillId="0" fontId="1" numFmtId="0" xfId="0" applyAlignment="1" applyBorder="1" applyFont="1">
      <alignment readingOrder="0" shrinkToFit="0" vertical="center" wrapText="1"/>
    </xf>
    <xf borderId="4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readingOrder="0" shrinkToFit="0" vertical="center" wrapText="1"/>
    </xf>
    <xf borderId="4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readingOrder="0" shrinkToFit="0" vertical="center" wrapText="1"/>
    </xf>
    <xf borderId="7" fillId="0" fontId="1" numFmtId="0" xfId="0" applyAlignment="1" applyBorder="1" applyFont="1">
      <alignment readingOrder="0" shrinkToFit="0" vertical="center" wrapText="1"/>
    </xf>
    <xf borderId="8" fillId="0" fontId="1" numFmtId="0" xfId="0" applyAlignment="1" applyBorder="1" applyFont="1">
      <alignment readingOrder="0" shrinkToFit="0" vertical="center" wrapText="1"/>
    </xf>
    <xf borderId="4" fillId="0" fontId="1" numFmtId="0" xfId="0" applyAlignment="1" applyBorder="1" applyFont="1">
      <alignment shrinkToFit="0" vertical="center" wrapText="0"/>
    </xf>
    <xf borderId="4" fillId="0" fontId="1" numFmtId="14" xfId="0" applyAlignment="1" applyBorder="1" applyFont="1" applyNumberFormat="1">
      <alignment readingOrder="0" shrinkToFit="0" vertical="center" wrapText="1"/>
    </xf>
    <xf borderId="4" fillId="0" fontId="2" numFmtId="164" xfId="0" applyAlignment="1" applyBorder="1" applyFont="1" applyNumberFormat="1">
      <alignment readingOrder="0" shrinkToFit="0" vertical="center" wrapText="0"/>
    </xf>
    <xf borderId="4" fillId="0" fontId="2" numFmtId="0" xfId="0" applyAlignment="1" applyBorder="1" applyFont="1">
      <alignment readingOrder="0" shrinkToFit="0" vertical="center" wrapText="0"/>
    </xf>
    <xf borderId="4" fillId="0" fontId="2" numFmtId="14" xfId="0" applyAlignment="1" applyBorder="1" applyFont="1" applyNumberFormat="1">
      <alignment readingOrder="0" shrinkToFit="0" vertical="center" wrapText="0"/>
    </xf>
    <xf borderId="4" fillId="0" fontId="2" numFmtId="0" xfId="0" applyAlignment="1" applyBorder="1" applyFont="1">
      <alignment readingOrder="0" shrinkToFit="0" vertical="center" wrapText="1"/>
    </xf>
    <xf quotePrefix="1" borderId="4" fillId="0" fontId="2" numFmtId="0" xfId="0" applyAlignment="1" applyBorder="1" applyFont="1">
      <alignment readingOrder="0" shrinkToFit="0" vertical="center" wrapText="1"/>
    </xf>
    <xf borderId="4" fillId="0" fontId="2" numFmtId="0" xfId="0" applyAlignment="1" applyBorder="1" applyFont="1">
      <alignment shrinkToFit="0" vertical="center" wrapText="1"/>
    </xf>
    <xf borderId="4" fillId="0" fontId="2" numFmtId="14" xfId="0" applyAlignment="1" applyBorder="1" applyFont="1" applyNumberFormat="1">
      <alignment readingOrder="0" shrinkToFit="0" vertical="center" wrapText="1"/>
    </xf>
    <xf borderId="4" fillId="0" fontId="2" numFmtId="0" xfId="0" applyAlignment="1" applyBorder="1" applyFont="1">
      <alignment horizontal="center" readingOrder="0" shrinkToFit="0" vertical="center" wrapText="1"/>
    </xf>
    <xf borderId="4" fillId="0" fontId="2" numFmtId="165" xfId="0" applyAlignment="1" applyBorder="1" applyFont="1" applyNumberFormat="1">
      <alignment horizontal="center" readingOrder="0" shrinkToFit="0" vertical="center" wrapText="1"/>
    </xf>
    <xf borderId="4" fillId="0" fontId="2" numFmtId="0" xfId="0" applyAlignment="1" applyBorder="1" applyFont="1">
      <alignment readingOrder="0" shrinkToFit="0" vertical="center" wrapText="1"/>
    </xf>
    <xf borderId="4" fillId="0" fontId="2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shrinkToFit="0" vertical="center" wrapText="1"/>
    </xf>
    <xf borderId="4" fillId="2" fontId="2" numFmtId="164" xfId="0" applyAlignment="1" applyBorder="1" applyFill="1" applyFont="1" applyNumberFormat="1">
      <alignment readingOrder="0" shrinkToFit="0" vertical="center" wrapText="0"/>
    </xf>
    <xf borderId="4" fillId="2" fontId="2" numFmtId="0" xfId="0" applyAlignment="1" applyBorder="1" applyFont="1">
      <alignment readingOrder="0" shrinkToFit="0" vertical="center" wrapText="0"/>
    </xf>
    <xf borderId="4" fillId="2" fontId="2" numFmtId="14" xfId="0" applyAlignment="1" applyBorder="1" applyFont="1" applyNumberFormat="1">
      <alignment readingOrder="0" shrinkToFit="0" vertical="center" wrapText="0"/>
    </xf>
    <xf borderId="4" fillId="2" fontId="2" numFmtId="0" xfId="0" applyAlignment="1" applyBorder="1" applyFont="1">
      <alignment readingOrder="0" shrinkToFit="0" vertical="center" wrapText="1"/>
    </xf>
    <xf quotePrefix="1" borderId="4" fillId="2" fontId="2" numFmtId="0" xfId="0" applyAlignment="1" applyBorder="1" applyFont="1">
      <alignment readingOrder="0" shrinkToFit="0" vertical="center" wrapText="1"/>
    </xf>
    <xf borderId="4" fillId="2" fontId="2" numFmtId="0" xfId="0" applyAlignment="1" applyBorder="1" applyFont="1">
      <alignment shrinkToFit="0" vertical="center" wrapText="1"/>
    </xf>
    <xf borderId="4" fillId="2" fontId="2" numFmtId="14" xfId="0" applyAlignment="1" applyBorder="1" applyFont="1" applyNumberFormat="1">
      <alignment readingOrder="0" shrinkToFit="0" vertical="center" wrapText="1"/>
    </xf>
    <xf borderId="4" fillId="2" fontId="2" numFmtId="0" xfId="0" applyAlignment="1" applyBorder="1" applyFont="1">
      <alignment horizontal="center" readingOrder="0" shrinkToFit="0" vertical="center" wrapText="1"/>
    </xf>
    <xf borderId="4" fillId="2" fontId="2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readingOrder="0" shrinkToFit="0" vertical="center" wrapText="1"/>
    </xf>
    <xf borderId="4" fillId="2" fontId="2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readingOrder="0" shrinkToFit="0" vertical="center" wrapText="1"/>
    </xf>
    <xf borderId="4" fillId="3" fontId="3" numFmtId="0" xfId="0" applyAlignment="1" applyBorder="1" applyFill="1" applyFont="1">
      <alignment shrinkToFit="0" vertical="center" wrapText="1"/>
    </xf>
    <xf borderId="4" fillId="4" fontId="3" numFmtId="0" xfId="0" applyAlignment="1" applyBorder="1" applyFill="1" applyFont="1">
      <alignment shrinkToFit="0" vertical="center" wrapText="1"/>
    </xf>
    <xf borderId="4" fillId="0" fontId="4" numFmtId="0" xfId="0" applyAlignment="1" applyBorder="1" applyFont="1">
      <alignment readingOrder="0" shrinkToFit="0" vertical="center" wrapText="1"/>
    </xf>
    <xf borderId="9" fillId="0" fontId="1" numFmtId="0" xfId="0" applyAlignment="1" applyBorder="1" applyFont="1">
      <alignment readingOrder="0" shrinkToFit="0" vertical="center" wrapText="1"/>
    </xf>
    <xf borderId="10" fillId="0" fontId="1" numFmtId="0" xfId="0" applyAlignment="1" applyBorder="1" applyFont="1">
      <alignment readingOrder="0" shrinkToFit="0" vertical="center" wrapText="1"/>
    </xf>
    <xf borderId="4" fillId="0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readingOrder="0"/>
    </xf>
    <xf borderId="4" fillId="0" fontId="1" numFmtId="14" xfId="0" applyAlignment="1" applyBorder="1" applyFont="1" applyNumberFormat="1">
      <alignment readingOrder="0"/>
    </xf>
    <xf borderId="4" fillId="0" fontId="1" numFmtId="0" xfId="0" applyAlignment="1" applyBorder="1" applyFont="1">
      <alignment readingOrder="0" shrinkToFit="0" wrapText="1"/>
    </xf>
    <xf borderId="4" fillId="0" fontId="1" numFmtId="0" xfId="0" applyAlignment="1" applyBorder="1" applyFont="1">
      <alignment shrinkToFit="0" wrapText="1"/>
    </xf>
    <xf borderId="4" fillId="0" fontId="1" numFmtId="14" xfId="0" applyAlignment="1" applyBorder="1" applyFont="1" applyNumberFormat="1">
      <alignment readingOrder="0" shrinkToFit="0" wrapText="1"/>
    </xf>
    <xf borderId="4" fillId="0" fontId="1" numFmtId="0" xfId="0" applyAlignment="1" applyBorder="1" applyFont="1">
      <alignment horizontal="center" readingOrder="0" shrinkToFit="0" wrapText="1"/>
    </xf>
    <xf borderId="4" fillId="0" fontId="1" numFmtId="165" xfId="0" applyAlignment="1" applyBorder="1" applyFont="1" applyNumberFormat="1">
      <alignment horizontal="center" readingOrder="0" shrinkToFit="0" wrapText="1"/>
    </xf>
    <xf borderId="4" fillId="0" fontId="1" numFmtId="0" xfId="0" applyAlignment="1" applyBorder="1" applyFont="1">
      <alignment readingOrder="0" shrinkToFit="0" wrapText="1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horizontal="center" readingOrder="0" shrinkToFit="0" wrapText="1"/>
    </xf>
    <xf borderId="0" fillId="0" fontId="5" numFmtId="0" xfId="0" applyFont="1"/>
    <xf borderId="0" fillId="0" fontId="1" numFmtId="0" xfId="0" applyAlignment="1" applyFont="1">
      <alignment horizontal="center" readingOrder="0" shrinkToFit="0" wrapText="1"/>
    </xf>
    <xf borderId="0" fillId="0" fontId="1" numFmtId="0" xfId="0" applyAlignment="1" applyFont="1">
      <alignment readingOrder="0"/>
    </xf>
    <xf quotePrefix="1" borderId="0" fillId="0" fontId="1" numFmtId="0" xfId="0" applyAlignment="1" applyFont="1">
      <alignment readingOrder="0"/>
    </xf>
    <xf quotePrefix="1" borderId="0" fillId="0" fontId="5" numFmtId="0" xfId="0" applyAlignment="1" applyFont="1">
      <alignment horizontal="center" readingOrder="0" shrinkToFit="0" wrapText="1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horizontal="center" readingOrder="0" shrinkToFit="0" wrapText="1"/>
    </xf>
    <xf borderId="0" fillId="0" fontId="5" numFmtId="0" xfId="0" applyAlignment="1" applyFont="1">
      <alignment horizontal="center" readingOrder="0" shrinkToFit="0" wrapText="1"/>
    </xf>
    <xf borderId="0" fillId="0" fontId="5" numFmtId="0" xfId="0" applyAlignment="1" applyFont="1">
      <alignment horizontal="center" shrinkToFit="0" wrapText="1"/>
    </xf>
    <xf borderId="4" fillId="0" fontId="1" numFmtId="0" xfId="0" applyAlignment="1" applyBorder="1" applyFont="1">
      <alignment readingOrder="0" shrinkToFit="0" wrapText="1"/>
    </xf>
    <xf borderId="4" fillId="0" fontId="2" numFmtId="0" xfId="0" applyAlignment="1" applyBorder="1" applyFont="1">
      <alignment readingOrder="0" shrinkToFit="0" wrapText="1"/>
    </xf>
    <xf borderId="0" fillId="0" fontId="2" numFmtId="0" xfId="0" applyAlignment="1" applyFont="1">
      <alignment horizontal="center" readingOrder="0" shrinkToFit="0" wrapText="1"/>
    </xf>
    <xf borderId="0" fillId="0" fontId="6" numFmtId="0" xfId="0" applyAlignment="1" applyFont="1">
      <alignment horizontal="center" readingOrder="0" shrinkToFit="0" wrapText="1"/>
    </xf>
    <xf quotePrefix="1" borderId="0" fillId="0" fontId="5" numFmtId="0" xfId="0" applyAlignment="1" applyFont="1">
      <alignment horizontal="center" readingOrder="0" shrinkToFit="0" wrapText="1"/>
    </xf>
    <xf borderId="0" fillId="0" fontId="5" numFmtId="0" xfId="0" applyAlignment="1" applyFont="1">
      <alignment horizontal="center" readingOrder="0" shrinkToFit="0" wrapText="1"/>
    </xf>
    <xf borderId="4" fillId="0" fontId="1" numFmtId="0" xfId="0" applyAlignment="1" applyBorder="1" applyFont="1">
      <alignment shrinkToFit="0" wrapText="1"/>
    </xf>
    <xf quotePrefix="1" borderId="0" fillId="0" fontId="1" numFmtId="0" xfId="0" applyAlignment="1" applyFont="1">
      <alignment horizontal="center" readingOrder="0" shrinkToFit="0" wrapText="1"/>
    </xf>
    <xf borderId="0" fillId="0" fontId="1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1" numFmtId="49" xfId="0" applyFont="1" applyNumberFormat="1"/>
    <xf borderId="0" fillId="0" fontId="1" numFmtId="164" xfId="0" applyFont="1" applyNumberFormat="1"/>
    <xf borderId="0" fillId="0" fontId="1" numFmtId="14" xfId="0" applyFont="1" applyNumberFormat="1"/>
    <xf borderId="0" fillId="0" fontId="1" numFmtId="165" xfId="0" applyFont="1" applyNumberFormat="1"/>
    <xf borderId="11" fillId="0" fontId="7" numFmtId="0" xfId="0" applyAlignment="1" applyBorder="1" applyFont="1">
      <alignment horizontal="center" readingOrder="0" shrinkToFit="0" wrapText="0"/>
    </xf>
    <xf borderId="12" fillId="0" fontId="8" numFmtId="0" xfId="0" applyBorder="1" applyFont="1"/>
    <xf borderId="13" fillId="0" fontId="8" numFmtId="0" xfId="0" applyBorder="1" applyFont="1"/>
    <xf borderId="14" fillId="0" fontId="7" numFmtId="0" xfId="0" applyAlignment="1" applyBorder="1" applyFont="1">
      <alignment horizontal="center" shrinkToFit="0" wrapText="1"/>
    </xf>
    <xf borderId="15" fillId="5" fontId="7" numFmtId="0" xfId="0" applyAlignment="1" applyBorder="1" applyFill="1" applyFont="1">
      <alignment horizontal="center" readingOrder="0" shrinkToFit="0" wrapText="1"/>
    </xf>
    <xf borderId="14" fillId="0" fontId="8" numFmtId="0" xfId="0" applyBorder="1" applyFont="1"/>
    <xf borderId="16" fillId="0" fontId="8" numFmtId="0" xfId="0" applyBorder="1" applyFont="1"/>
    <xf borderId="14" fillId="6" fontId="7" numFmtId="0" xfId="0" applyAlignment="1" applyBorder="1" applyFill="1" applyFont="1">
      <alignment horizontal="center" readingOrder="0" shrinkToFit="0" wrapText="1"/>
    </xf>
    <xf borderId="0" fillId="0" fontId="9" numFmtId="0" xfId="0" applyAlignment="1" applyFont="1">
      <alignment horizontal="center" shrinkToFit="0" wrapText="0"/>
    </xf>
    <xf borderId="0" fillId="0" fontId="9" numFmtId="0" xfId="0" applyAlignment="1" applyFont="1">
      <alignment shrinkToFit="0" vertical="bottom" wrapText="0"/>
    </xf>
    <xf borderId="17" fillId="0" fontId="7" numFmtId="0" xfId="0" applyAlignment="1" applyBorder="1" applyFont="1">
      <alignment horizontal="center" readingOrder="0"/>
    </xf>
    <xf borderId="16" fillId="0" fontId="7" numFmtId="0" xfId="0" applyAlignment="1" applyBorder="1" applyFont="1">
      <alignment horizontal="center" readingOrder="0"/>
    </xf>
    <xf borderId="16" fillId="0" fontId="7" numFmtId="0" xfId="0" applyAlignment="1" applyBorder="1" applyFont="1">
      <alignment horizontal="center"/>
    </xf>
    <xf borderId="16" fillId="0" fontId="7" numFmtId="0" xfId="0" applyAlignment="1" applyBorder="1" applyFont="1">
      <alignment horizontal="center" shrinkToFit="0" wrapText="1"/>
    </xf>
    <xf borderId="16" fillId="5" fontId="7" numFmtId="0" xfId="0" applyAlignment="1" applyBorder="1" applyFont="1">
      <alignment horizontal="center" readingOrder="0" shrinkToFit="0" wrapText="1"/>
    </xf>
    <xf borderId="16" fillId="6" fontId="7" numFmtId="0" xfId="0" applyAlignment="1" applyBorder="1" applyFont="1">
      <alignment horizontal="center" readingOrder="0" shrinkToFit="0" wrapText="1"/>
    </xf>
    <xf borderId="0" fillId="0" fontId="10" numFmtId="0" xfId="0" applyAlignment="1" applyFont="1">
      <alignment horizontal="center"/>
    </xf>
    <xf borderId="0" fillId="0" fontId="10" numFmtId="0" xfId="0" applyAlignment="1" applyFont="1">
      <alignment horizontal="center" vertical="bottom"/>
    </xf>
    <xf borderId="0" fillId="0" fontId="10" numFmtId="0" xfId="0" applyAlignment="1" applyFont="1">
      <alignment horizontal="center" readingOrder="0" vertical="bottom"/>
    </xf>
    <xf borderId="17" fillId="0" fontId="11" numFmtId="0" xfId="0" applyAlignment="1" applyBorder="1" applyFont="1">
      <alignment horizontal="center" readingOrder="0" shrinkToFit="0" wrapText="0"/>
    </xf>
    <xf borderId="16" fillId="0" fontId="11" numFmtId="0" xfId="0" applyAlignment="1" applyBorder="1" applyFont="1">
      <alignment horizontal="left" readingOrder="0" shrinkToFit="0" wrapText="0"/>
    </xf>
    <xf borderId="16" fillId="0" fontId="11" numFmtId="0" xfId="0" applyAlignment="1" applyBorder="1" applyFont="1">
      <alignment horizontal="center" readingOrder="0" shrinkToFit="0" wrapText="0"/>
    </xf>
    <xf borderId="16" fillId="0" fontId="11" numFmtId="0" xfId="0" applyAlignment="1" applyBorder="1" applyFont="1">
      <alignment horizontal="center" shrinkToFit="0" wrapText="1"/>
    </xf>
    <xf borderId="16" fillId="5" fontId="11" numFmtId="0" xfId="0" applyAlignment="1" applyBorder="1" applyFont="1">
      <alignment horizontal="center" readingOrder="0" shrinkToFit="0" wrapText="1"/>
    </xf>
    <xf borderId="16" fillId="6" fontId="11" numFmtId="0" xfId="0" applyAlignment="1" applyBorder="1" applyFont="1">
      <alignment horizontal="center" shrinkToFit="0" wrapText="1"/>
    </xf>
    <xf borderId="4" fillId="0" fontId="11" numFmtId="0" xfId="0" applyAlignment="1" applyBorder="1" applyFont="1">
      <alignment horizontal="center" shrinkToFit="0" wrapText="0"/>
    </xf>
    <xf quotePrefix="1" borderId="0" fillId="0" fontId="9" numFmtId="0" xfId="0" applyAlignment="1" applyFont="1">
      <alignment horizontal="left" readingOrder="0" shrinkToFit="0" vertical="bottom" wrapText="0"/>
    </xf>
    <xf borderId="0" fillId="0" fontId="9" numFmtId="0" xfId="0" applyAlignment="1" applyFont="1">
      <alignment horizontal="left" readingOrder="0" shrinkToFit="0" vertical="bottom" wrapText="0"/>
    </xf>
    <xf borderId="16" fillId="6" fontId="11" numFmtId="0" xfId="0" applyAlignment="1" applyBorder="1" applyFont="1">
      <alignment horizontal="center" readingOrder="0" shrinkToFit="0" wrapText="1"/>
    </xf>
    <xf borderId="16" fillId="0" fontId="11" numFmtId="0" xfId="0" applyAlignment="1" applyBorder="1" applyFont="1">
      <alignment horizontal="center" readingOrder="0" shrinkToFit="0" wrapText="1"/>
    </xf>
    <xf borderId="16" fillId="4" fontId="11" numFmtId="0" xfId="0" applyAlignment="1" applyBorder="1" applyFont="1">
      <alignment readingOrder="0" shrinkToFit="0" wrapText="0"/>
    </xf>
    <xf borderId="0" fillId="0" fontId="9" numFmtId="0" xfId="0" applyAlignment="1" applyFont="1">
      <alignment horizontal="center" readingOrder="0" shrinkToFit="0" wrapText="0"/>
    </xf>
    <xf borderId="16" fillId="4" fontId="11" numFmtId="0" xfId="0" applyAlignment="1" applyBorder="1" applyFont="1">
      <alignment horizontal="left" readingOrder="0" shrinkToFit="0" wrapText="0"/>
    </xf>
    <xf borderId="17" fillId="0" fontId="11" numFmtId="0" xfId="0" applyAlignment="1" applyBorder="1" applyFont="1">
      <alignment horizontal="center" shrinkToFit="0" wrapText="0"/>
    </xf>
    <xf borderId="16" fillId="4" fontId="11" numFmtId="0" xfId="0" applyAlignment="1" applyBorder="1" applyFont="1">
      <alignment horizontal="center" readingOrder="0" shrinkToFit="0" wrapText="0"/>
    </xf>
    <xf borderId="16" fillId="0" fontId="11" numFmtId="0" xfId="0" applyAlignment="1" applyBorder="1" applyFont="1">
      <alignment readingOrder="0"/>
    </xf>
    <xf borderId="16" fillId="4" fontId="11" numFmtId="0" xfId="0" applyAlignment="1" applyBorder="1" applyFont="1">
      <alignment horizontal="center" readingOrder="0"/>
    </xf>
    <xf borderId="17" fillId="0" fontId="12" numFmtId="0" xfId="0" applyAlignment="1" applyBorder="1" applyFont="1">
      <alignment horizontal="center" readingOrder="0" shrinkToFit="0" wrapText="0"/>
    </xf>
    <xf borderId="16" fillId="0" fontId="12" numFmtId="0" xfId="0" applyAlignment="1" applyBorder="1" applyFont="1">
      <alignment horizontal="left" readingOrder="0" shrinkToFit="0" wrapText="0"/>
    </xf>
    <xf borderId="16" fillId="0" fontId="12" numFmtId="0" xfId="0" applyAlignment="1" applyBorder="1" applyFont="1">
      <alignment horizontal="center" readingOrder="0" shrinkToFit="0" wrapText="0"/>
    </xf>
    <xf borderId="16" fillId="0" fontId="12" numFmtId="0" xfId="0" applyAlignment="1" applyBorder="1" applyFont="1">
      <alignment horizontal="center" readingOrder="0" shrinkToFit="0" wrapText="1"/>
    </xf>
    <xf borderId="16" fillId="5" fontId="12" numFmtId="0" xfId="0" applyAlignment="1" applyBorder="1" applyFont="1">
      <alignment horizontal="center" readingOrder="0" shrinkToFit="0" wrapText="1"/>
    </xf>
    <xf borderId="16" fillId="6" fontId="12" numFmtId="0" xfId="0" applyAlignment="1" applyBorder="1" applyFont="1">
      <alignment horizontal="center" readingOrder="0" shrinkToFit="0" wrapText="1"/>
    </xf>
    <xf borderId="16" fillId="6" fontId="12" numFmtId="0" xfId="0" applyAlignment="1" applyBorder="1" applyFont="1">
      <alignment horizontal="center" shrinkToFit="0" wrapText="1"/>
    </xf>
    <xf borderId="0" fillId="0" fontId="13" numFmtId="0" xfId="0" applyAlignment="1" applyFont="1">
      <alignment horizontal="center" shrinkToFit="0" wrapText="0"/>
    </xf>
    <xf quotePrefix="1" borderId="0" fillId="0" fontId="13" numFmtId="0" xfId="0" applyAlignment="1" applyFont="1">
      <alignment horizontal="left" readingOrder="0" shrinkToFit="0" vertical="bottom" wrapText="0"/>
    </xf>
    <xf borderId="0" fillId="0" fontId="13" numFmtId="0" xfId="0" applyAlignment="1" applyFont="1">
      <alignment horizontal="left" readingOrder="0" shrinkToFit="0" vertical="bottom" wrapText="0"/>
    </xf>
    <xf borderId="0" fillId="0" fontId="13" numFmtId="0" xfId="0" applyAlignment="1" applyFont="1">
      <alignment shrinkToFit="0" vertical="bottom" wrapText="0"/>
    </xf>
    <xf borderId="0" fillId="0" fontId="2" numFmtId="0" xfId="0" applyFont="1"/>
    <xf borderId="16" fillId="0" fontId="12" numFmtId="0" xfId="0" applyAlignment="1" applyBorder="1" applyFont="1">
      <alignment readingOrder="0"/>
    </xf>
    <xf borderId="16" fillId="4" fontId="12" numFmtId="0" xfId="0" applyAlignment="1" applyBorder="1" applyFont="1">
      <alignment horizontal="center" readingOrder="0"/>
    </xf>
    <xf borderId="16" fillId="4" fontId="11" numFmtId="0" xfId="0" applyAlignment="1" applyBorder="1" applyFont="1">
      <alignment horizontal="left" readingOrder="0"/>
    </xf>
    <xf borderId="16" fillId="0" fontId="12" numFmtId="0" xfId="0" applyAlignment="1" applyBorder="1" applyFont="1">
      <alignment horizontal="left" readingOrder="0"/>
    </xf>
    <xf borderId="0" fillId="0" fontId="13" numFmtId="0" xfId="0" applyAlignment="1" applyFont="1">
      <alignment horizontal="center" readingOrder="0" shrinkToFit="0" wrapText="0"/>
    </xf>
  </cellXfs>
  <cellStyles count="1">
    <cellStyle xfId="0" name="Normal" builtinId="0"/>
  </cellStyles>
  <dxfs count="5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3">
    <tableStyle count="3" pivot="0" name="danh sách đăng ký-style">
      <tableStyleElement dxfId="2" type="headerRow"/>
      <tableStyleElement dxfId="3" type="firstRowStripe"/>
      <tableStyleElement dxfId="4" type="secondRowStripe"/>
    </tableStyle>
    <tableStyle count="2" pivot="0" name="thống kê đơn vị TT-style">
      <tableStyleElement dxfId="3" type="firstRowStripe"/>
      <tableStyleElement dxfId="4" type="secondRowStripe"/>
    </tableStyle>
    <tableStyle count="2" pivot="0" name="thống kê đơn vị TT-style 2">
      <tableStyleElement dxfId="3" type="firstRowStripe"/>
      <tableStyleElement dxfId="4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1:AI248" displayName="Form_Responses1" name="Form_Responses1" id="1">
  <autoFilter ref="$A$1:$AI$248"/>
  <tableColumns count="35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</tableColumns>
  <tableStyleInfo name="danh sách đăng ký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A3:B129" displayName="Table_1" name="Table_1" id="2">
  <tableColumns count="2">
    <tableColumn name="Column1" id="1"/>
    <tableColumn name="Column2" id="2"/>
  </tableColumns>
  <tableStyleInfo name="thống kê đơn vị TT-style" showColumnStripes="0" showFirstColumn="1" showLastColumn="1" showRowStripes="1"/>
</table>
</file>

<file path=xl/tables/table3.xml><?xml version="1.0" encoding="utf-8"?>
<table xmlns="http://schemas.openxmlformats.org/spreadsheetml/2006/main" headerRowCount="0" ref="C3:H129" displayName="Table_2" name="Table_2" id="3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thống kê đơn vị TT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docs.google.com/forms/d/e/1FAIpQLSf3dYBrxF7LPX3LhjFXa2_KBpfpxzDZktSpurwnPHzfIwaOTg/viewform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Relationship Id="rId6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Relationship Id="rId6" Type="http://schemas.openxmlformats.org/officeDocument/2006/relationships/table" Target="../tables/table2.xml"/><Relationship Id="rId7" Type="http://schemas.openxmlformats.org/officeDocument/2006/relationships/table" Target="../tables/table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2.63" defaultRowHeight="15.75"/>
  <cols>
    <col customWidth="1" min="1" max="1" width="18.13"/>
    <col customWidth="1" min="2" max="2" width="9.13"/>
    <col customWidth="1" min="3" max="3" width="14.5"/>
    <col customWidth="1" min="4" max="4" width="18.88"/>
    <col customWidth="1" min="5" max="5" width="7.5"/>
    <col customWidth="1" min="6" max="6" width="13.0"/>
    <col customWidth="1" min="7" max="7" width="18.88"/>
    <col customWidth="1" min="8" max="8" width="8.63"/>
    <col customWidth="1" hidden="1" min="9" max="9" width="18.88"/>
    <col customWidth="1" min="10" max="10" width="11.63"/>
    <col customWidth="1" min="11" max="11" width="28.0"/>
    <col customWidth="1" min="12" max="12" width="22.25"/>
    <col customWidth="1" min="13" max="13" width="21.5"/>
    <col customWidth="1" min="14" max="14" width="14.75"/>
    <col customWidth="1" min="15" max="15" width="14.5"/>
    <col customWidth="1" min="16" max="16" width="9.25"/>
    <col customWidth="1" min="17" max="17" width="14.75"/>
    <col customWidth="1" min="18" max="18" width="12.13"/>
    <col customWidth="1" min="19" max="20" width="18.88"/>
    <col customWidth="1" min="21" max="22" width="11.0"/>
    <col customWidth="1" min="23" max="23" width="9.38"/>
    <col customWidth="1" min="24" max="24" width="12.25"/>
    <col customWidth="1" min="25" max="25" width="18.88"/>
    <col customWidth="1" min="26" max="26" width="11.63"/>
    <col customWidth="1" min="27" max="27" width="17.75"/>
    <col customWidth="1" min="28" max="29" width="11.63"/>
    <col customWidth="1" min="30" max="30" width="14.38"/>
    <col customWidth="1" min="31" max="31" width="13.75"/>
    <col customWidth="1" min="32" max="35" width="18.88"/>
  </cols>
  <sheetData>
    <row r="1" ht="57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9</v>
      </c>
      <c r="T1" s="3" t="s">
        <v>18</v>
      </c>
      <c r="U1" s="3" t="s">
        <v>19</v>
      </c>
      <c r="V1" s="3" t="s">
        <v>20</v>
      </c>
      <c r="W1" s="4" t="s">
        <v>21</v>
      </c>
      <c r="X1" s="4" t="s">
        <v>22</v>
      </c>
      <c r="Y1" s="2" t="s">
        <v>23</v>
      </c>
      <c r="Z1" s="5" t="s">
        <v>24</v>
      </c>
      <c r="AA1" s="6" t="s">
        <v>25</v>
      </c>
      <c r="AB1" s="6" t="s">
        <v>26</v>
      </c>
      <c r="AC1" s="7" t="s">
        <v>27</v>
      </c>
      <c r="AD1" s="2" t="s">
        <v>28</v>
      </c>
      <c r="AE1" s="7" t="s">
        <v>29</v>
      </c>
      <c r="AF1" s="8" t="s">
        <v>30</v>
      </c>
      <c r="AG1" s="2" t="s">
        <v>31</v>
      </c>
      <c r="AH1" s="2" t="s">
        <v>32</v>
      </c>
      <c r="AI1" s="9" t="s">
        <v>33</v>
      </c>
    </row>
    <row r="2">
      <c r="A2" s="10">
        <v>45664.64394789352</v>
      </c>
      <c r="B2" s="11" t="s">
        <v>34</v>
      </c>
      <c r="C2" s="11">
        <v>2.5207203811E10</v>
      </c>
      <c r="D2" s="11" t="s">
        <v>35</v>
      </c>
      <c r="E2" s="12">
        <v>36947.0</v>
      </c>
      <c r="F2" s="11" t="s">
        <v>36</v>
      </c>
      <c r="G2" s="13" t="s">
        <v>37</v>
      </c>
      <c r="H2" s="13">
        <v>26.0</v>
      </c>
      <c r="I2" s="14" t="s">
        <v>38</v>
      </c>
      <c r="J2" s="13" t="s">
        <v>39</v>
      </c>
      <c r="K2" s="13" t="s">
        <v>40</v>
      </c>
      <c r="L2" s="13" t="s">
        <v>40</v>
      </c>
      <c r="M2" s="13" t="s">
        <v>41</v>
      </c>
      <c r="N2" s="13" t="s">
        <v>42</v>
      </c>
      <c r="O2" s="13" t="s">
        <v>43</v>
      </c>
      <c r="P2" s="13" t="s">
        <v>43</v>
      </c>
      <c r="Q2" s="14" t="s">
        <v>44</v>
      </c>
      <c r="R2" s="13" t="s">
        <v>45</v>
      </c>
      <c r="S2" s="13" t="s">
        <v>39</v>
      </c>
      <c r="T2" s="15"/>
      <c r="U2" s="15"/>
      <c r="V2" s="15"/>
      <c r="W2" s="16">
        <v>1.0</v>
      </c>
      <c r="X2" s="17">
        <v>45870.0</v>
      </c>
      <c r="Y2" s="18" t="s">
        <v>46</v>
      </c>
      <c r="Z2" s="17">
        <v>45870.0</v>
      </c>
      <c r="AA2" s="13" t="s">
        <v>40</v>
      </c>
      <c r="AB2" s="13" t="s">
        <v>43</v>
      </c>
      <c r="AC2" s="19" t="str">
        <f>VLOOKUP(C2,Sheet1!$C$2:$X$1242,15,0)</f>
        <v>ĐÃ NỘP</v>
      </c>
      <c r="AD2" s="13" t="s">
        <v>47</v>
      </c>
      <c r="AE2" s="19" t="str">
        <f t="shared" ref="AE2:AE248" si="1">if(AB2=O2,"","cần kiểm tra lại")</f>
        <v/>
      </c>
      <c r="AF2" s="19" t="str">
        <f>VLOOKUP(C2,Sheet1!$C$2:$AE$400,24,0)</f>
        <v>CHUYÊN ĐỀ</v>
      </c>
      <c r="AG2" s="19" t="s">
        <v>48</v>
      </c>
      <c r="AH2" s="20" t="str">
        <f>VLOOKUP(AG2,gvhd!$D$3:$P$17,11,0)</f>
        <v>0327892117</v>
      </c>
      <c r="AI2" s="21" t="str">
        <f>VLOOKUP(AG2,gvhd!$D$3:$P$17,12,0)</f>
        <v>dangtthuytrang3@dtu-hti.edu.vn</v>
      </c>
    </row>
    <row r="3">
      <c r="A3" s="22">
        <v>45665.39933515046</v>
      </c>
      <c r="B3" s="23" t="s">
        <v>49</v>
      </c>
      <c r="C3" s="23">
        <v>2.5217103085E10</v>
      </c>
      <c r="D3" s="23" t="s">
        <v>50</v>
      </c>
      <c r="E3" s="24">
        <v>36961.0</v>
      </c>
      <c r="F3" s="23" t="s">
        <v>51</v>
      </c>
      <c r="G3" s="25" t="s">
        <v>37</v>
      </c>
      <c r="H3" s="25">
        <v>25.0</v>
      </c>
      <c r="I3" s="26" t="s">
        <v>52</v>
      </c>
      <c r="J3" s="25" t="s">
        <v>39</v>
      </c>
      <c r="K3" s="25" t="s">
        <v>53</v>
      </c>
      <c r="L3" s="27"/>
      <c r="M3" s="25" t="s">
        <v>54</v>
      </c>
      <c r="N3" s="25" t="s">
        <v>55</v>
      </c>
      <c r="O3" s="25" t="s">
        <v>56</v>
      </c>
      <c r="P3" s="27"/>
      <c r="Q3" s="26" t="s">
        <v>57</v>
      </c>
      <c r="R3" s="25" t="s">
        <v>45</v>
      </c>
      <c r="S3" s="25" t="s">
        <v>39</v>
      </c>
      <c r="T3" s="25" t="s">
        <v>58</v>
      </c>
      <c r="U3" s="28"/>
      <c r="V3" s="28"/>
      <c r="W3" s="29">
        <v>2.0</v>
      </c>
      <c r="X3" s="17">
        <v>45870.0</v>
      </c>
      <c r="Y3" s="30" t="s">
        <v>46</v>
      </c>
      <c r="Z3" s="17">
        <v>45870.0</v>
      </c>
      <c r="AA3" s="13" t="s">
        <v>53</v>
      </c>
      <c r="AB3" s="13" t="s">
        <v>56</v>
      </c>
      <c r="AC3" s="19" t="str">
        <f>VLOOKUP(C3,Sheet1!$C$2:$X$1242,15,0)</f>
        <v>ĐÃ NỘP</v>
      </c>
      <c r="AD3" s="13" t="s">
        <v>47</v>
      </c>
      <c r="AE3" s="19" t="str">
        <f t="shared" si="1"/>
        <v/>
      </c>
      <c r="AF3" s="19" t="str">
        <f>VLOOKUP(C3,Sheet1!$C$2:$AE$400,24,0)</f>
        <v>CHUYÊN ĐỀ</v>
      </c>
      <c r="AG3" s="19" t="s">
        <v>59</v>
      </c>
      <c r="AH3" s="31" t="str">
        <f>VLOOKUP(AG3,gvhd!$D$3:$P$17,11,0)</f>
        <v>0355072844</v>
      </c>
      <c r="AI3" s="32" t="str">
        <f>VLOOKUP(AG3,gvhd!$D$3:$P$17,12,0)</f>
        <v>Ngotthanhnga@dtu-hti.edu.vn</v>
      </c>
    </row>
    <row r="4">
      <c r="A4" s="22">
        <v>45665.40381292824</v>
      </c>
      <c r="B4" s="23" t="s">
        <v>60</v>
      </c>
      <c r="C4" s="23">
        <v>2.6217135177E10</v>
      </c>
      <c r="D4" s="23" t="s">
        <v>61</v>
      </c>
      <c r="E4" s="24">
        <v>37548.0</v>
      </c>
      <c r="F4" s="23" t="s">
        <v>62</v>
      </c>
      <c r="G4" s="25" t="s">
        <v>63</v>
      </c>
      <c r="H4" s="25">
        <v>26.0</v>
      </c>
      <c r="I4" s="26" t="s">
        <v>64</v>
      </c>
      <c r="J4" s="25" t="s">
        <v>39</v>
      </c>
      <c r="K4" s="25" t="s">
        <v>65</v>
      </c>
      <c r="L4" s="25" t="s">
        <v>66</v>
      </c>
      <c r="M4" s="25" t="s">
        <v>67</v>
      </c>
      <c r="N4" s="25" t="s">
        <v>68</v>
      </c>
      <c r="O4" s="25" t="s">
        <v>56</v>
      </c>
      <c r="P4" s="25" t="s">
        <v>66</v>
      </c>
      <c r="Q4" s="26" t="s">
        <v>69</v>
      </c>
      <c r="R4" s="25" t="s">
        <v>45</v>
      </c>
      <c r="S4" s="25" t="s">
        <v>39</v>
      </c>
      <c r="T4" s="25" t="s">
        <v>70</v>
      </c>
      <c r="U4" s="28"/>
      <c r="V4" s="28"/>
      <c r="W4" s="16">
        <v>3.0</v>
      </c>
      <c r="X4" s="17">
        <v>45870.0</v>
      </c>
      <c r="Y4" s="30" t="s">
        <v>46</v>
      </c>
      <c r="Z4" s="17">
        <v>45870.0</v>
      </c>
      <c r="AA4" s="13" t="s">
        <v>65</v>
      </c>
      <c r="AB4" s="13" t="s">
        <v>56</v>
      </c>
      <c r="AC4" s="19" t="str">
        <f>VLOOKUP(C4,Sheet1!$C$2:$X$1242,15,0)</f>
        <v>ĐÃ NỘP</v>
      </c>
      <c r="AD4" s="13" t="s">
        <v>47</v>
      </c>
      <c r="AE4" s="19" t="str">
        <f t="shared" si="1"/>
        <v/>
      </c>
      <c r="AF4" s="19" t="str">
        <f>VLOOKUP(C4,Sheet1!$C$2:$AE$400,24,0)</f>
        <v>CHUYÊN ĐỀ</v>
      </c>
      <c r="AG4" s="19" t="s">
        <v>71</v>
      </c>
      <c r="AH4" s="20" t="str">
        <f>VLOOKUP(AG4,gvhd!$D$3:$P$17,11,0)</f>
        <v>0702605664</v>
      </c>
      <c r="AI4" s="21" t="str">
        <f>VLOOKUP(AG4,gvhd!$D$3:$P$17,12,0)</f>
        <v>huynhlthuylinh@dtu-hti.edu.vn</v>
      </c>
    </row>
    <row r="5">
      <c r="A5" s="22">
        <v>45665.40421528935</v>
      </c>
      <c r="B5" s="23" t="s">
        <v>72</v>
      </c>
      <c r="C5" s="23">
        <v>2.621723608E10</v>
      </c>
      <c r="D5" s="23" t="s">
        <v>73</v>
      </c>
      <c r="E5" s="24">
        <v>37107.0</v>
      </c>
      <c r="F5" s="23" t="s">
        <v>62</v>
      </c>
      <c r="G5" s="25" t="s">
        <v>63</v>
      </c>
      <c r="H5" s="25">
        <v>26.0</v>
      </c>
      <c r="I5" s="26" t="s">
        <v>74</v>
      </c>
      <c r="J5" s="25" t="s">
        <v>39</v>
      </c>
      <c r="K5" s="25" t="s">
        <v>65</v>
      </c>
      <c r="L5" s="25" t="s">
        <v>75</v>
      </c>
      <c r="M5" s="25" t="s">
        <v>67</v>
      </c>
      <c r="N5" s="25" t="s">
        <v>68</v>
      </c>
      <c r="O5" s="25" t="s">
        <v>56</v>
      </c>
      <c r="P5" s="25" t="s">
        <v>75</v>
      </c>
      <c r="Q5" s="26" t="s">
        <v>76</v>
      </c>
      <c r="R5" s="25" t="s">
        <v>45</v>
      </c>
      <c r="S5" s="25" t="s">
        <v>39</v>
      </c>
      <c r="T5" s="25" t="s">
        <v>77</v>
      </c>
      <c r="U5" s="28"/>
      <c r="V5" s="28"/>
      <c r="W5" s="29">
        <v>4.0</v>
      </c>
      <c r="X5" s="17">
        <v>45870.0</v>
      </c>
      <c r="Y5" s="30" t="s">
        <v>46</v>
      </c>
      <c r="Z5" s="17">
        <v>45870.0</v>
      </c>
      <c r="AA5" s="13" t="s">
        <v>65</v>
      </c>
      <c r="AB5" s="13" t="s">
        <v>56</v>
      </c>
      <c r="AC5" s="19" t="str">
        <f>VLOOKUP(C5,Sheet1!$C$2:$X$1242,15,0)</f>
        <v>ĐÃ NỘP</v>
      </c>
      <c r="AD5" s="13" t="s">
        <v>47</v>
      </c>
      <c r="AE5" s="19" t="str">
        <f t="shared" si="1"/>
        <v/>
      </c>
      <c r="AF5" s="19" t="str">
        <f>VLOOKUP(C5,Sheet1!$C$2:$AE$400,24,0)</f>
        <v>CHUYÊN ĐỀ</v>
      </c>
      <c r="AG5" s="19" t="s">
        <v>71</v>
      </c>
      <c r="AH5" s="31" t="str">
        <f>VLOOKUP(AG5,gvhd!$D$3:$P$17,11,0)</f>
        <v>0702605664</v>
      </c>
      <c r="AI5" s="32" t="str">
        <f>VLOOKUP(AG5,gvhd!$D$3:$P$17,12,0)</f>
        <v>huynhlthuylinh@dtu-hti.edu.vn</v>
      </c>
    </row>
    <row r="6">
      <c r="A6" s="22">
        <v>45665.612337893515</v>
      </c>
      <c r="B6" s="23" t="s">
        <v>78</v>
      </c>
      <c r="C6" s="23">
        <v>2.7207133206E10</v>
      </c>
      <c r="D6" s="23" t="s">
        <v>79</v>
      </c>
      <c r="E6" s="24">
        <v>37672.0</v>
      </c>
      <c r="F6" s="23" t="s">
        <v>80</v>
      </c>
      <c r="G6" s="25" t="s">
        <v>63</v>
      </c>
      <c r="H6" s="25">
        <v>27.0</v>
      </c>
      <c r="I6" s="26" t="s">
        <v>81</v>
      </c>
      <c r="J6" s="25" t="s">
        <v>39</v>
      </c>
      <c r="K6" s="25" t="s">
        <v>82</v>
      </c>
      <c r="L6" s="27"/>
      <c r="M6" s="25" t="s">
        <v>83</v>
      </c>
      <c r="N6" s="25" t="s">
        <v>68</v>
      </c>
      <c r="O6" s="25" t="s">
        <v>56</v>
      </c>
      <c r="P6" s="27"/>
      <c r="Q6" s="26" t="s">
        <v>84</v>
      </c>
      <c r="R6" s="25" t="s">
        <v>45</v>
      </c>
      <c r="S6" s="25" t="s">
        <v>39</v>
      </c>
      <c r="T6" s="27"/>
      <c r="U6" s="27"/>
      <c r="V6" s="27"/>
      <c r="W6" s="16">
        <v>5.0</v>
      </c>
      <c r="X6" s="17">
        <v>45870.0</v>
      </c>
      <c r="Y6" s="30" t="s">
        <v>46</v>
      </c>
      <c r="Z6" s="17">
        <v>45870.0</v>
      </c>
      <c r="AA6" s="13" t="s">
        <v>82</v>
      </c>
      <c r="AB6" s="13" t="s">
        <v>56</v>
      </c>
      <c r="AC6" s="19" t="str">
        <f>VLOOKUP(C6,Sheet1!$C$2:$X$1242,15,0)</f>
        <v/>
      </c>
      <c r="AD6" s="19"/>
      <c r="AE6" s="19" t="str">
        <f t="shared" si="1"/>
        <v/>
      </c>
      <c r="AF6" s="19" t="str">
        <f>VLOOKUP(C6,Sheet1!$C$2:$AE$400,24,0)</f>
        <v>CHUYÊN ĐỀ</v>
      </c>
      <c r="AG6" s="19" t="s">
        <v>85</v>
      </c>
      <c r="AH6" s="20" t="str">
        <f>VLOOKUP(AG6,gvhd!$D$3:$P$17,11,0)</f>
        <v>0396.153.687</v>
      </c>
      <c r="AI6" s="21" t="str">
        <f>VLOOKUP(AG6,gvhd!$D$3:$P$17,12,0)</f>
        <v>nguyentminhthu@dtu-hti.edu.vn</v>
      </c>
    </row>
    <row r="7">
      <c r="A7" s="22">
        <v>45665.61405690972</v>
      </c>
      <c r="B7" s="23" t="s">
        <v>86</v>
      </c>
      <c r="C7" s="23">
        <v>2.7217133907E10</v>
      </c>
      <c r="D7" s="23" t="s">
        <v>87</v>
      </c>
      <c r="E7" s="24">
        <v>37754.0</v>
      </c>
      <c r="F7" s="23" t="s">
        <v>88</v>
      </c>
      <c r="G7" s="25" t="s">
        <v>63</v>
      </c>
      <c r="H7" s="25">
        <v>27.0</v>
      </c>
      <c r="I7" s="26" t="s">
        <v>89</v>
      </c>
      <c r="J7" s="25" t="s">
        <v>39</v>
      </c>
      <c r="K7" s="25" t="s">
        <v>90</v>
      </c>
      <c r="L7" s="27"/>
      <c r="M7" s="25" t="s">
        <v>91</v>
      </c>
      <c r="N7" s="25" t="s">
        <v>68</v>
      </c>
      <c r="O7" s="25" t="s">
        <v>92</v>
      </c>
      <c r="P7" s="27"/>
      <c r="Q7" s="26" t="s">
        <v>69</v>
      </c>
      <c r="R7" s="25" t="s">
        <v>45</v>
      </c>
      <c r="S7" s="25" t="s">
        <v>39</v>
      </c>
      <c r="T7" s="27"/>
      <c r="U7" s="27"/>
      <c r="V7" s="27"/>
      <c r="W7" s="29">
        <v>6.0</v>
      </c>
      <c r="X7" s="17">
        <v>45901.0</v>
      </c>
      <c r="Y7" s="30" t="s">
        <v>46</v>
      </c>
      <c r="Z7" s="17">
        <v>45870.0</v>
      </c>
      <c r="AA7" s="13" t="s">
        <v>90</v>
      </c>
      <c r="AB7" s="13" t="s">
        <v>92</v>
      </c>
      <c r="AC7" s="19" t="str">
        <f>VLOOKUP(C7,Sheet1!$C$2:$X$1242,15,0)</f>
        <v/>
      </c>
      <c r="AD7" s="19"/>
      <c r="AE7" s="19" t="str">
        <f t="shared" si="1"/>
        <v/>
      </c>
      <c r="AF7" s="19" t="str">
        <f>VLOOKUP(C7,Sheet1!$C$2:$AE$400,24,0)</f>
        <v>CHUYÊN ĐỀ</v>
      </c>
      <c r="AG7" s="19" t="s">
        <v>93</v>
      </c>
      <c r="AH7" s="31" t="str">
        <f>VLOOKUP(AG7,gvhd!$D$3:$P$17,11,0)</f>
        <v>0904464092</v>
      </c>
      <c r="AI7" s="32" t="str">
        <f>VLOOKUP(AG7,gvhd!$D$3:$P$17,12,0)</f>
        <v>anhphuong@duytan.edu.vn</v>
      </c>
    </row>
    <row r="8">
      <c r="A8" s="22">
        <v>45665.61444898148</v>
      </c>
      <c r="B8" s="23" t="s">
        <v>94</v>
      </c>
      <c r="C8" s="33">
        <v>2.7207129095E10</v>
      </c>
      <c r="D8" s="23" t="s">
        <v>95</v>
      </c>
      <c r="E8" s="24">
        <v>37866.0</v>
      </c>
      <c r="F8" s="23" t="s">
        <v>96</v>
      </c>
      <c r="G8" s="25" t="s">
        <v>63</v>
      </c>
      <c r="H8" s="25">
        <v>27.0</v>
      </c>
      <c r="I8" s="26" t="s">
        <v>97</v>
      </c>
      <c r="J8" s="25" t="s">
        <v>39</v>
      </c>
      <c r="K8" s="25" t="s">
        <v>98</v>
      </c>
      <c r="L8" s="27"/>
      <c r="M8" s="25" t="s">
        <v>99</v>
      </c>
      <c r="N8" s="25" t="s">
        <v>68</v>
      </c>
      <c r="O8" s="25" t="s">
        <v>92</v>
      </c>
      <c r="P8" s="27"/>
      <c r="Q8" s="25" t="s">
        <v>100</v>
      </c>
      <c r="R8" s="25" t="s">
        <v>45</v>
      </c>
      <c r="S8" s="25" t="s">
        <v>39</v>
      </c>
      <c r="T8" s="27"/>
      <c r="U8" s="34">
        <v>45649.0</v>
      </c>
      <c r="V8" s="34">
        <v>45732.0</v>
      </c>
      <c r="W8" s="16">
        <v>7.0</v>
      </c>
      <c r="X8" s="17">
        <v>45870.0</v>
      </c>
      <c r="Y8" s="30" t="s">
        <v>46</v>
      </c>
      <c r="Z8" s="17">
        <v>45870.0</v>
      </c>
      <c r="AA8" s="13" t="s">
        <v>98</v>
      </c>
      <c r="AB8" s="13" t="s">
        <v>92</v>
      </c>
      <c r="AC8" s="19" t="str">
        <f>VLOOKUP(C8,Sheet1!$C$2:$X$1242,15,0)</f>
        <v/>
      </c>
      <c r="AD8" s="19"/>
      <c r="AE8" s="19" t="str">
        <f t="shared" si="1"/>
        <v/>
      </c>
      <c r="AF8" s="19" t="str">
        <f>VLOOKUP(C8,Sheet1!$C$2:$AE$400,24,0)</f>
        <v>CHUYÊN ĐỀ</v>
      </c>
      <c r="AG8" s="19" t="s">
        <v>101</v>
      </c>
      <c r="AH8" s="20" t="str">
        <f>VLOOKUP(AG8,gvhd!$D$3:$P$17,11,0)</f>
        <v>0935 141614</v>
      </c>
      <c r="AI8" s="21" t="str">
        <f>VLOOKUP(AG8,gvhd!$D$3:$P$17,12,0)</f>
        <v>phamthoangdung@duytan.edu.vn</v>
      </c>
    </row>
    <row r="9">
      <c r="A9" s="22">
        <v>45665.61645983796</v>
      </c>
      <c r="B9" s="23" t="s">
        <v>102</v>
      </c>
      <c r="C9" s="23">
        <v>2.7207124538E10</v>
      </c>
      <c r="D9" s="23" t="s">
        <v>103</v>
      </c>
      <c r="E9" s="24">
        <v>37627.0</v>
      </c>
      <c r="F9" s="23" t="s">
        <v>104</v>
      </c>
      <c r="G9" s="25" t="s">
        <v>63</v>
      </c>
      <c r="H9" s="25">
        <v>27.0</v>
      </c>
      <c r="I9" s="26" t="s">
        <v>105</v>
      </c>
      <c r="J9" s="25" t="s">
        <v>39</v>
      </c>
      <c r="K9" s="25" t="s">
        <v>90</v>
      </c>
      <c r="L9" s="27"/>
      <c r="M9" s="25" t="s">
        <v>91</v>
      </c>
      <c r="N9" s="25" t="s">
        <v>68</v>
      </c>
      <c r="O9" s="25" t="s">
        <v>92</v>
      </c>
      <c r="P9" s="27"/>
      <c r="Q9" s="26" t="s">
        <v>69</v>
      </c>
      <c r="R9" s="25" t="s">
        <v>45</v>
      </c>
      <c r="S9" s="25" t="s">
        <v>39</v>
      </c>
      <c r="T9" s="27"/>
      <c r="U9" s="27"/>
      <c r="V9" s="27"/>
      <c r="W9" s="29">
        <v>8.0</v>
      </c>
      <c r="X9" s="17">
        <v>45901.0</v>
      </c>
      <c r="Y9" s="30" t="s">
        <v>46</v>
      </c>
      <c r="Z9" s="17">
        <v>45870.0</v>
      </c>
      <c r="AA9" s="13" t="s">
        <v>90</v>
      </c>
      <c r="AB9" s="13" t="s">
        <v>92</v>
      </c>
      <c r="AC9" s="19" t="str">
        <f>VLOOKUP(C9,Sheet1!$C$2:$X$1242,15,0)</f>
        <v/>
      </c>
      <c r="AD9" s="19"/>
      <c r="AE9" s="19" t="str">
        <f t="shared" si="1"/>
        <v/>
      </c>
      <c r="AF9" s="19" t="str">
        <f>VLOOKUP(C9,Sheet1!$C$2:$AE$400,24,0)</f>
        <v>không đủ điều kiện</v>
      </c>
      <c r="AG9" s="19"/>
      <c r="AH9" s="31"/>
      <c r="AI9" s="32"/>
    </row>
    <row r="10">
      <c r="A10" s="22">
        <v>45665.6231084375</v>
      </c>
      <c r="B10" s="23" t="s">
        <v>106</v>
      </c>
      <c r="C10" s="23">
        <v>2.7207132468E10</v>
      </c>
      <c r="D10" s="23" t="s">
        <v>107</v>
      </c>
      <c r="E10" s="24">
        <v>37911.0</v>
      </c>
      <c r="F10" s="23" t="s">
        <v>108</v>
      </c>
      <c r="G10" s="25" t="s">
        <v>63</v>
      </c>
      <c r="H10" s="25">
        <v>27.0</v>
      </c>
      <c r="I10" s="26" t="s">
        <v>109</v>
      </c>
      <c r="J10" s="25" t="s">
        <v>39</v>
      </c>
      <c r="K10" s="25" t="s">
        <v>98</v>
      </c>
      <c r="L10" s="27"/>
      <c r="M10" s="25" t="s">
        <v>110</v>
      </c>
      <c r="N10" s="25" t="s">
        <v>68</v>
      </c>
      <c r="O10" s="25" t="s">
        <v>56</v>
      </c>
      <c r="P10" s="27"/>
      <c r="Q10" s="25" t="s">
        <v>100</v>
      </c>
      <c r="R10" s="25" t="s">
        <v>45</v>
      </c>
      <c r="S10" s="25" t="s">
        <v>39</v>
      </c>
      <c r="T10" s="27"/>
      <c r="U10" s="27"/>
      <c r="V10" s="27"/>
      <c r="W10" s="16">
        <v>9.0</v>
      </c>
      <c r="X10" s="17">
        <v>45962.0</v>
      </c>
      <c r="Y10" s="30" t="s">
        <v>46</v>
      </c>
      <c r="Z10" s="17">
        <v>45870.0</v>
      </c>
      <c r="AA10" s="13" t="s">
        <v>98</v>
      </c>
      <c r="AB10" s="13" t="s">
        <v>56</v>
      </c>
      <c r="AC10" s="19" t="str">
        <f>VLOOKUP(C10,Sheet1!$C$2:$X$1242,15,0)</f>
        <v/>
      </c>
      <c r="AD10" s="19"/>
      <c r="AE10" s="19" t="str">
        <f t="shared" si="1"/>
        <v/>
      </c>
      <c r="AF10" s="19" t="str">
        <f>VLOOKUP(C10,Sheet1!$C$2:$AE$400,24,0)</f>
        <v>CHUYÊN ĐỀ</v>
      </c>
      <c r="AG10" s="19" t="s">
        <v>101</v>
      </c>
      <c r="AH10" s="20" t="str">
        <f>VLOOKUP(AG10,gvhd!$D$3:$P$17,11,0)</f>
        <v>0935 141614</v>
      </c>
      <c r="AI10" s="21" t="str">
        <f>VLOOKUP(AG10,gvhd!$D$3:$P$17,12,0)</f>
        <v>phamthoangdung@duytan.edu.vn</v>
      </c>
    </row>
    <row r="11">
      <c r="A11" s="22">
        <v>45665.6378084375</v>
      </c>
      <c r="B11" s="23" t="s">
        <v>111</v>
      </c>
      <c r="C11" s="23">
        <v>2.7207120147E10</v>
      </c>
      <c r="D11" s="23" t="s">
        <v>112</v>
      </c>
      <c r="E11" s="24">
        <v>37629.0</v>
      </c>
      <c r="F11" s="23" t="s">
        <v>96</v>
      </c>
      <c r="G11" s="25" t="s">
        <v>63</v>
      </c>
      <c r="H11" s="25">
        <v>27.0</v>
      </c>
      <c r="I11" s="26" t="s">
        <v>113</v>
      </c>
      <c r="J11" s="25" t="s">
        <v>39</v>
      </c>
      <c r="K11" s="25" t="s">
        <v>114</v>
      </c>
      <c r="L11" s="27"/>
      <c r="M11" s="25" t="s">
        <v>115</v>
      </c>
      <c r="N11" s="25" t="s">
        <v>116</v>
      </c>
      <c r="O11" s="25" t="s">
        <v>117</v>
      </c>
      <c r="P11" s="27"/>
      <c r="Q11" s="25" t="s">
        <v>118</v>
      </c>
      <c r="R11" s="25" t="s">
        <v>45</v>
      </c>
      <c r="S11" s="25" t="s">
        <v>39</v>
      </c>
      <c r="T11" s="27"/>
      <c r="U11" s="27"/>
      <c r="V11" s="27"/>
      <c r="W11" s="29">
        <v>10.0</v>
      </c>
      <c r="X11" s="29" t="s">
        <v>119</v>
      </c>
      <c r="Y11" s="30" t="s">
        <v>46</v>
      </c>
      <c r="Z11" s="17">
        <v>45870.0</v>
      </c>
      <c r="AA11" s="13" t="s">
        <v>114</v>
      </c>
      <c r="AB11" s="13" t="s">
        <v>117</v>
      </c>
      <c r="AC11" s="19" t="str">
        <f>VLOOKUP(C11,Sheet1!$C$2:$X$1242,15,0)</f>
        <v/>
      </c>
      <c r="AD11" s="19"/>
      <c r="AE11" s="19" t="str">
        <f t="shared" si="1"/>
        <v/>
      </c>
      <c r="AF11" s="19" t="str">
        <f>VLOOKUP(C11,Sheet1!$C$2:$AE$400,24,0)</f>
        <v>CHUYÊN ĐỀ</v>
      </c>
      <c r="AG11" s="19" t="s">
        <v>120</v>
      </c>
      <c r="AH11" s="31" t="str">
        <f>VLOOKUP(AG11,gvhd!$D$3:$P$17,11,0)</f>
        <v>0375658728</v>
      </c>
      <c r="AI11" s="32" t="str">
        <f>VLOOKUP(AG11,gvhd!$D$3:$P$17,12,0)</f>
        <v>trinhtkimchung@dtu-hti.edu.vn</v>
      </c>
    </row>
    <row r="12">
      <c r="A12" s="22">
        <v>45665.72637466435</v>
      </c>
      <c r="B12" s="23" t="s">
        <v>121</v>
      </c>
      <c r="C12" s="23">
        <v>2.7217123844E10</v>
      </c>
      <c r="D12" s="23" t="s">
        <v>122</v>
      </c>
      <c r="E12" s="24">
        <v>37938.0</v>
      </c>
      <c r="F12" s="23" t="s">
        <v>96</v>
      </c>
      <c r="G12" s="25" t="s">
        <v>63</v>
      </c>
      <c r="H12" s="25">
        <v>27.0</v>
      </c>
      <c r="I12" s="26" t="s">
        <v>123</v>
      </c>
      <c r="J12" s="25" t="s">
        <v>39</v>
      </c>
      <c r="K12" s="25" t="s">
        <v>124</v>
      </c>
      <c r="L12" s="27"/>
      <c r="M12" s="25" t="s">
        <v>125</v>
      </c>
      <c r="N12" s="25" t="s">
        <v>68</v>
      </c>
      <c r="O12" s="25" t="s">
        <v>56</v>
      </c>
      <c r="P12" s="27"/>
      <c r="Q12" s="26" t="s">
        <v>126</v>
      </c>
      <c r="R12" s="25" t="s">
        <v>45</v>
      </c>
      <c r="S12" s="25" t="s">
        <v>39</v>
      </c>
      <c r="T12" s="27"/>
      <c r="U12" s="34">
        <v>45698.0</v>
      </c>
      <c r="V12" s="34">
        <v>45787.0</v>
      </c>
      <c r="W12" s="16">
        <v>11.0</v>
      </c>
      <c r="X12" s="17">
        <v>45962.0</v>
      </c>
      <c r="Y12" s="30" t="s">
        <v>46</v>
      </c>
      <c r="Z12" s="17">
        <v>45870.0</v>
      </c>
      <c r="AA12" s="25" t="s">
        <v>124</v>
      </c>
      <c r="AB12" s="25" t="s">
        <v>56</v>
      </c>
      <c r="AC12" s="27" t="str">
        <f>VLOOKUP(C12,Sheet1!$C$2:$X$1242,15,0)</f>
        <v/>
      </c>
      <c r="AD12" s="27"/>
      <c r="AE12" s="19" t="str">
        <f t="shared" si="1"/>
        <v/>
      </c>
      <c r="AF12" s="19" t="str">
        <f>VLOOKUP(C12,Sheet1!$C$2:$AE$400,24,0)</f>
        <v>CHUYÊN ĐỀ</v>
      </c>
      <c r="AG12" s="19" t="s">
        <v>120</v>
      </c>
      <c r="AH12" s="20" t="str">
        <f>VLOOKUP(AG12,gvhd!$D$3:$P$17,11,0)</f>
        <v>0375658728</v>
      </c>
      <c r="AI12" s="21" t="str">
        <f>VLOOKUP(AG12,gvhd!$D$3:$P$17,12,0)</f>
        <v>trinhtkimchung@dtu-hti.edu.vn</v>
      </c>
    </row>
    <row r="13">
      <c r="A13" s="22">
        <v>45665.76003583333</v>
      </c>
      <c r="B13" s="23" t="s">
        <v>127</v>
      </c>
      <c r="C13" s="23">
        <v>2.7207141051E10</v>
      </c>
      <c r="D13" s="23" t="s">
        <v>128</v>
      </c>
      <c r="E13" s="24">
        <v>37668.0</v>
      </c>
      <c r="F13" s="23" t="s">
        <v>129</v>
      </c>
      <c r="G13" s="25" t="s">
        <v>63</v>
      </c>
      <c r="H13" s="25">
        <v>27.0</v>
      </c>
      <c r="I13" s="26" t="s">
        <v>130</v>
      </c>
      <c r="J13" s="25" t="s">
        <v>39</v>
      </c>
      <c r="K13" s="25" t="s">
        <v>82</v>
      </c>
      <c r="L13" s="27"/>
      <c r="M13" s="25" t="s">
        <v>131</v>
      </c>
      <c r="N13" s="25" t="s">
        <v>68</v>
      </c>
      <c r="O13" s="25" t="s">
        <v>56</v>
      </c>
      <c r="P13" s="27"/>
      <c r="Q13" s="26" t="s">
        <v>132</v>
      </c>
      <c r="R13" s="25" t="s">
        <v>45</v>
      </c>
      <c r="S13" s="25" t="s">
        <v>39</v>
      </c>
      <c r="T13" s="27"/>
      <c r="U13" s="34">
        <v>45698.0</v>
      </c>
      <c r="V13" s="34">
        <v>45787.0</v>
      </c>
      <c r="W13" s="29">
        <v>12.0</v>
      </c>
      <c r="X13" s="17">
        <v>45962.0</v>
      </c>
      <c r="Y13" s="30" t="s">
        <v>46</v>
      </c>
      <c r="Z13" s="17">
        <v>45870.0</v>
      </c>
      <c r="AA13" s="25" t="s">
        <v>82</v>
      </c>
      <c r="AB13" s="25" t="s">
        <v>56</v>
      </c>
      <c r="AC13" s="27" t="str">
        <f>VLOOKUP(C13,Sheet1!$C$2:$X$1242,15,0)</f>
        <v/>
      </c>
      <c r="AD13" s="27"/>
      <c r="AE13" s="19" t="str">
        <f t="shared" si="1"/>
        <v/>
      </c>
      <c r="AF13" s="19" t="str">
        <f>VLOOKUP(C13,Sheet1!$C$2:$AE$400,24,0)</f>
        <v>CHUYÊN ĐỀ</v>
      </c>
      <c r="AG13" s="19" t="s">
        <v>85</v>
      </c>
      <c r="AH13" s="31" t="str">
        <f>VLOOKUP(AG13,gvhd!$D$3:$P$17,11,0)</f>
        <v>0396.153.687</v>
      </c>
      <c r="AI13" s="32" t="str">
        <f>VLOOKUP(AG13,gvhd!$D$3:$P$17,12,0)</f>
        <v>nguyentminhthu@dtu-hti.edu.vn</v>
      </c>
    </row>
    <row r="14">
      <c r="A14" s="22">
        <v>45665.765707962964</v>
      </c>
      <c r="B14" s="23" t="s">
        <v>133</v>
      </c>
      <c r="C14" s="23">
        <v>2.7207124833E10</v>
      </c>
      <c r="D14" s="23" t="s">
        <v>134</v>
      </c>
      <c r="E14" s="24">
        <v>37892.0</v>
      </c>
      <c r="F14" s="23" t="s">
        <v>108</v>
      </c>
      <c r="G14" s="25" t="s">
        <v>63</v>
      </c>
      <c r="H14" s="25">
        <v>27.0</v>
      </c>
      <c r="I14" s="26" t="s">
        <v>135</v>
      </c>
      <c r="J14" s="25" t="s">
        <v>39</v>
      </c>
      <c r="K14" s="25" t="s">
        <v>114</v>
      </c>
      <c r="L14" s="27"/>
      <c r="M14" s="25" t="s">
        <v>136</v>
      </c>
      <c r="N14" s="25" t="s">
        <v>68</v>
      </c>
      <c r="O14" s="25" t="s">
        <v>56</v>
      </c>
      <c r="P14" s="27"/>
      <c r="Q14" s="26" t="s">
        <v>84</v>
      </c>
      <c r="R14" s="25" t="s">
        <v>45</v>
      </c>
      <c r="S14" s="25" t="s">
        <v>39</v>
      </c>
      <c r="T14" s="25" t="s">
        <v>137</v>
      </c>
      <c r="U14" s="34">
        <v>45698.0</v>
      </c>
      <c r="V14" s="34">
        <v>45787.0</v>
      </c>
      <c r="W14" s="16">
        <v>13.0</v>
      </c>
      <c r="X14" s="17">
        <v>45962.0</v>
      </c>
      <c r="Y14" s="30" t="s">
        <v>46</v>
      </c>
      <c r="Z14" s="17">
        <v>45870.0</v>
      </c>
      <c r="AA14" s="25" t="s">
        <v>114</v>
      </c>
      <c r="AB14" s="25" t="s">
        <v>56</v>
      </c>
      <c r="AC14" s="27" t="str">
        <f>VLOOKUP(C14,Sheet1!$C$2:$X$1242,15,0)</f>
        <v/>
      </c>
      <c r="AD14" s="25" t="s">
        <v>138</v>
      </c>
      <c r="AE14" s="19" t="str">
        <f t="shared" si="1"/>
        <v/>
      </c>
      <c r="AF14" s="19" t="str">
        <f>VLOOKUP(C14,Sheet1!$C$2:$AE$400,24,0)</f>
        <v>CHUYÊN ĐỀ</v>
      </c>
      <c r="AG14" s="19" t="s">
        <v>139</v>
      </c>
      <c r="AH14" s="20" t="str">
        <f>VLOOKUP(AG14,gvhd!$D$3:$P$17,11,0)</f>
        <v>0975718029</v>
      </c>
      <c r="AI14" s="21" t="str">
        <f>VLOOKUP(AG14,gvhd!$D$3:$P$17,12,0)</f>
        <v>trantmylinh5@duytan.edu.vn</v>
      </c>
    </row>
    <row r="15">
      <c r="A15" s="22">
        <v>45665.92565099537</v>
      </c>
      <c r="B15" s="23" t="s">
        <v>140</v>
      </c>
      <c r="C15" s="23">
        <v>2.7207121269E10</v>
      </c>
      <c r="D15" s="23" t="s">
        <v>141</v>
      </c>
      <c r="E15" s="24">
        <v>37622.0</v>
      </c>
      <c r="F15" s="23" t="s">
        <v>108</v>
      </c>
      <c r="G15" s="25" t="s">
        <v>63</v>
      </c>
      <c r="H15" s="25">
        <v>27.0</v>
      </c>
      <c r="I15" s="26" t="s">
        <v>142</v>
      </c>
      <c r="J15" s="25" t="s">
        <v>39</v>
      </c>
      <c r="K15" s="25" t="s">
        <v>98</v>
      </c>
      <c r="L15" s="27"/>
      <c r="M15" s="25" t="s">
        <v>110</v>
      </c>
      <c r="N15" s="25" t="s">
        <v>68</v>
      </c>
      <c r="O15" s="25" t="s">
        <v>56</v>
      </c>
      <c r="P15" s="27"/>
      <c r="Q15" s="25" t="s">
        <v>100</v>
      </c>
      <c r="R15" s="25" t="s">
        <v>45</v>
      </c>
      <c r="S15" s="25" t="s">
        <v>39</v>
      </c>
      <c r="T15" s="27"/>
      <c r="U15" s="34">
        <v>45649.0</v>
      </c>
      <c r="V15" s="34">
        <v>45732.0</v>
      </c>
      <c r="W15" s="29">
        <v>14.0</v>
      </c>
      <c r="X15" s="17">
        <v>45962.0</v>
      </c>
      <c r="Y15" s="30" t="s">
        <v>46</v>
      </c>
      <c r="Z15" s="17">
        <v>45870.0</v>
      </c>
      <c r="AA15" s="25" t="s">
        <v>98</v>
      </c>
      <c r="AB15" s="25" t="s">
        <v>56</v>
      </c>
      <c r="AC15" s="27" t="str">
        <f>VLOOKUP(C15,Sheet1!$C$2:$X$1242,15,0)</f>
        <v/>
      </c>
      <c r="AD15" s="27"/>
      <c r="AE15" s="19" t="str">
        <f t="shared" si="1"/>
        <v/>
      </c>
      <c r="AF15" s="19" t="str">
        <f>VLOOKUP(C15,Sheet1!$C$2:$AE$400,24,0)</f>
        <v>CHUYÊN ĐỀ</v>
      </c>
      <c r="AG15" s="19" t="s">
        <v>101</v>
      </c>
      <c r="AH15" s="31" t="str">
        <f>VLOOKUP(AG15,gvhd!$D$3:$P$17,11,0)</f>
        <v>0935 141614</v>
      </c>
      <c r="AI15" s="32" t="str">
        <f>VLOOKUP(AG15,gvhd!$D$3:$P$17,12,0)</f>
        <v>phamthoangdung@duytan.edu.vn</v>
      </c>
    </row>
    <row r="16">
      <c r="A16" s="22">
        <v>45666.373366307875</v>
      </c>
      <c r="B16" s="23" t="s">
        <v>143</v>
      </c>
      <c r="C16" s="23">
        <v>2.7207146805E10</v>
      </c>
      <c r="D16" s="23" t="s">
        <v>144</v>
      </c>
      <c r="E16" s="24">
        <v>37947.0</v>
      </c>
      <c r="F16" s="23" t="s">
        <v>145</v>
      </c>
      <c r="G16" s="25" t="s">
        <v>63</v>
      </c>
      <c r="H16" s="25">
        <v>27.0</v>
      </c>
      <c r="I16" s="26" t="s">
        <v>146</v>
      </c>
      <c r="J16" s="25" t="s">
        <v>39</v>
      </c>
      <c r="K16" s="25" t="s">
        <v>114</v>
      </c>
      <c r="L16" s="27"/>
      <c r="M16" s="25" t="s">
        <v>147</v>
      </c>
      <c r="N16" s="25" t="s">
        <v>148</v>
      </c>
      <c r="O16" s="25" t="s">
        <v>56</v>
      </c>
      <c r="P16" s="27"/>
      <c r="Q16" s="26" t="s">
        <v>149</v>
      </c>
      <c r="R16" s="25" t="s">
        <v>45</v>
      </c>
      <c r="S16" s="25" t="s">
        <v>39</v>
      </c>
      <c r="T16" s="25" t="s">
        <v>137</v>
      </c>
      <c r="U16" s="34">
        <v>45698.0</v>
      </c>
      <c r="V16" s="34">
        <v>45787.0</v>
      </c>
      <c r="W16" s="16">
        <v>15.0</v>
      </c>
      <c r="X16" s="17">
        <v>45962.0</v>
      </c>
      <c r="Y16" s="30" t="s">
        <v>46</v>
      </c>
      <c r="Z16" s="17">
        <v>45870.0</v>
      </c>
      <c r="AA16" s="25" t="s">
        <v>114</v>
      </c>
      <c r="AB16" s="25" t="s">
        <v>56</v>
      </c>
      <c r="AC16" s="27" t="str">
        <f>VLOOKUP(C16,Sheet1!$C$2:$X$1242,15,0)</f>
        <v/>
      </c>
      <c r="AD16" s="25" t="s">
        <v>138</v>
      </c>
      <c r="AE16" s="19" t="str">
        <f t="shared" si="1"/>
        <v/>
      </c>
      <c r="AF16" s="19" t="str">
        <f>VLOOKUP(C16,Sheet1!$C$2:$AE$400,24,0)</f>
        <v>CHUYÊN ĐỀ</v>
      </c>
      <c r="AG16" s="19" t="s">
        <v>139</v>
      </c>
      <c r="AH16" s="20" t="str">
        <f>VLOOKUP(AG16,gvhd!$D$3:$P$17,11,0)</f>
        <v>0975718029</v>
      </c>
      <c r="AI16" s="21" t="str">
        <f>VLOOKUP(AG16,gvhd!$D$3:$P$17,12,0)</f>
        <v>trantmylinh5@duytan.edu.vn</v>
      </c>
    </row>
    <row r="17">
      <c r="A17" s="22">
        <v>45666.47342393518</v>
      </c>
      <c r="B17" s="23" t="s">
        <v>150</v>
      </c>
      <c r="C17" s="23">
        <v>2.7215131988E10</v>
      </c>
      <c r="D17" s="23" t="s">
        <v>151</v>
      </c>
      <c r="E17" s="24">
        <v>37675.0</v>
      </c>
      <c r="F17" s="23" t="s">
        <v>152</v>
      </c>
      <c r="G17" s="25" t="s">
        <v>63</v>
      </c>
      <c r="H17" s="25">
        <v>27.0</v>
      </c>
      <c r="I17" s="26" t="s">
        <v>153</v>
      </c>
      <c r="J17" s="25" t="s">
        <v>39</v>
      </c>
      <c r="K17" s="25" t="s">
        <v>154</v>
      </c>
      <c r="L17" s="27"/>
      <c r="M17" s="25" t="s">
        <v>155</v>
      </c>
      <c r="N17" s="25" t="s">
        <v>148</v>
      </c>
      <c r="O17" s="25" t="s">
        <v>56</v>
      </c>
      <c r="P17" s="27"/>
      <c r="Q17" s="26" t="s">
        <v>156</v>
      </c>
      <c r="R17" s="25" t="s">
        <v>45</v>
      </c>
      <c r="S17" s="25" t="s">
        <v>39</v>
      </c>
      <c r="T17" s="27"/>
      <c r="U17" s="34">
        <v>45693.0</v>
      </c>
      <c r="V17" s="34">
        <v>45787.0</v>
      </c>
      <c r="W17" s="29">
        <v>16.0</v>
      </c>
      <c r="X17" s="17">
        <v>45871.0</v>
      </c>
      <c r="Y17" s="30" t="s">
        <v>46</v>
      </c>
      <c r="Z17" s="17">
        <v>45962.0</v>
      </c>
      <c r="AA17" s="25" t="s">
        <v>154</v>
      </c>
      <c r="AB17" s="25" t="s">
        <v>56</v>
      </c>
      <c r="AC17" s="27" t="str">
        <f>VLOOKUP(C17,Sheet1!$C$2:$X$1242,15,0)</f>
        <v/>
      </c>
      <c r="AD17" s="27"/>
      <c r="AE17" s="19" t="str">
        <f t="shared" si="1"/>
        <v/>
      </c>
      <c r="AF17" s="19" t="str">
        <f>VLOOKUP(C17,Sheet1!$C$2:$AE$400,24,0)</f>
        <v>CHUYÊN ĐỀ</v>
      </c>
      <c r="AG17" s="19" t="s">
        <v>101</v>
      </c>
      <c r="AH17" s="31" t="str">
        <f>VLOOKUP(AG17,gvhd!$D$3:$P$17,11,0)</f>
        <v>0935 141614</v>
      </c>
      <c r="AI17" s="32" t="str">
        <f>VLOOKUP(AG17,gvhd!$D$3:$P$17,12,0)</f>
        <v>phamthoangdung@duytan.edu.vn</v>
      </c>
    </row>
    <row r="18">
      <c r="A18" s="22">
        <v>45666.49879550926</v>
      </c>
      <c r="B18" s="23" t="s">
        <v>157</v>
      </c>
      <c r="C18" s="23">
        <v>2.7217145582E10</v>
      </c>
      <c r="D18" s="23" t="s">
        <v>158</v>
      </c>
      <c r="E18" s="24">
        <v>37723.0</v>
      </c>
      <c r="F18" s="23" t="s">
        <v>145</v>
      </c>
      <c r="G18" s="25" t="s">
        <v>63</v>
      </c>
      <c r="H18" s="25">
        <v>27.0</v>
      </c>
      <c r="I18" s="26" t="s">
        <v>159</v>
      </c>
      <c r="J18" s="25" t="s">
        <v>39</v>
      </c>
      <c r="K18" s="25" t="s">
        <v>160</v>
      </c>
      <c r="L18" s="27"/>
      <c r="M18" s="25" t="s">
        <v>161</v>
      </c>
      <c r="N18" s="25" t="s">
        <v>68</v>
      </c>
      <c r="O18" s="25" t="s">
        <v>117</v>
      </c>
      <c r="P18" s="27"/>
      <c r="Q18" s="26" t="s">
        <v>162</v>
      </c>
      <c r="R18" s="25" t="s">
        <v>45</v>
      </c>
      <c r="S18" s="25" t="s">
        <v>39</v>
      </c>
      <c r="T18" s="27"/>
      <c r="U18" s="34">
        <v>45691.0</v>
      </c>
      <c r="V18" s="34">
        <v>45780.0</v>
      </c>
      <c r="W18" s="16">
        <v>17.0</v>
      </c>
      <c r="X18" s="17">
        <v>45962.0</v>
      </c>
      <c r="Y18" s="30" t="s">
        <v>46</v>
      </c>
      <c r="Z18" s="17">
        <v>45962.0</v>
      </c>
      <c r="AA18" s="25" t="s">
        <v>160</v>
      </c>
      <c r="AB18" s="25" t="s">
        <v>117</v>
      </c>
      <c r="AC18" s="27" t="str">
        <f>VLOOKUP(C18,Sheet1!$C$2:$X$1242,15,0)</f>
        <v/>
      </c>
      <c r="AD18" s="25" t="s">
        <v>163</v>
      </c>
      <c r="AE18" s="19" t="str">
        <f t="shared" si="1"/>
        <v/>
      </c>
      <c r="AF18" s="19" t="str">
        <f>VLOOKUP(C18,Sheet1!$C$2:$AE$400,24,0)</f>
        <v>CHUYÊN ĐỀ</v>
      </c>
      <c r="AG18" s="19" t="s">
        <v>137</v>
      </c>
      <c r="AH18" s="20" t="str">
        <f>VLOOKUP(AG18,gvhd!$D$3:$P$17,11,0)</f>
        <v>0905767050</v>
      </c>
      <c r="AI18" s="21" t="str">
        <f>VLOOKUP(AG18,gvhd!$D$3:$P$17,12,0)</f>
        <v>maithithuong@dtu-hti.edu.vn</v>
      </c>
    </row>
    <row r="19">
      <c r="A19" s="22">
        <v>45666.50706513889</v>
      </c>
      <c r="B19" s="23" t="s">
        <v>164</v>
      </c>
      <c r="C19" s="23">
        <v>2.7207101459E10</v>
      </c>
      <c r="D19" s="23" t="s">
        <v>165</v>
      </c>
      <c r="E19" s="24">
        <v>37678.0</v>
      </c>
      <c r="F19" s="23" t="s">
        <v>166</v>
      </c>
      <c r="G19" s="25" t="s">
        <v>63</v>
      </c>
      <c r="H19" s="25">
        <v>27.0</v>
      </c>
      <c r="I19" s="26" t="s">
        <v>167</v>
      </c>
      <c r="J19" s="25" t="s">
        <v>39</v>
      </c>
      <c r="K19" s="25" t="s">
        <v>168</v>
      </c>
      <c r="L19" s="27"/>
      <c r="M19" s="25" t="s">
        <v>169</v>
      </c>
      <c r="N19" s="25" t="s">
        <v>170</v>
      </c>
      <c r="O19" s="25" t="s">
        <v>117</v>
      </c>
      <c r="P19" s="27"/>
      <c r="Q19" s="26" t="s">
        <v>156</v>
      </c>
      <c r="R19" s="25" t="s">
        <v>45</v>
      </c>
      <c r="S19" s="25" t="s">
        <v>39</v>
      </c>
      <c r="T19" s="27"/>
      <c r="U19" s="34">
        <v>45698.0</v>
      </c>
      <c r="V19" s="34">
        <v>45787.0</v>
      </c>
      <c r="W19" s="29">
        <v>18.0</v>
      </c>
      <c r="X19" s="17">
        <v>45871.0</v>
      </c>
      <c r="Y19" s="30" t="s">
        <v>46</v>
      </c>
      <c r="Z19" s="17">
        <v>45962.0</v>
      </c>
      <c r="AA19" s="25" t="s">
        <v>168</v>
      </c>
      <c r="AB19" s="25" t="s">
        <v>117</v>
      </c>
      <c r="AC19" s="27" t="str">
        <f>VLOOKUP(C19,Sheet1!$C$2:$X$1242,15,0)</f>
        <v/>
      </c>
      <c r="AD19" s="25" t="s">
        <v>163</v>
      </c>
      <c r="AE19" s="19" t="str">
        <f t="shared" si="1"/>
        <v/>
      </c>
      <c r="AF19" s="19" t="str">
        <f>VLOOKUP(C19,Sheet1!$C$2:$AE$400,24,0)</f>
        <v>CHUYÊN ĐỀ</v>
      </c>
      <c r="AG19" s="19" t="s">
        <v>59</v>
      </c>
      <c r="AH19" s="31" t="str">
        <f>VLOOKUP(AG19,gvhd!$D$3:$P$17,11,0)</f>
        <v>0355072844</v>
      </c>
      <c r="AI19" s="32" t="str">
        <f>VLOOKUP(AG19,gvhd!$D$3:$P$17,12,0)</f>
        <v>Ngotthanhnga@dtu-hti.edu.vn</v>
      </c>
    </row>
    <row r="20">
      <c r="A20" s="22">
        <v>45666.64827586805</v>
      </c>
      <c r="B20" s="23" t="s">
        <v>171</v>
      </c>
      <c r="C20" s="23">
        <v>2.7203801181E10</v>
      </c>
      <c r="D20" s="23" t="s">
        <v>172</v>
      </c>
      <c r="E20" s="24">
        <v>37899.0</v>
      </c>
      <c r="F20" s="23" t="s">
        <v>145</v>
      </c>
      <c r="G20" s="25" t="s">
        <v>63</v>
      </c>
      <c r="H20" s="25">
        <v>27.0</v>
      </c>
      <c r="I20" s="26" t="s">
        <v>173</v>
      </c>
      <c r="J20" s="25" t="s">
        <v>39</v>
      </c>
      <c r="K20" s="25" t="s">
        <v>160</v>
      </c>
      <c r="L20" s="27"/>
      <c r="M20" s="25" t="s">
        <v>174</v>
      </c>
      <c r="N20" s="25" t="s">
        <v>68</v>
      </c>
      <c r="O20" s="25" t="s">
        <v>117</v>
      </c>
      <c r="P20" s="27"/>
      <c r="Q20" s="26" t="s">
        <v>175</v>
      </c>
      <c r="R20" s="25" t="s">
        <v>45</v>
      </c>
      <c r="S20" s="25" t="s">
        <v>39</v>
      </c>
      <c r="T20" s="27"/>
      <c r="U20" s="34">
        <v>45691.0</v>
      </c>
      <c r="V20" s="34">
        <v>45780.0</v>
      </c>
      <c r="W20" s="16">
        <v>19.0</v>
      </c>
      <c r="X20" s="17">
        <v>45962.0</v>
      </c>
      <c r="Y20" s="30" t="s">
        <v>46</v>
      </c>
      <c r="Z20" s="17">
        <v>45962.0</v>
      </c>
      <c r="AA20" s="25" t="s">
        <v>160</v>
      </c>
      <c r="AB20" s="25" t="s">
        <v>117</v>
      </c>
      <c r="AC20" s="27" t="str">
        <f>VLOOKUP(C20,Sheet1!$C$2:$X$1242,15,0)</f>
        <v/>
      </c>
      <c r="AD20" s="25" t="s">
        <v>163</v>
      </c>
      <c r="AE20" s="19" t="str">
        <f t="shared" si="1"/>
        <v/>
      </c>
      <c r="AF20" s="19" t="str">
        <f>VLOOKUP(C20,Sheet1!$C$2:$AE$400,24,0)</f>
        <v>CHUYÊN ĐỀ</v>
      </c>
      <c r="AG20" s="19" t="s">
        <v>137</v>
      </c>
      <c r="AH20" s="20" t="str">
        <f>VLOOKUP(AG20,gvhd!$D$3:$P$17,11,0)</f>
        <v>0905767050</v>
      </c>
      <c r="AI20" s="21" t="str">
        <f>VLOOKUP(AG20,gvhd!$D$3:$P$17,12,0)</f>
        <v>maithithuong@dtu-hti.edu.vn</v>
      </c>
    </row>
    <row r="21">
      <c r="A21" s="22">
        <v>45666.653392685184</v>
      </c>
      <c r="B21" s="23" t="s">
        <v>176</v>
      </c>
      <c r="C21" s="23">
        <v>2.7207133735E10</v>
      </c>
      <c r="D21" s="23" t="s">
        <v>177</v>
      </c>
      <c r="E21" s="24">
        <v>37953.0</v>
      </c>
      <c r="F21" s="23" t="s">
        <v>178</v>
      </c>
      <c r="G21" s="25" t="s">
        <v>63</v>
      </c>
      <c r="H21" s="25">
        <v>27.0</v>
      </c>
      <c r="I21" s="26" t="s">
        <v>179</v>
      </c>
      <c r="J21" s="25" t="s">
        <v>39</v>
      </c>
      <c r="K21" s="25" t="s">
        <v>114</v>
      </c>
      <c r="L21" s="27"/>
      <c r="M21" s="25" t="s">
        <v>136</v>
      </c>
      <c r="N21" s="25" t="s">
        <v>180</v>
      </c>
      <c r="O21" s="25" t="s">
        <v>92</v>
      </c>
      <c r="P21" s="27"/>
      <c r="Q21" s="26" t="s">
        <v>57</v>
      </c>
      <c r="R21" s="25" t="s">
        <v>45</v>
      </c>
      <c r="S21" s="25" t="s">
        <v>39</v>
      </c>
      <c r="T21" s="25" t="s">
        <v>137</v>
      </c>
      <c r="U21" s="34">
        <v>45660.0</v>
      </c>
      <c r="V21" s="34">
        <v>45750.0</v>
      </c>
      <c r="W21" s="29">
        <v>20.0</v>
      </c>
      <c r="X21" s="17">
        <v>45962.0</v>
      </c>
      <c r="Y21" s="30" t="s">
        <v>46</v>
      </c>
      <c r="Z21" s="17">
        <v>45962.0</v>
      </c>
      <c r="AA21" s="25" t="s">
        <v>114</v>
      </c>
      <c r="AB21" s="25" t="s">
        <v>92</v>
      </c>
      <c r="AC21" s="27" t="str">
        <f>VLOOKUP(C21,Sheet1!$C$2:$X$1242,15,0)</f>
        <v/>
      </c>
      <c r="AD21" s="27"/>
      <c r="AE21" s="19" t="str">
        <f t="shared" si="1"/>
        <v/>
      </c>
      <c r="AF21" s="19" t="str">
        <f>VLOOKUP(C21,Sheet1!$C$2:$AE$400,24,0)</f>
        <v>CHUYÊN ĐỀ</v>
      </c>
      <c r="AG21" s="19" t="s">
        <v>93</v>
      </c>
      <c r="AH21" s="31" t="str">
        <f>VLOOKUP(AG21,gvhd!$D$3:$P$17,11,0)</f>
        <v>0904464092</v>
      </c>
      <c r="AI21" s="32" t="str">
        <f>VLOOKUP(AG21,gvhd!$D$3:$P$17,12,0)</f>
        <v>anhphuong@duytan.edu.vn</v>
      </c>
    </row>
    <row r="22">
      <c r="A22" s="22">
        <v>45666.674411597225</v>
      </c>
      <c r="B22" s="23" t="s">
        <v>181</v>
      </c>
      <c r="C22" s="23">
        <v>2.721712681E10</v>
      </c>
      <c r="D22" s="23" t="s">
        <v>182</v>
      </c>
      <c r="E22" s="24">
        <v>37721.0</v>
      </c>
      <c r="F22" s="23" t="s">
        <v>80</v>
      </c>
      <c r="G22" s="25" t="s">
        <v>63</v>
      </c>
      <c r="H22" s="25">
        <v>27.0</v>
      </c>
      <c r="I22" s="26" t="s">
        <v>183</v>
      </c>
      <c r="J22" s="25" t="s">
        <v>39</v>
      </c>
      <c r="K22" s="25" t="s">
        <v>114</v>
      </c>
      <c r="L22" s="27"/>
      <c r="M22" s="25" t="s">
        <v>136</v>
      </c>
      <c r="N22" s="25" t="s">
        <v>68</v>
      </c>
      <c r="O22" s="25" t="s">
        <v>92</v>
      </c>
      <c r="P22" s="27"/>
      <c r="Q22" s="25" t="s">
        <v>184</v>
      </c>
      <c r="R22" s="25" t="s">
        <v>45</v>
      </c>
      <c r="S22" s="25" t="s">
        <v>39</v>
      </c>
      <c r="T22" s="25" t="s">
        <v>137</v>
      </c>
      <c r="U22" s="34">
        <v>45698.0</v>
      </c>
      <c r="V22" s="34">
        <v>45787.0</v>
      </c>
      <c r="W22" s="16">
        <v>21.0</v>
      </c>
      <c r="X22" s="17">
        <v>45962.0</v>
      </c>
      <c r="Y22" s="30" t="s">
        <v>46</v>
      </c>
      <c r="Z22" s="17">
        <v>45962.0</v>
      </c>
      <c r="AA22" s="25" t="s">
        <v>114</v>
      </c>
      <c r="AB22" s="25" t="s">
        <v>92</v>
      </c>
      <c r="AC22" s="27" t="str">
        <f>VLOOKUP(C22,Sheet1!$C$2:$X$1242,15,0)</f>
        <v/>
      </c>
      <c r="AD22" s="27"/>
      <c r="AE22" s="19" t="str">
        <f t="shared" si="1"/>
        <v/>
      </c>
      <c r="AF22" s="19" t="str">
        <f>VLOOKUP(C22,Sheet1!$C$2:$AE$400,24,0)</f>
        <v>CHUYÊN ĐỀ</v>
      </c>
      <c r="AG22" s="19" t="s">
        <v>93</v>
      </c>
      <c r="AH22" s="20" t="str">
        <f>VLOOKUP(AG22,gvhd!$D$3:$P$17,11,0)</f>
        <v>0904464092</v>
      </c>
      <c r="AI22" s="21" t="str">
        <f>VLOOKUP(AG22,gvhd!$D$3:$P$17,12,0)</f>
        <v>anhphuong@duytan.edu.vn</v>
      </c>
    </row>
    <row r="23">
      <c r="A23" s="22">
        <v>45666.72739172453</v>
      </c>
      <c r="B23" s="23" t="s">
        <v>185</v>
      </c>
      <c r="C23" s="23">
        <v>2.7207134467E10</v>
      </c>
      <c r="D23" s="23" t="s">
        <v>186</v>
      </c>
      <c r="E23" s="24">
        <v>37651.0</v>
      </c>
      <c r="F23" s="23" t="s">
        <v>108</v>
      </c>
      <c r="G23" s="25" t="s">
        <v>63</v>
      </c>
      <c r="H23" s="25">
        <v>27.0</v>
      </c>
      <c r="I23" s="26" t="s">
        <v>187</v>
      </c>
      <c r="J23" s="25" t="s">
        <v>39</v>
      </c>
      <c r="K23" s="25" t="s">
        <v>188</v>
      </c>
      <c r="L23" s="25" t="s">
        <v>188</v>
      </c>
      <c r="M23" s="25" t="s">
        <v>189</v>
      </c>
      <c r="N23" s="25" t="s">
        <v>190</v>
      </c>
      <c r="O23" s="25" t="s">
        <v>191</v>
      </c>
      <c r="P23" s="25" t="s">
        <v>191</v>
      </c>
      <c r="Q23" s="26" t="s">
        <v>84</v>
      </c>
      <c r="R23" s="25" t="s">
        <v>45</v>
      </c>
      <c r="S23" s="25" t="s">
        <v>39</v>
      </c>
      <c r="T23" s="27"/>
      <c r="U23" s="34">
        <v>45698.0</v>
      </c>
      <c r="V23" s="34">
        <v>45787.0</v>
      </c>
      <c r="W23" s="29">
        <v>22.0</v>
      </c>
      <c r="X23" s="17">
        <v>45962.0</v>
      </c>
      <c r="Y23" s="30" t="s">
        <v>46</v>
      </c>
      <c r="Z23" s="17">
        <v>45962.0</v>
      </c>
      <c r="AA23" s="25" t="s">
        <v>188</v>
      </c>
      <c r="AB23" s="25" t="s">
        <v>191</v>
      </c>
      <c r="AC23" s="27" t="str">
        <f>VLOOKUP(C23,Sheet1!$C$2:$X$1242,15,0)</f>
        <v/>
      </c>
      <c r="AD23" s="27"/>
      <c r="AE23" s="19" t="str">
        <f t="shared" si="1"/>
        <v/>
      </c>
      <c r="AF23" s="19" t="str">
        <f>VLOOKUP(C23,Sheet1!$C$2:$AE$400,24,0)</f>
        <v>CHUYÊN ĐỀ</v>
      </c>
      <c r="AG23" s="19" t="s">
        <v>85</v>
      </c>
      <c r="AH23" s="31" t="str">
        <f>VLOOKUP(AG23,gvhd!$D$3:$P$17,11,0)</f>
        <v>0396.153.687</v>
      </c>
      <c r="AI23" s="32" t="str">
        <f>VLOOKUP(AG23,gvhd!$D$3:$P$17,12,0)</f>
        <v>nguyentminhthu@dtu-hti.edu.vn</v>
      </c>
    </row>
    <row r="24">
      <c r="A24" s="22">
        <v>45666.73087246528</v>
      </c>
      <c r="B24" s="23" t="s">
        <v>192</v>
      </c>
      <c r="C24" s="23">
        <v>2.7217144395E10</v>
      </c>
      <c r="D24" s="23" t="s">
        <v>193</v>
      </c>
      <c r="E24" s="24">
        <v>37678.0</v>
      </c>
      <c r="F24" s="23" t="s">
        <v>88</v>
      </c>
      <c r="G24" s="25" t="s">
        <v>63</v>
      </c>
      <c r="H24" s="25">
        <v>27.0</v>
      </c>
      <c r="I24" s="26" t="s">
        <v>194</v>
      </c>
      <c r="J24" s="25" t="s">
        <v>39</v>
      </c>
      <c r="K24" s="25" t="s">
        <v>114</v>
      </c>
      <c r="L24" s="27"/>
      <c r="M24" s="25" t="s">
        <v>195</v>
      </c>
      <c r="N24" s="25" t="s">
        <v>196</v>
      </c>
      <c r="O24" s="25" t="s">
        <v>117</v>
      </c>
      <c r="P24" s="27"/>
      <c r="Q24" s="26" t="s">
        <v>84</v>
      </c>
      <c r="R24" s="25" t="s">
        <v>45</v>
      </c>
      <c r="S24" s="25" t="s">
        <v>39</v>
      </c>
      <c r="T24" s="27"/>
      <c r="U24" s="34">
        <v>45698.0</v>
      </c>
      <c r="V24" s="34">
        <v>45787.0</v>
      </c>
      <c r="W24" s="16">
        <v>23.0</v>
      </c>
      <c r="X24" s="17">
        <v>45962.0</v>
      </c>
      <c r="Y24" s="30" t="s">
        <v>46</v>
      </c>
      <c r="Z24" s="17">
        <v>45962.0</v>
      </c>
      <c r="AA24" s="25" t="s">
        <v>114</v>
      </c>
      <c r="AB24" s="25" t="s">
        <v>117</v>
      </c>
      <c r="AC24" s="27" t="str">
        <f>VLOOKUP(C24,Sheet1!$C$2:$X$1242,15,0)</f>
        <v/>
      </c>
      <c r="AD24" s="27"/>
      <c r="AE24" s="19" t="str">
        <f t="shared" si="1"/>
        <v/>
      </c>
      <c r="AF24" s="19" t="str">
        <f>VLOOKUP(C24,Sheet1!$C$2:$AE$400,24,0)</f>
        <v>CHUYÊN ĐỀ</v>
      </c>
      <c r="AG24" s="19" t="s">
        <v>120</v>
      </c>
      <c r="AH24" s="20" t="str">
        <f>VLOOKUP(AG24,gvhd!$D$3:$P$17,11,0)</f>
        <v>0375658728</v>
      </c>
      <c r="AI24" s="21" t="str">
        <f>VLOOKUP(AG24,gvhd!$D$3:$P$17,12,0)</f>
        <v>trinhtkimchung@dtu-hti.edu.vn</v>
      </c>
    </row>
    <row r="25">
      <c r="A25" s="22">
        <v>45666.86413793982</v>
      </c>
      <c r="B25" s="23" t="s">
        <v>197</v>
      </c>
      <c r="C25" s="23">
        <v>2.7217137887E10</v>
      </c>
      <c r="D25" s="23" t="s">
        <v>198</v>
      </c>
      <c r="E25" s="24">
        <v>37868.0</v>
      </c>
      <c r="F25" s="23" t="s">
        <v>108</v>
      </c>
      <c r="G25" s="25" t="s">
        <v>63</v>
      </c>
      <c r="H25" s="25">
        <v>27.0</v>
      </c>
      <c r="I25" s="26" t="s">
        <v>199</v>
      </c>
      <c r="J25" s="25" t="s">
        <v>39</v>
      </c>
      <c r="K25" s="25" t="s">
        <v>200</v>
      </c>
      <c r="L25" s="25" t="s">
        <v>200</v>
      </c>
      <c r="M25" s="25" t="s">
        <v>201</v>
      </c>
      <c r="N25" s="25" t="s">
        <v>116</v>
      </c>
      <c r="O25" s="25" t="s">
        <v>56</v>
      </c>
      <c r="P25" s="27"/>
      <c r="Q25" s="26" t="s">
        <v>175</v>
      </c>
      <c r="R25" s="25" t="s">
        <v>45</v>
      </c>
      <c r="S25" s="25" t="s">
        <v>39</v>
      </c>
      <c r="T25" s="27"/>
      <c r="U25" s="34">
        <v>45663.0</v>
      </c>
      <c r="V25" s="34">
        <v>45753.0</v>
      </c>
      <c r="W25" s="29">
        <v>24.0</v>
      </c>
      <c r="X25" s="17">
        <v>45962.0</v>
      </c>
      <c r="Y25" s="30" t="s">
        <v>46</v>
      </c>
      <c r="Z25" s="17">
        <v>45962.0</v>
      </c>
      <c r="AA25" s="25" t="s">
        <v>200</v>
      </c>
      <c r="AB25" s="25" t="s">
        <v>56</v>
      </c>
      <c r="AC25" s="27" t="str">
        <f>VLOOKUP(C25,Sheet1!$C$2:$X$1242,15,0)</f>
        <v/>
      </c>
      <c r="AD25" s="27"/>
      <c r="AE25" s="19" t="str">
        <f t="shared" si="1"/>
        <v/>
      </c>
      <c r="AF25" s="19" t="str">
        <f>VLOOKUP(C25,Sheet1!$C$2:$AE$400,24,0)</f>
        <v>không đủ điều kiện</v>
      </c>
      <c r="AG25" s="19"/>
      <c r="AH25" s="31"/>
      <c r="AI25" s="32"/>
    </row>
    <row r="26">
      <c r="A26" s="22">
        <v>45667.68448309028</v>
      </c>
      <c r="B26" s="23" t="s">
        <v>202</v>
      </c>
      <c r="C26" s="23">
        <v>2.7207152184E10</v>
      </c>
      <c r="D26" s="23" t="s">
        <v>203</v>
      </c>
      <c r="E26" s="24">
        <v>37931.0</v>
      </c>
      <c r="F26" s="23" t="s">
        <v>145</v>
      </c>
      <c r="G26" s="25" t="s">
        <v>63</v>
      </c>
      <c r="H26" s="25">
        <v>27.0</v>
      </c>
      <c r="I26" s="26" t="s">
        <v>204</v>
      </c>
      <c r="J26" s="25" t="s">
        <v>39</v>
      </c>
      <c r="K26" s="25" t="s">
        <v>160</v>
      </c>
      <c r="L26" s="27"/>
      <c r="M26" s="25" t="s">
        <v>205</v>
      </c>
      <c r="N26" s="25" t="s">
        <v>148</v>
      </c>
      <c r="O26" s="25" t="s">
        <v>56</v>
      </c>
      <c r="P26" s="27"/>
      <c r="Q26" s="26" t="s">
        <v>206</v>
      </c>
      <c r="R26" s="25" t="s">
        <v>45</v>
      </c>
      <c r="S26" s="25" t="s">
        <v>39</v>
      </c>
      <c r="T26" s="27"/>
      <c r="U26" s="34">
        <v>45691.0</v>
      </c>
      <c r="V26" s="34">
        <v>45780.0</v>
      </c>
      <c r="W26" s="16">
        <v>25.0</v>
      </c>
      <c r="X26" s="17">
        <v>45962.0</v>
      </c>
      <c r="Y26" s="30" t="s">
        <v>46</v>
      </c>
      <c r="Z26" s="17">
        <v>45962.0</v>
      </c>
      <c r="AA26" s="25" t="s">
        <v>160</v>
      </c>
      <c r="AB26" s="25" t="s">
        <v>56</v>
      </c>
      <c r="AC26" s="27" t="str">
        <f>VLOOKUP(C26,Sheet1!$C$2:$X$1242,15,0)</f>
        <v/>
      </c>
      <c r="AD26" s="25" t="s">
        <v>207</v>
      </c>
      <c r="AE26" s="19" t="str">
        <f t="shared" si="1"/>
        <v/>
      </c>
      <c r="AF26" s="19" t="str">
        <f>VLOOKUP(C26,Sheet1!$C$2:$AE$400,24,0)</f>
        <v>CHUYÊN ĐỀ</v>
      </c>
      <c r="AG26" s="19" t="s">
        <v>77</v>
      </c>
      <c r="AH26" s="20" t="str">
        <f>VLOOKUP(AG26,gvhd!$D$3:$P$17,11,0)</f>
        <v>0906 029 602</v>
      </c>
      <c r="AI26" s="21" t="str">
        <f>VLOOKUP(AG26,gvhd!$D$3:$P$17,12,0)</f>
        <v>tranhoanganh@dtu-hti.edu.vn</v>
      </c>
    </row>
    <row r="27">
      <c r="A27" s="22">
        <v>45667.4125134375</v>
      </c>
      <c r="B27" s="23" t="s">
        <v>208</v>
      </c>
      <c r="C27" s="23">
        <v>2.5207101778E10</v>
      </c>
      <c r="D27" s="23" t="s">
        <v>209</v>
      </c>
      <c r="E27" s="24">
        <v>37188.0</v>
      </c>
      <c r="F27" s="23" t="s">
        <v>210</v>
      </c>
      <c r="G27" s="25" t="s">
        <v>63</v>
      </c>
      <c r="H27" s="25">
        <v>26.0</v>
      </c>
      <c r="I27" s="26" t="s">
        <v>211</v>
      </c>
      <c r="J27" s="25" t="s">
        <v>39</v>
      </c>
      <c r="K27" s="25" t="s">
        <v>212</v>
      </c>
      <c r="L27" s="27"/>
      <c r="M27" s="25" t="s">
        <v>213</v>
      </c>
      <c r="N27" s="25" t="s">
        <v>68</v>
      </c>
      <c r="O27" s="25" t="s">
        <v>191</v>
      </c>
      <c r="P27" s="27"/>
      <c r="Q27" s="25" t="s">
        <v>214</v>
      </c>
      <c r="R27" s="25" t="s">
        <v>45</v>
      </c>
      <c r="S27" s="25" t="s">
        <v>39</v>
      </c>
      <c r="T27" s="25" t="s">
        <v>215</v>
      </c>
      <c r="U27" s="34">
        <v>45698.0</v>
      </c>
      <c r="V27" s="34">
        <v>45787.0</v>
      </c>
      <c r="W27" s="29">
        <v>26.0</v>
      </c>
      <c r="X27" s="17">
        <v>45840.0</v>
      </c>
      <c r="Y27" s="30" t="s">
        <v>46</v>
      </c>
      <c r="Z27" s="17">
        <v>45962.0</v>
      </c>
      <c r="AA27" s="25" t="s">
        <v>212</v>
      </c>
      <c r="AB27" s="25" t="s">
        <v>191</v>
      </c>
      <c r="AC27" s="27" t="str">
        <f>VLOOKUP(C27,Sheet1!$C$2:$X$1242,15,0)</f>
        <v>ĐÃ NỘP</v>
      </c>
      <c r="AD27" s="25" t="s">
        <v>216</v>
      </c>
      <c r="AE27" s="19" t="str">
        <f t="shared" si="1"/>
        <v/>
      </c>
      <c r="AF27" s="19" t="str">
        <f>VLOOKUP(C27,Sheet1!$C$2:$AE$400,24,0)</f>
        <v>CHUYÊN ĐỀ</v>
      </c>
      <c r="AG27" s="19" t="s">
        <v>93</v>
      </c>
      <c r="AH27" s="31" t="str">
        <f>VLOOKUP(AG27,gvhd!$D$3:$P$17,11,0)</f>
        <v>0904464092</v>
      </c>
      <c r="AI27" s="32" t="str">
        <f>VLOOKUP(AG27,gvhd!$D$3:$P$17,12,0)</f>
        <v>anhphuong@duytan.edu.vn</v>
      </c>
    </row>
    <row r="28">
      <c r="A28" s="22">
        <v>45667.412913900465</v>
      </c>
      <c r="B28" s="23" t="s">
        <v>217</v>
      </c>
      <c r="C28" s="23">
        <v>2.7217152552E10</v>
      </c>
      <c r="D28" s="23" t="s">
        <v>218</v>
      </c>
      <c r="E28" s="24">
        <v>37940.0</v>
      </c>
      <c r="F28" s="23" t="s">
        <v>145</v>
      </c>
      <c r="G28" s="25" t="s">
        <v>63</v>
      </c>
      <c r="H28" s="25">
        <v>27.0</v>
      </c>
      <c r="I28" s="26" t="s">
        <v>219</v>
      </c>
      <c r="J28" s="25" t="s">
        <v>39</v>
      </c>
      <c r="K28" s="25" t="s">
        <v>160</v>
      </c>
      <c r="L28" s="27"/>
      <c r="M28" s="25" t="s">
        <v>220</v>
      </c>
      <c r="N28" s="25" t="s">
        <v>68</v>
      </c>
      <c r="O28" s="25" t="s">
        <v>56</v>
      </c>
      <c r="P28" s="27"/>
      <c r="Q28" s="25" t="s">
        <v>221</v>
      </c>
      <c r="R28" s="25" t="s">
        <v>45</v>
      </c>
      <c r="S28" s="25" t="s">
        <v>39</v>
      </c>
      <c r="T28" s="27"/>
      <c r="U28" s="34">
        <v>45691.0</v>
      </c>
      <c r="V28" s="34">
        <v>45780.0</v>
      </c>
      <c r="W28" s="16">
        <v>27.0</v>
      </c>
      <c r="X28" s="29" t="s">
        <v>119</v>
      </c>
      <c r="Y28" s="30" t="s">
        <v>46</v>
      </c>
      <c r="Z28" s="17">
        <v>45962.0</v>
      </c>
      <c r="AA28" s="25" t="s">
        <v>160</v>
      </c>
      <c r="AB28" s="25" t="s">
        <v>56</v>
      </c>
      <c r="AC28" s="27" t="str">
        <f>VLOOKUP(C28,Sheet1!$C$2:$X$1242,15,0)</f>
        <v/>
      </c>
      <c r="AD28" s="25" t="s">
        <v>207</v>
      </c>
      <c r="AE28" s="19" t="str">
        <f t="shared" si="1"/>
        <v/>
      </c>
      <c r="AF28" s="19" t="str">
        <f>VLOOKUP(C28,Sheet1!$C$2:$AE$400,24,0)</f>
        <v>CHUYÊN ĐỀ</v>
      </c>
      <c r="AG28" s="19" t="s">
        <v>77</v>
      </c>
      <c r="AH28" s="20" t="str">
        <f>VLOOKUP(AG28,gvhd!$D$3:$P$17,11,0)</f>
        <v>0906 029 602</v>
      </c>
      <c r="AI28" s="21" t="str">
        <f>VLOOKUP(AG28,gvhd!$D$3:$P$17,12,0)</f>
        <v>tranhoanganh@dtu-hti.edu.vn</v>
      </c>
    </row>
    <row r="29">
      <c r="A29" s="35">
        <v>45694.8356315625</v>
      </c>
      <c r="B29" s="36" t="s">
        <v>222</v>
      </c>
      <c r="C29" s="36">
        <v>2.62172401E10</v>
      </c>
      <c r="D29" s="36" t="s">
        <v>223</v>
      </c>
      <c r="E29" s="37">
        <v>36969.0</v>
      </c>
      <c r="F29" s="36" t="s">
        <v>36</v>
      </c>
      <c r="G29" s="38" t="s">
        <v>37</v>
      </c>
      <c r="H29" s="38">
        <v>26.0</v>
      </c>
      <c r="I29" s="39" t="s">
        <v>224</v>
      </c>
      <c r="J29" s="38" t="s">
        <v>39</v>
      </c>
      <c r="K29" s="38" t="s">
        <v>168</v>
      </c>
      <c r="L29" s="40"/>
      <c r="M29" s="38" t="s">
        <v>225</v>
      </c>
      <c r="N29" s="38" t="s">
        <v>68</v>
      </c>
      <c r="O29" s="38" t="s">
        <v>117</v>
      </c>
      <c r="P29" s="40"/>
      <c r="Q29" s="38" t="s">
        <v>226</v>
      </c>
      <c r="R29" s="38" t="s">
        <v>45</v>
      </c>
      <c r="S29" s="38" t="s">
        <v>39</v>
      </c>
      <c r="T29" s="38" t="s">
        <v>58</v>
      </c>
      <c r="U29" s="41">
        <v>45677.0</v>
      </c>
      <c r="V29" s="41">
        <v>45746.0</v>
      </c>
      <c r="W29" s="42">
        <v>28.0</v>
      </c>
      <c r="X29" s="43">
        <v>45840.0</v>
      </c>
      <c r="Y29" s="44" t="s">
        <v>46</v>
      </c>
      <c r="Z29" s="43">
        <v>45962.0</v>
      </c>
      <c r="AA29" s="45" t="s">
        <v>168</v>
      </c>
      <c r="AB29" s="45" t="s">
        <v>117</v>
      </c>
      <c r="AC29" s="40" t="str">
        <f>VLOOKUP(C29,Sheet1!$C$2:$X$1242,15,0)</f>
        <v>ĐÃ NỘP</v>
      </c>
      <c r="AD29" s="40"/>
      <c r="AE29" s="19" t="str">
        <f t="shared" si="1"/>
        <v/>
      </c>
      <c r="AF29" s="19" t="str">
        <f>VLOOKUP(C29,Sheet1!$C$2:$AE$400,24,0)</f>
        <v>CHUYÊN ĐỀ</v>
      </c>
      <c r="AG29" s="19" t="s">
        <v>59</v>
      </c>
      <c r="AH29" s="31" t="str">
        <f>VLOOKUP(AG29,gvhd!$D$3:$P$17,11,0)</f>
        <v>0355072844</v>
      </c>
      <c r="AI29" s="32" t="str">
        <f>VLOOKUP(AG29,gvhd!$D$3:$P$17,12,0)</f>
        <v>Ngotthanhnga@dtu-hti.edu.vn</v>
      </c>
    </row>
    <row r="30">
      <c r="A30" s="22">
        <v>45667.516109027776</v>
      </c>
      <c r="B30" s="23" t="s">
        <v>227</v>
      </c>
      <c r="C30" s="23">
        <v>2.7217136125E10</v>
      </c>
      <c r="D30" s="23" t="s">
        <v>228</v>
      </c>
      <c r="E30" s="24">
        <v>37721.0</v>
      </c>
      <c r="F30" s="23" t="s">
        <v>108</v>
      </c>
      <c r="G30" s="25" t="s">
        <v>63</v>
      </c>
      <c r="H30" s="25">
        <v>27.0</v>
      </c>
      <c r="I30" s="26" t="s">
        <v>229</v>
      </c>
      <c r="J30" s="25" t="s">
        <v>39</v>
      </c>
      <c r="K30" s="25" t="s">
        <v>230</v>
      </c>
      <c r="L30" s="27"/>
      <c r="M30" s="25" t="s">
        <v>231</v>
      </c>
      <c r="N30" s="25" t="s">
        <v>68</v>
      </c>
      <c r="O30" s="25" t="s">
        <v>117</v>
      </c>
      <c r="P30" s="27"/>
      <c r="Q30" s="26" t="s">
        <v>206</v>
      </c>
      <c r="R30" s="25" t="s">
        <v>45</v>
      </c>
      <c r="S30" s="25" t="s">
        <v>39</v>
      </c>
      <c r="T30" s="27"/>
      <c r="U30" s="34">
        <v>45664.0</v>
      </c>
      <c r="V30" s="34">
        <v>45760.0</v>
      </c>
      <c r="W30" s="16">
        <v>29.0</v>
      </c>
      <c r="X30" s="17">
        <v>45962.0</v>
      </c>
      <c r="Y30" s="30" t="s">
        <v>46</v>
      </c>
      <c r="Z30" s="17">
        <v>45962.0</v>
      </c>
      <c r="AA30" s="25" t="s">
        <v>230</v>
      </c>
      <c r="AB30" s="25" t="s">
        <v>117</v>
      </c>
      <c r="AC30" s="27" t="str">
        <f>VLOOKUP(C30,Sheet1!$C$2:$X$1242,15,0)</f>
        <v/>
      </c>
      <c r="AD30" s="27"/>
      <c r="AE30" s="19" t="str">
        <f t="shared" si="1"/>
        <v/>
      </c>
      <c r="AF30" s="19" t="str">
        <f>VLOOKUP(C30,Sheet1!$C$2:$AE$400,24,0)</f>
        <v>CHUYÊN ĐỀ</v>
      </c>
      <c r="AG30" s="19" t="s">
        <v>77</v>
      </c>
      <c r="AH30" s="20" t="str">
        <f>VLOOKUP(AG30,gvhd!$D$3:$P$17,11,0)</f>
        <v>0906 029 602</v>
      </c>
      <c r="AI30" s="21" t="str">
        <f>VLOOKUP(AG30,gvhd!$D$3:$P$17,12,0)</f>
        <v>tranhoanganh@dtu-hti.edu.vn</v>
      </c>
    </row>
    <row r="31">
      <c r="A31" s="22">
        <v>45696.704023391205</v>
      </c>
      <c r="B31" s="23" t="s">
        <v>232</v>
      </c>
      <c r="C31" s="23">
        <v>2.7207144974E10</v>
      </c>
      <c r="D31" s="23" t="s">
        <v>233</v>
      </c>
      <c r="E31" s="24">
        <v>37893.0</v>
      </c>
      <c r="F31" s="23" t="s">
        <v>96</v>
      </c>
      <c r="G31" s="25" t="s">
        <v>63</v>
      </c>
      <c r="H31" s="25">
        <v>27.0</v>
      </c>
      <c r="I31" s="26" t="s">
        <v>234</v>
      </c>
      <c r="J31" s="25" t="s">
        <v>39</v>
      </c>
      <c r="K31" s="25" t="s">
        <v>235</v>
      </c>
      <c r="L31" s="27"/>
      <c r="M31" s="25" t="s">
        <v>236</v>
      </c>
      <c r="N31" s="25" t="s">
        <v>170</v>
      </c>
      <c r="O31" s="25" t="s">
        <v>56</v>
      </c>
      <c r="P31" s="27"/>
      <c r="Q31" s="25" t="s">
        <v>237</v>
      </c>
      <c r="R31" s="25" t="s">
        <v>45</v>
      </c>
      <c r="S31" s="25" t="s">
        <v>39</v>
      </c>
      <c r="T31" s="27"/>
      <c r="U31" s="34">
        <v>45691.0</v>
      </c>
      <c r="V31" s="34">
        <v>45774.0</v>
      </c>
      <c r="W31" s="29">
        <v>30.0</v>
      </c>
      <c r="X31" s="17">
        <v>45963.0</v>
      </c>
      <c r="Y31" s="30" t="s">
        <v>46</v>
      </c>
      <c r="Z31" s="17">
        <v>45962.0</v>
      </c>
      <c r="AA31" s="46" t="s">
        <v>235</v>
      </c>
      <c r="AB31" s="25" t="s">
        <v>56</v>
      </c>
      <c r="AC31" s="27" t="str">
        <f>VLOOKUP(C31,Sheet1!$C$2:$X$1242,15,0)</f>
        <v/>
      </c>
      <c r="AD31" s="25" t="s">
        <v>238</v>
      </c>
      <c r="AE31" s="19" t="str">
        <f t="shared" si="1"/>
        <v/>
      </c>
      <c r="AF31" s="19" t="str">
        <f>VLOOKUP(C31,Sheet1!$C$2:$AE$400,24,0)</f>
        <v>CHUYÊN ĐỀ</v>
      </c>
      <c r="AG31" s="19" t="s">
        <v>120</v>
      </c>
      <c r="AH31" s="31" t="str">
        <f>VLOOKUP(AG31,gvhd!$D$3:$P$17,11,0)</f>
        <v>0375658728</v>
      </c>
      <c r="AI31" s="32" t="str">
        <f>VLOOKUP(AG31,gvhd!$D$3:$P$17,12,0)</f>
        <v>trinhtkimchung@dtu-hti.edu.vn</v>
      </c>
    </row>
    <row r="32">
      <c r="A32" s="22">
        <v>45667.53622553241</v>
      </c>
      <c r="B32" s="23" t="s">
        <v>239</v>
      </c>
      <c r="C32" s="23">
        <v>2.7217128728E10</v>
      </c>
      <c r="D32" s="23" t="s">
        <v>240</v>
      </c>
      <c r="E32" s="24">
        <v>37520.0</v>
      </c>
      <c r="F32" s="23" t="s">
        <v>96</v>
      </c>
      <c r="G32" s="25" t="s">
        <v>63</v>
      </c>
      <c r="H32" s="25">
        <v>27.0</v>
      </c>
      <c r="I32" s="26" t="s">
        <v>241</v>
      </c>
      <c r="J32" s="25" t="s">
        <v>39</v>
      </c>
      <c r="K32" s="25" t="s">
        <v>82</v>
      </c>
      <c r="L32" s="27"/>
      <c r="M32" s="25" t="s">
        <v>242</v>
      </c>
      <c r="N32" s="25" t="s">
        <v>243</v>
      </c>
      <c r="O32" s="25" t="s">
        <v>92</v>
      </c>
      <c r="P32" s="27"/>
      <c r="Q32" s="26" t="s">
        <v>244</v>
      </c>
      <c r="R32" s="25" t="s">
        <v>45</v>
      </c>
      <c r="S32" s="25" t="s">
        <v>39</v>
      </c>
      <c r="T32" s="25" t="s">
        <v>137</v>
      </c>
      <c r="U32" s="34">
        <v>45672.0</v>
      </c>
      <c r="V32" s="34">
        <v>45762.0</v>
      </c>
      <c r="W32" s="16">
        <v>31.0</v>
      </c>
      <c r="X32" s="17">
        <v>45810.0</v>
      </c>
      <c r="Y32" s="30" t="s">
        <v>46</v>
      </c>
      <c r="Z32" s="17">
        <v>45962.0</v>
      </c>
      <c r="AA32" s="25" t="s">
        <v>82</v>
      </c>
      <c r="AB32" s="25" t="s">
        <v>92</v>
      </c>
      <c r="AC32" s="27" t="str">
        <f>VLOOKUP(C32,Sheet1!$C$2:$X$1242,15,0)</f>
        <v/>
      </c>
      <c r="AD32" s="27"/>
      <c r="AE32" s="19" t="str">
        <f t="shared" si="1"/>
        <v/>
      </c>
      <c r="AF32" s="19" t="str">
        <f>VLOOKUP(C32,Sheet1!$C$2:$AE$400,24,0)</f>
        <v>CHUYÊN ĐỀ</v>
      </c>
      <c r="AG32" s="19" t="s">
        <v>85</v>
      </c>
      <c r="AH32" s="20" t="str">
        <f>VLOOKUP(AG32,gvhd!$D$3:$P$17,11,0)</f>
        <v>0396.153.687</v>
      </c>
      <c r="AI32" s="21" t="str">
        <f>VLOOKUP(AG32,gvhd!$D$3:$P$17,12,0)</f>
        <v>nguyentminhthu@dtu-hti.edu.vn</v>
      </c>
    </row>
    <row r="33">
      <c r="A33" s="47">
        <v>45670.44565172454</v>
      </c>
      <c r="B33" s="48" t="s">
        <v>245</v>
      </c>
      <c r="C33" s="48">
        <v>2.5217107474E10</v>
      </c>
      <c r="D33" s="48" t="s">
        <v>246</v>
      </c>
      <c r="E33" s="49">
        <v>37122.0</v>
      </c>
      <c r="F33" s="48" t="s">
        <v>247</v>
      </c>
      <c r="G33" s="50" t="s">
        <v>37</v>
      </c>
      <c r="H33" s="50">
        <v>25.0</v>
      </c>
      <c r="I33" s="51" t="s">
        <v>248</v>
      </c>
      <c r="J33" s="50" t="s">
        <v>39</v>
      </c>
      <c r="K33" s="50" t="s">
        <v>249</v>
      </c>
      <c r="L33" s="50" t="s">
        <v>249</v>
      </c>
      <c r="M33" s="50" t="s">
        <v>250</v>
      </c>
      <c r="N33" s="50" t="s">
        <v>68</v>
      </c>
      <c r="O33" s="50" t="s">
        <v>92</v>
      </c>
      <c r="P33" s="52"/>
      <c r="Q33" s="50" t="s">
        <v>251</v>
      </c>
      <c r="R33" s="50" t="s">
        <v>45</v>
      </c>
      <c r="S33" s="50" t="s">
        <v>39</v>
      </c>
      <c r="T33" s="50" t="s">
        <v>101</v>
      </c>
      <c r="U33" s="53">
        <v>45698.0</v>
      </c>
      <c r="V33" s="53">
        <v>45787.0</v>
      </c>
      <c r="W33" s="54">
        <v>32.0</v>
      </c>
      <c r="X33" s="55"/>
      <c r="Y33" s="56" t="s">
        <v>252</v>
      </c>
      <c r="Z33" s="54" t="s">
        <v>253</v>
      </c>
      <c r="AA33" s="57" t="s">
        <v>249</v>
      </c>
      <c r="AB33" s="57" t="s">
        <v>92</v>
      </c>
      <c r="AC33" s="52" t="str">
        <f>VLOOKUP(C33,Sheet1!$C$2:$X$1242,15,0)</f>
        <v>ĐÃ NỘP</v>
      </c>
      <c r="AD33" s="50" t="s">
        <v>254</v>
      </c>
      <c r="AE33" s="19" t="str">
        <f t="shared" si="1"/>
        <v/>
      </c>
      <c r="AF33" s="19" t="str">
        <f>VLOOKUP(C33,Sheet1!$C$2:$AE$400,24,0)</f>
        <v>CHUYÊN ĐỀ</v>
      </c>
      <c r="AG33" s="19"/>
      <c r="AH33" s="31" t="str">
        <f>VLOOKUP(AG33,gvhd!$D$3:$P$17,11,0)</f>
        <v>#N/A</v>
      </c>
      <c r="AI33" s="32" t="str">
        <f>VLOOKUP(AG33,gvhd!$D$3:$P$17,12,0)</f>
        <v>#N/A</v>
      </c>
    </row>
    <row r="34">
      <c r="A34" s="22">
        <v>45667.66653421296</v>
      </c>
      <c r="B34" s="23" t="s">
        <v>255</v>
      </c>
      <c r="C34" s="23">
        <v>2.7207100694E10</v>
      </c>
      <c r="D34" s="23" t="s">
        <v>256</v>
      </c>
      <c r="E34" s="24">
        <v>37622.0</v>
      </c>
      <c r="F34" s="23" t="s">
        <v>96</v>
      </c>
      <c r="G34" s="25" t="s">
        <v>63</v>
      </c>
      <c r="H34" s="25">
        <v>27.0</v>
      </c>
      <c r="I34" s="26" t="s">
        <v>257</v>
      </c>
      <c r="J34" s="25" t="s">
        <v>39</v>
      </c>
      <c r="K34" s="25" t="s">
        <v>82</v>
      </c>
      <c r="L34" s="27"/>
      <c r="M34" s="25" t="s">
        <v>242</v>
      </c>
      <c r="N34" s="25" t="s">
        <v>68</v>
      </c>
      <c r="O34" s="25" t="s">
        <v>56</v>
      </c>
      <c r="P34" s="27"/>
      <c r="Q34" s="26" t="s">
        <v>206</v>
      </c>
      <c r="R34" s="25" t="s">
        <v>45</v>
      </c>
      <c r="S34" s="25" t="s">
        <v>39</v>
      </c>
      <c r="T34" s="27"/>
      <c r="U34" s="34">
        <v>45698.0</v>
      </c>
      <c r="V34" s="34">
        <v>45787.0</v>
      </c>
      <c r="W34" s="16">
        <v>33.0</v>
      </c>
      <c r="X34" s="17">
        <v>45962.0</v>
      </c>
      <c r="Y34" s="30" t="s">
        <v>46</v>
      </c>
      <c r="Z34" s="17">
        <v>45962.0</v>
      </c>
      <c r="AA34" s="25" t="s">
        <v>82</v>
      </c>
      <c r="AB34" s="25" t="s">
        <v>56</v>
      </c>
      <c r="AC34" s="27" t="str">
        <f>VLOOKUP(C34,Sheet1!$C$2:$X$1242,15,0)</f>
        <v/>
      </c>
      <c r="AD34" s="25" t="s">
        <v>163</v>
      </c>
      <c r="AE34" s="19" t="str">
        <f t="shared" si="1"/>
        <v/>
      </c>
      <c r="AF34" s="19" t="str">
        <f>VLOOKUP(C34,Sheet1!$C$2:$AE$400,24,0)</f>
        <v>CHUYÊN ĐỀ</v>
      </c>
      <c r="AG34" s="19" t="s">
        <v>85</v>
      </c>
      <c r="AH34" s="20" t="str">
        <f>VLOOKUP(AG34,gvhd!$D$3:$P$17,11,0)</f>
        <v>0396.153.687</v>
      </c>
      <c r="AI34" s="21" t="str">
        <f>VLOOKUP(AG34,gvhd!$D$3:$P$17,12,0)</f>
        <v>nguyentminhthu@dtu-hti.edu.vn</v>
      </c>
    </row>
    <row r="35">
      <c r="A35" s="22">
        <v>45667.6698275</v>
      </c>
      <c r="B35" s="23" t="s">
        <v>258</v>
      </c>
      <c r="C35" s="23">
        <v>2.7202139022E10</v>
      </c>
      <c r="D35" s="23" t="s">
        <v>259</v>
      </c>
      <c r="E35" s="24">
        <v>37813.0</v>
      </c>
      <c r="F35" s="23" t="s">
        <v>96</v>
      </c>
      <c r="G35" s="25" t="s">
        <v>63</v>
      </c>
      <c r="H35" s="25">
        <v>27.0</v>
      </c>
      <c r="I35" s="26" t="s">
        <v>260</v>
      </c>
      <c r="J35" s="25" t="s">
        <v>39</v>
      </c>
      <c r="K35" s="25" t="s">
        <v>82</v>
      </c>
      <c r="L35" s="27"/>
      <c r="M35" s="25" t="s">
        <v>261</v>
      </c>
      <c r="N35" s="25" t="s">
        <v>170</v>
      </c>
      <c r="O35" s="25" t="s">
        <v>56</v>
      </c>
      <c r="P35" s="27"/>
      <c r="Q35" s="26" t="s">
        <v>206</v>
      </c>
      <c r="R35" s="25" t="s">
        <v>45</v>
      </c>
      <c r="S35" s="25" t="s">
        <v>39</v>
      </c>
      <c r="T35" s="27"/>
      <c r="U35" s="34">
        <v>45698.0</v>
      </c>
      <c r="V35" s="34">
        <v>45787.0</v>
      </c>
      <c r="W35" s="29">
        <v>34.0</v>
      </c>
      <c r="X35" s="17">
        <v>45962.0</v>
      </c>
      <c r="Y35" s="30" t="s">
        <v>46</v>
      </c>
      <c r="Z35" s="17">
        <v>45962.0</v>
      </c>
      <c r="AA35" s="25" t="s">
        <v>82</v>
      </c>
      <c r="AB35" s="25" t="s">
        <v>56</v>
      </c>
      <c r="AC35" s="27" t="str">
        <f>VLOOKUP(C35,Sheet1!$C$2:$X$1242,15,0)</f>
        <v/>
      </c>
      <c r="AD35" s="25" t="s">
        <v>163</v>
      </c>
      <c r="AE35" s="19" t="str">
        <f t="shared" si="1"/>
        <v/>
      </c>
      <c r="AF35" s="19" t="str">
        <f>VLOOKUP(C35,Sheet1!$C$2:$AE$400,24,0)</f>
        <v>CHUYÊN ĐỀ</v>
      </c>
      <c r="AG35" s="19" t="s">
        <v>85</v>
      </c>
      <c r="AH35" s="31" t="str">
        <f>VLOOKUP(AG35,gvhd!$D$3:$P$17,11,0)</f>
        <v>0396.153.687</v>
      </c>
      <c r="AI35" s="32" t="str">
        <f>VLOOKUP(AG35,gvhd!$D$3:$P$17,12,0)</f>
        <v>nguyentminhthu@dtu-hti.edu.vn</v>
      </c>
    </row>
    <row r="36">
      <c r="A36" s="22">
        <v>45667.818348472225</v>
      </c>
      <c r="B36" s="23" t="s">
        <v>262</v>
      </c>
      <c r="C36" s="23">
        <v>2.5217204586E10</v>
      </c>
      <c r="D36" s="23" t="s">
        <v>263</v>
      </c>
      <c r="E36" s="24">
        <v>37166.0</v>
      </c>
      <c r="F36" s="23" t="s">
        <v>264</v>
      </c>
      <c r="G36" s="25" t="s">
        <v>37</v>
      </c>
      <c r="H36" s="25">
        <v>25.0</v>
      </c>
      <c r="I36" s="26" t="s">
        <v>265</v>
      </c>
      <c r="J36" s="25" t="s">
        <v>39</v>
      </c>
      <c r="K36" s="25" t="s">
        <v>266</v>
      </c>
      <c r="L36" s="27"/>
      <c r="M36" s="25" t="s">
        <v>267</v>
      </c>
      <c r="N36" s="25" t="s">
        <v>68</v>
      </c>
      <c r="O36" s="25" t="s">
        <v>92</v>
      </c>
      <c r="P36" s="27"/>
      <c r="Q36" s="26" t="s">
        <v>206</v>
      </c>
      <c r="R36" s="25" t="s">
        <v>45</v>
      </c>
      <c r="S36" s="25" t="s">
        <v>39</v>
      </c>
      <c r="T36" s="27"/>
      <c r="U36" s="34">
        <v>45332.0</v>
      </c>
      <c r="V36" s="34">
        <v>45787.0</v>
      </c>
      <c r="W36" s="16">
        <v>35.0</v>
      </c>
      <c r="X36" s="17">
        <v>45871.0</v>
      </c>
      <c r="Y36" s="30" t="s">
        <v>46</v>
      </c>
      <c r="Z36" s="17">
        <v>45962.0</v>
      </c>
      <c r="AA36" s="25" t="s">
        <v>266</v>
      </c>
      <c r="AB36" s="25" t="s">
        <v>92</v>
      </c>
      <c r="AC36" s="27" t="str">
        <f>VLOOKUP(C36,Sheet1!$C$2:$X$1242,15,0)</f>
        <v>ĐÃ NỘP</v>
      </c>
      <c r="AD36" s="25" t="s">
        <v>268</v>
      </c>
      <c r="AE36" s="19" t="str">
        <f t="shared" si="1"/>
        <v/>
      </c>
      <c r="AF36" s="19" t="str">
        <f>VLOOKUP(C36,Sheet1!$C$2:$AE$400,24,0)</f>
        <v>CHUYÊN ĐỀ</v>
      </c>
      <c r="AG36" s="19" t="s">
        <v>85</v>
      </c>
      <c r="AH36" s="20" t="str">
        <f>VLOOKUP(AG36,gvhd!$D$3:$P$17,11,0)</f>
        <v>0396.153.687</v>
      </c>
      <c r="AI36" s="21" t="str">
        <f>VLOOKUP(AG36,gvhd!$D$3:$P$17,12,0)</f>
        <v>nguyentminhthu@dtu-hti.edu.vn</v>
      </c>
    </row>
    <row r="37">
      <c r="A37" s="22">
        <v>45668.38896509259</v>
      </c>
      <c r="B37" s="23" t="s">
        <v>269</v>
      </c>
      <c r="C37" s="23">
        <v>2.7207152531E10</v>
      </c>
      <c r="D37" s="23" t="s">
        <v>270</v>
      </c>
      <c r="E37" s="24">
        <v>37801.0</v>
      </c>
      <c r="F37" s="23" t="s">
        <v>178</v>
      </c>
      <c r="G37" s="25" t="s">
        <v>63</v>
      </c>
      <c r="H37" s="25">
        <v>27.0</v>
      </c>
      <c r="I37" s="26" t="s">
        <v>271</v>
      </c>
      <c r="J37" s="25" t="s">
        <v>39</v>
      </c>
      <c r="K37" s="25" t="s">
        <v>114</v>
      </c>
      <c r="L37" s="27"/>
      <c r="M37" s="25" t="s">
        <v>272</v>
      </c>
      <c r="N37" s="25" t="s">
        <v>116</v>
      </c>
      <c r="O37" s="25" t="s">
        <v>117</v>
      </c>
      <c r="P37" s="27"/>
      <c r="Q37" s="25" t="s">
        <v>273</v>
      </c>
      <c r="R37" s="25" t="s">
        <v>45</v>
      </c>
      <c r="S37" s="25" t="s">
        <v>39</v>
      </c>
      <c r="T37" s="27"/>
      <c r="U37" s="34">
        <v>45698.0</v>
      </c>
      <c r="V37" s="34">
        <v>45787.0</v>
      </c>
      <c r="W37" s="29">
        <v>36.0</v>
      </c>
      <c r="X37" s="29" t="s">
        <v>119</v>
      </c>
      <c r="Y37" s="30" t="s">
        <v>46</v>
      </c>
      <c r="Z37" s="17">
        <v>45962.0</v>
      </c>
      <c r="AA37" s="25" t="s">
        <v>114</v>
      </c>
      <c r="AB37" s="25" t="s">
        <v>117</v>
      </c>
      <c r="AC37" s="27" t="str">
        <f>VLOOKUP(C37,Sheet1!$C$2:$X$1242,15,0)</f>
        <v/>
      </c>
      <c r="AD37" s="27"/>
      <c r="AE37" s="19" t="str">
        <f t="shared" si="1"/>
        <v/>
      </c>
      <c r="AF37" s="19" t="str">
        <f>VLOOKUP(C37,Sheet1!$C$2:$AE$400,24,0)</f>
        <v>CHUYÊN ĐỀ</v>
      </c>
      <c r="AG37" s="19" t="s">
        <v>120</v>
      </c>
      <c r="AH37" s="31" t="str">
        <f>VLOOKUP(AG37,gvhd!$D$3:$P$17,11,0)</f>
        <v>0375658728</v>
      </c>
      <c r="AI37" s="32" t="str">
        <f>VLOOKUP(AG37,gvhd!$D$3:$P$17,12,0)</f>
        <v>trinhtkimchung@dtu-hti.edu.vn</v>
      </c>
    </row>
    <row r="38">
      <c r="A38" s="22">
        <v>45668.56207834491</v>
      </c>
      <c r="B38" s="23" t="s">
        <v>274</v>
      </c>
      <c r="C38" s="23">
        <v>2.7217122799E10</v>
      </c>
      <c r="D38" s="23" t="s">
        <v>275</v>
      </c>
      <c r="E38" s="24">
        <v>37764.0</v>
      </c>
      <c r="F38" s="23" t="s">
        <v>276</v>
      </c>
      <c r="G38" s="25" t="s">
        <v>63</v>
      </c>
      <c r="H38" s="25">
        <v>27.0</v>
      </c>
      <c r="I38" s="26" t="s">
        <v>277</v>
      </c>
      <c r="J38" s="25" t="s">
        <v>39</v>
      </c>
      <c r="K38" s="25" t="s">
        <v>278</v>
      </c>
      <c r="L38" s="27"/>
      <c r="M38" s="25" t="s">
        <v>279</v>
      </c>
      <c r="N38" s="25" t="s">
        <v>170</v>
      </c>
      <c r="O38" s="25" t="s">
        <v>117</v>
      </c>
      <c r="P38" s="27"/>
      <c r="Q38" s="25" t="s">
        <v>280</v>
      </c>
      <c r="R38" s="25" t="s">
        <v>45</v>
      </c>
      <c r="S38" s="25" t="s">
        <v>39</v>
      </c>
      <c r="T38" s="27"/>
      <c r="U38" s="34">
        <v>45692.0</v>
      </c>
      <c r="V38" s="34">
        <v>45781.0</v>
      </c>
      <c r="W38" s="16">
        <v>37.0</v>
      </c>
      <c r="X38" s="29" t="s">
        <v>119</v>
      </c>
      <c r="Y38" s="30" t="s">
        <v>46</v>
      </c>
      <c r="Z38" s="17">
        <v>45962.0</v>
      </c>
      <c r="AA38" s="25" t="s">
        <v>278</v>
      </c>
      <c r="AB38" s="25" t="s">
        <v>117</v>
      </c>
      <c r="AC38" s="27" t="str">
        <f>VLOOKUP(C38,Sheet1!$C$2:$X$1242,15,0)</f>
        <v/>
      </c>
      <c r="AD38" s="27"/>
      <c r="AE38" s="19" t="str">
        <f t="shared" si="1"/>
        <v/>
      </c>
      <c r="AF38" s="19" t="str">
        <f>VLOOKUP(C38,Sheet1!$C$2:$AE$400,24,0)</f>
        <v>CHUYÊN ĐỀ</v>
      </c>
      <c r="AG38" s="19" t="s">
        <v>71</v>
      </c>
      <c r="AH38" s="20" t="str">
        <f>VLOOKUP(AG38,gvhd!$D$3:$P$17,11,0)</f>
        <v>0702605664</v>
      </c>
      <c r="AI38" s="21" t="str">
        <f>VLOOKUP(AG38,gvhd!$D$3:$P$17,12,0)</f>
        <v>huynhlthuylinh@dtu-hti.edu.vn</v>
      </c>
    </row>
    <row r="39">
      <c r="A39" s="22">
        <v>45668.65441672454</v>
      </c>
      <c r="B39" s="23" t="s">
        <v>281</v>
      </c>
      <c r="C39" s="23">
        <v>2.7217101593E10</v>
      </c>
      <c r="D39" s="23" t="s">
        <v>282</v>
      </c>
      <c r="E39" s="24">
        <v>37699.0</v>
      </c>
      <c r="F39" s="23" t="s">
        <v>178</v>
      </c>
      <c r="G39" s="25" t="s">
        <v>63</v>
      </c>
      <c r="H39" s="25">
        <v>27.0</v>
      </c>
      <c r="I39" s="26" t="s">
        <v>283</v>
      </c>
      <c r="J39" s="25" t="s">
        <v>39</v>
      </c>
      <c r="K39" s="25" t="s">
        <v>114</v>
      </c>
      <c r="L39" s="27"/>
      <c r="M39" s="25" t="s">
        <v>136</v>
      </c>
      <c r="N39" s="25" t="s">
        <v>170</v>
      </c>
      <c r="O39" s="25" t="s">
        <v>56</v>
      </c>
      <c r="P39" s="27"/>
      <c r="Q39" s="26" t="s">
        <v>84</v>
      </c>
      <c r="R39" s="25" t="s">
        <v>45</v>
      </c>
      <c r="S39" s="25" t="s">
        <v>39</v>
      </c>
      <c r="T39" s="27"/>
      <c r="U39" s="34">
        <v>45698.0</v>
      </c>
      <c r="V39" s="34">
        <v>45787.0</v>
      </c>
      <c r="W39" s="29">
        <v>38.0</v>
      </c>
      <c r="X39" s="29" t="s">
        <v>119</v>
      </c>
      <c r="Y39" s="30" t="s">
        <v>46</v>
      </c>
      <c r="Z39" s="29" t="s">
        <v>119</v>
      </c>
      <c r="AA39" s="25" t="s">
        <v>114</v>
      </c>
      <c r="AB39" s="25" t="s">
        <v>56</v>
      </c>
      <c r="AC39" s="27" t="str">
        <f>VLOOKUP(C39,Sheet1!$C$2:$X$1242,15,0)</f>
        <v/>
      </c>
      <c r="AD39" s="25" t="s">
        <v>138</v>
      </c>
      <c r="AE39" s="19" t="str">
        <f t="shared" si="1"/>
        <v/>
      </c>
      <c r="AF39" s="19" t="str">
        <f>VLOOKUP(C39,Sheet1!$C$2:$AE$400,24,0)</f>
        <v>CHUYÊN ĐỀ</v>
      </c>
      <c r="AG39" s="19" t="s">
        <v>139</v>
      </c>
      <c r="AH39" s="31" t="str">
        <f>VLOOKUP(AG39,gvhd!$D$3:$P$17,11,0)</f>
        <v>0975718029</v>
      </c>
      <c r="AI39" s="32" t="str">
        <f>VLOOKUP(AG39,gvhd!$D$3:$P$17,12,0)</f>
        <v>trantmylinh5@duytan.edu.vn</v>
      </c>
    </row>
    <row r="40">
      <c r="A40" s="22">
        <v>45668.79762666667</v>
      </c>
      <c r="B40" s="23" t="s">
        <v>284</v>
      </c>
      <c r="C40" s="23">
        <v>2.7207142484E10</v>
      </c>
      <c r="D40" s="23" t="s">
        <v>285</v>
      </c>
      <c r="E40" s="24">
        <v>37980.0</v>
      </c>
      <c r="F40" s="23" t="s">
        <v>286</v>
      </c>
      <c r="G40" s="25" t="s">
        <v>37</v>
      </c>
      <c r="H40" s="25">
        <v>27.0</v>
      </c>
      <c r="I40" s="26" t="s">
        <v>287</v>
      </c>
      <c r="J40" s="25" t="s">
        <v>288</v>
      </c>
      <c r="K40" s="25" t="s">
        <v>160</v>
      </c>
      <c r="L40" s="27"/>
      <c r="M40" s="25" t="s">
        <v>289</v>
      </c>
      <c r="N40" s="25" t="s">
        <v>68</v>
      </c>
      <c r="O40" s="25" t="s">
        <v>56</v>
      </c>
      <c r="P40" s="27"/>
      <c r="Q40" s="25" t="s">
        <v>221</v>
      </c>
      <c r="R40" s="25" t="s">
        <v>45</v>
      </c>
      <c r="S40" s="25" t="s">
        <v>288</v>
      </c>
      <c r="T40" s="25" t="s">
        <v>137</v>
      </c>
      <c r="U40" s="34">
        <v>45677.0</v>
      </c>
      <c r="V40" s="34">
        <v>45767.0</v>
      </c>
      <c r="W40" s="16">
        <v>39.0</v>
      </c>
      <c r="X40" s="29" t="s">
        <v>119</v>
      </c>
      <c r="Y40" s="30" t="s">
        <v>46</v>
      </c>
      <c r="Z40" s="29" t="s">
        <v>119</v>
      </c>
      <c r="AA40" s="27" t="s">
        <v>160</v>
      </c>
      <c r="AB40" s="27" t="s">
        <v>56</v>
      </c>
      <c r="AC40" s="27" t="str">
        <f>VLOOKUP(C40,Sheet1!$C$2:$X$1242,15,0)</f>
        <v/>
      </c>
      <c r="AD40" s="25" t="s">
        <v>290</v>
      </c>
      <c r="AE40" s="19" t="str">
        <f t="shared" si="1"/>
        <v/>
      </c>
      <c r="AF40" s="19" t="str">
        <f>VLOOKUP(C40,Sheet1!$C$2:$AE$400,24,0)</f>
        <v>KHÓA LUẬN</v>
      </c>
      <c r="AG40" s="13" t="s">
        <v>101</v>
      </c>
      <c r="AH40" s="20" t="str">
        <f>VLOOKUP(AG40,gvhd!$D$3:$P$17,11,0)</f>
        <v>0935 141614</v>
      </c>
      <c r="AI40" s="21" t="str">
        <f>VLOOKUP(AG40,gvhd!$D$3:$P$17,12,0)</f>
        <v>phamthoangdung@duytan.edu.vn</v>
      </c>
    </row>
    <row r="41">
      <c r="A41" s="22">
        <v>45668.80693145833</v>
      </c>
      <c r="B41" s="23" t="s">
        <v>291</v>
      </c>
      <c r="C41" s="23">
        <v>2.7207101634E10</v>
      </c>
      <c r="D41" s="23" t="s">
        <v>292</v>
      </c>
      <c r="E41" s="24">
        <v>37726.0</v>
      </c>
      <c r="F41" s="23" t="s">
        <v>178</v>
      </c>
      <c r="G41" s="25" t="s">
        <v>63</v>
      </c>
      <c r="H41" s="25">
        <v>27.0</v>
      </c>
      <c r="I41" s="26" t="s">
        <v>293</v>
      </c>
      <c r="J41" s="25" t="s">
        <v>39</v>
      </c>
      <c r="K41" s="25" t="s">
        <v>114</v>
      </c>
      <c r="L41" s="27"/>
      <c r="M41" s="25" t="s">
        <v>294</v>
      </c>
      <c r="N41" s="25" t="s">
        <v>68</v>
      </c>
      <c r="O41" s="25" t="s">
        <v>56</v>
      </c>
      <c r="P41" s="27"/>
      <c r="Q41" s="26" t="s">
        <v>132</v>
      </c>
      <c r="R41" s="25" t="s">
        <v>45</v>
      </c>
      <c r="S41" s="25" t="s">
        <v>39</v>
      </c>
      <c r="T41" s="27"/>
      <c r="U41" s="34">
        <v>45698.0</v>
      </c>
      <c r="V41" s="34">
        <v>45787.0</v>
      </c>
      <c r="W41" s="29">
        <v>40.0</v>
      </c>
      <c r="X41" s="29" t="s">
        <v>119</v>
      </c>
      <c r="Y41" s="30" t="s">
        <v>46</v>
      </c>
      <c r="Z41" s="29" t="s">
        <v>119</v>
      </c>
      <c r="AA41" s="25" t="s">
        <v>114</v>
      </c>
      <c r="AB41" s="25" t="s">
        <v>56</v>
      </c>
      <c r="AC41" s="27" t="str">
        <f>VLOOKUP(C41,Sheet1!$C$2:$X$1242,15,0)</f>
        <v/>
      </c>
      <c r="AD41" s="25" t="s">
        <v>138</v>
      </c>
      <c r="AE41" s="19" t="str">
        <f t="shared" si="1"/>
        <v/>
      </c>
      <c r="AF41" s="19" t="str">
        <f>VLOOKUP(C41,Sheet1!$C$2:$AE$400,24,0)</f>
        <v>CHUYÊN ĐỀ</v>
      </c>
      <c r="AG41" s="19" t="s">
        <v>139</v>
      </c>
      <c r="AH41" s="31" t="str">
        <f>VLOOKUP(AG41,gvhd!$D$3:$P$17,11,0)</f>
        <v>0975718029</v>
      </c>
      <c r="AI41" s="32" t="str">
        <f>VLOOKUP(AG41,gvhd!$D$3:$P$17,12,0)</f>
        <v>trantmylinh5@duytan.edu.vn</v>
      </c>
    </row>
    <row r="42">
      <c r="A42" s="22">
        <v>45668.83902758102</v>
      </c>
      <c r="B42" s="23" t="s">
        <v>295</v>
      </c>
      <c r="C42" s="23">
        <v>2.720344975E10</v>
      </c>
      <c r="D42" s="23" t="s">
        <v>296</v>
      </c>
      <c r="E42" s="24">
        <v>37856.0</v>
      </c>
      <c r="F42" s="23" t="s">
        <v>297</v>
      </c>
      <c r="G42" s="25" t="s">
        <v>63</v>
      </c>
      <c r="H42" s="25">
        <v>27.0</v>
      </c>
      <c r="I42" s="26" t="s">
        <v>298</v>
      </c>
      <c r="J42" s="25" t="s">
        <v>39</v>
      </c>
      <c r="K42" s="25" t="s">
        <v>114</v>
      </c>
      <c r="L42" s="27"/>
      <c r="M42" s="25" t="s">
        <v>272</v>
      </c>
      <c r="N42" s="25" t="s">
        <v>148</v>
      </c>
      <c r="O42" s="25" t="s">
        <v>56</v>
      </c>
      <c r="P42" s="27"/>
      <c r="Q42" s="26" t="s">
        <v>132</v>
      </c>
      <c r="R42" s="25" t="s">
        <v>45</v>
      </c>
      <c r="S42" s="25" t="s">
        <v>39</v>
      </c>
      <c r="T42" s="27"/>
      <c r="U42" s="34">
        <v>45698.0</v>
      </c>
      <c r="V42" s="34">
        <v>45787.0</v>
      </c>
      <c r="W42" s="16">
        <v>41.0</v>
      </c>
      <c r="X42" s="29" t="s">
        <v>119</v>
      </c>
      <c r="Y42" s="30" t="s">
        <v>46</v>
      </c>
      <c r="Z42" s="29" t="s">
        <v>119</v>
      </c>
      <c r="AA42" s="25" t="s">
        <v>114</v>
      </c>
      <c r="AB42" s="25" t="s">
        <v>56</v>
      </c>
      <c r="AC42" s="27" t="str">
        <f>VLOOKUP(C42,Sheet1!$C$2:$X$1242,15,0)</f>
        <v/>
      </c>
      <c r="AD42" s="25" t="s">
        <v>138</v>
      </c>
      <c r="AE42" s="19" t="str">
        <f t="shared" si="1"/>
        <v/>
      </c>
      <c r="AF42" s="19" t="str">
        <f>VLOOKUP(C42,Sheet1!$C$2:$AE$400,24,0)</f>
        <v>CHUYÊN ĐỀ</v>
      </c>
      <c r="AG42" s="19" t="s">
        <v>139</v>
      </c>
      <c r="AH42" s="20" t="str">
        <f>VLOOKUP(AG42,gvhd!$D$3:$P$17,11,0)</f>
        <v>0975718029</v>
      </c>
      <c r="AI42" s="21" t="str">
        <f>VLOOKUP(AG42,gvhd!$D$3:$P$17,12,0)</f>
        <v>trantmylinh5@duytan.edu.vn</v>
      </c>
    </row>
    <row r="43">
      <c r="A43" s="22">
        <v>45668.867507627314</v>
      </c>
      <c r="B43" s="23" t="s">
        <v>299</v>
      </c>
      <c r="C43" s="23">
        <v>2.7207123321E10</v>
      </c>
      <c r="D43" s="23" t="s">
        <v>300</v>
      </c>
      <c r="E43" s="24">
        <v>37666.0</v>
      </c>
      <c r="F43" s="23" t="s">
        <v>178</v>
      </c>
      <c r="G43" s="25" t="s">
        <v>63</v>
      </c>
      <c r="H43" s="25">
        <v>27.0</v>
      </c>
      <c r="I43" s="26" t="s">
        <v>301</v>
      </c>
      <c r="J43" s="25" t="s">
        <v>39</v>
      </c>
      <c r="K43" s="25" t="s">
        <v>114</v>
      </c>
      <c r="L43" s="27"/>
      <c r="M43" s="25" t="s">
        <v>302</v>
      </c>
      <c r="N43" s="25" t="s">
        <v>170</v>
      </c>
      <c r="O43" s="25" t="s">
        <v>117</v>
      </c>
      <c r="P43" s="27"/>
      <c r="Q43" s="26" t="s">
        <v>132</v>
      </c>
      <c r="R43" s="25" t="s">
        <v>45</v>
      </c>
      <c r="S43" s="25" t="s">
        <v>39</v>
      </c>
      <c r="T43" s="27"/>
      <c r="U43" s="34">
        <v>45698.0</v>
      </c>
      <c r="V43" s="34">
        <v>45787.0</v>
      </c>
      <c r="W43" s="29">
        <v>42.0</v>
      </c>
      <c r="X43" s="29" t="s">
        <v>119</v>
      </c>
      <c r="Y43" s="30" t="s">
        <v>46</v>
      </c>
      <c r="Z43" s="29" t="s">
        <v>119</v>
      </c>
      <c r="AA43" s="25" t="s">
        <v>114</v>
      </c>
      <c r="AB43" s="25" t="s">
        <v>117</v>
      </c>
      <c r="AC43" s="27" t="str">
        <f>VLOOKUP(C43,Sheet1!$C$2:$X$1242,15,0)</f>
        <v/>
      </c>
      <c r="AD43" s="27"/>
      <c r="AE43" s="19" t="str">
        <f t="shared" si="1"/>
        <v/>
      </c>
      <c r="AF43" s="19" t="str">
        <f>VLOOKUP(C43,Sheet1!$C$2:$AE$400,24,0)</f>
        <v>CHUYÊN ĐỀ</v>
      </c>
      <c r="AG43" s="19" t="s">
        <v>120</v>
      </c>
      <c r="AH43" s="31" t="str">
        <f>VLOOKUP(AG43,gvhd!$D$3:$P$17,11,0)</f>
        <v>0375658728</v>
      </c>
      <c r="AI43" s="32" t="str">
        <f>VLOOKUP(AG43,gvhd!$D$3:$P$17,12,0)</f>
        <v>trinhtkimchung@dtu-hti.edu.vn</v>
      </c>
    </row>
    <row r="44">
      <c r="A44" s="22">
        <v>45672.75903219907</v>
      </c>
      <c r="B44" s="23" t="s">
        <v>303</v>
      </c>
      <c r="C44" s="23">
        <v>2.7213445193E10</v>
      </c>
      <c r="D44" s="23" t="s">
        <v>304</v>
      </c>
      <c r="E44" s="24">
        <v>37673.0</v>
      </c>
      <c r="F44" s="23" t="s">
        <v>305</v>
      </c>
      <c r="G44" s="25" t="s">
        <v>37</v>
      </c>
      <c r="H44" s="25">
        <v>27.0</v>
      </c>
      <c r="I44" s="26" t="s">
        <v>306</v>
      </c>
      <c r="J44" s="25" t="s">
        <v>39</v>
      </c>
      <c r="K44" s="25" t="s">
        <v>160</v>
      </c>
      <c r="L44" s="27"/>
      <c r="M44" s="25" t="s">
        <v>307</v>
      </c>
      <c r="N44" s="25" t="s">
        <v>68</v>
      </c>
      <c r="O44" s="25" t="s">
        <v>92</v>
      </c>
      <c r="P44" s="27"/>
      <c r="Q44" s="25" t="s">
        <v>308</v>
      </c>
      <c r="R44" s="25" t="s">
        <v>45</v>
      </c>
      <c r="S44" s="25" t="s">
        <v>39</v>
      </c>
      <c r="T44" s="27"/>
      <c r="U44" s="34">
        <v>45691.0</v>
      </c>
      <c r="V44" s="34">
        <v>45780.0</v>
      </c>
      <c r="W44" s="16">
        <v>43.0</v>
      </c>
      <c r="X44" s="29" t="s">
        <v>309</v>
      </c>
      <c r="Y44" s="30" t="s">
        <v>46</v>
      </c>
      <c r="Z44" s="29" t="s">
        <v>119</v>
      </c>
      <c r="AA44" s="27" t="s">
        <v>160</v>
      </c>
      <c r="AB44" s="27" t="s">
        <v>92</v>
      </c>
      <c r="AC44" s="27" t="str">
        <f>VLOOKUP(C44,Sheet1!$C$2:$X$1242,15,0)</f>
        <v/>
      </c>
      <c r="AD44" s="25"/>
      <c r="AE44" s="19" t="str">
        <f t="shared" si="1"/>
        <v/>
      </c>
      <c r="AF44" s="19" t="str">
        <f>VLOOKUP(C44,Sheet1!$C$2:$AE$400,24,0)</f>
        <v>CHUYÊN ĐỀ</v>
      </c>
      <c r="AG44" s="19" t="s">
        <v>137</v>
      </c>
      <c r="AH44" s="20" t="str">
        <f>VLOOKUP(AG44,gvhd!$D$3:$P$17,11,0)</f>
        <v>0905767050</v>
      </c>
      <c r="AI44" s="21" t="str">
        <f>VLOOKUP(AG44,gvhd!$D$3:$P$17,12,0)</f>
        <v>maithithuong@dtu-hti.edu.vn</v>
      </c>
    </row>
    <row r="45">
      <c r="A45" s="22">
        <v>45671.41411008102</v>
      </c>
      <c r="B45" s="23" t="s">
        <v>310</v>
      </c>
      <c r="C45" s="23">
        <v>2.7217133738E10</v>
      </c>
      <c r="D45" s="23" t="s">
        <v>311</v>
      </c>
      <c r="E45" s="24">
        <v>37881.0</v>
      </c>
      <c r="F45" s="23" t="s">
        <v>178</v>
      </c>
      <c r="G45" s="25" t="s">
        <v>63</v>
      </c>
      <c r="H45" s="25">
        <v>27.0</v>
      </c>
      <c r="I45" s="26" t="s">
        <v>312</v>
      </c>
      <c r="J45" s="25" t="s">
        <v>39</v>
      </c>
      <c r="K45" s="25" t="s">
        <v>160</v>
      </c>
      <c r="L45" s="27"/>
      <c r="M45" s="25" t="s">
        <v>313</v>
      </c>
      <c r="N45" s="25" t="s">
        <v>68</v>
      </c>
      <c r="O45" s="25" t="s">
        <v>56</v>
      </c>
      <c r="P45" s="27"/>
      <c r="Q45" s="25" t="s">
        <v>314</v>
      </c>
      <c r="R45" s="25" t="s">
        <v>45</v>
      </c>
      <c r="S45" s="25" t="s">
        <v>39</v>
      </c>
      <c r="T45" s="25" t="s">
        <v>70</v>
      </c>
      <c r="U45" s="34">
        <v>45325.0</v>
      </c>
      <c r="V45" s="34">
        <v>45780.0</v>
      </c>
      <c r="W45" s="29">
        <v>44.0</v>
      </c>
      <c r="X45" s="29" t="s">
        <v>119</v>
      </c>
      <c r="Y45" s="30" t="s">
        <v>46</v>
      </c>
      <c r="Z45" s="29" t="s">
        <v>119</v>
      </c>
      <c r="AA45" s="27" t="s">
        <v>160</v>
      </c>
      <c r="AB45" s="27" t="s">
        <v>56</v>
      </c>
      <c r="AC45" s="27" t="str">
        <f>VLOOKUP(C45,Sheet1!$C$2:$X$1242,15,0)</f>
        <v/>
      </c>
      <c r="AD45" s="25" t="s">
        <v>290</v>
      </c>
      <c r="AE45" s="19" t="str">
        <f t="shared" si="1"/>
        <v/>
      </c>
      <c r="AF45" s="19" t="str">
        <f>VLOOKUP(C45,Sheet1!$C$2:$AE$400,24,0)</f>
        <v>CHUYÊN ĐỀ</v>
      </c>
      <c r="AG45" s="19" t="s">
        <v>77</v>
      </c>
      <c r="AH45" s="31" t="str">
        <f>VLOOKUP(AG45,gvhd!$D$3:$P$17,11,0)</f>
        <v>0906 029 602</v>
      </c>
      <c r="AI45" s="32" t="str">
        <f>VLOOKUP(AG45,gvhd!$D$3:$P$17,12,0)</f>
        <v>tranhoanganh@dtu-hti.edu.vn</v>
      </c>
    </row>
    <row r="46">
      <c r="A46" s="22">
        <v>45670.50136238426</v>
      </c>
      <c r="B46" s="23" t="s">
        <v>315</v>
      </c>
      <c r="C46" s="23">
        <v>2.7207140181E10</v>
      </c>
      <c r="D46" s="23" t="s">
        <v>316</v>
      </c>
      <c r="E46" s="24">
        <v>37748.0</v>
      </c>
      <c r="F46" s="23" t="s">
        <v>96</v>
      </c>
      <c r="G46" s="25" t="s">
        <v>63</v>
      </c>
      <c r="H46" s="25">
        <v>27.0</v>
      </c>
      <c r="I46" s="26" t="s">
        <v>317</v>
      </c>
      <c r="J46" s="25" t="s">
        <v>39</v>
      </c>
      <c r="K46" s="25" t="s">
        <v>114</v>
      </c>
      <c r="L46" s="27"/>
      <c r="M46" s="25" t="s">
        <v>318</v>
      </c>
      <c r="N46" s="25" t="s">
        <v>319</v>
      </c>
      <c r="O46" s="25" t="s">
        <v>117</v>
      </c>
      <c r="P46" s="27"/>
      <c r="Q46" s="25" t="s">
        <v>221</v>
      </c>
      <c r="R46" s="25" t="s">
        <v>45</v>
      </c>
      <c r="S46" s="25" t="s">
        <v>39</v>
      </c>
      <c r="T46" s="27"/>
      <c r="U46" s="34">
        <v>45698.0</v>
      </c>
      <c r="V46" s="34">
        <v>45787.0</v>
      </c>
      <c r="W46" s="16">
        <v>45.0</v>
      </c>
      <c r="X46" s="29" t="s">
        <v>119</v>
      </c>
      <c r="Y46" s="30" t="s">
        <v>46</v>
      </c>
      <c r="Z46" s="29" t="s">
        <v>119</v>
      </c>
      <c r="AA46" s="25" t="s">
        <v>114</v>
      </c>
      <c r="AB46" s="25" t="s">
        <v>117</v>
      </c>
      <c r="AC46" s="27" t="str">
        <f>VLOOKUP(C46,Sheet1!$C$2:$X$1242,15,0)</f>
        <v/>
      </c>
      <c r="AD46" s="27"/>
      <c r="AE46" s="19" t="str">
        <f t="shared" si="1"/>
        <v/>
      </c>
      <c r="AF46" s="19" t="str">
        <f>VLOOKUP(C46,Sheet1!$C$2:$AE$400,24,0)</f>
        <v>CHUYÊN ĐỀ</v>
      </c>
      <c r="AG46" s="19" t="s">
        <v>120</v>
      </c>
      <c r="AH46" s="20" t="str">
        <f>VLOOKUP(AG46,gvhd!$D$3:$P$17,11,0)</f>
        <v>0375658728</v>
      </c>
      <c r="AI46" s="21" t="str">
        <f>VLOOKUP(AG46,gvhd!$D$3:$P$17,12,0)</f>
        <v>trinhtkimchung@dtu-hti.edu.vn</v>
      </c>
    </row>
    <row r="47">
      <c r="A47" s="22">
        <v>45695.85035664352</v>
      </c>
      <c r="B47" s="23" t="s">
        <v>320</v>
      </c>
      <c r="C47" s="23">
        <v>2.7207100571E10</v>
      </c>
      <c r="D47" s="23" t="s">
        <v>321</v>
      </c>
      <c r="E47" s="24">
        <v>37640.0</v>
      </c>
      <c r="F47" s="23" t="s">
        <v>322</v>
      </c>
      <c r="G47" s="25" t="s">
        <v>37</v>
      </c>
      <c r="H47" s="25">
        <v>27.0</v>
      </c>
      <c r="I47" s="26" t="s">
        <v>323</v>
      </c>
      <c r="J47" s="25" t="s">
        <v>39</v>
      </c>
      <c r="K47" s="25" t="s">
        <v>324</v>
      </c>
      <c r="L47" s="25" t="s">
        <v>325</v>
      </c>
      <c r="M47" s="25" t="s">
        <v>326</v>
      </c>
      <c r="N47" s="25" t="s">
        <v>68</v>
      </c>
      <c r="O47" s="25" t="s">
        <v>56</v>
      </c>
      <c r="P47" s="27"/>
      <c r="Q47" s="26" t="s">
        <v>156</v>
      </c>
      <c r="R47" s="25" t="s">
        <v>45</v>
      </c>
      <c r="S47" s="25" t="s">
        <v>39</v>
      </c>
      <c r="T47" s="27"/>
      <c r="U47" s="34">
        <v>45698.0</v>
      </c>
      <c r="V47" s="34">
        <v>45787.0</v>
      </c>
      <c r="W47" s="29">
        <v>46.0</v>
      </c>
      <c r="X47" s="17">
        <v>45963.0</v>
      </c>
      <c r="Y47" s="30" t="s">
        <v>46</v>
      </c>
      <c r="Z47" s="29" t="s">
        <v>309</v>
      </c>
      <c r="AA47" s="25" t="s">
        <v>325</v>
      </c>
      <c r="AB47" s="27" t="s">
        <v>56</v>
      </c>
      <c r="AC47" s="27" t="str">
        <f>VLOOKUP(C47,Sheet1!$C$2:$X$1242,15,0)</f>
        <v/>
      </c>
      <c r="AD47" s="25"/>
      <c r="AE47" s="19" t="str">
        <f t="shared" si="1"/>
        <v/>
      </c>
      <c r="AF47" s="19" t="str">
        <f>VLOOKUP(C47,Sheet1!$C$2:$AE$400,24,0)</f>
        <v>CHUYÊN ĐỀ</v>
      </c>
      <c r="AG47" s="19" t="s">
        <v>59</v>
      </c>
      <c r="AH47" s="31" t="str">
        <f>VLOOKUP(AG47,gvhd!$D$3:$P$17,11,0)</f>
        <v>0355072844</v>
      </c>
      <c r="AI47" s="32" t="str">
        <f>VLOOKUP(AG47,gvhd!$D$3:$P$17,12,0)</f>
        <v>Ngotthanhnga@dtu-hti.edu.vn</v>
      </c>
    </row>
    <row r="48">
      <c r="A48" s="22">
        <v>45670.76192193287</v>
      </c>
      <c r="B48" s="23" t="s">
        <v>327</v>
      </c>
      <c r="C48" s="23">
        <v>2.7207102765E10</v>
      </c>
      <c r="D48" s="23" t="s">
        <v>158</v>
      </c>
      <c r="E48" s="24">
        <v>37692.0</v>
      </c>
      <c r="F48" s="23" t="s">
        <v>328</v>
      </c>
      <c r="G48" s="25" t="s">
        <v>63</v>
      </c>
      <c r="H48" s="25">
        <v>27.0</v>
      </c>
      <c r="I48" s="26" t="s">
        <v>329</v>
      </c>
      <c r="J48" s="25" t="s">
        <v>39</v>
      </c>
      <c r="K48" s="25" t="s">
        <v>160</v>
      </c>
      <c r="L48" s="27"/>
      <c r="M48" s="25" t="s">
        <v>307</v>
      </c>
      <c r="N48" s="25" t="s">
        <v>170</v>
      </c>
      <c r="O48" s="25" t="s">
        <v>56</v>
      </c>
      <c r="P48" s="27"/>
      <c r="Q48" s="25" t="s">
        <v>314</v>
      </c>
      <c r="R48" s="25" t="s">
        <v>45</v>
      </c>
      <c r="S48" s="25" t="s">
        <v>39</v>
      </c>
      <c r="T48" s="27"/>
      <c r="U48" s="34">
        <v>45672.0</v>
      </c>
      <c r="V48" s="34">
        <v>45762.0</v>
      </c>
      <c r="W48" s="16">
        <v>47.0</v>
      </c>
      <c r="X48" s="58"/>
      <c r="Y48" s="30" t="s">
        <v>46</v>
      </c>
      <c r="Z48" s="29" t="s">
        <v>119</v>
      </c>
      <c r="AA48" s="27" t="s">
        <v>160</v>
      </c>
      <c r="AB48" s="27" t="s">
        <v>56</v>
      </c>
      <c r="AC48" s="27" t="str">
        <f>VLOOKUP(C48,Sheet1!$C$2:$X$1242,15,0)</f>
        <v/>
      </c>
      <c r="AD48" s="25" t="s">
        <v>290</v>
      </c>
      <c r="AE48" s="15" t="str">
        <f t="shared" si="1"/>
        <v/>
      </c>
      <c r="AF48" s="19" t="str">
        <f>VLOOKUP(C48,Sheet1!$C$2:$AE$400,24,0)</f>
        <v>KHÓA LUẬN</v>
      </c>
      <c r="AG48" s="13" t="s">
        <v>101</v>
      </c>
      <c r="AH48" s="20" t="str">
        <f>VLOOKUP(AG48,gvhd!$D$3:$P$17,11,0)</f>
        <v>0935 141614</v>
      </c>
      <c r="AI48" s="21" t="str">
        <f>VLOOKUP(AG48,gvhd!$D$3:$P$17,12,0)</f>
        <v>phamthoangdung@duytan.edu.vn</v>
      </c>
    </row>
    <row r="49">
      <c r="A49" s="22">
        <v>45670.85516046296</v>
      </c>
      <c r="B49" s="23" t="s">
        <v>330</v>
      </c>
      <c r="C49" s="23">
        <v>2.7217128739E10</v>
      </c>
      <c r="D49" s="23" t="s">
        <v>331</v>
      </c>
      <c r="E49" s="24">
        <v>45670.0</v>
      </c>
      <c r="F49" s="23" t="s">
        <v>178</v>
      </c>
      <c r="G49" s="25" t="s">
        <v>63</v>
      </c>
      <c r="H49" s="25">
        <v>27.0</v>
      </c>
      <c r="I49" s="26" t="s">
        <v>332</v>
      </c>
      <c r="J49" s="25" t="s">
        <v>39</v>
      </c>
      <c r="K49" s="25" t="s">
        <v>160</v>
      </c>
      <c r="L49" s="27"/>
      <c r="M49" s="25" t="s">
        <v>307</v>
      </c>
      <c r="N49" s="25" t="s">
        <v>68</v>
      </c>
      <c r="O49" s="25" t="s">
        <v>56</v>
      </c>
      <c r="P49" s="27"/>
      <c r="Q49" s="25" t="s">
        <v>119</v>
      </c>
      <c r="R49" s="25" t="s">
        <v>45</v>
      </c>
      <c r="S49" s="25" t="s">
        <v>39</v>
      </c>
      <c r="T49" s="27"/>
      <c r="U49" s="34">
        <v>45698.0</v>
      </c>
      <c r="V49" s="34">
        <v>45787.0</v>
      </c>
      <c r="W49" s="29">
        <v>48.0</v>
      </c>
      <c r="X49" s="29" t="s">
        <v>119</v>
      </c>
      <c r="Y49" s="30" t="s">
        <v>46</v>
      </c>
      <c r="Z49" s="29" t="s">
        <v>119</v>
      </c>
      <c r="AA49" s="27" t="s">
        <v>160</v>
      </c>
      <c r="AB49" s="27" t="s">
        <v>56</v>
      </c>
      <c r="AC49" s="27" t="str">
        <f>VLOOKUP(C49,Sheet1!$C$2:$X$1242,15,0)</f>
        <v/>
      </c>
      <c r="AD49" s="25" t="s">
        <v>290</v>
      </c>
      <c r="AE49" s="15" t="str">
        <f t="shared" si="1"/>
        <v/>
      </c>
      <c r="AF49" s="19" t="str">
        <f>VLOOKUP(C49,Sheet1!$C$2:$AE$400,24,0)</f>
        <v>CHUYÊN ĐỀ</v>
      </c>
      <c r="AG49" s="19" t="s">
        <v>77</v>
      </c>
      <c r="AH49" s="31" t="str">
        <f>VLOOKUP(AG49,gvhd!$D$3:$P$17,11,0)</f>
        <v>0906 029 602</v>
      </c>
      <c r="AI49" s="32" t="str">
        <f>VLOOKUP(AG49,gvhd!$D$3:$P$17,12,0)</f>
        <v>tranhoanganh@dtu-hti.edu.vn</v>
      </c>
    </row>
    <row r="50">
      <c r="A50" s="22">
        <v>45671.40343428241</v>
      </c>
      <c r="B50" s="23" t="s">
        <v>333</v>
      </c>
      <c r="C50" s="23">
        <v>2.7217141479E10</v>
      </c>
      <c r="D50" s="23" t="s">
        <v>334</v>
      </c>
      <c r="E50" s="24">
        <v>37925.0</v>
      </c>
      <c r="F50" s="23" t="s">
        <v>335</v>
      </c>
      <c r="G50" s="25" t="s">
        <v>63</v>
      </c>
      <c r="H50" s="25">
        <v>27.0</v>
      </c>
      <c r="I50" s="26" t="s">
        <v>336</v>
      </c>
      <c r="J50" s="25" t="s">
        <v>39</v>
      </c>
      <c r="K50" s="25" t="s">
        <v>337</v>
      </c>
      <c r="L50" s="27"/>
      <c r="M50" s="25" t="s">
        <v>338</v>
      </c>
      <c r="N50" s="25" t="s">
        <v>319</v>
      </c>
      <c r="O50" s="25" t="s">
        <v>56</v>
      </c>
      <c r="P50" s="27"/>
      <c r="Q50" s="25" t="s">
        <v>308</v>
      </c>
      <c r="R50" s="25" t="s">
        <v>45</v>
      </c>
      <c r="S50" s="25" t="s">
        <v>39</v>
      </c>
      <c r="T50" s="27"/>
      <c r="U50" s="34">
        <v>45698.0</v>
      </c>
      <c r="V50" s="34">
        <v>45787.0</v>
      </c>
      <c r="W50" s="16">
        <v>49.0</v>
      </c>
      <c r="X50" s="29" t="s">
        <v>309</v>
      </c>
      <c r="Y50" s="30" t="s">
        <v>46</v>
      </c>
      <c r="Z50" s="29" t="s">
        <v>119</v>
      </c>
      <c r="AA50" s="27" t="s">
        <v>337</v>
      </c>
      <c r="AB50" s="27" t="s">
        <v>56</v>
      </c>
      <c r="AC50" s="27" t="str">
        <f>VLOOKUP(C50,Sheet1!$C$2:$X$1242,15,0)</f>
        <v/>
      </c>
      <c r="AD50" s="27"/>
      <c r="AE50" s="15" t="str">
        <f t="shared" si="1"/>
        <v/>
      </c>
      <c r="AF50" s="19" t="str">
        <f>VLOOKUP(C50,Sheet1!$C$2:$AE$400,24,0)</f>
        <v>CHUYÊN ĐỀ</v>
      </c>
      <c r="AG50" s="19" t="s">
        <v>120</v>
      </c>
      <c r="AH50" s="20" t="str">
        <f>VLOOKUP(AG50,gvhd!$D$3:$P$17,11,0)</f>
        <v>0375658728</v>
      </c>
      <c r="AI50" s="21" t="str">
        <f>VLOOKUP(AG50,gvhd!$D$3:$P$17,12,0)</f>
        <v>trinhtkimchung@dtu-hti.edu.vn</v>
      </c>
    </row>
    <row r="51">
      <c r="A51" s="22">
        <v>45671.42030075232</v>
      </c>
      <c r="B51" s="23" t="s">
        <v>339</v>
      </c>
      <c r="C51" s="23">
        <v>2.7207101865E10</v>
      </c>
      <c r="D51" s="23" t="s">
        <v>340</v>
      </c>
      <c r="E51" s="24">
        <v>37951.0</v>
      </c>
      <c r="F51" s="23" t="s">
        <v>297</v>
      </c>
      <c r="G51" s="25" t="s">
        <v>63</v>
      </c>
      <c r="H51" s="25">
        <v>27.0</v>
      </c>
      <c r="I51" s="26" t="s">
        <v>341</v>
      </c>
      <c r="J51" s="25" t="s">
        <v>39</v>
      </c>
      <c r="K51" s="25" t="s">
        <v>114</v>
      </c>
      <c r="L51" s="27"/>
      <c r="M51" s="25" t="s">
        <v>342</v>
      </c>
      <c r="N51" s="25" t="s">
        <v>170</v>
      </c>
      <c r="O51" s="25" t="s">
        <v>56</v>
      </c>
      <c r="P51" s="27"/>
      <c r="Q51" s="25" t="s">
        <v>314</v>
      </c>
      <c r="R51" s="25" t="s">
        <v>45</v>
      </c>
      <c r="S51" s="25" t="s">
        <v>39</v>
      </c>
      <c r="T51" s="27"/>
      <c r="U51" s="34">
        <v>45698.0</v>
      </c>
      <c r="V51" s="34">
        <v>45787.0</v>
      </c>
      <c r="W51" s="29">
        <v>50.0</v>
      </c>
      <c r="X51" s="29" t="s">
        <v>119</v>
      </c>
      <c r="Y51" s="30" t="s">
        <v>46</v>
      </c>
      <c r="Z51" s="29" t="s">
        <v>119</v>
      </c>
      <c r="AA51" s="25" t="s">
        <v>114</v>
      </c>
      <c r="AB51" s="25" t="s">
        <v>56</v>
      </c>
      <c r="AC51" s="27" t="str">
        <f>VLOOKUP(C51,Sheet1!$C$2:$X$1242,15,0)</f>
        <v/>
      </c>
      <c r="AD51" s="25" t="s">
        <v>138</v>
      </c>
      <c r="AE51" s="19" t="str">
        <f t="shared" si="1"/>
        <v/>
      </c>
      <c r="AF51" s="19" t="str">
        <f>VLOOKUP(C51,Sheet1!$C$2:$AE$400,24,0)</f>
        <v>CHUYÊN ĐỀ</v>
      </c>
      <c r="AG51" s="19" t="s">
        <v>139</v>
      </c>
      <c r="AH51" s="31" t="str">
        <f>VLOOKUP(AG51,gvhd!$D$3:$P$17,11,0)</f>
        <v>0975718029</v>
      </c>
      <c r="AI51" s="32" t="str">
        <f>VLOOKUP(AG51,gvhd!$D$3:$P$17,12,0)</f>
        <v>trantmylinh5@duytan.edu.vn</v>
      </c>
    </row>
    <row r="52">
      <c r="A52" s="22">
        <v>45671.421582916664</v>
      </c>
      <c r="B52" s="23" t="s">
        <v>343</v>
      </c>
      <c r="C52" s="23">
        <v>2.7207136307E10</v>
      </c>
      <c r="D52" s="23" t="s">
        <v>344</v>
      </c>
      <c r="E52" s="24">
        <v>37754.0</v>
      </c>
      <c r="F52" s="23" t="s">
        <v>345</v>
      </c>
      <c r="G52" s="25" t="s">
        <v>63</v>
      </c>
      <c r="H52" s="25">
        <v>27.0</v>
      </c>
      <c r="I52" s="26" t="s">
        <v>346</v>
      </c>
      <c r="J52" s="25" t="s">
        <v>39</v>
      </c>
      <c r="K52" s="25" t="s">
        <v>53</v>
      </c>
      <c r="L52" s="27"/>
      <c r="M52" s="25" t="s">
        <v>347</v>
      </c>
      <c r="N52" s="25" t="s">
        <v>68</v>
      </c>
      <c r="O52" s="25" t="s">
        <v>117</v>
      </c>
      <c r="P52" s="27"/>
      <c r="Q52" s="25" t="s">
        <v>119</v>
      </c>
      <c r="R52" s="25" t="s">
        <v>45</v>
      </c>
      <c r="S52" s="25" t="s">
        <v>39</v>
      </c>
      <c r="T52" s="27"/>
      <c r="U52" s="34">
        <v>45698.0</v>
      </c>
      <c r="V52" s="34">
        <v>45787.0</v>
      </c>
      <c r="W52" s="29">
        <v>51.0</v>
      </c>
      <c r="X52" s="17" t="s">
        <v>119</v>
      </c>
      <c r="Y52" s="30" t="s">
        <v>46</v>
      </c>
      <c r="Z52" s="17" t="s">
        <v>119</v>
      </c>
      <c r="AA52" s="25" t="s">
        <v>53</v>
      </c>
      <c r="AB52" s="25" t="s">
        <v>117</v>
      </c>
      <c r="AC52" s="27" t="str">
        <f>VLOOKUP(C52,Sheet1!$C$2:$X$1242,15,0)</f>
        <v/>
      </c>
      <c r="AD52" s="27"/>
      <c r="AE52" s="19" t="str">
        <f t="shared" si="1"/>
        <v/>
      </c>
      <c r="AF52" s="19" t="str">
        <f>VLOOKUP(C52,Sheet1!$C$2:$AE$400,24,0)</f>
        <v>CHUYÊN ĐỀ</v>
      </c>
      <c r="AG52" s="19" t="s">
        <v>70</v>
      </c>
      <c r="AH52" s="20" t="str">
        <f>VLOOKUP(AG52,gvhd!$D$3:$P$17,11,0)</f>
        <v>0938290678</v>
      </c>
      <c r="AI52" s="21" t="str">
        <f>VLOOKUP(AG52,gvhd!$D$3:$P$17,12,0)</f>
        <v>phamtthuthuy2@dtu-hti.edu.vn</v>
      </c>
    </row>
    <row r="53">
      <c r="A53" s="22">
        <v>45671.42455980324</v>
      </c>
      <c r="B53" s="23" t="s">
        <v>348</v>
      </c>
      <c r="C53" s="23">
        <v>2.7207131162E10</v>
      </c>
      <c r="D53" s="23" t="s">
        <v>349</v>
      </c>
      <c r="E53" s="24">
        <v>37797.0</v>
      </c>
      <c r="F53" s="23" t="s">
        <v>104</v>
      </c>
      <c r="G53" s="25" t="s">
        <v>63</v>
      </c>
      <c r="H53" s="25">
        <v>27.0</v>
      </c>
      <c r="I53" s="26" t="s">
        <v>350</v>
      </c>
      <c r="J53" s="25" t="s">
        <v>39</v>
      </c>
      <c r="K53" s="25" t="s">
        <v>53</v>
      </c>
      <c r="L53" s="27"/>
      <c r="M53" s="25" t="s">
        <v>351</v>
      </c>
      <c r="N53" s="25" t="s">
        <v>68</v>
      </c>
      <c r="O53" s="25" t="s">
        <v>117</v>
      </c>
      <c r="P53" s="27"/>
      <c r="Q53" s="25" t="s">
        <v>119</v>
      </c>
      <c r="R53" s="25" t="s">
        <v>45</v>
      </c>
      <c r="S53" s="25" t="s">
        <v>39</v>
      </c>
      <c r="T53" s="27"/>
      <c r="U53" s="34">
        <v>45698.0</v>
      </c>
      <c r="V53" s="34">
        <v>45787.0</v>
      </c>
      <c r="W53" s="29">
        <v>52.0</v>
      </c>
      <c r="X53" s="17" t="s">
        <v>119</v>
      </c>
      <c r="Y53" s="30" t="s">
        <v>46</v>
      </c>
      <c r="Z53" s="17" t="s">
        <v>119</v>
      </c>
      <c r="AA53" s="25" t="s">
        <v>53</v>
      </c>
      <c r="AB53" s="25" t="s">
        <v>117</v>
      </c>
      <c r="AC53" s="27" t="str">
        <f>VLOOKUP(C53,Sheet1!$C$2:$X$1242,15,0)</f>
        <v/>
      </c>
      <c r="AD53" s="27"/>
      <c r="AE53" s="19" t="str">
        <f t="shared" si="1"/>
        <v/>
      </c>
      <c r="AF53" s="19" t="str">
        <f>VLOOKUP(C53,Sheet1!$C$2:$AE$400,24,0)</f>
        <v>CHUYÊN ĐỀ</v>
      </c>
      <c r="AG53" s="19" t="s">
        <v>70</v>
      </c>
      <c r="AH53" s="31" t="str">
        <f>VLOOKUP(AG53,gvhd!$D$3:$P$17,11,0)</f>
        <v>0938290678</v>
      </c>
      <c r="AI53" s="32" t="str">
        <f>VLOOKUP(AG53,gvhd!$D$3:$P$17,12,0)</f>
        <v>phamtthuthuy2@dtu-hti.edu.vn</v>
      </c>
    </row>
    <row r="54">
      <c r="A54" s="22">
        <v>45671.438070324075</v>
      </c>
      <c r="B54" s="23" t="s">
        <v>352</v>
      </c>
      <c r="C54" s="23">
        <v>2.7207128507E10</v>
      </c>
      <c r="D54" s="23" t="s">
        <v>353</v>
      </c>
      <c r="E54" s="24">
        <v>37661.0</v>
      </c>
      <c r="F54" s="23" t="s">
        <v>354</v>
      </c>
      <c r="G54" s="25" t="s">
        <v>355</v>
      </c>
      <c r="H54" s="25">
        <v>27.0</v>
      </c>
      <c r="I54" s="26" t="s">
        <v>356</v>
      </c>
      <c r="J54" s="25" t="s">
        <v>288</v>
      </c>
      <c r="K54" s="25" t="s">
        <v>160</v>
      </c>
      <c r="L54" s="27"/>
      <c r="M54" s="25" t="s">
        <v>357</v>
      </c>
      <c r="N54" s="25" t="s">
        <v>68</v>
      </c>
      <c r="O54" s="25" t="s">
        <v>56</v>
      </c>
      <c r="P54" s="27"/>
      <c r="Q54" s="25" t="s">
        <v>221</v>
      </c>
      <c r="R54" s="25" t="s">
        <v>45</v>
      </c>
      <c r="S54" s="25" t="s">
        <v>288</v>
      </c>
      <c r="T54" s="25" t="s">
        <v>137</v>
      </c>
      <c r="U54" s="34">
        <v>45677.0</v>
      </c>
      <c r="V54" s="34">
        <v>45767.0</v>
      </c>
      <c r="W54" s="29">
        <v>53.0</v>
      </c>
      <c r="X54" s="29" t="s">
        <v>119</v>
      </c>
      <c r="Y54" s="30" t="s">
        <v>46</v>
      </c>
      <c r="Z54" s="29" t="s">
        <v>119</v>
      </c>
      <c r="AA54" s="27" t="s">
        <v>160</v>
      </c>
      <c r="AB54" s="27" t="s">
        <v>56</v>
      </c>
      <c r="AC54" s="27" t="str">
        <f>VLOOKUP(C54,Sheet1!$C$2:$X$1242,15,0)</f>
        <v/>
      </c>
      <c r="AD54" s="25" t="s">
        <v>290</v>
      </c>
      <c r="AE54" s="15" t="str">
        <f t="shared" si="1"/>
        <v/>
      </c>
      <c r="AF54" s="19" t="str">
        <f>VLOOKUP(C54,Sheet1!$C$2:$AE$400,24,0)</f>
        <v>KHÓA LUẬN</v>
      </c>
      <c r="AG54" s="13" t="s">
        <v>70</v>
      </c>
      <c r="AH54" s="20" t="str">
        <f>VLOOKUP(AG54,gvhd!$D$3:$P$17,11,0)</f>
        <v>0938290678</v>
      </c>
      <c r="AI54" s="21" t="str">
        <f>VLOOKUP(AG54,gvhd!$D$3:$P$17,12,0)</f>
        <v>phamtthuthuy2@dtu-hti.edu.vn</v>
      </c>
    </row>
    <row r="55">
      <c r="A55" s="22">
        <v>45671.47331353009</v>
      </c>
      <c r="B55" s="23" t="s">
        <v>358</v>
      </c>
      <c r="C55" s="23">
        <v>2.7217144878E10</v>
      </c>
      <c r="D55" s="23" t="s">
        <v>359</v>
      </c>
      <c r="E55" s="24">
        <v>37679.0</v>
      </c>
      <c r="F55" s="23" t="s">
        <v>178</v>
      </c>
      <c r="G55" s="25" t="s">
        <v>63</v>
      </c>
      <c r="H55" s="25">
        <v>27.0</v>
      </c>
      <c r="I55" s="26" t="s">
        <v>360</v>
      </c>
      <c r="J55" s="25" t="s">
        <v>39</v>
      </c>
      <c r="K55" s="25" t="s">
        <v>154</v>
      </c>
      <c r="L55" s="27"/>
      <c r="M55" s="25" t="s">
        <v>361</v>
      </c>
      <c r="N55" s="25" t="s">
        <v>362</v>
      </c>
      <c r="O55" s="25" t="s">
        <v>117</v>
      </c>
      <c r="P55" s="27"/>
      <c r="Q55" s="25" t="s">
        <v>314</v>
      </c>
      <c r="R55" s="25" t="s">
        <v>45</v>
      </c>
      <c r="S55" s="25" t="s">
        <v>39</v>
      </c>
      <c r="T55" s="27"/>
      <c r="U55" s="34">
        <v>45698.0</v>
      </c>
      <c r="V55" s="34">
        <v>45787.0</v>
      </c>
      <c r="W55" s="29">
        <v>54.0</v>
      </c>
      <c r="X55" s="29" t="s">
        <v>119</v>
      </c>
      <c r="Y55" s="30" t="s">
        <v>46</v>
      </c>
      <c r="Z55" s="29" t="s">
        <v>119</v>
      </c>
      <c r="AA55" s="27" t="s">
        <v>154</v>
      </c>
      <c r="AB55" s="27" t="s">
        <v>117</v>
      </c>
      <c r="AC55" s="27" t="str">
        <f>VLOOKUP(C55,Sheet1!$C$2:$X$1242,15,0)</f>
        <v/>
      </c>
      <c r="AD55" s="27"/>
      <c r="AE55" s="15" t="str">
        <f t="shared" si="1"/>
        <v/>
      </c>
      <c r="AF55" s="19" t="str">
        <f>VLOOKUP(C55,Sheet1!$C$2:$AE$400,24,0)</f>
        <v>CHUYÊN ĐỀ</v>
      </c>
      <c r="AG55" s="19" t="s">
        <v>215</v>
      </c>
      <c r="AH55" s="31" t="str">
        <f>VLOOKUP(AG55,gvhd!$D$3:$P$17,11,0)</f>
        <v>0905938748</v>
      </c>
      <c r="AI55" s="32" t="str">
        <f>VLOOKUP(AG55,gvhd!$D$3:$P$17,12,0)</f>
        <v>duongtxuandieu@dtu-hti.edu.vn</v>
      </c>
    </row>
    <row r="56">
      <c r="A56" s="22">
        <v>45671.47464269676</v>
      </c>
      <c r="B56" s="23" t="s">
        <v>363</v>
      </c>
      <c r="C56" s="23">
        <v>2.7207139716E10</v>
      </c>
      <c r="D56" s="23" t="s">
        <v>364</v>
      </c>
      <c r="E56" s="24">
        <v>37723.0</v>
      </c>
      <c r="F56" s="23" t="s">
        <v>178</v>
      </c>
      <c r="G56" s="25" t="s">
        <v>63</v>
      </c>
      <c r="H56" s="25">
        <v>27.0</v>
      </c>
      <c r="I56" s="26" t="s">
        <v>365</v>
      </c>
      <c r="J56" s="25" t="s">
        <v>39</v>
      </c>
      <c r="K56" s="25" t="s">
        <v>337</v>
      </c>
      <c r="L56" s="27"/>
      <c r="M56" s="25" t="s">
        <v>366</v>
      </c>
      <c r="N56" s="25" t="s">
        <v>367</v>
      </c>
      <c r="O56" s="25" t="s">
        <v>117</v>
      </c>
      <c r="P56" s="27"/>
      <c r="Q56" s="25" t="s">
        <v>119</v>
      </c>
      <c r="R56" s="25" t="s">
        <v>45</v>
      </c>
      <c r="S56" s="25" t="s">
        <v>39</v>
      </c>
      <c r="T56" s="27"/>
      <c r="U56" s="34">
        <v>45698.0</v>
      </c>
      <c r="V56" s="34">
        <v>45787.0</v>
      </c>
      <c r="W56" s="29">
        <v>55.0</v>
      </c>
      <c r="X56" s="29" t="s">
        <v>119</v>
      </c>
      <c r="Y56" s="30" t="s">
        <v>46</v>
      </c>
      <c r="Z56" s="29" t="s">
        <v>119</v>
      </c>
      <c r="AA56" s="27" t="s">
        <v>337</v>
      </c>
      <c r="AB56" s="27" t="s">
        <v>117</v>
      </c>
      <c r="AC56" s="27" t="str">
        <f>VLOOKUP(C56,Sheet1!$C$2:$X$1242,15,0)</f>
        <v/>
      </c>
      <c r="AD56" s="27"/>
      <c r="AE56" s="15" t="str">
        <f t="shared" si="1"/>
        <v/>
      </c>
      <c r="AF56" s="19" t="str">
        <f>VLOOKUP(C56,Sheet1!$C$2:$AE$400,24,0)</f>
        <v>CHUYÊN ĐỀ</v>
      </c>
      <c r="AG56" s="19" t="s">
        <v>120</v>
      </c>
      <c r="AH56" s="20" t="str">
        <f>VLOOKUP(AG56,gvhd!$D$3:$P$17,11,0)</f>
        <v>0375658728</v>
      </c>
      <c r="AI56" s="21" t="str">
        <f>VLOOKUP(AG56,gvhd!$D$3:$P$17,12,0)</f>
        <v>trinhtkimchung@dtu-hti.edu.vn</v>
      </c>
    </row>
    <row r="57">
      <c r="A57" s="22">
        <v>45671.65606622685</v>
      </c>
      <c r="B57" s="23" t="s">
        <v>368</v>
      </c>
      <c r="C57" s="23">
        <v>2.7203841651E10</v>
      </c>
      <c r="D57" s="23" t="s">
        <v>369</v>
      </c>
      <c r="E57" s="24">
        <v>37494.0</v>
      </c>
      <c r="F57" s="23" t="s">
        <v>129</v>
      </c>
      <c r="G57" s="25" t="s">
        <v>63</v>
      </c>
      <c r="H57" s="25">
        <v>27.0</v>
      </c>
      <c r="I57" s="26" t="s">
        <v>370</v>
      </c>
      <c r="J57" s="25" t="s">
        <v>39</v>
      </c>
      <c r="K57" s="25" t="s">
        <v>98</v>
      </c>
      <c r="L57" s="27"/>
      <c r="M57" s="25" t="s">
        <v>99</v>
      </c>
      <c r="N57" s="25" t="s">
        <v>68</v>
      </c>
      <c r="O57" s="25" t="s">
        <v>92</v>
      </c>
      <c r="P57" s="27"/>
      <c r="Q57" s="25" t="s">
        <v>314</v>
      </c>
      <c r="R57" s="25" t="s">
        <v>45</v>
      </c>
      <c r="S57" s="25" t="s">
        <v>39</v>
      </c>
      <c r="T57" s="27"/>
      <c r="U57" s="34">
        <v>45663.0</v>
      </c>
      <c r="V57" s="34">
        <v>45746.0</v>
      </c>
      <c r="W57" s="29">
        <v>56.0</v>
      </c>
      <c r="X57" s="58"/>
      <c r="Y57" s="30" t="s">
        <v>46</v>
      </c>
      <c r="Z57" s="29" t="s">
        <v>119</v>
      </c>
      <c r="AA57" s="27" t="s">
        <v>98</v>
      </c>
      <c r="AB57" s="27" t="s">
        <v>92</v>
      </c>
      <c r="AC57" s="27" t="str">
        <f>VLOOKUP(C57,Sheet1!$C$2:$X$1242,15,0)</f>
        <v/>
      </c>
      <c r="AD57" s="27"/>
      <c r="AE57" s="15" t="str">
        <f t="shared" si="1"/>
        <v/>
      </c>
      <c r="AF57" s="19" t="str">
        <f>VLOOKUP(C57,Sheet1!$C$2:$AE$400,24,0)</f>
        <v>không đủ điều kiện</v>
      </c>
      <c r="AG57" s="19"/>
      <c r="AH57" s="31"/>
      <c r="AI57" s="32"/>
    </row>
    <row r="58">
      <c r="A58" s="22">
        <v>45671.6793953125</v>
      </c>
      <c r="B58" s="23" t="s">
        <v>371</v>
      </c>
      <c r="C58" s="23">
        <v>2.7217138091E10</v>
      </c>
      <c r="D58" s="23" t="s">
        <v>372</v>
      </c>
      <c r="E58" s="24">
        <v>37898.0</v>
      </c>
      <c r="F58" s="23" t="s">
        <v>108</v>
      </c>
      <c r="G58" s="25" t="s">
        <v>63</v>
      </c>
      <c r="H58" s="25">
        <v>27.0</v>
      </c>
      <c r="I58" s="26" t="s">
        <v>373</v>
      </c>
      <c r="J58" s="25" t="s">
        <v>39</v>
      </c>
      <c r="K58" s="25" t="s">
        <v>230</v>
      </c>
      <c r="L58" s="27"/>
      <c r="M58" s="25" t="s">
        <v>374</v>
      </c>
      <c r="N58" s="25" t="s">
        <v>68</v>
      </c>
      <c r="O58" s="25" t="s">
        <v>117</v>
      </c>
      <c r="P58" s="27"/>
      <c r="Q58" s="25" t="s">
        <v>280</v>
      </c>
      <c r="R58" s="25" t="s">
        <v>45</v>
      </c>
      <c r="S58" s="25" t="s">
        <v>39</v>
      </c>
      <c r="T58" s="27"/>
      <c r="U58" s="34">
        <v>45698.0</v>
      </c>
      <c r="V58" s="34">
        <v>45787.0</v>
      </c>
      <c r="W58" s="29">
        <v>57.0</v>
      </c>
      <c r="X58" s="29" t="s">
        <v>375</v>
      </c>
      <c r="Y58" s="30" t="s">
        <v>46</v>
      </c>
      <c r="Z58" s="29" t="s">
        <v>119</v>
      </c>
      <c r="AA58" s="27" t="s">
        <v>230</v>
      </c>
      <c r="AB58" s="27" t="s">
        <v>117</v>
      </c>
      <c r="AC58" s="27" t="str">
        <f>VLOOKUP(C58,Sheet1!$C$2:$X$1242,15,0)</f>
        <v/>
      </c>
      <c r="AD58" s="25" t="s">
        <v>376</v>
      </c>
      <c r="AE58" s="19" t="str">
        <f t="shared" si="1"/>
        <v/>
      </c>
      <c r="AF58" s="19" t="str">
        <f>VLOOKUP(C58,Sheet1!$C$2:$AE$400,24,0)</f>
        <v>CHUYÊN ĐỀ</v>
      </c>
      <c r="AG58" s="19" t="s">
        <v>77</v>
      </c>
      <c r="AH58" s="20" t="str">
        <f>VLOOKUP(AG58,gvhd!$D$3:$P$17,11,0)</f>
        <v>0906 029 602</v>
      </c>
      <c r="AI58" s="21" t="str">
        <f>VLOOKUP(AG58,gvhd!$D$3:$P$17,12,0)</f>
        <v>tranhoanganh@dtu-hti.edu.vn</v>
      </c>
    </row>
    <row r="59">
      <c r="A59" s="22">
        <v>45671.68751203704</v>
      </c>
      <c r="B59" s="23" t="s">
        <v>377</v>
      </c>
      <c r="C59" s="23">
        <v>2.7217152519E10</v>
      </c>
      <c r="D59" s="23" t="s">
        <v>378</v>
      </c>
      <c r="E59" s="24">
        <v>37700.0</v>
      </c>
      <c r="F59" s="23" t="s">
        <v>145</v>
      </c>
      <c r="G59" s="25" t="s">
        <v>63</v>
      </c>
      <c r="H59" s="25">
        <v>27.0</v>
      </c>
      <c r="I59" s="26" t="s">
        <v>379</v>
      </c>
      <c r="J59" s="25" t="s">
        <v>39</v>
      </c>
      <c r="K59" s="25" t="s">
        <v>380</v>
      </c>
      <c r="L59" s="27"/>
      <c r="M59" s="25" t="s">
        <v>381</v>
      </c>
      <c r="N59" s="25" t="s">
        <v>68</v>
      </c>
      <c r="O59" s="25" t="s">
        <v>56</v>
      </c>
      <c r="P59" s="27"/>
      <c r="Q59" s="25" t="s">
        <v>119</v>
      </c>
      <c r="R59" s="25" t="s">
        <v>45</v>
      </c>
      <c r="S59" s="25" t="s">
        <v>39</v>
      </c>
      <c r="T59" s="27"/>
      <c r="U59" s="34">
        <v>45698.0</v>
      </c>
      <c r="V59" s="34">
        <v>45787.0</v>
      </c>
      <c r="W59" s="29">
        <v>58.0</v>
      </c>
      <c r="X59" s="29" t="s">
        <v>119</v>
      </c>
      <c r="Y59" s="30" t="s">
        <v>46</v>
      </c>
      <c r="Z59" s="29" t="s">
        <v>119</v>
      </c>
      <c r="AA59" s="27" t="s">
        <v>380</v>
      </c>
      <c r="AB59" s="27" t="s">
        <v>56</v>
      </c>
      <c r="AC59" s="27" t="str">
        <f>VLOOKUP(C59,Sheet1!$C$2:$X$1242,15,0)</f>
        <v/>
      </c>
      <c r="AD59" s="25" t="s">
        <v>163</v>
      </c>
      <c r="AE59" s="15" t="str">
        <f t="shared" si="1"/>
        <v/>
      </c>
      <c r="AF59" s="19" t="str">
        <f>VLOOKUP(C59,Sheet1!$C$2:$AE$400,24,0)</f>
        <v>không đủ điều kiện</v>
      </c>
      <c r="AG59" s="19"/>
      <c r="AH59" s="31"/>
      <c r="AI59" s="32"/>
    </row>
    <row r="60">
      <c r="A60" s="22">
        <v>45671.69611092593</v>
      </c>
      <c r="B60" s="23" t="s">
        <v>382</v>
      </c>
      <c r="C60" s="23">
        <v>2.5217104606E10</v>
      </c>
      <c r="D60" s="23" t="s">
        <v>383</v>
      </c>
      <c r="E60" s="24">
        <v>37249.0</v>
      </c>
      <c r="F60" s="23" t="s">
        <v>384</v>
      </c>
      <c r="G60" s="25" t="s">
        <v>37</v>
      </c>
      <c r="H60" s="25">
        <v>25.0</v>
      </c>
      <c r="I60" s="26" t="s">
        <v>385</v>
      </c>
      <c r="J60" s="25" t="s">
        <v>39</v>
      </c>
      <c r="K60" s="25" t="s">
        <v>266</v>
      </c>
      <c r="L60" s="27"/>
      <c r="M60" s="25" t="s">
        <v>386</v>
      </c>
      <c r="N60" s="25" t="s">
        <v>387</v>
      </c>
      <c r="O60" s="25" t="s">
        <v>92</v>
      </c>
      <c r="P60" s="27"/>
      <c r="Q60" s="25" t="s">
        <v>119</v>
      </c>
      <c r="R60" s="25" t="s">
        <v>45</v>
      </c>
      <c r="S60" s="25" t="s">
        <v>39</v>
      </c>
      <c r="T60" s="25" t="s">
        <v>58</v>
      </c>
      <c r="U60" s="34">
        <v>45698.0</v>
      </c>
      <c r="V60" s="34">
        <v>45787.0</v>
      </c>
      <c r="W60" s="29">
        <v>59.0</v>
      </c>
      <c r="X60" s="17">
        <v>45840.0</v>
      </c>
      <c r="Y60" s="30" t="s">
        <v>46</v>
      </c>
      <c r="Z60" s="29" t="s">
        <v>119</v>
      </c>
      <c r="AA60" s="27" t="s">
        <v>266</v>
      </c>
      <c r="AB60" s="27" t="s">
        <v>92</v>
      </c>
      <c r="AC60" s="27" t="str">
        <f>VLOOKUP(C60,Sheet1!$C$2:$X$1242,15,0)</f>
        <v>ĐÃ NỘP</v>
      </c>
      <c r="AD60" s="25" t="s">
        <v>388</v>
      </c>
      <c r="AE60" s="19" t="str">
        <f t="shared" si="1"/>
        <v/>
      </c>
      <c r="AF60" s="19" t="str">
        <f>VLOOKUP(C60,Sheet1!$C$2:$AE$400,24,0)</f>
        <v>CHUYÊN ĐỀ</v>
      </c>
      <c r="AG60" s="19" t="s">
        <v>85</v>
      </c>
      <c r="AH60" s="20" t="str">
        <f>VLOOKUP(AG60,gvhd!$D$3:$P$17,11,0)</f>
        <v>0396.153.687</v>
      </c>
      <c r="AI60" s="21" t="str">
        <f>VLOOKUP(AG60,gvhd!$D$3:$P$17,12,0)</f>
        <v>nguyentminhthu@dtu-hti.edu.vn</v>
      </c>
    </row>
    <row r="61">
      <c r="A61" s="22">
        <v>45671.703494305555</v>
      </c>
      <c r="B61" s="23" t="s">
        <v>389</v>
      </c>
      <c r="C61" s="23">
        <v>2.4207102344E10</v>
      </c>
      <c r="D61" s="23" t="s">
        <v>390</v>
      </c>
      <c r="E61" s="24">
        <v>35873.0</v>
      </c>
      <c r="F61" s="23" t="s">
        <v>391</v>
      </c>
      <c r="G61" s="25" t="s">
        <v>63</v>
      </c>
      <c r="H61" s="25">
        <v>25.0</v>
      </c>
      <c r="I61" s="26" t="s">
        <v>392</v>
      </c>
      <c r="J61" s="25" t="s">
        <v>39</v>
      </c>
      <c r="K61" s="25" t="s">
        <v>393</v>
      </c>
      <c r="L61" s="27"/>
      <c r="M61" s="25" t="s">
        <v>394</v>
      </c>
      <c r="N61" s="25" t="s">
        <v>68</v>
      </c>
      <c r="O61" s="25" t="s">
        <v>92</v>
      </c>
      <c r="P61" s="27"/>
      <c r="Q61" s="26" t="s">
        <v>395</v>
      </c>
      <c r="R61" s="25" t="s">
        <v>45</v>
      </c>
      <c r="S61" s="25" t="s">
        <v>39</v>
      </c>
      <c r="T61" s="25" t="s">
        <v>137</v>
      </c>
      <c r="U61" s="34">
        <v>45698.0</v>
      </c>
      <c r="V61" s="34">
        <v>45787.0</v>
      </c>
      <c r="W61" s="29">
        <v>60.0</v>
      </c>
      <c r="X61" s="17">
        <v>45963.0</v>
      </c>
      <c r="Y61" s="30" t="s">
        <v>46</v>
      </c>
      <c r="Z61" s="29" t="s">
        <v>309</v>
      </c>
      <c r="AA61" s="27" t="s">
        <v>393</v>
      </c>
      <c r="AB61" s="27" t="s">
        <v>92</v>
      </c>
      <c r="AC61" s="27" t="str">
        <f>VLOOKUP(C61,Sheet1!$C$2:$X$1242,15,0)</f>
        <v>ĐÃ NỘP</v>
      </c>
      <c r="AD61" s="27"/>
      <c r="AE61" s="15" t="str">
        <f t="shared" si="1"/>
        <v/>
      </c>
      <c r="AF61" s="19" t="str">
        <f>VLOOKUP(C61,Sheet1!$C$2:$AE$400,24,0)</f>
        <v>CHUYÊN ĐỀ</v>
      </c>
      <c r="AG61" s="19" t="s">
        <v>59</v>
      </c>
      <c r="AH61" s="31" t="str">
        <f>VLOOKUP(AG61,gvhd!$D$3:$P$17,11,0)</f>
        <v>0355072844</v>
      </c>
      <c r="AI61" s="32" t="str">
        <f>VLOOKUP(AG61,gvhd!$D$3:$P$17,12,0)</f>
        <v>Ngotthanhnga@dtu-hti.edu.vn</v>
      </c>
    </row>
    <row r="62">
      <c r="A62" s="22">
        <v>45671.706364178244</v>
      </c>
      <c r="B62" s="23" t="s">
        <v>396</v>
      </c>
      <c r="C62" s="23">
        <v>2.7207128299E10</v>
      </c>
      <c r="D62" s="23" t="s">
        <v>397</v>
      </c>
      <c r="E62" s="24">
        <v>37684.0</v>
      </c>
      <c r="F62" s="23" t="s">
        <v>108</v>
      </c>
      <c r="G62" s="25" t="s">
        <v>63</v>
      </c>
      <c r="H62" s="25">
        <v>27.0</v>
      </c>
      <c r="I62" s="26" t="s">
        <v>398</v>
      </c>
      <c r="J62" s="25" t="s">
        <v>39</v>
      </c>
      <c r="K62" s="25" t="s">
        <v>230</v>
      </c>
      <c r="L62" s="27"/>
      <c r="M62" s="25" t="s">
        <v>399</v>
      </c>
      <c r="N62" s="25" t="s">
        <v>68</v>
      </c>
      <c r="O62" s="25" t="s">
        <v>117</v>
      </c>
      <c r="P62" s="27"/>
      <c r="Q62" s="25" t="s">
        <v>119</v>
      </c>
      <c r="R62" s="25" t="s">
        <v>45</v>
      </c>
      <c r="S62" s="25" t="s">
        <v>39</v>
      </c>
      <c r="T62" s="27"/>
      <c r="U62" s="34">
        <v>45670.0</v>
      </c>
      <c r="V62" s="34">
        <v>45771.0</v>
      </c>
      <c r="W62" s="29">
        <v>61.0</v>
      </c>
      <c r="X62" s="29" t="s">
        <v>308</v>
      </c>
      <c r="Y62" s="30" t="s">
        <v>46</v>
      </c>
      <c r="Z62" s="29" t="s">
        <v>308</v>
      </c>
      <c r="AA62" s="27" t="s">
        <v>230</v>
      </c>
      <c r="AB62" s="27" t="s">
        <v>117</v>
      </c>
      <c r="AC62" s="27" t="str">
        <f>VLOOKUP(C62,Sheet1!$C$2:$X$1242,15,0)</f>
        <v/>
      </c>
      <c r="AD62" s="27"/>
      <c r="AE62" s="15" t="str">
        <f t="shared" si="1"/>
        <v/>
      </c>
      <c r="AF62" s="19" t="str">
        <f>VLOOKUP(C62,Sheet1!$C$2:$AE$400,24,0)</f>
        <v>CHUYÊN ĐỀ</v>
      </c>
      <c r="AG62" s="19" t="s">
        <v>77</v>
      </c>
      <c r="AH62" s="20" t="str">
        <f>VLOOKUP(AG62,gvhd!$D$3:$P$17,11,0)</f>
        <v>0906 029 602</v>
      </c>
      <c r="AI62" s="21" t="str">
        <f>VLOOKUP(AG62,gvhd!$D$3:$P$17,12,0)</f>
        <v>tranhoanganh@dtu-hti.edu.vn</v>
      </c>
    </row>
    <row r="63">
      <c r="A63" s="22">
        <v>45698.65402306713</v>
      </c>
      <c r="B63" s="23" t="s">
        <v>400</v>
      </c>
      <c r="C63" s="23">
        <v>2.7207102076E10</v>
      </c>
      <c r="D63" s="23" t="s">
        <v>401</v>
      </c>
      <c r="E63" s="24">
        <v>37940.0</v>
      </c>
      <c r="F63" s="23" t="s">
        <v>402</v>
      </c>
      <c r="G63" s="25" t="s">
        <v>63</v>
      </c>
      <c r="H63" s="25">
        <v>27.0</v>
      </c>
      <c r="I63" s="26" t="s">
        <v>403</v>
      </c>
      <c r="J63" s="25" t="s">
        <v>39</v>
      </c>
      <c r="K63" s="25" t="s">
        <v>212</v>
      </c>
      <c r="L63" s="27"/>
      <c r="M63" s="25" t="s">
        <v>404</v>
      </c>
      <c r="N63" s="25" t="s">
        <v>68</v>
      </c>
      <c r="O63" s="25" t="s">
        <v>56</v>
      </c>
      <c r="P63" s="27"/>
      <c r="Q63" s="26" t="s">
        <v>405</v>
      </c>
      <c r="R63" s="25" t="s">
        <v>45</v>
      </c>
      <c r="S63" s="25" t="s">
        <v>39</v>
      </c>
      <c r="T63" s="27"/>
      <c r="U63" s="34">
        <v>45695.0</v>
      </c>
      <c r="V63" s="34">
        <v>45783.0</v>
      </c>
      <c r="W63" s="29">
        <v>62.0</v>
      </c>
      <c r="X63" s="17">
        <v>45963.0</v>
      </c>
      <c r="Y63" s="30" t="s">
        <v>46</v>
      </c>
      <c r="Z63" s="29" t="s">
        <v>309</v>
      </c>
      <c r="AA63" s="27" t="s">
        <v>212</v>
      </c>
      <c r="AB63" s="27" t="s">
        <v>56</v>
      </c>
      <c r="AC63" s="27" t="str">
        <f>VLOOKUP(C63,Sheet1!$C$2:$X$1242,15,0)</f>
        <v/>
      </c>
      <c r="AD63" s="27"/>
      <c r="AE63" s="15" t="str">
        <f t="shared" si="1"/>
        <v/>
      </c>
      <c r="AF63" s="19" t="str">
        <f>VLOOKUP(C63,Sheet1!$C$2:$AE$400,24,0)</f>
        <v>CHUYÊN ĐỀ</v>
      </c>
      <c r="AG63" s="19" t="s">
        <v>406</v>
      </c>
      <c r="AH63" s="31" t="str">
        <f>VLOOKUP(AG63,gvhd!$D$3:$P$17,11,0)</f>
        <v>0905767997</v>
      </c>
      <c r="AI63" s="32" t="str">
        <f>VLOOKUP(AG63,gvhd!$D$3:$P$17,12,0)</f>
        <v>voduchieu@dtu-hti.edu.vn</v>
      </c>
    </row>
    <row r="64">
      <c r="A64" s="22">
        <v>45680.84408037037</v>
      </c>
      <c r="B64" s="23" t="s">
        <v>407</v>
      </c>
      <c r="C64" s="23">
        <v>2.7207131471E10</v>
      </c>
      <c r="D64" s="23" t="s">
        <v>408</v>
      </c>
      <c r="E64" s="24">
        <v>37879.0</v>
      </c>
      <c r="F64" s="23" t="s">
        <v>286</v>
      </c>
      <c r="G64" s="25" t="s">
        <v>37</v>
      </c>
      <c r="H64" s="25">
        <v>27.0</v>
      </c>
      <c r="I64" s="26" t="s">
        <v>409</v>
      </c>
      <c r="J64" s="25" t="s">
        <v>39</v>
      </c>
      <c r="K64" s="25" t="s">
        <v>160</v>
      </c>
      <c r="L64" s="27"/>
      <c r="M64" s="25" t="s">
        <v>410</v>
      </c>
      <c r="N64" s="25" t="s">
        <v>116</v>
      </c>
      <c r="O64" s="25" t="s">
        <v>92</v>
      </c>
      <c r="P64" s="27"/>
      <c r="Q64" s="26" t="s">
        <v>244</v>
      </c>
      <c r="R64" s="25" t="s">
        <v>45</v>
      </c>
      <c r="S64" s="25" t="s">
        <v>39</v>
      </c>
      <c r="T64" s="25" t="s">
        <v>58</v>
      </c>
      <c r="U64" s="34">
        <v>45691.0</v>
      </c>
      <c r="V64" s="34">
        <v>45780.0</v>
      </c>
      <c r="W64" s="29">
        <v>63.0</v>
      </c>
      <c r="X64" s="17">
        <v>45810.0</v>
      </c>
      <c r="Y64" s="30" t="s">
        <v>46</v>
      </c>
      <c r="Z64" s="17">
        <v>45779.0</v>
      </c>
      <c r="AA64" s="27" t="s">
        <v>160</v>
      </c>
      <c r="AB64" s="27" t="s">
        <v>92</v>
      </c>
      <c r="AC64" s="27"/>
      <c r="AD64" s="25" t="s">
        <v>163</v>
      </c>
      <c r="AE64" s="19" t="str">
        <f t="shared" si="1"/>
        <v/>
      </c>
      <c r="AF64" s="19" t="str">
        <f>VLOOKUP(C64,Sheet1!$C$2:$AE$400,24,0)</f>
        <v>CHUYÊN ĐỀ</v>
      </c>
      <c r="AG64" s="19" t="s">
        <v>137</v>
      </c>
      <c r="AH64" s="20" t="str">
        <f>VLOOKUP(AG64,gvhd!$D$3:$P$17,11,0)</f>
        <v>0905767050</v>
      </c>
      <c r="AI64" s="21" t="str">
        <f>VLOOKUP(AG64,gvhd!$D$3:$P$17,12,0)</f>
        <v>maithithuong@dtu-hti.edu.vn</v>
      </c>
    </row>
    <row r="65">
      <c r="A65" s="22">
        <v>45672.47730912037</v>
      </c>
      <c r="B65" s="23" t="s">
        <v>411</v>
      </c>
      <c r="C65" s="23">
        <v>2.7207128489E10</v>
      </c>
      <c r="D65" s="23" t="s">
        <v>412</v>
      </c>
      <c r="E65" s="24">
        <v>37865.0</v>
      </c>
      <c r="F65" s="23" t="s">
        <v>354</v>
      </c>
      <c r="G65" s="25" t="s">
        <v>355</v>
      </c>
      <c r="H65" s="25">
        <v>27.0</v>
      </c>
      <c r="I65" s="26" t="s">
        <v>413</v>
      </c>
      <c r="J65" s="25" t="s">
        <v>288</v>
      </c>
      <c r="K65" s="25" t="s">
        <v>325</v>
      </c>
      <c r="L65" s="25" t="s">
        <v>325</v>
      </c>
      <c r="M65" s="25" t="s">
        <v>414</v>
      </c>
      <c r="N65" s="25" t="s">
        <v>68</v>
      </c>
      <c r="O65" s="25" t="s">
        <v>56</v>
      </c>
      <c r="P65" s="27"/>
      <c r="Q65" s="26" t="s">
        <v>415</v>
      </c>
      <c r="R65" s="25" t="s">
        <v>45</v>
      </c>
      <c r="S65" s="25" t="s">
        <v>288</v>
      </c>
      <c r="T65" s="25" t="s">
        <v>137</v>
      </c>
      <c r="U65" s="34">
        <v>45698.0</v>
      </c>
      <c r="V65" s="34">
        <v>45787.0</v>
      </c>
      <c r="W65" s="29">
        <v>64.0</v>
      </c>
      <c r="X65" s="17">
        <v>45810.0</v>
      </c>
      <c r="Y65" s="30" t="s">
        <v>46</v>
      </c>
      <c r="Z65" s="29" t="s">
        <v>309</v>
      </c>
      <c r="AA65" s="25" t="s">
        <v>325</v>
      </c>
      <c r="AB65" s="27" t="s">
        <v>56</v>
      </c>
      <c r="AC65" s="27" t="str">
        <f>VLOOKUP(C65,Sheet1!$C$2:$X$1242,15,0)</f>
        <v/>
      </c>
      <c r="AD65" s="27"/>
      <c r="AE65" s="15" t="str">
        <f t="shared" si="1"/>
        <v/>
      </c>
      <c r="AF65" s="19" t="str">
        <f>VLOOKUP(C65,Sheet1!$C$2:$AE$400,24,0)</f>
        <v>KHÓA LUẬN</v>
      </c>
      <c r="AG65" s="19" t="s">
        <v>137</v>
      </c>
      <c r="AH65" s="31" t="str">
        <f>VLOOKUP(AG65,gvhd!$D$3:$P$17,11,0)</f>
        <v>0905767050</v>
      </c>
      <c r="AI65" s="32" t="str">
        <f>VLOOKUP(AG65,gvhd!$D$3:$P$17,12,0)</f>
        <v>maithithuong@dtu-hti.edu.vn</v>
      </c>
    </row>
    <row r="66">
      <c r="A66" s="22">
        <v>45693.75277341435</v>
      </c>
      <c r="B66" s="23" t="s">
        <v>416</v>
      </c>
      <c r="C66" s="23">
        <v>2.7207142712E10</v>
      </c>
      <c r="D66" s="23" t="s">
        <v>417</v>
      </c>
      <c r="E66" s="24">
        <v>37911.0</v>
      </c>
      <c r="F66" s="23" t="s">
        <v>178</v>
      </c>
      <c r="G66" s="25" t="s">
        <v>63</v>
      </c>
      <c r="H66" s="25">
        <v>27.0</v>
      </c>
      <c r="I66" s="26" t="s">
        <v>418</v>
      </c>
      <c r="J66" s="25" t="s">
        <v>39</v>
      </c>
      <c r="K66" s="25" t="s">
        <v>212</v>
      </c>
      <c r="L66" s="25"/>
      <c r="M66" s="25" t="s">
        <v>419</v>
      </c>
      <c r="N66" s="25" t="s">
        <v>68</v>
      </c>
      <c r="O66" s="25" t="s">
        <v>56</v>
      </c>
      <c r="P66" s="27"/>
      <c r="Q66" s="26" t="s">
        <v>420</v>
      </c>
      <c r="R66" s="25" t="s">
        <v>45</v>
      </c>
      <c r="S66" s="25" t="s">
        <v>39</v>
      </c>
      <c r="T66" s="25" t="s">
        <v>215</v>
      </c>
      <c r="U66" s="34">
        <v>45691.0</v>
      </c>
      <c r="V66" s="34">
        <v>45779.0</v>
      </c>
      <c r="W66" s="29">
        <v>65.0</v>
      </c>
      <c r="X66" s="17">
        <v>45779.0</v>
      </c>
      <c r="Y66" s="30" t="s">
        <v>46</v>
      </c>
      <c r="Z66" s="29" t="s">
        <v>375</v>
      </c>
      <c r="AA66" s="46" t="s">
        <v>212</v>
      </c>
      <c r="AB66" s="46" t="s">
        <v>56</v>
      </c>
      <c r="AC66" s="27" t="str">
        <f>VLOOKUP(C66,Sheet1!$C$2:$X$1242,15,0)</f>
        <v/>
      </c>
      <c r="AD66" s="25"/>
      <c r="AE66" s="19" t="str">
        <f t="shared" si="1"/>
        <v/>
      </c>
      <c r="AF66" s="19" t="str">
        <f>VLOOKUP(C66,Sheet1!$C$2:$AE$400,24,0)</f>
        <v>CHUYÊN ĐỀ</v>
      </c>
      <c r="AG66" s="19" t="s">
        <v>406</v>
      </c>
      <c r="AH66" s="20" t="str">
        <f>VLOOKUP(AG66,gvhd!$D$3:$P$17,11,0)</f>
        <v>0905767997</v>
      </c>
      <c r="AI66" s="21" t="str">
        <f>VLOOKUP(AG66,gvhd!$D$3:$P$17,12,0)</f>
        <v>voduchieu@dtu-hti.edu.vn</v>
      </c>
    </row>
    <row r="67">
      <c r="A67" s="35">
        <v>45672.63758934027</v>
      </c>
      <c r="B67" s="36" t="s">
        <v>421</v>
      </c>
      <c r="C67" s="36">
        <v>2.7217142987E10</v>
      </c>
      <c r="D67" s="36" t="s">
        <v>422</v>
      </c>
      <c r="E67" s="37">
        <v>37869.0</v>
      </c>
      <c r="F67" s="36" t="s">
        <v>108</v>
      </c>
      <c r="G67" s="38" t="s">
        <v>63</v>
      </c>
      <c r="H67" s="38">
        <v>27.0</v>
      </c>
      <c r="I67" s="39" t="s">
        <v>423</v>
      </c>
      <c r="J67" s="38" t="s">
        <v>39</v>
      </c>
      <c r="K67" s="38" t="s">
        <v>424</v>
      </c>
      <c r="L67" s="40"/>
      <c r="M67" s="38" t="s">
        <v>425</v>
      </c>
      <c r="N67" s="38" t="s">
        <v>170</v>
      </c>
      <c r="O67" s="38" t="s">
        <v>92</v>
      </c>
      <c r="P67" s="40"/>
      <c r="Q67" s="38" t="s">
        <v>426</v>
      </c>
      <c r="R67" s="38" t="s">
        <v>45</v>
      </c>
      <c r="S67" s="38" t="s">
        <v>39</v>
      </c>
      <c r="T67" s="40"/>
      <c r="U67" s="41">
        <v>45671.0</v>
      </c>
      <c r="V67" s="41">
        <v>45761.0</v>
      </c>
      <c r="W67" s="42">
        <v>66.0</v>
      </c>
      <c r="X67" s="59"/>
      <c r="Y67" s="44" t="s">
        <v>46</v>
      </c>
      <c r="Z67" s="42" t="s">
        <v>308</v>
      </c>
      <c r="AA67" s="38" t="s">
        <v>424</v>
      </c>
      <c r="AB67" s="40" t="s">
        <v>92</v>
      </c>
      <c r="AC67" s="40" t="str">
        <f>VLOOKUP(C67,Sheet1!$C$2:$X$1242,15,0)</f>
        <v/>
      </c>
      <c r="AD67" s="38" t="s">
        <v>427</v>
      </c>
      <c r="AE67" s="60" t="str">
        <f t="shared" si="1"/>
        <v/>
      </c>
      <c r="AF67" s="19" t="str">
        <f>VLOOKUP(C67,Sheet1!$C$2:$AE$400,24,0)</f>
        <v>CHUYÊN ĐỀ</v>
      </c>
      <c r="AG67" s="19" t="s">
        <v>71</v>
      </c>
      <c r="AH67" s="31" t="str">
        <f>VLOOKUP(AG67,gvhd!$D$3:$P$17,11,0)</f>
        <v>0702605664</v>
      </c>
      <c r="AI67" s="32" t="str">
        <f>VLOOKUP(AG67,gvhd!$D$3:$P$17,12,0)</f>
        <v>huynhlthuylinh@dtu-hti.edu.vn</v>
      </c>
    </row>
    <row r="68">
      <c r="A68" s="22">
        <v>45672.66052310185</v>
      </c>
      <c r="B68" s="23" t="s">
        <v>428</v>
      </c>
      <c r="C68" s="23">
        <v>2.7217145233E10</v>
      </c>
      <c r="D68" s="23" t="s">
        <v>429</v>
      </c>
      <c r="E68" s="24">
        <v>37779.0</v>
      </c>
      <c r="F68" s="23" t="s">
        <v>80</v>
      </c>
      <c r="G68" s="25" t="s">
        <v>63</v>
      </c>
      <c r="H68" s="25">
        <v>27.0</v>
      </c>
      <c r="I68" s="26" t="s">
        <v>430</v>
      </c>
      <c r="J68" s="25" t="s">
        <v>39</v>
      </c>
      <c r="K68" s="25" t="s">
        <v>114</v>
      </c>
      <c r="L68" s="27"/>
      <c r="M68" s="25" t="s">
        <v>272</v>
      </c>
      <c r="N68" s="25" t="s">
        <v>68</v>
      </c>
      <c r="O68" s="25" t="s">
        <v>56</v>
      </c>
      <c r="P68" s="27"/>
      <c r="Q68" s="26" t="s">
        <v>206</v>
      </c>
      <c r="R68" s="25" t="s">
        <v>45</v>
      </c>
      <c r="S68" s="25" t="s">
        <v>39</v>
      </c>
      <c r="T68" s="27"/>
      <c r="U68" s="34">
        <v>45698.0</v>
      </c>
      <c r="V68" s="34">
        <v>45787.0</v>
      </c>
      <c r="W68" s="29">
        <v>67.0</v>
      </c>
      <c r="X68" s="29" t="s">
        <v>251</v>
      </c>
      <c r="Y68" s="30" t="s">
        <v>46</v>
      </c>
      <c r="Z68" s="29" t="s">
        <v>309</v>
      </c>
      <c r="AA68" s="27" t="s">
        <v>114</v>
      </c>
      <c r="AB68" s="27" t="s">
        <v>56</v>
      </c>
      <c r="AC68" s="27" t="str">
        <f>VLOOKUP(C68,Sheet1!$C$2:$X$1242,15,0)</f>
        <v/>
      </c>
      <c r="AD68" s="25" t="s">
        <v>138</v>
      </c>
      <c r="AE68" s="15" t="str">
        <f t="shared" si="1"/>
        <v/>
      </c>
      <c r="AF68" s="19" t="str">
        <f>VLOOKUP(C68,Sheet1!$C$2:$AE$400,24,0)</f>
        <v>không đủ điều kiện</v>
      </c>
      <c r="AG68" s="19"/>
      <c r="AH68" s="20"/>
      <c r="AI68" s="21"/>
    </row>
    <row r="69">
      <c r="A69" s="22">
        <v>45677.43853936343</v>
      </c>
      <c r="B69" s="23" t="s">
        <v>431</v>
      </c>
      <c r="C69" s="23">
        <v>2.7207125399E10</v>
      </c>
      <c r="D69" s="23" t="s">
        <v>432</v>
      </c>
      <c r="E69" s="24">
        <v>37950.0</v>
      </c>
      <c r="F69" s="23" t="s">
        <v>433</v>
      </c>
      <c r="G69" s="25" t="s">
        <v>63</v>
      </c>
      <c r="H69" s="25">
        <v>27.0</v>
      </c>
      <c r="I69" s="26" t="s">
        <v>434</v>
      </c>
      <c r="J69" s="25" t="s">
        <v>39</v>
      </c>
      <c r="K69" s="25" t="s">
        <v>435</v>
      </c>
      <c r="L69" s="25" t="s">
        <v>435</v>
      </c>
      <c r="M69" s="25" t="s">
        <v>436</v>
      </c>
      <c r="N69" s="25" t="s">
        <v>116</v>
      </c>
      <c r="O69" s="25" t="s">
        <v>117</v>
      </c>
      <c r="P69" s="27"/>
      <c r="Q69" s="25" t="s">
        <v>437</v>
      </c>
      <c r="R69" s="25" t="s">
        <v>45</v>
      </c>
      <c r="S69" s="25" t="s">
        <v>39</v>
      </c>
      <c r="T69" s="27"/>
      <c r="U69" s="34">
        <v>45698.0</v>
      </c>
      <c r="V69" s="34">
        <v>45787.0</v>
      </c>
      <c r="W69" s="29">
        <v>68.0</v>
      </c>
      <c r="X69" s="29" t="s">
        <v>375</v>
      </c>
      <c r="Y69" s="30" t="s">
        <v>46</v>
      </c>
      <c r="Z69" s="29" t="s">
        <v>375</v>
      </c>
      <c r="AA69" s="27" t="s">
        <v>435</v>
      </c>
      <c r="AB69" s="27" t="s">
        <v>117</v>
      </c>
      <c r="AC69" s="27" t="str">
        <f>VLOOKUP(C69,Sheet1!$C$2:$X$1242,15,0)</f>
        <v/>
      </c>
      <c r="AD69" s="27"/>
      <c r="AE69" s="15" t="str">
        <f t="shared" si="1"/>
        <v/>
      </c>
      <c r="AF69" s="19" t="str">
        <f>VLOOKUP(C69,Sheet1!$C$2:$AE$400,24,0)</f>
        <v>không đủ điều kiện</v>
      </c>
      <c r="AG69" s="19"/>
      <c r="AH69" s="31"/>
      <c r="AI69" s="32"/>
    </row>
    <row r="70">
      <c r="A70" s="22">
        <v>45672.78145234953</v>
      </c>
      <c r="B70" s="23" t="s">
        <v>438</v>
      </c>
      <c r="C70" s="23">
        <v>2.7207152556E10</v>
      </c>
      <c r="D70" s="23" t="s">
        <v>439</v>
      </c>
      <c r="E70" s="24">
        <v>37718.0</v>
      </c>
      <c r="F70" s="23" t="s">
        <v>145</v>
      </c>
      <c r="G70" s="25" t="s">
        <v>63</v>
      </c>
      <c r="H70" s="25">
        <v>27.0</v>
      </c>
      <c r="I70" s="26" t="s">
        <v>440</v>
      </c>
      <c r="J70" s="25" t="s">
        <v>39</v>
      </c>
      <c r="K70" s="25" t="s">
        <v>441</v>
      </c>
      <c r="L70" s="25" t="s">
        <v>441</v>
      </c>
      <c r="M70" s="25" t="s">
        <v>442</v>
      </c>
      <c r="N70" s="25" t="s">
        <v>68</v>
      </c>
      <c r="O70" s="25" t="s">
        <v>92</v>
      </c>
      <c r="P70" s="27"/>
      <c r="Q70" s="25" t="s">
        <v>443</v>
      </c>
      <c r="R70" s="25" t="s">
        <v>45</v>
      </c>
      <c r="S70" s="25" t="s">
        <v>39</v>
      </c>
      <c r="T70" s="27"/>
      <c r="U70" s="34">
        <v>45670.0</v>
      </c>
      <c r="V70" s="34">
        <v>45760.0</v>
      </c>
      <c r="W70" s="29">
        <v>69.0</v>
      </c>
      <c r="X70" s="29" t="s">
        <v>444</v>
      </c>
      <c r="Y70" s="30" t="s">
        <v>46</v>
      </c>
      <c r="Z70" s="29" t="s">
        <v>309</v>
      </c>
      <c r="AA70" s="27" t="s">
        <v>441</v>
      </c>
      <c r="AB70" s="27" t="s">
        <v>92</v>
      </c>
      <c r="AC70" s="27" t="str">
        <f>VLOOKUP(C70,Sheet1!$C$2:$X$1242,15,0)</f>
        <v/>
      </c>
      <c r="AD70" s="27"/>
      <c r="AE70" s="15" t="str">
        <f t="shared" si="1"/>
        <v/>
      </c>
      <c r="AF70" s="19" t="str">
        <f>VLOOKUP(C70,Sheet1!$C$2:$AE$400,24,0)</f>
        <v>CHUYÊN ĐỀ</v>
      </c>
      <c r="AG70" s="19" t="s">
        <v>71</v>
      </c>
      <c r="AH70" s="20" t="str">
        <f>VLOOKUP(AG70,gvhd!$D$3:$P$17,11,0)</f>
        <v>0702605664</v>
      </c>
      <c r="AI70" s="21" t="str">
        <f>VLOOKUP(AG70,gvhd!$D$3:$P$17,12,0)</f>
        <v>huynhlthuylinh@dtu-hti.edu.vn</v>
      </c>
    </row>
    <row r="71">
      <c r="A71" s="22">
        <v>45672.9396150463</v>
      </c>
      <c r="B71" s="23" t="s">
        <v>445</v>
      </c>
      <c r="C71" s="23">
        <v>2.7217140882E10</v>
      </c>
      <c r="D71" s="23" t="s">
        <v>446</v>
      </c>
      <c r="E71" s="24">
        <v>37912.0</v>
      </c>
      <c r="F71" s="23" t="s">
        <v>354</v>
      </c>
      <c r="G71" s="25" t="s">
        <v>355</v>
      </c>
      <c r="H71" s="25">
        <v>27.0</v>
      </c>
      <c r="I71" s="26" t="s">
        <v>447</v>
      </c>
      <c r="J71" s="25" t="s">
        <v>288</v>
      </c>
      <c r="K71" s="25" t="s">
        <v>325</v>
      </c>
      <c r="L71" s="25" t="s">
        <v>325</v>
      </c>
      <c r="M71" s="25" t="s">
        <v>414</v>
      </c>
      <c r="N71" s="25" t="s">
        <v>68</v>
      </c>
      <c r="O71" s="25" t="s">
        <v>448</v>
      </c>
      <c r="P71" s="27"/>
      <c r="Q71" s="25" t="s">
        <v>449</v>
      </c>
      <c r="R71" s="25" t="s">
        <v>45</v>
      </c>
      <c r="S71" s="25" t="s">
        <v>288</v>
      </c>
      <c r="T71" s="25" t="s">
        <v>137</v>
      </c>
      <c r="U71" s="34">
        <v>45698.0</v>
      </c>
      <c r="V71" s="34">
        <v>45787.0</v>
      </c>
      <c r="W71" s="29">
        <v>70.0</v>
      </c>
      <c r="X71" s="29" t="s">
        <v>309</v>
      </c>
      <c r="Y71" s="30" t="s">
        <v>46</v>
      </c>
      <c r="Z71" s="29" t="s">
        <v>309</v>
      </c>
      <c r="AA71" s="25" t="s">
        <v>325</v>
      </c>
      <c r="AB71" s="27" t="s">
        <v>448</v>
      </c>
      <c r="AC71" s="27" t="str">
        <f>VLOOKUP(C71,Sheet1!$C$2:$X$1242,15,0)</f>
        <v/>
      </c>
      <c r="AD71" s="25" t="s">
        <v>450</v>
      </c>
      <c r="AE71" s="19" t="str">
        <f t="shared" si="1"/>
        <v/>
      </c>
      <c r="AF71" s="19" t="str">
        <f>VLOOKUP(C71,Sheet1!$C$2:$AE$400,24,0)</f>
        <v>KHÓA LUẬN</v>
      </c>
      <c r="AG71" s="19" t="s">
        <v>137</v>
      </c>
      <c r="AH71" s="31" t="str">
        <f>VLOOKUP(AG71,gvhd!$D$3:$P$17,11,0)</f>
        <v>0905767050</v>
      </c>
      <c r="AI71" s="32" t="str">
        <f>VLOOKUP(AG71,gvhd!$D$3:$P$17,12,0)</f>
        <v>maithithuong@dtu-hti.edu.vn</v>
      </c>
    </row>
    <row r="72">
      <c r="A72" s="22">
        <v>45673.51533896991</v>
      </c>
      <c r="B72" s="23" t="s">
        <v>451</v>
      </c>
      <c r="C72" s="23">
        <v>2.7207152986E10</v>
      </c>
      <c r="D72" s="23" t="s">
        <v>452</v>
      </c>
      <c r="E72" s="24">
        <v>37899.0</v>
      </c>
      <c r="F72" s="23" t="s">
        <v>104</v>
      </c>
      <c r="G72" s="25" t="s">
        <v>63</v>
      </c>
      <c r="H72" s="25">
        <v>27.0</v>
      </c>
      <c r="I72" s="26" t="s">
        <v>453</v>
      </c>
      <c r="J72" s="25" t="s">
        <v>39</v>
      </c>
      <c r="K72" s="25" t="s">
        <v>454</v>
      </c>
      <c r="L72" s="25" t="s">
        <v>455</v>
      </c>
      <c r="M72" s="25" t="s">
        <v>456</v>
      </c>
      <c r="N72" s="25" t="s">
        <v>68</v>
      </c>
      <c r="O72" s="25" t="s">
        <v>56</v>
      </c>
      <c r="P72" s="27"/>
      <c r="Q72" s="25" t="s">
        <v>457</v>
      </c>
      <c r="R72" s="25" t="s">
        <v>45</v>
      </c>
      <c r="S72" s="25" t="s">
        <v>39</v>
      </c>
      <c r="T72" s="27"/>
      <c r="U72" s="34">
        <v>45698.0</v>
      </c>
      <c r="V72" s="34">
        <v>45787.0</v>
      </c>
      <c r="W72" s="29">
        <v>71.0</v>
      </c>
      <c r="X72" s="29" t="s">
        <v>375</v>
      </c>
      <c r="Y72" s="30" t="s">
        <v>46</v>
      </c>
      <c r="Z72" s="29" t="s">
        <v>309</v>
      </c>
      <c r="AA72" s="25" t="s">
        <v>454</v>
      </c>
      <c r="AB72" s="27" t="s">
        <v>56</v>
      </c>
      <c r="AC72" s="27" t="str">
        <f>VLOOKUP(C72,Sheet1!$C$2:$X$1242,15,0)</f>
        <v/>
      </c>
      <c r="AD72" s="27"/>
      <c r="AE72" s="15" t="str">
        <f t="shared" si="1"/>
        <v/>
      </c>
      <c r="AF72" s="19" t="str">
        <f>VLOOKUP(C72,Sheet1!$C$2:$AE$400,24,0)</f>
        <v>CHUYÊN ĐỀ</v>
      </c>
      <c r="AG72" s="19" t="s">
        <v>120</v>
      </c>
      <c r="AH72" s="20" t="str">
        <f>VLOOKUP(AG72,gvhd!$D$3:$P$17,11,0)</f>
        <v>0375658728</v>
      </c>
      <c r="AI72" s="21" t="str">
        <f>VLOOKUP(AG72,gvhd!$D$3:$P$17,12,0)</f>
        <v>trinhtkimchung@dtu-hti.edu.vn</v>
      </c>
    </row>
    <row r="73">
      <c r="A73" s="22">
        <v>45673.55743671296</v>
      </c>
      <c r="B73" s="23" t="s">
        <v>458</v>
      </c>
      <c r="C73" s="23">
        <v>2.7207152388E10</v>
      </c>
      <c r="D73" s="23" t="s">
        <v>459</v>
      </c>
      <c r="E73" s="24">
        <v>37755.0</v>
      </c>
      <c r="F73" s="23" t="s">
        <v>322</v>
      </c>
      <c r="G73" s="25" t="s">
        <v>37</v>
      </c>
      <c r="H73" s="25">
        <v>27.0</v>
      </c>
      <c r="I73" s="26" t="s">
        <v>460</v>
      </c>
      <c r="J73" s="25" t="s">
        <v>288</v>
      </c>
      <c r="K73" s="25" t="s">
        <v>160</v>
      </c>
      <c r="L73" s="27"/>
      <c r="M73" s="25" t="s">
        <v>461</v>
      </c>
      <c r="N73" s="25" t="s">
        <v>68</v>
      </c>
      <c r="O73" s="25" t="s">
        <v>56</v>
      </c>
      <c r="P73" s="27"/>
      <c r="Q73" s="25" t="s">
        <v>308</v>
      </c>
      <c r="R73" s="25" t="s">
        <v>45</v>
      </c>
      <c r="S73" s="25" t="s">
        <v>288</v>
      </c>
      <c r="T73" s="25" t="s">
        <v>58</v>
      </c>
      <c r="U73" s="34">
        <v>45691.0</v>
      </c>
      <c r="V73" s="34">
        <v>45780.0</v>
      </c>
      <c r="W73" s="29">
        <v>72.0</v>
      </c>
      <c r="X73" s="29" t="s">
        <v>309</v>
      </c>
      <c r="Y73" s="30" t="s">
        <v>46</v>
      </c>
      <c r="Z73" s="29" t="s">
        <v>309</v>
      </c>
      <c r="AA73" s="27" t="s">
        <v>160</v>
      </c>
      <c r="AB73" s="27" t="s">
        <v>56</v>
      </c>
      <c r="AC73" s="27" t="str">
        <f>VLOOKUP(C73,Sheet1!$C$2:$X$1242,15,0)</f>
        <v/>
      </c>
      <c r="AD73" s="25" t="s">
        <v>290</v>
      </c>
      <c r="AE73" s="15" t="str">
        <f t="shared" si="1"/>
        <v/>
      </c>
      <c r="AF73" s="19" t="str">
        <f>VLOOKUP(C73,Sheet1!$C$2:$AE$400,24,0)</f>
        <v>KHÓA LUẬN</v>
      </c>
      <c r="AG73" s="13" t="s">
        <v>406</v>
      </c>
      <c r="AH73" s="31" t="str">
        <f>VLOOKUP(AG73,gvhd!$D$3:$P$17,11,0)</f>
        <v>0905767997</v>
      </c>
      <c r="AI73" s="32" t="str">
        <f>VLOOKUP(AG73,gvhd!$D$3:$P$17,12,0)</f>
        <v>voduchieu@dtu-hti.edu.vn</v>
      </c>
    </row>
    <row r="74">
      <c r="A74" s="22">
        <v>45698.8330425</v>
      </c>
      <c r="B74" s="23" t="s">
        <v>462</v>
      </c>
      <c r="C74" s="23">
        <v>2.7207130518E10</v>
      </c>
      <c r="D74" s="23" t="s">
        <v>463</v>
      </c>
      <c r="E74" s="24">
        <v>37807.0</v>
      </c>
      <c r="F74" s="23" t="s">
        <v>464</v>
      </c>
      <c r="G74" s="25" t="s">
        <v>37</v>
      </c>
      <c r="H74" s="25">
        <v>27.0</v>
      </c>
      <c r="I74" s="26" t="s">
        <v>465</v>
      </c>
      <c r="J74" s="25" t="s">
        <v>288</v>
      </c>
      <c r="K74" s="25" t="s">
        <v>160</v>
      </c>
      <c r="L74" s="27"/>
      <c r="M74" s="25" t="s">
        <v>466</v>
      </c>
      <c r="N74" s="25" t="s">
        <v>170</v>
      </c>
      <c r="O74" s="25" t="s">
        <v>56</v>
      </c>
      <c r="P74" s="27"/>
      <c r="Q74" s="25" t="s">
        <v>467</v>
      </c>
      <c r="R74" s="25" t="s">
        <v>45</v>
      </c>
      <c r="S74" s="25" t="s">
        <v>39</v>
      </c>
      <c r="T74" s="25" t="s">
        <v>58</v>
      </c>
      <c r="U74" s="34">
        <v>45677.0</v>
      </c>
      <c r="V74" s="34">
        <v>45767.0</v>
      </c>
      <c r="W74" s="29">
        <v>73.0</v>
      </c>
      <c r="X74" s="29" t="s">
        <v>309</v>
      </c>
      <c r="Y74" s="30" t="s">
        <v>46</v>
      </c>
      <c r="Z74" s="29" t="s">
        <v>309</v>
      </c>
      <c r="AA74" s="27" t="s">
        <v>160</v>
      </c>
      <c r="AB74" s="27" t="s">
        <v>56</v>
      </c>
      <c r="AC74" s="27" t="str">
        <f>VLOOKUP(C74,Sheet1!$C$2:$X$1242,15,0)</f>
        <v/>
      </c>
      <c r="AD74" s="25" t="s">
        <v>290</v>
      </c>
      <c r="AE74" s="15" t="str">
        <f t="shared" si="1"/>
        <v/>
      </c>
      <c r="AF74" s="19" t="str">
        <f>VLOOKUP(C74,Sheet1!$C$2:$AE$400,24,0)</f>
        <v>KHÓA LUẬN</v>
      </c>
      <c r="AG74" s="19" t="s">
        <v>77</v>
      </c>
      <c r="AH74" s="20" t="str">
        <f>VLOOKUP(AG74,gvhd!$D$3:$P$17,11,0)</f>
        <v>0906 029 602</v>
      </c>
      <c r="AI74" s="21" t="str">
        <f>VLOOKUP(AG74,gvhd!$D$3:$P$17,12,0)</f>
        <v>tranhoanganh@dtu-hti.edu.vn</v>
      </c>
    </row>
    <row r="75">
      <c r="A75" s="22">
        <v>45673.6732616088</v>
      </c>
      <c r="B75" s="23" t="s">
        <v>468</v>
      </c>
      <c r="C75" s="23">
        <v>2.7217142556E10</v>
      </c>
      <c r="D75" s="23" t="s">
        <v>469</v>
      </c>
      <c r="E75" s="24">
        <v>37789.0</v>
      </c>
      <c r="F75" s="23" t="s">
        <v>276</v>
      </c>
      <c r="G75" s="25" t="s">
        <v>63</v>
      </c>
      <c r="H75" s="25">
        <v>27.0</v>
      </c>
      <c r="I75" s="26" t="s">
        <v>470</v>
      </c>
      <c r="J75" s="25" t="s">
        <v>39</v>
      </c>
      <c r="K75" s="25" t="s">
        <v>160</v>
      </c>
      <c r="L75" s="27"/>
      <c r="M75" s="25" t="s">
        <v>471</v>
      </c>
      <c r="N75" s="25" t="s">
        <v>68</v>
      </c>
      <c r="O75" s="25" t="s">
        <v>117</v>
      </c>
      <c r="P75" s="27"/>
      <c r="Q75" s="25" t="s">
        <v>308</v>
      </c>
      <c r="R75" s="25" t="s">
        <v>45</v>
      </c>
      <c r="S75" s="25" t="s">
        <v>39</v>
      </c>
      <c r="T75" s="27"/>
      <c r="U75" s="34">
        <v>45691.0</v>
      </c>
      <c r="V75" s="34">
        <v>45780.0</v>
      </c>
      <c r="W75" s="29">
        <v>74.0</v>
      </c>
      <c r="X75" s="29" t="s">
        <v>309</v>
      </c>
      <c r="Y75" s="30" t="s">
        <v>46</v>
      </c>
      <c r="Z75" s="29" t="s">
        <v>309</v>
      </c>
      <c r="AA75" s="27" t="s">
        <v>160</v>
      </c>
      <c r="AB75" s="27" t="s">
        <v>117</v>
      </c>
      <c r="AC75" s="27" t="str">
        <f>VLOOKUP(C75,Sheet1!$C$2:$X$1242,15,0)</f>
        <v/>
      </c>
      <c r="AD75" s="25" t="s">
        <v>163</v>
      </c>
      <c r="AE75" s="15" t="str">
        <f t="shared" si="1"/>
        <v/>
      </c>
      <c r="AF75" s="19" t="str">
        <f>VLOOKUP(C75,Sheet1!$C$2:$AE$400,24,0)</f>
        <v>CHUYÊN ĐỀ</v>
      </c>
      <c r="AG75" s="19" t="s">
        <v>77</v>
      </c>
      <c r="AH75" s="31" t="str">
        <f>VLOOKUP(AG75,gvhd!$D$3:$P$17,11,0)</f>
        <v>0906 029 602</v>
      </c>
      <c r="AI75" s="32" t="str">
        <f>VLOOKUP(AG75,gvhd!$D$3:$P$17,12,0)</f>
        <v>tranhoanganh@dtu-hti.edu.vn</v>
      </c>
    </row>
    <row r="76">
      <c r="A76" s="22">
        <v>45673.80560839121</v>
      </c>
      <c r="B76" s="23" t="s">
        <v>472</v>
      </c>
      <c r="C76" s="23">
        <v>2.7207122499E10</v>
      </c>
      <c r="D76" s="23" t="s">
        <v>473</v>
      </c>
      <c r="E76" s="24">
        <v>37863.0</v>
      </c>
      <c r="F76" s="23" t="s">
        <v>108</v>
      </c>
      <c r="G76" s="25" t="s">
        <v>63</v>
      </c>
      <c r="H76" s="25">
        <v>27.0</v>
      </c>
      <c r="I76" s="26" t="s">
        <v>474</v>
      </c>
      <c r="J76" s="25" t="s">
        <v>39</v>
      </c>
      <c r="K76" s="25" t="s">
        <v>475</v>
      </c>
      <c r="L76" s="27"/>
      <c r="M76" s="25" t="s">
        <v>476</v>
      </c>
      <c r="N76" s="25" t="s">
        <v>68</v>
      </c>
      <c r="O76" s="25" t="s">
        <v>56</v>
      </c>
      <c r="P76" s="27"/>
      <c r="Q76" s="26" t="s">
        <v>477</v>
      </c>
      <c r="R76" s="25" t="s">
        <v>45</v>
      </c>
      <c r="S76" s="25" t="s">
        <v>39</v>
      </c>
      <c r="T76" s="27"/>
      <c r="U76" s="34">
        <v>45698.0</v>
      </c>
      <c r="V76" s="34">
        <v>45787.0</v>
      </c>
      <c r="W76" s="29">
        <v>75.0</v>
      </c>
      <c r="X76" s="29" t="s">
        <v>478</v>
      </c>
      <c r="Y76" s="30" t="s">
        <v>46</v>
      </c>
      <c r="Z76" s="29" t="s">
        <v>309</v>
      </c>
      <c r="AA76" s="27" t="s">
        <v>475</v>
      </c>
      <c r="AB76" s="27" t="s">
        <v>56</v>
      </c>
      <c r="AC76" s="27" t="str">
        <f>VLOOKUP(C76,Sheet1!$C$2:$X$1242,15,0)</f>
        <v/>
      </c>
      <c r="AD76" s="27"/>
      <c r="AE76" s="15" t="str">
        <f t="shared" si="1"/>
        <v/>
      </c>
      <c r="AF76" s="19" t="str">
        <f>VLOOKUP(C76,Sheet1!$C$2:$AE$400,24,0)</f>
        <v>CHUYÊN ĐỀ</v>
      </c>
      <c r="AG76" s="19" t="s">
        <v>71</v>
      </c>
      <c r="AH76" s="20" t="str">
        <f>VLOOKUP(AG76,gvhd!$D$3:$P$17,11,0)</f>
        <v>0702605664</v>
      </c>
      <c r="AI76" s="21" t="str">
        <f>VLOOKUP(AG76,gvhd!$D$3:$P$17,12,0)</f>
        <v>huynhlthuylinh@dtu-hti.edu.vn</v>
      </c>
    </row>
    <row r="77">
      <c r="A77" s="22">
        <v>45673.88119884259</v>
      </c>
      <c r="B77" s="23" t="s">
        <v>479</v>
      </c>
      <c r="C77" s="23">
        <v>2.7207128512E10</v>
      </c>
      <c r="D77" s="23" t="s">
        <v>480</v>
      </c>
      <c r="E77" s="24">
        <v>37980.0</v>
      </c>
      <c r="F77" s="23" t="s">
        <v>481</v>
      </c>
      <c r="G77" s="25" t="s">
        <v>63</v>
      </c>
      <c r="H77" s="25">
        <v>27.0</v>
      </c>
      <c r="I77" s="26" t="s">
        <v>482</v>
      </c>
      <c r="J77" s="25" t="s">
        <v>39</v>
      </c>
      <c r="K77" s="25" t="s">
        <v>154</v>
      </c>
      <c r="L77" s="27"/>
      <c r="M77" s="25" t="s">
        <v>483</v>
      </c>
      <c r="N77" s="25" t="s">
        <v>68</v>
      </c>
      <c r="O77" s="25" t="s">
        <v>117</v>
      </c>
      <c r="P77" s="27"/>
      <c r="Q77" s="25" t="s">
        <v>444</v>
      </c>
      <c r="R77" s="25" t="s">
        <v>45</v>
      </c>
      <c r="S77" s="25" t="s">
        <v>39</v>
      </c>
      <c r="T77" s="27"/>
      <c r="U77" s="34">
        <v>45698.0</v>
      </c>
      <c r="V77" s="34">
        <v>45787.0</v>
      </c>
      <c r="W77" s="29">
        <v>76.0</v>
      </c>
      <c r="X77" s="29" t="s">
        <v>309</v>
      </c>
      <c r="Y77" s="30" t="s">
        <v>46</v>
      </c>
      <c r="Z77" s="29" t="s">
        <v>309</v>
      </c>
      <c r="AA77" s="27" t="s">
        <v>154</v>
      </c>
      <c r="AB77" s="27" t="s">
        <v>117</v>
      </c>
      <c r="AC77" s="27" t="str">
        <f>VLOOKUP(C77,Sheet1!$C$2:$X$1242,15,0)</f>
        <v/>
      </c>
      <c r="AD77" s="27"/>
      <c r="AE77" s="15" t="str">
        <f t="shared" si="1"/>
        <v/>
      </c>
      <c r="AF77" s="19" t="str">
        <f>VLOOKUP(C77,Sheet1!$C$2:$AE$400,24,0)</f>
        <v>CHUYÊN ĐỀ</v>
      </c>
      <c r="AG77" s="19" t="s">
        <v>215</v>
      </c>
      <c r="AH77" s="31" t="str">
        <f>VLOOKUP(AG77,gvhd!$D$3:$P$17,11,0)</f>
        <v>0905938748</v>
      </c>
      <c r="AI77" s="32" t="str">
        <f>VLOOKUP(AG77,gvhd!$D$3:$P$17,12,0)</f>
        <v>duongtxuandieu@dtu-hti.edu.vn</v>
      </c>
    </row>
    <row r="78">
      <c r="A78" s="22">
        <v>45673.887658657404</v>
      </c>
      <c r="B78" s="23" t="s">
        <v>484</v>
      </c>
      <c r="C78" s="23">
        <v>2.720710085E10</v>
      </c>
      <c r="D78" s="23" t="s">
        <v>485</v>
      </c>
      <c r="E78" s="24">
        <v>37856.0</v>
      </c>
      <c r="F78" s="23" t="s">
        <v>178</v>
      </c>
      <c r="G78" s="25" t="s">
        <v>63</v>
      </c>
      <c r="H78" s="25">
        <v>27.0</v>
      </c>
      <c r="I78" s="26" t="s">
        <v>486</v>
      </c>
      <c r="J78" s="25" t="s">
        <v>39</v>
      </c>
      <c r="K78" s="25" t="s">
        <v>168</v>
      </c>
      <c r="L78" s="27"/>
      <c r="M78" s="25" t="s">
        <v>487</v>
      </c>
      <c r="N78" s="25" t="s">
        <v>68</v>
      </c>
      <c r="O78" s="25" t="s">
        <v>117</v>
      </c>
      <c r="P78" s="27"/>
      <c r="Q78" s="25" t="s">
        <v>309</v>
      </c>
      <c r="R78" s="25" t="s">
        <v>45</v>
      </c>
      <c r="S78" s="25" t="s">
        <v>39</v>
      </c>
      <c r="T78" s="27"/>
      <c r="U78" s="34">
        <v>45698.0</v>
      </c>
      <c r="V78" s="34">
        <v>45787.0</v>
      </c>
      <c r="W78" s="29">
        <v>77.0</v>
      </c>
      <c r="X78" s="29" t="s">
        <v>251</v>
      </c>
      <c r="Y78" s="30" t="s">
        <v>46</v>
      </c>
      <c r="Z78" s="29" t="s">
        <v>309</v>
      </c>
      <c r="AA78" s="27" t="s">
        <v>168</v>
      </c>
      <c r="AB78" s="27" t="s">
        <v>117</v>
      </c>
      <c r="AC78" s="27" t="str">
        <f>VLOOKUP(C78,Sheet1!$C$2:$X$1242,15,0)</f>
        <v/>
      </c>
      <c r="AD78" s="27"/>
      <c r="AE78" s="15" t="str">
        <f t="shared" si="1"/>
        <v/>
      </c>
      <c r="AF78" s="19" t="str">
        <f>VLOOKUP(C78,Sheet1!$C$2:$AE$400,24,0)</f>
        <v>CHUYÊN ĐỀ</v>
      </c>
      <c r="AG78" s="19" t="s">
        <v>59</v>
      </c>
      <c r="AH78" s="20" t="str">
        <f>VLOOKUP(AG78,gvhd!$D$3:$P$17,11,0)</f>
        <v>0355072844</v>
      </c>
      <c r="AI78" s="21" t="str">
        <f>VLOOKUP(AG78,gvhd!$D$3:$P$17,12,0)</f>
        <v>Ngotthanhnga@dtu-hti.edu.vn</v>
      </c>
    </row>
    <row r="79">
      <c r="A79" s="22">
        <v>45674.42439180556</v>
      </c>
      <c r="B79" s="23" t="s">
        <v>488</v>
      </c>
      <c r="C79" s="23">
        <v>2.7207140635E10</v>
      </c>
      <c r="D79" s="23" t="s">
        <v>489</v>
      </c>
      <c r="E79" s="24">
        <v>37908.0</v>
      </c>
      <c r="F79" s="23" t="s">
        <v>129</v>
      </c>
      <c r="G79" s="25" t="s">
        <v>63</v>
      </c>
      <c r="H79" s="25">
        <v>27.0</v>
      </c>
      <c r="I79" s="26" t="s">
        <v>490</v>
      </c>
      <c r="J79" s="25" t="s">
        <v>39</v>
      </c>
      <c r="K79" s="25" t="s">
        <v>98</v>
      </c>
      <c r="L79" s="27"/>
      <c r="M79" s="25" t="s">
        <v>491</v>
      </c>
      <c r="N79" s="25" t="s">
        <v>68</v>
      </c>
      <c r="O79" s="25" t="s">
        <v>117</v>
      </c>
      <c r="P79" s="27"/>
      <c r="Q79" s="25" t="s">
        <v>444</v>
      </c>
      <c r="R79" s="25" t="s">
        <v>45</v>
      </c>
      <c r="S79" s="25" t="s">
        <v>39</v>
      </c>
      <c r="T79" s="27"/>
      <c r="U79" s="34">
        <v>45698.0</v>
      </c>
      <c r="V79" s="34">
        <v>45787.0</v>
      </c>
      <c r="W79" s="29">
        <v>78.0</v>
      </c>
      <c r="X79" s="29" t="s">
        <v>309</v>
      </c>
      <c r="Y79" s="30" t="s">
        <v>46</v>
      </c>
      <c r="Z79" s="29" t="s">
        <v>309</v>
      </c>
      <c r="AA79" s="27" t="s">
        <v>98</v>
      </c>
      <c r="AB79" s="27" t="s">
        <v>117</v>
      </c>
      <c r="AC79" s="27" t="str">
        <f>VLOOKUP(C79,Sheet1!$C$2:$X$1242,15,0)</f>
        <v/>
      </c>
      <c r="AD79" s="27"/>
      <c r="AE79" s="15" t="str">
        <f t="shared" si="1"/>
        <v/>
      </c>
      <c r="AF79" s="19" t="str">
        <f>VLOOKUP(C79,Sheet1!$C$2:$AE$400,24,0)</f>
        <v>CHUYÊN ĐỀ</v>
      </c>
      <c r="AG79" s="19" t="s">
        <v>77</v>
      </c>
      <c r="AH79" s="31" t="str">
        <f>VLOOKUP(AG79,gvhd!$D$3:$P$17,11,0)</f>
        <v>0906 029 602</v>
      </c>
      <c r="AI79" s="32" t="str">
        <f>VLOOKUP(AG79,gvhd!$D$3:$P$17,12,0)</f>
        <v>tranhoanganh@dtu-hti.edu.vn</v>
      </c>
    </row>
    <row r="80">
      <c r="A80" s="22">
        <v>45674.60324398148</v>
      </c>
      <c r="B80" s="23" t="s">
        <v>492</v>
      </c>
      <c r="C80" s="23">
        <v>2.7207142127E10</v>
      </c>
      <c r="D80" s="23" t="s">
        <v>493</v>
      </c>
      <c r="E80" s="24">
        <v>37689.0</v>
      </c>
      <c r="F80" s="23" t="s">
        <v>286</v>
      </c>
      <c r="G80" s="25" t="s">
        <v>37</v>
      </c>
      <c r="H80" s="25">
        <v>27.0</v>
      </c>
      <c r="I80" s="26" t="s">
        <v>494</v>
      </c>
      <c r="J80" s="25" t="s">
        <v>39</v>
      </c>
      <c r="K80" s="25" t="s">
        <v>160</v>
      </c>
      <c r="L80" s="27"/>
      <c r="M80" s="25" t="s">
        <v>307</v>
      </c>
      <c r="N80" s="25" t="s">
        <v>68</v>
      </c>
      <c r="O80" s="25" t="s">
        <v>56</v>
      </c>
      <c r="P80" s="27"/>
      <c r="Q80" s="25" t="s">
        <v>457</v>
      </c>
      <c r="R80" s="25" t="s">
        <v>45</v>
      </c>
      <c r="S80" s="25" t="s">
        <v>39</v>
      </c>
      <c r="T80" s="25" t="s">
        <v>58</v>
      </c>
      <c r="U80" s="34">
        <v>45691.0</v>
      </c>
      <c r="V80" s="34">
        <v>45780.0</v>
      </c>
      <c r="W80" s="29">
        <v>79.0</v>
      </c>
      <c r="X80" s="29" t="s">
        <v>375</v>
      </c>
      <c r="Y80" s="30" t="s">
        <v>46</v>
      </c>
      <c r="Z80" s="29" t="s">
        <v>309</v>
      </c>
      <c r="AA80" s="27" t="s">
        <v>160</v>
      </c>
      <c r="AB80" s="27" t="s">
        <v>56</v>
      </c>
      <c r="AC80" s="27" t="str">
        <f>VLOOKUP(C80,Sheet1!$C$2:$X$1242,15,0)</f>
        <v/>
      </c>
      <c r="AD80" s="25" t="s">
        <v>290</v>
      </c>
      <c r="AE80" s="15" t="str">
        <f t="shared" si="1"/>
        <v/>
      </c>
      <c r="AF80" s="19" t="str">
        <f>VLOOKUP(C80,Sheet1!$C$2:$AE$400,24,0)</f>
        <v>KHÓA LUẬN</v>
      </c>
      <c r="AG80" s="19" t="s">
        <v>77</v>
      </c>
      <c r="AH80" s="20" t="str">
        <f>VLOOKUP(AG80,gvhd!$D$3:$P$17,11,0)</f>
        <v>0906 029 602</v>
      </c>
      <c r="AI80" s="21" t="str">
        <f>VLOOKUP(AG80,gvhd!$D$3:$P$17,12,0)</f>
        <v>tranhoanganh@dtu-hti.edu.vn</v>
      </c>
    </row>
    <row r="81">
      <c r="A81" s="22">
        <v>45674.63471636574</v>
      </c>
      <c r="B81" s="23" t="s">
        <v>495</v>
      </c>
      <c r="C81" s="23">
        <v>2.7217102218E10</v>
      </c>
      <c r="D81" s="23" t="s">
        <v>496</v>
      </c>
      <c r="E81" s="24">
        <v>37847.0</v>
      </c>
      <c r="F81" s="23" t="s">
        <v>145</v>
      </c>
      <c r="G81" s="25" t="s">
        <v>63</v>
      </c>
      <c r="H81" s="25">
        <v>27.0</v>
      </c>
      <c r="I81" s="26" t="s">
        <v>497</v>
      </c>
      <c r="J81" s="25" t="s">
        <v>39</v>
      </c>
      <c r="K81" s="25" t="s">
        <v>154</v>
      </c>
      <c r="L81" s="27"/>
      <c r="M81" s="25" t="s">
        <v>498</v>
      </c>
      <c r="N81" s="25" t="s">
        <v>68</v>
      </c>
      <c r="O81" s="25" t="s">
        <v>117</v>
      </c>
      <c r="P81" s="27"/>
      <c r="Q81" s="25" t="s">
        <v>449</v>
      </c>
      <c r="R81" s="25" t="s">
        <v>45</v>
      </c>
      <c r="S81" s="25" t="s">
        <v>39</v>
      </c>
      <c r="T81" s="27"/>
      <c r="U81" s="34">
        <v>45698.0</v>
      </c>
      <c r="V81" s="34">
        <v>45787.0</v>
      </c>
      <c r="W81" s="29">
        <v>80.0</v>
      </c>
      <c r="X81" s="29" t="s">
        <v>309</v>
      </c>
      <c r="Y81" s="30" t="s">
        <v>46</v>
      </c>
      <c r="Z81" s="29" t="s">
        <v>309</v>
      </c>
      <c r="AA81" s="27" t="s">
        <v>154</v>
      </c>
      <c r="AB81" s="27" t="s">
        <v>117</v>
      </c>
      <c r="AC81" s="27" t="str">
        <f>VLOOKUP(C81,Sheet1!$C$2:$X$1242,15,0)</f>
        <v/>
      </c>
      <c r="AD81" s="27"/>
      <c r="AE81" s="15" t="str">
        <f t="shared" si="1"/>
        <v/>
      </c>
      <c r="AF81" s="19" t="str">
        <f>VLOOKUP(C81,Sheet1!$C$2:$AE$400,24,0)</f>
        <v>CHUYÊN ĐỀ</v>
      </c>
      <c r="AG81" s="19" t="s">
        <v>215</v>
      </c>
      <c r="AH81" s="31" t="str">
        <f>VLOOKUP(AG81,gvhd!$D$3:$P$17,11,0)</f>
        <v>0905938748</v>
      </c>
      <c r="AI81" s="32" t="str">
        <f>VLOOKUP(AG81,gvhd!$D$3:$P$17,12,0)</f>
        <v>duongtxuandieu@dtu-hti.edu.vn</v>
      </c>
    </row>
    <row r="82">
      <c r="A82" s="22">
        <v>45674.690173483796</v>
      </c>
      <c r="B82" s="23" t="s">
        <v>499</v>
      </c>
      <c r="C82" s="23">
        <v>2.7207102577E10</v>
      </c>
      <c r="D82" s="23" t="s">
        <v>500</v>
      </c>
      <c r="E82" s="24">
        <v>37726.0</v>
      </c>
      <c r="F82" s="23" t="s">
        <v>145</v>
      </c>
      <c r="G82" s="25" t="s">
        <v>63</v>
      </c>
      <c r="H82" s="25">
        <v>27.0</v>
      </c>
      <c r="I82" s="26" t="s">
        <v>501</v>
      </c>
      <c r="J82" s="25" t="s">
        <v>39</v>
      </c>
      <c r="K82" s="25" t="s">
        <v>168</v>
      </c>
      <c r="L82" s="27"/>
      <c r="M82" s="25" t="s">
        <v>502</v>
      </c>
      <c r="N82" s="25" t="s">
        <v>68</v>
      </c>
      <c r="O82" s="25" t="s">
        <v>92</v>
      </c>
      <c r="P82" s="27"/>
      <c r="Q82" s="25" t="s">
        <v>437</v>
      </c>
      <c r="R82" s="25" t="s">
        <v>45</v>
      </c>
      <c r="S82" s="25" t="s">
        <v>39</v>
      </c>
      <c r="T82" s="27"/>
      <c r="U82" s="34">
        <v>45663.0</v>
      </c>
      <c r="V82" s="34">
        <v>45787.0</v>
      </c>
      <c r="W82" s="29">
        <v>81.0</v>
      </c>
      <c r="X82" s="29" t="s">
        <v>375</v>
      </c>
      <c r="Y82" s="30" t="s">
        <v>46</v>
      </c>
      <c r="Z82" s="29" t="s">
        <v>309</v>
      </c>
      <c r="AA82" s="27" t="s">
        <v>168</v>
      </c>
      <c r="AB82" s="27" t="s">
        <v>92</v>
      </c>
      <c r="AC82" s="27" t="str">
        <f>VLOOKUP(C82,Sheet1!$C$2:$X$1242,15,0)</f>
        <v/>
      </c>
      <c r="AD82" s="27"/>
      <c r="AE82" s="15" t="str">
        <f t="shared" si="1"/>
        <v/>
      </c>
      <c r="AF82" s="19" t="str">
        <f>VLOOKUP(C82,Sheet1!$C$2:$AE$400,24,0)</f>
        <v>CHUYÊN ĐỀ</v>
      </c>
      <c r="AG82" s="19" t="s">
        <v>59</v>
      </c>
      <c r="AH82" s="20" t="str">
        <f>VLOOKUP(AG82,gvhd!$D$3:$P$17,11,0)</f>
        <v>0355072844</v>
      </c>
      <c r="AI82" s="21" t="str">
        <f>VLOOKUP(AG82,gvhd!$D$3:$P$17,12,0)</f>
        <v>Ngotthanhnga@dtu-hti.edu.vn</v>
      </c>
    </row>
    <row r="83">
      <c r="A83" s="35">
        <v>45674.72114267361</v>
      </c>
      <c r="B83" s="36" t="s">
        <v>503</v>
      </c>
      <c r="C83" s="36">
        <v>2.7207120204E10</v>
      </c>
      <c r="D83" s="36" t="s">
        <v>504</v>
      </c>
      <c r="E83" s="37">
        <v>37779.0</v>
      </c>
      <c r="F83" s="36" t="s">
        <v>178</v>
      </c>
      <c r="G83" s="38" t="s">
        <v>63</v>
      </c>
      <c r="H83" s="38">
        <v>27.0</v>
      </c>
      <c r="I83" s="39" t="s">
        <v>505</v>
      </c>
      <c r="J83" s="38" t="s">
        <v>39</v>
      </c>
      <c r="K83" s="38" t="s">
        <v>435</v>
      </c>
      <c r="L83" s="38" t="s">
        <v>435</v>
      </c>
      <c r="M83" s="38" t="s">
        <v>506</v>
      </c>
      <c r="N83" s="38" t="s">
        <v>170</v>
      </c>
      <c r="O83" s="38" t="s">
        <v>507</v>
      </c>
      <c r="P83" s="38" t="s">
        <v>508</v>
      </c>
      <c r="Q83" s="38" t="s">
        <v>444</v>
      </c>
      <c r="R83" s="38" t="s">
        <v>45</v>
      </c>
      <c r="S83" s="38" t="s">
        <v>39</v>
      </c>
      <c r="T83" s="40"/>
      <c r="U83" s="41">
        <v>45670.0</v>
      </c>
      <c r="V83" s="41">
        <v>45760.0</v>
      </c>
      <c r="W83" s="42">
        <v>82.0</v>
      </c>
      <c r="X83" s="42" t="s">
        <v>309</v>
      </c>
      <c r="Y83" s="44" t="s">
        <v>46</v>
      </c>
      <c r="Z83" s="42" t="s">
        <v>309</v>
      </c>
      <c r="AA83" s="40" t="s">
        <v>435</v>
      </c>
      <c r="AB83" s="38" t="s">
        <v>507</v>
      </c>
      <c r="AC83" s="40" t="str">
        <f>VLOOKUP(C83,Sheet1!$C$2:$X$1242,15,0)</f>
        <v/>
      </c>
      <c r="AD83" s="38" t="s">
        <v>509</v>
      </c>
      <c r="AE83" s="60" t="str">
        <f t="shared" si="1"/>
        <v/>
      </c>
      <c r="AF83" s="19" t="str">
        <f>VLOOKUP(C83,Sheet1!$C$2:$AE$400,24,0)</f>
        <v>CHUYÊN ĐỀ</v>
      </c>
      <c r="AG83" s="19" t="s">
        <v>71</v>
      </c>
      <c r="AH83" s="31" t="str">
        <f>VLOOKUP(AG83,gvhd!$D$3:$P$17,11,0)</f>
        <v>0702605664</v>
      </c>
      <c r="AI83" s="32" t="str">
        <f>VLOOKUP(AG83,gvhd!$D$3:$P$17,12,0)</f>
        <v>huynhlthuylinh@dtu-hti.edu.vn</v>
      </c>
    </row>
    <row r="84">
      <c r="A84" s="22">
        <v>45674.87110210648</v>
      </c>
      <c r="B84" s="23" t="s">
        <v>510</v>
      </c>
      <c r="C84" s="23">
        <v>2.7217120413E10</v>
      </c>
      <c r="D84" s="23" t="s">
        <v>511</v>
      </c>
      <c r="E84" s="24">
        <v>37325.0</v>
      </c>
      <c r="F84" s="23" t="s">
        <v>481</v>
      </c>
      <c r="G84" s="25" t="s">
        <v>63</v>
      </c>
      <c r="H84" s="25">
        <v>27.0</v>
      </c>
      <c r="I84" s="26" t="s">
        <v>512</v>
      </c>
      <c r="J84" s="25" t="s">
        <v>39</v>
      </c>
      <c r="K84" s="25" t="s">
        <v>114</v>
      </c>
      <c r="L84" s="27"/>
      <c r="M84" s="25" t="s">
        <v>513</v>
      </c>
      <c r="N84" s="25" t="s">
        <v>68</v>
      </c>
      <c r="O84" s="25" t="s">
        <v>56</v>
      </c>
      <c r="P84" s="27"/>
      <c r="Q84" s="26" t="s">
        <v>84</v>
      </c>
      <c r="R84" s="25" t="s">
        <v>45</v>
      </c>
      <c r="S84" s="25" t="s">
        <v>39</v>
      </c>
      <c r="T84" s="27"/>
      <c r="U84" s="34">
        <v>45698.0</v>
      </c>
      <c r="V84" s="34">
        <v>45787.0</v>
      </c>
      <c r="W84" s="29">
        <v>83.0</v>
      </c>
      <c r="X84" s="29" t="s">
        <v>251</v>
      </c>
      <c r="Y84" s="30" t="s">
        <v>46</v>
      </c>
      <c r="Z84" s="29" t="s">
        <v>309</v>
      </c>
      <c r="AA84" s="27" t="s">
        <v>114</v>
      </c>
      <c r="AB84" s="27" t="s">
        <v>56</v>
      </c>
      <c r="AC84" s="27" t="str">
        <f>VLOOKUP(C84,Sheet1!$C$2:$X$1242,15,0)</f>
        <v/>
      </c>
      <c r="AD84" s="25" t="s">
        <v>138</v>
      </c>
      <c r="AE84" s="19" t="str">
        <f t="shared" si="1"/>
        <v/>
      </c>
      <c r="AF84" s="19" t="str">
        <f>VLOOKUP(C84,Sheet1!$C$2:$AE$400,24,0)</f>
        <v>CHUYÊN ĐỀ</v>
      </c>
      <c r="AG84" s="19" t="s">
        <v>139</v>
      </c>
      <c r="AH84" s="20" t="str">
        <f>VLOOKUP(AG84,gvhd!$D$3:$P$17,11,0)</f>
        <v>0975718029</v>
      </c>
      <c r="AI84" s="21" t="str">
        <f>VLOOKUP(AG84,gvhd!$D$3:$P$17,12,0)</f>
        <v>trantmylinh5@duytan.edu.vn</v>
      </c>
    </row>
    <row r="85">
      <c r="A85" s="22">
        <v>45694.43484872685</v>
      </c>
      <c r="B85" s="23" t="s">
        <v>514</v>
      </c>
      <c r="C85" s="23">
        <v>2.6207100647E10</v>
      </c>
      <c r="D85" s="23" t="s">
        <v>515</v>
      </c>
      <c r="E85" s="24">
        <v>37555.0</v>
      </c>
      <c r="F85" s="23" t="s">
        <v>516</v>
      </c>
      <c r="G85" s="25" t="s">
        <v>37</v>
      </c>
      <c r="H85" s="25">
        <v>27.0</v>
      </c>
      <c r="I85" s="26" t="s">
        <v>517</v>
      </c>
      <c r="J85" s="25" t="s">
        <v>39</v>
      </c>
      <c r="K85" s="27" t="s">
        <v>518</v>
      </c>
      <c r="L85" s="27" t="s">
        <v>518</v>
      </c>
      <c r="M85" s="25" t="s">
        <v>519</v>
      </c>
      <c r="N85" s="25" t="s">
        <v>520</v>
      </c>
      <c r="O85" s="27" t="s">
        <v>56</v>
      </c>
      <c r="P85" s="27"/>
      <c r="Q85" s="26" t="s">
        <v>156</v>
      </c>
      <c r="R85" s="25" t="s">
        <v>45</v>
      </c>
      <c r="S85" s="25" t="s">
        <v>39</v>
      </c>
      <c r="T85" s="27" t="s">
        <v>58</v>
      </c>
      <c r="U85" s="34">
        <v>45698.0</v>
      </c>
      <c r="V85" s="34">
        <v>45787.0</v>
      </c>
      <c r="W85" s="29"/>
      <c r="X85" s="17"/>
      <c r="Y85" s="30" t="s">
        <v>46</v>
      </c>
      <c r="Z85" s="17">
        <v>45810.0</v>
      </c>
      <c r="AA85" s="27" t="s">
        <v>518</v>
      </c>
      <c r="AB85" s="27" t="s">
        <v>56</v>
      </c>
      <c r="AC85" s="27" t="str">
        <f>VLOOKUP(C85,Sheet1!$C$2:$X$1242,15,0)</f>
        <v>ĐÃ NỘP</v>
      </c>
      <c r="AD85" s="25"/>
      <c r="AE85" s="19" t="str">
        <f t="shared" si="1"/>
        <v/>
      </c>
      <c r="AF85" s="19" t="str">
        <f>VLOOKUP(C85,Sheet1!$C$2:$AE$400,24,0)</f>
        <v>CHUYÊN ĐỀ</v>
      </c>
      <c r="AG85" s="13" t="s">
        <v>59</v>
      </c>
      <c r="AH85" s="31" t="str">
        <f>VLOOKUP(AG85,gvhd!$D$3:$P$17,11,0)</f>
        <v>0355072844</v>
      </c>
      <c r="AI85" s="32" t="str">
        <f>VLOOKUP(AG85,gvhd!$D$3:$P$17,12,0)</f>
        <v>Ngotthanhnga@dtu-hti.edu.vn</v>
      </c>
    </row>
    <row r="86">
      <c r="A86" s="22">
        <v>45675.089357060184</v>
      </c>
      <c r="B86" s="23" t="s">
        <v>521</v>
      </c>
      <c r="C86" s="23">
        <v>2.7207130741E10</v>
      </c>
      <c r="D86" s="23" t="s">
        <v>522</v>
      </c>
      <c r="E86" s="24">
        <v>37931.0</v>
      </c>
      <c r="F86" s="23" t="s">
        <v>108</v>
      </c>
      <c r="G86" s="25" t="s">
        <v>63</v>
      </c>
      <c r="H86" s="25">
        <v>27.0</v>
      </c>
      <c r="I86" s="26" t="s">
        <v>523</v>
      </c>
      <c r="J86" s="25" t="s">
        <v>288</v>
      </c>
      <c r="K86" s="25" t="s">
        <v>524</v>
      </c>
      <c r="L86" s="27"/>
      <c r="M86" s="25" t="s">
        <v>525</v>
      </c>
      <c r="N86" s="25" t="s">
        <v>68</v>
      </c>
      <c r="O86" s="25" t="s">
        <v>56</v>
      </c>
      <c r="P86" s="27"/>
      <c r="Q86" s="26" t="s">
        <v>156</v>
      </c>
      <c r="R86" s="25" t="s">
        <v>45</v>
      </c>
      <c r="S86" s="25" t="s">
        <v>288</v>
      </c>
      <c r="T86" s="25" t="s">
        <v>77</v>
      </c>
      <c r="U86" s="34">
        <v>45698.0</v>
      </c>
      <c r="V86" s="34">
        <v>42134.0</v>
      </c>
      <c r="W86" s="29">
        <v>85.0</v>
      </c>
      <c r="X86" s="17">
        <v>45963.0</v>
      </c>
      <c r="Y86" s="30" t="s">
        <v>46</v>
      </c>
      <c r="Z86" s="29" t="s">
        <v>309</v>
      </c>
      <c r="AA86" s="27" t="s">
        <v>524</v>
      </c>
      <c r="AB86" s="27" t="s">
        <v>56</v>
      </c>
      <c r="AC86" s="27" t="str">
        <f>VLOOKUP(C86,Sheet1!$C$2:$X$1242,15,0)</f>
        <v/>
      </c>
      <c r="AD86" s="27"/>
      <c r="AE86" s="15" t="str">
        <f t="shared" si="1"/>
        <v/>
      </c>
      <c r="AF86" s="19" t="str">
        <f>VLOOKUP(C86,Sheet1!$C$2:$AE$400,24,0)</f>
        <v>KHÓA LUẬN</v>
      </c>
      <c r="AG86" s="13" t="s">
        <v>101</v>
      </c>
      <c r="AH86" s="20" t="str">
        <f>VLOOKUP(AG86,gvhd!$D$3:$P$17,11,0)</f>
        <v>0935 141614</v>
      </c>
      <c r="AI86" s="21" t="str">
        <f>VLOOKUP(AG86,gvhd!$D$3:$P$17,12,0)</f>
        <v>phamthoangdung@duytan.edu.vn</v>
      </c>
    </row>
    <row r="87">
      <c r="A87" s="22">
        <v>45675.32825902778</v>
      </c>
      <c r="B87" s="23" t="s">
        <v>526</v>
      </c>
      <c r="C87" s="23">
        <v>2.7217101082E10</v>
      </c>
      <c r="D87" s="23" t="s">
        <v>527</v>
      </c>
      <c r="E87" s="24">
        <v>37978.0</v>
      </c>
      <c r="F87" s="23" t="s">
        <v>528</v>
      </c>
      <c r="G87" s="25" t="s">
        <v>63</v>
      </c>
      <c r="H87" s="25">
        <v>27.0</v>
      </c>
      <c r="I87" s="26" t="s">
        <v>529</v>
      </c>
      <c r="J87" s="25" t="s">
        <v>39</v>
      </c>
      <c r="K87" s="25" t="s">
        <v>337</v>
      </c>
      <c r="L87" s="27"/>
      <c r="M87" s="25" t="s">
        <v>530</v>
      </c>
      <c r="N87" s="25" t="s">
        <v>68</v>
      </c>
      <c r="O87" s="25" t="s">
        <v>56</v>
      </c>
      <c r="P87" s="27"/>
      <c r="Q87" s="25" t="s">
        <v>444</v>
      </c>
      <c r="R87" s="25" t="s">
        <v>45</v>
      </c>
      <c r="S87" s="25" t="s">
        <v>39</v>
      </c>
      <c r="T87" s="27"/>
      <c r="U87" s="34">
        <v>45698.0</v>
      </c>
      <c r="V87" s="34">
        <v>45787.0</v>
      </c>
      <c r="W87" s="29">
        <v>86.0</v>
      </c>
      <c r="X87" s="29" t="s">
        <v>251</v>
      </c>
      <c r="Y87" s="30" t="s">
        <v>46</v>
      </c>
      <c r="Z87" s="29" t="s">
        <v>309</v>
      </c>
      <c r="AA87" s="27" t="s">
        <v>337</v>
      </c>
      <c r="AB87" s="27" t="s">
        <v>56</v>
      </c>
      <c r="AC87" s="27" t="str">
        <f>VLOOKUP(C87,Sheet1!$C$2:$X$1242,15,0)</f>
        <v/>
      </c>
      <c r="AD87" s="27"/>
      <c r="AE87" s="15" t="str">
        <f t="shared" si="1"/>
        <v/>
      </c>
      <c r="AF87" s="19" t="str">
        <f>VLOOKUP(C87,Sheet1!$C$2:$AE$400,24,0)</f>
        <v>CHUYÊN ĐỀ</v>
      </c>
      <c r="AG87" s="19" t="s">
        <v>120</v>
      </c>
      <c r="AH87" s="31" t="str">
        <f>VLOOKUP(AG87,gvhd!$D$3:$P$17,11,0)</f>
        <v>0375658728</v>
      </c>
      <c r="AI87" s="32" t="str">
        <f>VLOOKUP(AG87,gvhd!$D$3:$P$17,12,0)</f>
        <v>trinhtkimchung@dtu-hti.edu.vn</v>
      </c>
    </row>
    <row r="88">
      <c r="A88" s="22">
        <v>45675.40272431713</v>
      </c>
      <c r="B88" s="23" t="s">
        <v>531</v>
      </c>
      <c r="C88" s="23">
        <v>2.7207101221E10</v>
      </c>
      <c r="D88" s="23" t="s">
        <v>532</v>
      </c>
      <c r="E88" s="24">
        <v>37840.0</v>
      </c>
      <c r="F88" s="23" t="s">
        <v>129</v>
      </c>
      <c r="G88" s="25" t="s">
        <v>63</v>
      </c>
      <c r="H88" s="25">
        <v>27.0</v>
      </c>
      <c r="I88" s="26" t="s">
        <v>533</v>
      </c>
      <c r="J88" s="25" t="s">
        <v>39</v>
      </c>
      <c r="K88" s="25" t="s">
        <v>168</v>
      </c>
      <c r="L88" s="27"/>
      <c r="M88" s="25" t="s">
        <v>169</v>
      </c>
      <c r="N88" s="25" t="s">
        <v>319</v>
      </c>
      <c r="O88" s="25" t="s">
        <v>117</v>
      </c>
      <c r="P88" s="27"/>
      <c r="Q88" s="25" t="s">
        <v>534</v>
      </c>
      <c r="R88" s="25" t="s">
        <v>45</v>
      </c>
      <c r="S88" s="25" t="s">
        <v>39</v>
      </c>
      <c r="T88" s="25" t="s">
        <v>77</v>
      </c>
      <c r="U88" s="34">
        <v>45698.0</v>
      </c>
      <c r="V88" s="34">
        <v>45787.0</v>
      </c>
      <c r="W88" s="29">
        <v>87.0</v>
      </c>
      <c r="X88" s="29" t="s">
        <v>251</v>
      </c>
      <c r="Y88" s="30" t="s">
        <v>46</v>
      </c>
      <c r="Z88" s="29" t="s">
        <v>309</v>
      </c>
      <c r="AA88" s="27" t="s">
        <v>168</v>
      </c>
      <c r="AB88" s="27" t="s">
        <v>117</v>
      </c>
      <c r="AC88" s="27" t="str">
        <f>VLOOKUP(C88,Sheet1!$C$2:$X$1242,15,0)</f>
        <v/>
      </c>
      <c r="AD88" s="27"/>
      <c r="AE88" s="15" t="str">
        <f t="shared" si="1"/>
        <v/>
      </c>
      <c r="AF88" s="19" t="str">
        <f>VLOOKUP(C88,Sheet1!$C$2:$AE$400,24,0)</f>
        <v>CHUYÊN ĐỀ</v>
      </c>
      <c r="AG88" s="19" t="s">
        <v>59</v>
      </c>
      <c r="AH88" s="20" t="str">
        <f>VLOOKUP(AG88,gvhd!$D$3:$P$17,11,0)</f>
        <v>0355072844</v>
      </c>
      <c r="AI88" s="21" t="str">
        <f>VLOOKUP(AG88,gvhd!$D$3:$P$17,12,0)</f>
        <v>Ngotthanhnga@dtu-hti.edu.vn</v>
      </c>
    </row>
    <row r="89">
      <c r="A89" s="22">
        <v>45675.45074859954</v>
      </c>
      <c r="B89" s="23" t="s">
        <v>535</v>
      </c>
      <c r="C89" s="23">
        <v>2.7217135116E10</v>
      </c>
      <c r="D89" s="23" t="s">
        <v>536</v>
      </c>
      <c r="E89" s="24">
        <v>37705.0</v>
      </c>
      <c r="F89" s="23" t="s">
        <v>537</v>
      </c>
      <c r="G89" s="25" t="s">
        <v>63</v>
      </c>
      <c r="H89" s="25">
        <v>27.0</v>
      </c>
      <c r="I89" s="26" t="s">
        <v>538</v>
      </c>
      <c r="J89" s="25" t="s">
        <v>39</v>
      </c>
      <c r="K89" s="25" t="s">
        <v>278</v>
      </c>
      <c r="L89" s="27"/>
      <c r="M89" s="25" t="s">
        <v>539</v>
      </c>
      <c r="N89" s="25" t="s">
        <v>540</v>
      </c>
      <c r="O89" s="25" t="s">
        <v>541</v>
      </c>
      <c r="P89" s="27"/>
      <c r="Q89" s="25" t="s">
        <v>309</v>
      </c>
      <c r="R89" s="25" t="s">
        <v>45</v>
      </c>
      <c r="S89" s="25" t="s">
        <v>39</v>
      </c>
      <c r="T89" s="27"/>
      <c r="U89" s="34">
        <v>45698.0</v>
      </c>
      <c r="V89" s="34">
        <v>45787.0</v>
      </c>
      <c r="W89" s="29">
        <v>88.0</v>
      </c>
      <c r="X89" s="29" t="s">
        <v>251</v>
      </c>
      <c r="Y89" s="30" t="s">
        <v>46</v>
      </c>
      <c r="Z89" s="29" t="s">
        <v>309</v>
      </c>
      <c r="AA89" s="27" t="s">
        <v>278</v>
      </c>
      <c r="AB89" s="27" t="s">
        <v>541</v>
      </c>
      <c r="AC89" s="27" t="str">
        <f>VLOOKUP(C89,Sheet1!$C$2:$X$1242,15,0)</f>
        <v/>
      </c>
      <c r="AD89" s="25"/>
      <c r="AE89" s="19" t="str">
        <f t="shared" si="1"/>
        <v/>
      </c>
      <c r="AF89" s="19" t="str">
        <f>VLOOKUP(C89,Sheet1!$C$2:$AE$400,24,0)</f>
        <v>không đủ điều kiện</v>
      </c>
      <c r="AG89" s="19"/>
      <c r="AH89" s="31"/>
      <c r="AI89" s="32"/>
    </row>
    <row r="90">
      <c r="A90" s="22">
        <v>45675.45553290509</v>
      </c>
      <c r="B90" s="23" t="s">
        <v>542</v>
      </c>
      <c r="C90" s="23">
        <v>2.7207100134E10</v>
      </c>
      <c r="D90" s="23" t="s">
        <v>543</v>
      </c>
      <c r="E90" s="24">
        <v>37961.0</v>
      </c>
      <c r="F90" s="23" t="s">
        <v>108</v>
      </c>
      <c r="G90" s="25" t="s">
        <v>63</v>
      </c>
      <c r="H90" s="25">
        <v>27.0</v>
      </c>
      <c r="I90" s="26" t="s">
        <v>544</v>
      </c>
      <c r="J90" s="25" t="s">
        <v>39</v>
      </c>
      <c r="K90" s="25" t="s">
        <v>278</v>
      </c>
      <c r="L90" s="27"/>
      <c r="M90" s="25" t="s">
        <v>545</v>
      </c>
      <c r="N90" s="25" t="s">
        <v>68</v>
      </c>
      <c r="O90" s="25" t="s">
        <v>56</v>
      </c>
      <c r="P90" s="27"/>
      <c r="Q90" s="25" t="s">
        <v>309</v>
      </c>
      <c r="R90" s="25" t="s">
        <v>45</v>
      </c>
      <c r="S90" s="25" t="s">
        <v>39</v>
      </c>
      <c r="T90" s="27"/>
      <c r="U90" s="34">
        <v>45698.0</v>
      </c>
      <c r="V90" s="34">
        <v>45787.0</v>
      </c>
      <c r="W90" s="29">
        <v>89.0</v>
      </c>
      <c r="X90" s="29" t="s">
        <v>251</v>
      </c>
      <c r="Y90" s="30" t="s">
        <v>46</v>
      </c>
      <c r="Z90" s="29" t="s">
        <v>309</v>
      </c>
      <c r="AA90" s="27" t="s">
        <v>278</v>
      </c>
      <c r="AB90" s="27" t="s">
        <v>56</v>
      </c>
      <c r="AC90" s="27" t="str">
        <f>VLOOKUP(C90,Sheet1!$C$2:$X$1242,15,0)</f>
        <v/>
      </c>
      <c r="AD90" s="27"/>
      <c r="AE90" s="15" t="str">
        <f t="shared" si="1"/>
        <v/>
      </c>
      <c r="AF90" s="19" t="str">
        <f>VLOOKUP(C90,Sheet1!$C$2:$AE$400,24,0)</f>
        <v>CHUYÊN ĐỀ</v>
      </c>
      <c r="AG90" s="19" t="s">
        <v>71</v>
      </c>
      <c r="AH90" s="20" t="str">
        <f>VLOOKUP(AG90,gvhd!$D$3:$P$17,11,0)</f>
        <v>0702605664</v>
      </c>
      <c r="AI90" s="21" t="str">
        <f>VLOOKUP(AG90,gvhd!$D$3:$P$17,12,0)</f>
        <v>huynhlthuylinh@dtu-hti.edu.vn</v>
      </c>
    </row>
    <row r="91">
      <c r="A91" s="22">
        <v>45695.57881946759</v>
      </c>
      <c r="B91" s="23" t="s">
        <v>546</v>
      </c>
      <c r="C91" s="23">
        <v>2.7217101134E10</v>
      </c>
      <c r="D91" s="23" t="s">
        <v>547</v>
      </c>
      <c r="E91" s="24">
        <v>37692.0</v>
      </c>
      <c r="F91" s="23" t="s">
        <v>129</v>
      </c>
      <c r="G91" s="25" t="s">
        <v>63</v>
      </c>
      <c r="H91" s="25">
        <v>27.0</v>
      </c>
      <c r="I91" s="26" t="s">
        <v>548</v>
      </c>
      <c r="J91" s="25" t="s">
        <v>39</v>
      </c>
      <c r="K91" s="27" t="s">
        <v>235</v>
      </c>
      <c r="L91" s="25" t="s">
        <v>549</v>
      </c>
      <c r="M91" s="25" t="s">
        <v>550</v>
      </c>
      <c r="N91" s="25" t="s">
        <v>319</v>
      </c>
      <c r="O91" s="25" t="s">
        <v>92</v>
      </c>
      <c r="P91" s="27"/>
      <c r="Q91" s="26" t="s">
        <v>551</v>
      </c>
      <c r="R91" s="25" t="s">
        <v>45</v>
      </c>
      <c r="S91" s="25" t="s">
        <v>39</v>
      </c>
      <c r="T91" s="27"/>
      <c r="U91" s="34">
        <v>45691.0</v>
      </c>
      <c r="V91" s="34">
        <v>45780.0</v>
      </c>
      <c r="W91" s="29">
        <v>90.0</v>
      </c>
      <c r="X91" s="17">
        <v>45932.0</v>
      </c>
      <c r="Y91" s="30" t="s">
        <v>46</v>
      </c>
      <c r="Z91" s="17">
        <v>45932.0</v>
      </c>
      <c r="AA91" s="27" t="s">
        <v>235</v>
      </c>
      <c r="AB91" s="25" t="s">
        <v>92</v>
      </c>
      <c r="AC91" s="27"/>
      <c r="AD91" s="25"/>
      <c r="AE91" s="19" t="str">
        <f t="shared" si="1"/>
        <v/>
      </c>
      <c r="AF91" s="19" t="str">
        <f>VLOOKUP(C91,Sheet1!$C$2:$AE$400,24,0)</f>
        <v>CHUYÊN ĐỀ</v>
      </c>
      <c r="AG91" s="19" t="s">
        <v>120</v>
      </c>
      <c r="AH91" s="31" t="str">
        <f>VLOOKUP(AG91,gvhd!$D$3:$P$17,11,0)</f>
        <v>0375658728</v>
      </c>
      <c r="AI91" s="32" t="str">
        <f>VLOOKUP(AG91,gvhd!$D$3:$P$17,12,0)</f>
        <v>trinhtkimchung@dtu-hti.edu.vn</v>
      </c>
    </row>
    <row r="92">
      <c r="A92" s="22">
        <v>45675.466139375</v>
      </c>
      <c r="B92" s="23" t="s">
        <v>552</v>
      </c>
      <c r="C92" s="23">
        <v>2.7217130071E10</v>
      </c>
      <c r="D92" s="23" t="s">
        <v>553</v>
      </c>
      <c r="E92" s="24">
        <v>37926.0</v>
      </c>
      <c r="F92" s="23" t="s">
        <v>178</v>
      </c>
      <c r="G92" s="25" t="s">
        <v>63</v>
      </c>
      <c r="H92" s="25">
        <v>27.0</v>
      </c>
      <c r="I92" s="25">
        <v>3.84249205E8</v>
      </c>
      <c r="J92" s="25" t="s">
        <v>39</v>
      </c>
      <c r="K92" s="25" t="s">
        <v>168</v>
      </c>
      <c r="L92" s="27"/>
      <c r="M92" s="25" t="s">
        <v>554</v>
      </c>
      <c r="N92" s="25" t="s">
        <v>68</v>
      </c>
      <c r="O92" s="25" t="s">
        <v>117</v>
      </c>
      <c r="P92" s="27"/>
      <c r="Q92" s="25" t="s">
        <v>309</v>
      </c>
      <c r="R92" s="25" t="s">
        <v>45</v>
      </c>
      <c r="S92" s="25" t="s">
        <v>39</v>
      </c>
      <c r="T92" s="25" t="s">
        <v>77</v>
      </c>
      <c r="U92" s="34">
        <v>45698.0</v>
      </c>
      <c r="V92" s="34">
        <v>45787.0</v>
      </c>
      <c r="W92" s="29">
        <v>91.0</v>
      </c>
      <c r="X92" s="29" t="s">
        <v>251</v>
      </c>
      <c r="Y92" s="30" t="s">
        <v>46</v>
      </c>
      <c r="Z92" s="29" t="s">
        <v>309</v>
      </c>
      <c r="AA92" s="27" t="s">
        <v>168</v>
      </c>
      <c r="AB92" s="27" t="s">
        <v>117</v>
      </c>
      <c r="AC92" s="27" t="str">
        <f>VLOOKUP(C92,Sheet1!$C$2:$X$1242,15,0)</f>
        <v/>
      </c>
      <c r="AD92" s="27"/>
      <c r="AE92" s="15" t="str">
        <f t="shared" si="1"/>
        <v/>
      </c>
      <c r="AF92" s="19" t="str">
        <f>VLOOKUP(C92,Sheet1!$C$2:$AE$400,24,0)</f>
        <v>CHUYÊN ĐỀ</v>
      </c>
      <c r="AG92" s="19" t="s">
        <v>59</v>
      </c>
      <c r="AH92" s="20" t="str">
        <f>VLOOKUP(AG92,gvhd!$D$3:$P$17,11,0)</f>
        <v>0355072844</v>
      </c>
      <c r="AI92" s="21" t="str">
        <f>VLOOKUP(AG92,gvhd!$D$3:$P$17,12,0)</f>
        <v>Ngotthanhnga@dtu-hti.edu.vn</v>
      </c>
    </row>
    <row r="93">
      <c r="A93" s="22">
        <v>45675.57517916667</v>
      </c>
      <c r="B93" s="23" t="s">
        <v>555</v>
      </c>
      <c r="C93" s="23">
        <v>2.7207128591E10</v>
      </c>
      <c r="D93" s="23" t="s">
        <v>556</v>
      </c>
      <c r="E93" s="24">
        <v>37758.0</v>
      </c>
      <c r="F93" s="23" t="s">
        <v>96</v>
      </c>
      <c r="G93" s="25" t="s">
        <v>63</v>
      </c>
      <c r="H93" s="25">
        <v>27.0</v>
      </c>
      <c r="I93" s="26" t="s">
        <v>557</v>
      </c>
      <c r="J93" s="25" t="s">
        <v>39</v>
      </c>
      <c r="K93" s="25" t="s">
        <v>168</v>
      </c>
      <c r="L93" s="27"/>
      <c r="M93" s="25" t="s">
        <v>558</v>
      </c>
      <c r="N93" s="25" t="s">
        <v>170</v>
      </c>
      <c r="O93" s="25" t="s">
        <v>56</v>
      </c>
      <c r="P93" s="27"/>
      <c r="Q93" s="25" t="s">
        <v>309</v>
      </c>
      <c r="R93" s="25" t="s">
        <v>45</v>
      </c>
      <c r="S93" s="25" t="s">
        <v>39</v>
      </c>
      <c r="T93" s="27"/>
      <c r="U93" s="34">
        <v>45698.0</v>
      </c>
      <c r="V93" s="34">
        <v>45787.0</v>
      </c>
      <c r="W93" s="29">
        <v>92.0</v>
      </c>
      <c r="X93" s="29" t="s">
        <v>251</v>
      </c>
      <c r="Y93" s="30" t="s">
        <v>46</v>
      </c>
      <c r="Z93" s="29" t="s">
        <v>251</v>
      </c>
      <c r="AA93" s="27" t="s">
        <v>168</v>
      </c>
      <c r="AB93" s="25" t="s">
        <v>56</v>
      </c>
      <c r="AC93" s="27" t="str">
        <f>VLOOKUP(C93,Sheet1!$C$2:$X$1242,15,0)</f>
        <v/>
      </c>
      <c r="AD93" s="27"/>
      <c r="AE93" s="15" t="str">
        <f t="shared" si="1"/>
        <v/>
      </c>
      <c r="AF93" s="19" t="str">
        <f>VLOOKUP(C93,Sheet1!$C$2:$AE$400,24,0)</f>
        <v>CHUYÊN ĐỀ</v>
      </c>
      <c r="AG93" s="19" t="s">
        <v>59</v>
      </c>
      <c r="AH93" s="31" t="str">
        <f>VLOOKUP(AG93,gvhd!$D$3:$P$17,11,0)</f>
        <v>0355072844</v>
      </c>
      <c r="AI93" s="32" t="str">
        <f>VLOOKUP(AG93,gvhd!$D$3:$P$17,12,0)</f>
        <v>Ngotthanhnga@dtu-hti.edu.vn</v>
      </c>
    </row>
    <row r="94">
      <c r="A94" s="22">
        <v>45675.60212703704</v>
      </c>
      <c r="B94" s="23" t="s">
        <v>559</v>
      </c>
      <c r="C94" s="23">
        <v>2.7217102556E10</v>
      </c>
      <c r="D94" s="23" t="s">
        <v>560</v>
      </c>
      <c r="E94" s="24">
        <v>37652.0</v>
      </c>
      <c r="F94" s="23" t="s">
        <v>145</v>
      </c>
      <c r="G94" s="25" t="s">
        <v>63</v>
      </c>
      <c r="H94" s="25">
        <v>27.0</v>
      </c>
      <c r="I94" s="26" t="s">
        <v>561</v>
      </c>
      <c r="J94" s="25" t="s">
        <v>39</v>
      </c>
      <c r="K94" s="25" t="s">
        <v>160</v>
      </c>
      <c r="L94" s="27"/>
      <c r="M94" s="25" t="s">
        <v>562</v>
      </c>
      <c r="N94" s="25" t="s">
        <v>68</v>
      </c>
      <c r="O94" s="25" t="s">
        <v>56</v>
      </c>
      <c r="P94" s="27"/>
      <c r="Q94" s="25" t="s">
        <v>563</v>
      </c>
      <c r="R94" s="25" t="s">
        <v>45</v>
      </c>
      <c r="S94" s="25" t="s">
        <v>39</v>
      </c>
      <c r="T94" s="27"/>
      <c r="U94" s="34">
        <v>45698.0</v>
      </c>
      <c r="V94" s="34">
        <v>45787.0</v>
      </c>
      <c r="W94" s="29">
        <v>93.0</v>
      </c>
      <c r="X94" s="29" t="s">
        <v>375</v>
      </c>
      <c r="Y94" s="30" t="s">
        <v>46</v>
      </c>
      <c r="Z94" s="29" t="s">
        <v>251</v>
      </c>
      <c r="AA94" s="27" t="s">
        <v>160</v>
      </c>
      <c r="AB94" s="27" t="s">
        <v>56</v>
      </c>
      <c r="AC94" s="27" t="str">
        <f>VLOOKUP(C94,Sheet1!$C$2:$X$1242,15,0)</f>
        <v/>
      </c>
      <c r="AD94" s="25" t="s">
        <v>564</v>
      </c>
      <c r="AE94" s="15" t="str">
        <f t="shared" si="1"/>
        <v/>
      </c>
      <c r="AF94" s="19" t="str">
        <f>VLOOKUP(C94,Sheet1!$C$2:$AE$400,24,0)</f>
        <v>CHUYÊN ĐỀ</v>
      </c>
      <c r="AG94" s="19" t="s">
        <v>77</v>
      </c>
      <c r="AH94" s="20" t="str">
        <f>VLOOKUP(AG94,gvhd!$D$3:$P$17,11,0)</f>
        <v>0906 029 602</v>
      </c>
      <c r="AI94" s="21" t="str">
        <f>VLOOKUP(AG94,gvhd!$D$3:$P$17,12,0)</f>
        <v>tranhoanganh@dtu-hti.edu.vn</v>
      </c>
    </row>
    <row r="95">
      <c r="A95" s="22">
        <v>45675.988354016205</v>
      </c>
      <c r="B95" s="23" t="s">
        <v>565</v>
      </c>
      <c r="C95" s="23">
        <v>2.7207152647E10</v>
      </c>
      <c r="D95" s="23" t="s">
        <v>566</v>
      </c>
      <c r="E95" s="24">
        <v>37829.0</v>
      </c>
      <c r="F95" s="23" t="s">
        <v>80</v>
      </c>
      <c r="G95" s="25" t="s">
        <v>63</v>
      </c>
      <c r="H95" s="25">
        <v>27.0</v>
      </c>
      <c r="I95" s="26" t="s">
        <v>567</v>
      </c>
      <c r="J95" s="25" t="s">
        <v>288</v>
      </c>
      <c r="K95" s="25" t="s">
        <v>154</v>
      </c>
      <c r="L95" s="27"/>
      <c r="M95" s="25" t="s">
        <v>155</v>
      </c>
      <c r="N95" s="25" t="s">
        <v>68</v>
      </c>
      <c r="O95" s="25" t="s">
        <v>117</v>
      </c>
      <c r="P95" s="27"/>
      <c r="Q95" s="25" t="s">
        <v>444</v>
      </c>
      <c r="R95" s="25" t="s">
        <v>45</v>
      </c>
      <c r="S95" s="25" t="s">
        <v>288</v>
      </c>
      <c r="T95" s="27"/>
      <c r="U95" s="34">
        <v>45698.0</v>
      </c>
      <c r="V95" s="34">
        <v>45787.0</v>
      </c>
      <c r="W95" s="29">
        <v>94.0</v>
      </c>
      <c r="X95" s="29" t="s">
        <v>251</v>
      </c>
      <c r="Y95" s="30" t="s">
        <v>46</v>
      </c>
      <c r="Z95" s="29" t="s">
        <v>251</v>
      </c>
      <c r="AA95" s="27" t="s">
        <v>154</v>
      </c>
      <c r="AB95" s="27" t="s">
        <v>117</v>
      </c>
      <c r="AC95" s="27" t="str">
        <f>VLOOKUP(C95,Sheet1!$C$2:$X$1242,15,0)</f>
        <v/>
      </c>
      <c r="AD95" s="27"/>
      <c r="AE95" s="15" t="str">
        <f t="shared" si="1"/>
        <v/>
      </c>
      <c r="AF95" s="19" t="str">
        <f>VLOOKUP(C95,Sheet1!$C$2:$AE$400,24,0)</f>
        <v>CHUYÊN ĐỀ</v>
      </c>
      <c r="AG95" s="19" t="s">
        <v>215</v>
      </c>
      <c r="AH95" s="31" t="str">
        <f>VLOOKUP(AG95,gvhd!$D$3:$P$17,11,0)</f>
        <v>0905938748</v>
      </c>
      <c r="AI95" s="32" t="str">
        <f>VLOOKUP(AG95,gvhd!$D$3:$P$17,12,0)</f>
        <v>duongtxuandieu@dtu-hti.edu.vn</v>
      </c>
    </row>
    <row r="96">
      <c r="A96" s="22">
        <v>45693.6790262037</v>
      </c>
      <c r="B96" s="23" t="s">
        <v>568</v>
      </c>
      <c r="C96" s="23">
        <v>2.7217127461E10</v>
      </c>
      <c r="D96" s="23" t="s">
        <v>569</v>
      </c>
      <c r="E96" s="24">
        <v>37788.0</v>
      </c>
      <c r="F96" s="23" t="s">
        <v>178</v>
      </c>
      <c r="G96" s="25" t="s">
        <v>63</v>
      </c>
      <c r="H96" s="25">
        <v>27.0</v>
      </c>
      <c r="I96" s="26" t="s">
        <v>570</v>
      </c>
      <c r="J96" s="25" t="s">
        <v>39</v>
      </c>
      <c r="K96" s="25" t="s">
        <v>82</v>
      </c>
      <c r="L96" s="27"/>
      <c r="M96" s="25" t="s">
        <v>571</v>
      </c>
      <c r="N96" s="25" t="s">
        <v>170</v>
      </c>
      <c r="O96" s="25" t="s">
        <v>117</v>
      </c>
      <c r="P96" s="27"/>
      <c r="Q96" s="26" t="s">
        <v>420</v>
      </c>
      <c r="R96" s="25" t="s">
        <v>45</v>
      </c>
      <c r="S96" s="25" t="s">
        <v>39</v>
      </c>
      <c r="T96" s="27"/>
      <c r="U96" s="34">
        <v>45698.0</v>
      </c>
      <c r="V96" s="34">
        <v>45787.0</v>
      </c>
      <c r="W96" s="29">
        <v>95.0</v>
      </c>
      <c r="X96" s="17">
        <v>45779.0</v>
      </c>
      <c r="Y96" s="30" t="s">
        <v>46</v>
      </c>
      <c r="Z96" s="29" t="s">
        <v>251</v>
      </c>
      <c r="AA96" s="27" t="s">
        <v>82</v>
      </c>
      <c r="AB96" s="27" t="s">
        <v>117</v>
      </c>
      <c r="AC96" s="27" t="str">
        <f>VLOOKUP(C96,Sheet1!$C$2:$X$1242,15,0)</f>
        <v/>
      </c>
      <c r="AD96" s="27"/>
      <c r="AE96" s="15" t="str">
        <f t="shared" si="1"/>
        <v/>
      </c>
      <c r="AF96" s="19" t="str">
        <f>VLOOKUP(C96,Sheet1!$C$2:$AE$400,24,0)</f>
        <v>CHUYÊN ĐỀ</v>
      </c>
      <c r="AG96" s="19" t="s">
        <v>85</v>
      </c>
      <c r="AH96" s="20" t="str">
        <f>VLOOKUP(AG96,gvhd!$D$3:$P$17,11,0)</f>
        <v>0396.153.687</v>
      </c>
      <c r="AI96" s="21" t="str">
        <f>VLOOKUP(AG96,gvhd!$D$3:$P$17,12,0)</f>
        <v>nguyentminhthu@dtu-hti.edu.vn</v>
      </c>
    </row>
    <row r="97">
      <c r="A97" s="22">
        <v>45676.406696412036</v>
      </c>
      <c r="B97" s="23" t="s">
        <v>572</v>
      </c>
      <c r="C97" s="23">
        <v>2.7207120272E10</v>
      </c>
      <c r="D97" s="23" t="s">
        <v>573</v>
      </c>
      <c r="E97" s="24">
        <v>37939.0</v>
      </c>
      <c r="F97" s="23" t="s">
        <v>178</v>
      </c>
      <c r="G97" s="25" t="s">
        <v>63</v>
      </c>
      <c r="H97" s="25">
        <v>27.0</v>
      </c>
      <c r="I97" s="26" t="s">
        <v>574</v>
      </c>
      <c r="J97" s="25" t="s">
        <v>288</v>
      </c>
      <c r="K97" s="25" t="s">
        <v>114</v>
      </c>
      <c r="L97" s="25">
        <v>3.74</v>
      </c>
      <c r="M97" s="25" t="s">
        <v>272</v>
      </c>
      <c r="N97" s="25" t="s">
        <v>68</v>
      </c>
      <c r="O97" s="25" t="s">
        <v>56</v>
      </c>
      <c r="P97" s="27"/>
      <c r="Q97" s="26" t="s">
        <v>575</v>
      </c>
      <c r="R97" s="25" t="s">
        <v>45</v>
      </c>
      <c r="S97" s="25" t="s">
        <v>288</v>
      </c>
      <c r="T97" s="25" t="s">
        <v>137</v>
      </c>
      <c r="U97" s="34">
        <v>45698.0</v>
      </c>
      <c r="V97" s="34">
        <v>45787.0</v>
      </c>
      <c r="W97" s="29">
        <v>96.0</v>
      </c>
      <c r="X97" s="29" t="s">
        <v>251</v>
      </c>
      <c r="Y97" s="30" t="s">
        <v>46</v>
      </c>
      <c r="Z97" s="29" t="s">
        <v>251</v>
      </c>
      <c r="AA97" s="27" t="s">
        <v>114</v>
      </c>
      <c r="AB97" s="27" t="s">
        <v>56</v>
      </c>
      <c r="AC97" s="27" t="str">
        <f>VLOOKUP(C97,Sheet1!$C$2:$X$1242,15,0)</f>
        <v/>
      </c>
      <c r="AD97" s="25" t="s">
        <v>138</v>
      </c>
      <c r="AE97" s="15" t="str">
        <f t="shared" si="1"/>
        <v/>
      </c>
      <c r="AF97" s="19" t="str">
        <f>VLOOKUP(C97,Sheet1!$C$2:$AE$400,24,0)</f>
        <v>CHUYÊN ĐỀ</v>
      </c>
      <c r="AG97" s="19" t="s">
        <v>139</v>
      </c>
      <c r="AH97" s="31" t="str">
        <f>VLOOKUP(AG97,gvhd!$D$3:$P$17,11,0)</f>
        <v>0975718029</v>
      </c>
      <c r="AI97" s="32" t="str">
        <f>VLOOKUP(AG97,gvhd!$D$3:$P$17,12,0)</f>
        <v>trantmylinh5@duytan.edu.vn</v>
      </c>
    </row>
    <row r="98">
      <c r="A98" s="22">
        <v>45677.39562483796</v>
      </c>
      <c r="B98" s="23" t="s">
        <v>576</v>
      </c>
      <c r="C98" s="23">
        <v>2.7207141496E10</v>
      </c>
      <c r="D98" s="23" t="s">
        <v>577</v>
      </c>
      <c r="E98" s="24">
        <v>37911.0</v>
      </c>
      <c r="F98" s="23" t="s">
        <v>433</v>
      </c>
      <c r="G98" s="25" t="s">
        <v>63</v>
      </c>
      <c r="H98" s="25">
        <v>27.0</v>
      </c>
      <c r="I98" s="26" t="s">
        <v>578</v>
      </c>
      <c r="J98" s="25" t="s">
        <v>39</v>
      </c>
      <c r="K98" s="25" t="s">
        <v>337</v>
      </c>
      <c r="L98" s="27"/>
      <c r="M98" s="25" t="s">
        <v>338</v>
      </c>
      <c r="N98" s="25" t="s">
        <v>68</v>
      </c>
      <c r="O98" s="25" t="s">
        <v>117</v>
      </c>
      <c r="P98" s="27"/>
      <c r="Q98" s="25" t="s">
        <v>579</v>
      </c>
      <c r="R98" s="25" t="s">
        <v>45</v>
      </c>
      <c r="S98" s="25" t="s">
        <v>39</v>
      </c>
      <c r="T98" s="27"/>
      <c r="U98" s="34">
        <v>45698.0</v>
      </c>
      <c r="V98" s="34">
        <v>45787.0</v>
      </c>
      <c r="W98" s="29">
        <v>97.0</v>
      </c>
      <c r="X98" s="29" t="s">
        <v>251</v>
      </c>
      <c r="Y98" s="30" t="s">
        <v>46</v>
      </c>
      <c r="Z98" s="29" t="s">
        <v>251</v>
      </c>
      <c r="AA98" s="27" t="s">
        <v>337</v>
      </c>
      <c r="AB98" s="25" t="s">
        <v>117</v>
      </c>
      <c r="AC98" s="27" t="str">
        <f>VLOOKUP(C98,Sheet1!$C$2:$X$1242,15,0)</f>
        <v/>
      </c>
      <c r="AD98" s="27"/>
      <c r="AE98" s="15" t="str">
        <f t="shared" si="1"/>
        <v/>
      </c>
      <c r="AF98" s="19" t="str">
        <f>VLOOKUP(C98,Sheet1!$C$2:$AE$400,24,0)</f>
        <v>không đủ điều kiện</v>
      </c>
      <c r="AG98" s="19"/>
      <c r="AH98" s="20"/>
      <c r="AI98" s="21"/>
    </row>
    <row r="99">
      <c r="A99" s="22">
        <v>45677.39361623843</v>
      </c>
      <c r="B99" s="23" t="s">
        <v>580</v>
      </c>
      <c r="C99" s="23">
        <v>2.7207141584E10</v>
      </c>
      <c r="D99" s="23" t="s">
        <v>581</v>
      </c>
      <c r="E99" s="24">
        <v>37870.0</v>
      </c>
      <c r="F99" s="23" t="s">
        <v>129</v>
      </c>
      <c r="G99" s="25" t="s">
        <v>63</v>
      </c>
      <c r="H99" s="25">
        <v>27.0</v>
      </c>
      <c r="I99" s="26" t="s">
        <v>582</v>
      </c>
      <c r="J99" s="25" t="s">
        <v>39</v>
      </c>
      <c r="K99" s="25" t="s">
        <v>337</v>
      </c>
      <c r="L99" s="27"/>
      <c r="M99" s="25" t="s">
        <v>583</v>
      </c>
      <c r="N99" s="25" t="s">
        <v>68</v>
      </c>
      <c r="O99" s="25" t="s">
        <v>117</v>
      </c>
      <c r="P99" s="27"/>
      <c r="Q99" s="25" t="s">
        <v>584</v>
      </c>
      <c r="R99" s="25" t="s">
        <v>45</v>
      </c>
      <c r="S99" s="25" t="s">
        <v>39</v>
      </c>
      <c r="T99" s="27"/>
      <c r="U99" s="34">
        <v>45698.0</v>
      </c>
      <c r="V99" s="34">
        <v>45787.0</v>
      </c>
      <c r="W99" s="29">
        <v>98.0</v>
      </c>
      <c r="X99" s="29" t="s">
        <v>251</v>
      </c>
      <c r="Y99" s="30" t="s">
        <v>46</v>
      </c>
      <c r="Z99" s="29" t="s">
        <v>251</v>
      </c>
      <c r="AA99" s="27" t="s">
        <v>337</v>
      </c>
      <c r="AB99" s="25" t="s">
        <v>117</v>
      </c>
      <c r="AC99" s="27" t="str">
        <f>VLOOKUP(C99,Sheet1!$C$2:$X$1242,15,0)</f>
        <v/>
      </c>
      <c r="AD99" s="27"/>
      <c r="AE99" s="15" t="str">
        <f t="shared" si="1"/>
        <v/>
      </c>
      <c r="AF99" s="19" t="str">
        <f>VLOOKUP(C99,Sheet1!$C$2:$AE$400,24,0)</f>
        <v>không đủ điều kiện</v>
      </c>
      <c r="AG99" s="19"/>
      <c r="AH99" s="31"/>
      <c r="AI99" s="32"/>
    </row>
    <row r="100">
      <c r="A100" s="22">
        <v>45677.595221678246</v>
      </c>
      <c r="B100" s="23" t="s">
        <v>585</v>
      </c>
      <c r="C100" s="23">
        <v>2.7207141358E10</v>
      </c>
      <c r="D100" s="23" t="s">
        <v>586</v>
      </c>
      <c r="E100" s="24">
        <v>37677.0</v>
      </c>
      <c r="F100" s="23" t="s">
        <v>145</v>
      </c>
      <c r="G100" s="25" t="s">
        <v>63</v>
      </c>
      <c r="H100" s="25">
        <v>27.0</v>
      </c>
      <c r="I100" s="26" t="s">
        <v>587</v>
      </c>
      <c r="J100" s="25" t="s">
        <v>39</v>
      </c>
      <c r="K100" s="25" t="s">
        <v>212</v>
      </c>
      <c r="L100" s="27"/>
      <c r="M100" s="25" t="s">
        <v>588</v>
      </c>
      <c r="N100" s="25" t="s">
        <v>68</v>
      </c>
      <c r="O100" s="25" t="s">
        <v>589</v>
      </c>
      <c r="P100" s="25" t="s">
        <v>589</v>
      </c>
      <c r="Q100" s="26" t="s">
        <v>420</v>
      </c>
      <c r="R100" s="25" t="s">
        <v>45</v>
      </c>
      <c r="S100" s="25" t="s">
        <v>39</v>
      </c>
      <c r="T100" s="27"/>
      <c r="U100" s="34">
        <v>45691.0</v>
      </c>
      <c r="V100" s="34">
        <v>45780.0</v>
      </c>
      <c r="W100" s="29">
        <v>99.0</v>
      </c>
      <c r="X100" s="17">
        <v>45779.0</v>
      </c>
      <c r="Y100" s="30" t="s">
        <v>46</v>
      </c>
      <c r="Z100" s="29" t="s">
        <v>251</v>
      </c>
      <c r="AA100" s="27" t="s">
        <v>212</v>
      </c>
      <c r="AB100" s="27" t="s">
        <v>589</v>
      </c>
      <c r="AC100" s="27" t="str">
        <f>VLOOKUP(C100,Sheet1!$C$2:$X$1242,15,0)</f>
        <v/>
      </c>
      <c r="AD100" s="27"/>
      <c r="AE100" s="15" t="str">
        <f t="shared" si="1"/>
        <v/>
      </c>
      <c r="AF100" s="19" t="str">
        <f>VLOOKUP(C100,Sheet1!$C$2:$AE$400,24,0)</f>
        <v>CHUYÊN ĐỀ</v>
      </c>
      <c r="AG100" s="19" t="s">
        <v>406</v>
      </c>
      <c r="AH100" s="20" t="str">
        <f>VLOOKUP(AG100,gvhd!$D$3:$P$17,11,0)</f>
        <v>0905767997</v>
      </c>
      <c r="AI100" s="21" t="str">
        <f>VLOOKUP(AG100,gvhd!$D$3:$P$17,12,0)</f>
        <v>voduchieu@dtu-hti.edu.vn</v>
      </c>
    </row>
    <row r="101">
      <c r="A101" s="22">
        <v>45677.60558876157</v>
      </c>
      <c r="B101" s="23" t="s">
        <v>590</v>
      </c>
      <c r="C101" s="23">
        <v>2.7217143521E10</v>
      </c>
      <c r="D101" s="23" t="s">
        <v>591</v>
      </c>
      <c r="E101" s="24">
        <v>37668.0</v>
      </c>
      <c r="F101" s="23" t="s">
        <v>592</v>
      </c>
      <c r="G101" s="25" t="s">
        <v>63</v>
      </c>
      <c r="H101" s="25">
        <v>27.0</v>
      </c>
      <c r="I101" s="26" t="s">
        <v>593</v>
      </c>
      <c r="J101" s="25" t="s">
        <v>39</v>
      </c>
      <c r="K101" s="25" t="s">
        <v>454</v>
      </c>
      <c r="L101" s="25" t="s">
        <v>454</v>
      </c>
      <c r="M101" s="25" t="s">
        <v>594</v>
      </c>
      <c r="N101" s="25" t="s">
        <v>68</v>
      </c>
      <c r="O101" s="25" t="s">
        <v>56</v>
      </c>
      <c r="P101" s="27"/>
      <c r="Q101" s="25" t="s">
        <v>457</v>
      </c>
      <c r="R101" s="25" t="s">
        <v>45</v>
      </c>
      <c r="S101" s="25" t="s">
        <v>39</v>
      </c>
      <c r="T101" s="27"/>
      <c r="U101" s="34">
        <v>45698.0</v>
      </c>
      <c r="V101" s="34">
        <v>45787.0</v>
      </c>
      <c r="W101" s="29">
        <v>100.0</v>
      </c>
      <c r="X101" s="29" t="s">
        <v>251</v>
      </c>
      <c r="Y101" s="30" t="s">
        <v>46</v>
      </c>
      <c r="Z101" s="29" t="s">
        <v>251</v>
      </c>
      <c r="AA101" s="25" t="s">
        <v>454</v>
      </c>
      <c r="AB101" s="27" t="s">
        <v>56</v>
      </c>
      <c r="AC101" s="27" t="str">
        <f>VLOOKUP(C101,Sheet1!$C$2:$X$1242,15,0)</f>
        <v/>
      </c>
      <c r="AD101" s="25" t="s">
        <v>595</v>
      </c>
      <c r="AE101" s="15" t="str">
        <f t="shared" si="1"/>
        <v/>
      </c>
      <c r="AF101" s="19" t="str">
        <f>VLOOKUP(C101,Sheet1!$C$2:$AE$400,24,0)</f>
        <v>CHUYÊN ĐỀ</v>
      </c>
      <c r="AG101" s="19" t="s">
        <v>120</v>
      </c>
      <c r="AH101" s="31" t="str">
        <f>VLOOKUP(AG101,gvhd!$D$3:$P$17,11,0)</f>
        <v>0375658728</v>
      </c>
      <c r="AI101" s="32" t="str">
        <f>VLOOKUP(AG101,gvhd!$D$3:$P$17,12,0)</f>
        <v>trinhtkimchung@dtu-hti.edu.vn</v>
      </c>
    </row>
    <row r="102">
      <c r="A102" s="22">
        <v>45696.5906187963</v>
      </c>
      <c r="B102" s="23" t="s">
        <v>596</v>
      </c>
      <c r="C102" s="23">
        <v>2.321713977E9</v>
      </c>
      <c r="D102" s="23" t="s">
        <v>597</v>
      </c>
      <c r="E102" s="24">
        <v>36263.0</v>
      </c>
      <c r="F102" s="23" t="s">
        <v>598</v>
      </c>
      <c r="G102" s="25" t="s">
        <v>63</v>
      </c>
      <c r="H102" s="25">
        <v>26.0</v>
      </c>
      <c r="I102" s="26" t="s">
        <v>599</v>
      </c>
      <c r="J102" s="25" t="s">
        <v>39</v>
      </c>
      <c r="K102" s="25" t="s">
        <v>324</v>
      </c>
      <c r="L102" s="25" t="s">
        <v>600</v>
      </c>
      <c r="M102" s="25" t="s">
        <v>601</v>
      </c>
      <c r="N102" s="25" t="s">
        <v>68</v>
      </c>
      <c r="O102" s="25" t="s">
        <v>56</v>
      </c>
      <c r="P102" s="27"/>
      <c r="Q102" s="26" t="s">
        <v>415</v>
      </c>
      <c r="R102" s="25" t="s">
        <v>45</v>
      </c>
      <c r="S102" s="25" t="s">
        <v>39</v>
      </c>
      <c r="T102" s="25" t="s">
        <v>77</v>
      </c>
      <c r="U102" s="34">
        <v>45693.0</v>
      </c>
      <c r="V102" s="34">
        <v>45782.0</v>
      </c>
      <c r="W102" s="29">
        <v>101.0</v>
      </c>
      <c r="X102" s="17">
        <v>45963.0</v>
      </c>
      <c r="Y102" s="30" t="s">
        <v>46</v>
      </c>
      <c r="Z102" s="29" t="s">
        <v>251</v>
      </c>
      <c r="AA102" s="27" t="s">
        <v>600</v>
      </c>
      <c r="AB102" s="27" t="s">
        <v>56</v>
      </c>
      <c r="AC102" s="27" t="str">
        <f>VLOOKUP(C102,Sheet1!$C$2:$X$1242,15,0)</f>
        <v>ĐÃ NỘP</v>
      </c>
      <c r="AD102" s="27"/>
      <c r="AE102" s="15" t="str">
        <f t="shared" si="1"/>
        <v/>
      </c>
      <c r="AF102" s="19" t="str">
        <f>VLOOKUP(C102,Sheet1!$C$2:$AE$400,24,0)</f>
        <v>không đủ điều kiện</v>
      </c>
      <c r="AG102" s="19"/>
      <c r="AH102" s="20"/>
      <c r="AI102" s="21"/>
    </row>
    <row r="103">
      <c r="A103" s="22">
        <v>45677.63721759259</v>
      </c>
      <c r="B103" s="23" t="s">
        <v>602</v>
      </c>
      <c r="C103" s="23">
        <v>2.7217139845E10</v>
      </c>
      <c r="D103" s="23" t="s">
        <v>603</v>
      </c>
      <c r="E103" s="24">
        <v>37893.0</v>
      </c>
      <c r="F103" s="23" t="s">
        <v>88</v>
      </c>
      <c r="G103" s="25" t="s">
        <v>63</v>
      </c>
      <c r="H103" s="25">
        <v>27.0</v>
      </c>
      <c r="I103" s="26" t="s">
        <v>604</v>
      </c>
      <c r="J103" s="25" t="s">
        <v>39</v>
      </c>
      <c r="K103" s="25" t="s">
        <v>212</v>
      </c>
      <c r="L103" s="27"/>
      <c r="M103" s="25" t="s">
        <v>605</v>
      </c>
      <c r="N103" s="25" t="s">
        <v>319</v>
      </c>
      <c r="O103" s="25" t="s">
        <v>56</v>
      </c>
      <c r="P103" s="27"/>
      <c r="Q103" s="26" t="s">
        <v>606</v>
      </c>
      <c r="R103" s="25" t="s">
        <v>45</v>
      </c>
      <c r="S103" s="25" t="s">
        <v>39</v>
      </c>
      <c r="T103" s="25" t="s">
        <v>101</v>
      </c>
      <c r="U103" s="34">
        <v>45698.0</v>
      </c>
      <c r="V103" s="34">
        <v>45787.0</v>
      </c>
      <c r="W103" s="29">
        <v>102.0</v>
      </c>
      <c r="X103" s="17">
        <v>45779.0</v>
      </c>
      <c r="Y103" s="30" t="s">
        <v>46</v>
      </c>
      <c r="Z103" s="29" t="s">
        <v>251</v>
      </c>
      <c r="AA103" s="27" t="s">
        <v>212</v>
      </c>
      <c r="AB103" s="27" t="s">
        <v>56</v>
      </c>
      <c r="AC103" s="27" t="str">
        <f>VLOOKUP(C103,Sheet1!$C$2:$X$1242,15,0)</f>
        <v/>
      </c>
      <c r="AD103" s="27"/>
      <c r="AE103" s="15" t="str">
        <f t="shared" si="1"/>
        <v/>
      </c>
      <c r="AF103" s="19" t="str">
        <f>VLOOKUP(C103,Sheet1!$C$2:$AE$400,24,0)</f>
        <v>CHUYÊN ĐỀ</v>
      </c>
      <c r="AG103" s="19" t="s">
        <v>406</v>
      </c>
      <c r="AH103" s="31" t="str">
        <f>VLOOKUP(AG103,gvhd!$D$3:$P$17,11,0)</f>
        <v>0905767997</v>
      </c>
      <c r="AI103" s="32" t="str">
        <f>VLOOKUP(AG103,gvhd!$D$3:$P$17,12,0)</f>
        <v>voduchieu@dtu-hti.edu.vn</v>
      </c>
    </row>
    <row r="104">
      <c r="A104" s="22">
        <v>45677.70373454861</v>
      </c>
      <c r="B104" s="23" t="s">
        <v>607</v>
      </c>
      <c r="C104" s="23">
        <v>2.7207140948E10</v>
      </c>
      <c r="D104" s="23" t="s">
        <v>608</v>
      </c>
      <c r="E104" s="24">
        <v>37930.0</v>
      </c>
      <c r="F104" s="23" t="s">
        <v>609</v>
      </c>
      <c r="G104" s="25" t="s">
        <v>37</v>
      </c>
      <c r="H104" s="25">
        <v>27.0</v>
      </c>
      <c r="I104" s="26" t="s">
        <v>610</v>
      </c>
      <c r="J104" s="25" t="s">
        <v>39</v>
      </c>
      <c r="K104" s="25" t="s">
        <v>325</v>
      </c>
      <c r="L104" s="25" t="s">
        <v>611</v>
      </c>
      <c r="M104" s="25" t="s">
        <v>414</v>
      </c>
      <c r="N104" s="25" t="s">
        <v>68</v>
      </c>
      <c r="O104" s="25" t="s">
        <v>117</v>
      </c>
      <c r="P104" s="27"/>
      <c r="Q104" s="25" t="s">
        <v>251</v>
      </c>
      <c r="R104" s="25" t="s">
        <v>45</v>
      </c>
      <c r="S104" s="25" t="s">
        <v>39</v>
      </c>
      <c r="T104" s="25" t="s">
        <v>58</v>
      </c>
      <c r="U104" s="34">
        <v>45699.0</v>
      </c>
      <c r="V104" s="34">
        <v>45788.0</v>
      </c>
      <c r="W104" s="29">
        <v>103.0</v>
      </c>
      <c r="X104" s="29" t="s">
        <v>375</v>
      </c>
      <c r="Y104" s="30" t="s">
        <v>46</v>
      </c>
      <c r="Z104" s="29" t="s">
        <v>375</v>
      </c>
      <c r="AA104" s="25" t="s">
        <v>325</v>
      </c>
      <c r="AB104" s="27" t="s">
        <v>117</v>
      </c>
      <c r="AC104" s="27" t="str">
        <f>VLOOKUP(C104,Sheet1!$C$2:$X$1242,15,0)</f>
        <v/>
      </c>
      <c r="AD104" s="25"/>
      <c r="AE104" s="15" t="str">
        <f t="shared" si="1"/>
        <v/>
      </c>
      <c r="AF104" s="19" t="str">
        <f>VLOOKUP(C104,Sheet1!$C$2:$AE$400,24,0)</f>
        <v>CHUYÊN ĐỀ</v>
      </c>
      <c r="AG104" s="19" t="s">
        <v>59</v>
      </c>
      <c r="AH104" s="20" t="str">
        <f>VLOOKUP(AG104,gvhd!$D$3:$P$17,11,0)</f>
        <v>0355072844</v>
      </c>
      <c r="AI104" s="21" t="str">
        <f>VLOOKUP(AG104,gvhd!$D$3:$P$17,12,0)</f>
        <v>Ngotthanhnga@dtu-hti.edu.vn</v>
      </c>
    </row>
    <row r="105">
      <c r="A105" s="22">
        <v>45677.70701267361</v>
      </c>
      <c r="B105" s="23" t="s">
        <v>612</v>
      </c>
      <c r="C105" s="23">
        <v>2.7207128839E10</v>
      </c>
      <c r="D105" s="23" t="s">
        <v>141</v>
      </c>
      <c r="E105" s="24">
        <v>37849.0</v>
      </c>
      <c r="F105" s="23" t="s">
        <v>433</v>
      </c>
      <c r="G105" s="25" t="s">
        <v>63</v>
      </c>
      <c r="H105" s="25">
        <v>27.0</v>
      </c>
      <c r="I105" s="26" t="s">
        <v>613</v>
      </c>
      <c r="J105" s="25" t="s">
        <v>39</v>
      </c>
      <c r="K105" s="25" t="s">
        <v>337</v>
      </c>
      <c r="L105" s="27"/>
      <c r="M105" s="25" t="s">
        <v>338</v>
      </c>
      <c r="N105" s="25" t="s">
        <v>68</v>
      </c>
      <c r="O105" s="25" t="s">
        <v>56</v>
      </c>
      <c r="P105" s="27"/>
      <c r="Q105" s="25" t="s">
        <v>251</v>
      </c>
      <c r="R105" s="25" t="s">
        <v>45</v>
      </c>
      <c r="S105" s="25" t="s">
        <v>39</v>
      </c>
      <c r="T105" s="27"/>
      <c r="U105" s="34">
        <v>45698.0</v>
      </c>
      <c r="V105" s="34">
        <v>45787.0</v>
      </c>
      <c r="W105" s="29">
        <v>104.0</v>
      </c>
      <c r="X105" s="29" t="s">
        <v>375</v>
      </c>
      <c r="Y105" s="30" t="s">
        <v>46</v>
      </c>
      <c r="Z105" s="29" t="s">
        <v>375</v>
      </c>
      <c r="AA105" s="27" t="s">
        <v>337</v>
      </c>
      <c r="AB105" s="27" t="s">
        <v>56</v>
      </c>
      <c r="AC105" s="27" t="str">
        <f>VLOOKUP(C105,Sheet1!$C$2:$X$1242,15,0)</f>
        <v/>
      </c>
      <c r="AD105" s="27"/>
      <c r="AE105" s="15" t="str">
        <f t="shared" si="1"/>
        <v/>
      </c>
      <c r="AF105" s="19" t="str">
        <f>VLOOKUP(C105,Sheet1!$C$2:$AE$400,24,0)</f>
        <v>CHUYÊN ĐỀ</v>
      </c>
      <c r="AG105" s="19" t="s">
        <v>120</v>
      </c>
      <c r="AH105" s="31" t="str">
        <f>VLOOKUP(AG105,gvhd!$D$3:$P$17,11,0)</f>
        <v>0375658728</v>
      </c>
      <c r="AI105" s="32" t="str">
        <f>VLOOKUP(AG105,gvhd!$D$3:$P$17,12,0)</f>
        <v>trinhtkimchung@dtu-hti.edu.vn</v>
      </c>
    </row>
    <row r="106">
      <c r="A106" s="22">
        <v>45677.93096431713</v>
      </c>
      <c r="B106" s="23" t="s">
        <v>614</v>
      </c>
      <c r="C106" s="23">
        <v>2.6207133639E10</v>
      </c>
      <c r="D106" s="23" t="s">
        <v>615</v>
      </c>
      <c r="E106" s="24">
        <v>37400.0</v>
      </c>
      <c r="F106" s="23" t="s">
        <v>616</v>
      </c>
      <c r="G106" s="25" t="s">
        <v>63</v>
      </c>
      <c r="H106" s="25">
        <v>26.0</v>
      </c>
      <c r="I106" s="26" t="s">
        <v>617</v>
      </c>
      <c r="J106" s="25" t="s">
        <v>39</v>
      </c>
      <c r="K106" s="25" t="s">
        <v>393</v>
      </c>
      <c r="L106" s="27"/>
      <c r="M106" s="25" t="s">
        <v>394</v>
      </c>
      <c r="N106" s="25" t="s">
        <v>68</v>
      </c>
      <c r="O106" s="25" t="s">
        <v>117</v>
      </c>
      <c r="P106" s="27"/>
      <c r="Q106" s="25" t="s">
        <v>251</v>
      </c>
      <c r="R106" s="25" t="s">
        <v>45</v>
      </c>
      <c r="S106" s="25" t="s">
        <v>39</v>
      </c>
      <c r="T106" s="25" t="s">
        <v>70</v>
      </c>
      <c r="U106" s="34">
        <v>45698.0</v>
      </c>
      <c r="V106" s="34">
        <v>45787.0</v>
      </c>
      <c r="W106" s="29">
        <v>105.0</v>
      </c>
      <c r="X106" s="29" t="s">
        <v>375</v>
      </c>
      <c r="Y106" s="30" t="s">
        <v>46</v>
      </c>
      <c r="Z106" s="29" t="s">
        <v>375</v>
      </c>
      <c r="AA106" s="27" t="s">
        <v>393</v>
      </c>
      <c r="AB106" s="27" t="s">
        <v>117</v>
      </c>
      <c r="AC106" s="27" t="str">
        <f>VLOOKUP(C106,Sheet1!$C$2:$X$1242,15,0)</f>
        <v>ĐÃ NỘP</v>
      </c>
      <c r="AD106" s="27"/>
      <c r="AE106" s="15" t="str">
        <f t="shared" si="1"/>
        <v/>
      </c>
      <c r="AF106" s="19" t="str">
        <f>VLOOKUP(C106,Sheet1!$C$2:$AE$400,24,0)</f>
        <v>CHUYÊN ĐỀ</v>
      </c>
      <c r="AG106" s="19" t="s">
        <v>59</v>
      </c>
      <c r="AH106" s="20" t="str">
        <f>VLOOKUP(AG106,gvhd!$D$3:$P$17,11,0)</f>
        <v>0355072844</v>
      </c>
      <c r="AI106" s="21" t="str">
        <f>VLOOKUP(AG106,gvhd!$D$3:$P$17,12,0)</f>
        <v>Ngotthanhnga@dtu-hti.edu.vn</v>
      </c>
    </row>
    <row r="107">
      <c r="A107" s="22">
        <v>45679.72201979166</v>
      </c>
      <c r="B107" s="23" t="s">
        <v>618</v>
      </c>
      <c r="C107" s="23">
        <v>2.72133241E10</v>
      </c>
      <c r="D107" s="23" t="s">
        <v>619</v>
      </c>
      <c r="E107" s="24">
        <v>37826.0</v>
      </c>
      <c r="F107" s="23" t="s">
        <v>152</v>
      </c>
      <c r="G107" s="25" t="s">
        <v>63</v>
      </c>
      <c r="H107" s="25">
        <v>27.0</v>
      </c>
      <c r="I107" s="26" t="s">
        <v>620</v>
      </c>
      <c r="J107" s="25" t="s">
        <v>39</v>
      </c>
      <c r="K107" s="25" t="s">
        <v>621</v>
      </c>
      <c r="L107" s="27"/>
      <c r="M107" s="25" t="s">
        <v>622</v>
      </c>
      <c r="N107" s="25" t="s">
        <v>520</v>
      </c>
      <c r="O107" s="25" t="s">
        <v>56</v>
      </c>
      <c r="P107" s="27"/>
      <c r="Q107" s="25" t="s">
        <v>251</v>
      </c>
      <c r="R107" s="25" t="s">
        <v>45</v>
      </c>
      <c r="S107" s="25" t="s">
        <v>39</v>
      </c>
      <c r="T107" s="27"/>
      <c r="U107" s="34">
        <v>45698.0</v>
      </c>
      <c r="V107" s="34">
        <v>45787.0</v>
      </c>
      <c r="W107" s="29">
        <v>106.0</v>
      </c>
      <c r="X107" s="29" t="s">
        <v>375</v>
      </c>
      <c r="Y107" s="30" t="s">
        <v>46</v>
      </c>
      <c r="Z107" s="29" t="s">
        <v>375</v>
      </c>
      <c r="AA107" s="27" t="s">
        <v>621</v>
      </c>
      <c r="AB107" s="27" t="s">
        <v>56</v>
      </c>
      <c r="AC107" s="27" t="str">
        <f>VLOOKUP(C107,Sheet1!$C$2:$X$1242,15,0)</f>
        <v/>
      </c>
      <c r="AD107" s="25" t="s">
        <v>623</v>
      </c>
      <c r="AE107" s="15" t="str">
        <f t="shared" si="1"/>
        <v/>
      </c>
      <c r="AF107" s="19" t="str">
        <f>VLOOKUP(C107,Sheet1!$C$2:$AE$400,24,0)</f>
        <v>CHUYÊN ĐỀ</v>
      </c>
      <c r="AG107" s="19" t="s">
        <v>48</v>
      </c>
      <c r="AH107" s="31" t="str">
        <f>VLOOKUP(AG107,gvhd!$D$3:$P$17,11,0)</f>
        <v>0327892117</v>
      </c>
      <c r="AI107" s="32" t="str">
        <f>VLOOKUP(AG107,gvhd!$D$3:$P$17,12,0)</f>
        <v>dangtthuytrang3@dtu-hti.edu.vn</v>
      </c>
    </row>
    <row r="108">
      <c r="A108" s="22">
        <v>45697.90417275463</v>
      </c>
      <c r="B108" s="23" t="s">
        <v>624</v>
      </c>
      <c r="C108" s="23">
        <v>2.7217131784E10</v>
      </c>
      <c r="D108" s="23" t="s">
        <v>625</v>
      </c>
      <c r="E108" s="24">
        <v>37681.0</v>
      </c>
      <c r="F108" s="23" t="s">
        <v>129</v>
      </c>
      <c r="G108" s="25" t="s">
        <v>63</v>
      </c>
      <c r="H108" s="25">
        <v>27.0</v>
      </c>
      <c r="I108" s="26" t="s">
        <v>626</v>
      </c>
      <c r="J108" s="25" t="s">
        <v>39</v>
      </c>
      <c r="K108" s="25" t="s">
        <v>600</v>
      </c>
      <c r="L108" s="27"/>
      <c r="M108" s="25" t="s">
        <v>627</v>
      </c>
      <c r="N108" s="25" t="s">
        <v>68</v>
      </c>
      <c r="O108" s="25" t="s">
        <v>56</v>
      </c>
      <c r="P108" s="27"/>
      <c r="Q108" s="25" t="s">
        <v>375</v>
      </c>
      <c r="R108" s="25" t="s">
        <v>45</v>
      </c>
      <c r="S108" s="25" t="s">
        <v>39</v>
      </c>
      <c r="T108" s="25" t="s">
        <v>137</v>
      </c>
      <c r="U108" s="34">
        <v>45698.0</v>
      </c>
      <c r="V108" s="34">
        <v>45787.0</v>
      </c>
      <c r="W108" s="29">
        <v>107.0</v>
      </c>
      <c r="X108" s="29" t="s">
        <v>375</v>
      </c>
      <c r="Y108" s="30" t="s">
        <v>46</v>
      </c>
      <c r="Z108" s="29" t="s">
        <v>375</v>
      </c>
      <c r="AA108" s="27" t="s">
        <v>600</v>
      </c>
      <c r="AB108" s="27" t="s">
        <v>56</v>
      </c>
      <c r="AC108" s="27" t="str">
        <f>VLOOKUP(C108,Sheet1!$C$2:$X$1242,15,0)</f>
        <v/>
      </c>
      <c r="AD108" s="27"/>
      <c r="AE108" s="15" t="str">
        <f t="shared" si="1"/>
        <v/>
      </c>
      <c r="AF108" s="19" t="str">
        <f>VLOOKUP(C108,Sheet1!$C$2:$AE$400,24,0)</f>
        <v>CHUYÊN ĐỀ</v>
      </c>
      <c r="AG108" s="19" t="s">
        <v>120</v>
      </c>
      <c r="AH108" s="20" t="str">
        <f>VLOOKUP(AG108,gvhd!$D$3:$P$17,11,0)</f>
        <v>0375658728</v>
      </c>
      <c r="AI108" s="21" t="str">
        <f>VLOOKUP(AG108,gvhd!$D$3:$P$17,12,0)</f>
        <v>trinhtkimchung@dtu-hti.edu.vn</v>
      </c>
    </row>
    <row r="109">
      <c r="A109" s="22">
        <v>45691.70727172453</v>
      </c>
      <c r="B109" s="23" t="s">
        <v>628</v>
      </c>
      <c r="C109" s="23">
        <v>2.7217134003E10</v>
      </c>
      <c r="D109" s="23" t="s">
        <v>629</v>
      </c>
      <c r="E109" s="24">
        <v>37682.0</v>
      </c>
      <c r="F109" s="23" t="s">
        <v>178</v>
      </c>
      <c r="G109" s="25" t="s">
        <v>63</v>
      </c>
      <c r="H109" s="25">
        <v>27.0</v>
      </c>
      <c r="I109" s="26" t="s">
        <v>630</v>
      </c>
      <c r="J109" s="25" t="s">
        <v>39</v>
      </c>
      <c r="K109" s="25" t="s">
        <v>82</v>
      </c>
      <c r="L109" s="27"/>
      <c r="M109" s="25" t="s">
        <v>631</v>
      </c>
      <c r="N109" s="25" t="s">
        <v>68</v>
      </c>
      <c r="O109" s="25" t="s">
        <v>117</v>
      </c>
      <c r="P109" s="27"/>
      <c r="Q109" s="26" t="s">
        <v>420</v>
      </c>
      <c r="R109" s="25" t="s">
        <v>45</v>
      </c>
      <c r="S109" s="25" t="s">
        <v>39</v>
      </c>
      <c r="T109" s="27"/>
      <c r="U109" s="34">
        <v>45698.0</v>
      </c>
      <c r="V109" s="34">
        <v>45787.0</v>
      </c>
      <c r="W109" s="29">
        <v>108.0</v>
      </c>
      <c r="X109" s="17">
        <v>45779.0</v>
      </c>
      <c r="Y109" s="30" t="s">
        <v>46</v>
      </c>
      <c r="Z109" s="29" t="s">
        <v>375</v>
      </c>
      <c r="AA109" s="27" t="s">
        <v>82</v>
      </c>
      <c r="AB109" s="27" t="s">
        <v>117</v>
      </c>
      <c r="AC109" s="27" t="str">
        <f>VLOOKUP(C109,Sheet1!$C$2:$X$1242,15,0)</f>
        <v/>
      </c>
      <c r="AD109" s="27"/>
      <c r="AE109" s="15" t="str">
        <f t="shared" si="1"/>
        <v/>
      </c>
      <c r="AF109" s="19" t="str">
        <f>VLOOKUP(C109,Sheet1!$C$2:$AE$400,24,0)</f>
        <v>CHUYÊN ĐỀ</v>
      </c>
      <c r="AG109" s="19" t="s">
        <v>85</v>
      </c>
      <c r="AH109" s="31" t="str">
        <f>VLOOKUP(AG109,gvhd!$D$3:$P$17,11,0)</f>
        <v>0396.153.687</v>
      </c>
      <c r="AI109" s="32" t="str">
        <f>VLOOKUP(AG109,gvhd!$D$3:$P$17,12,0)</f>
        <v>nguyentminhthu@dtu-hti.edu.vn</v>
      </c>
    </row>
    <row r="110">
      <c r="A110" s="22">
        <v>45678.67512170139</v>
      </c>
      <c r="B110" s="23" t="s">
        <v>632</v>
      </c>
      <c r="C110" s="23">
        <v>2.7207140573E10</v>
      </c>
      <c r="D110" s="23" t="s">
        <v>633</v>
      </c>
      <c r="E110" s="24">
        <v>37742.0</v>
      </c>
      <c r="F110" s="23" t="s">
        <v>129</v>
      </c>
      <c r="G110" s="25" t="s">
        <v>63</v>
      </c>
      <c r="H110" s="25">
        <v>27.0</v>
      </c>
      <c r="I110" s="26" t="s">
        <v>634</v>
      </c>
      <c r="J110" s="25" t="s">
        <v>39</v>
      </c>
      <c r="K110" s="25" t="s">
        <v>337</v>
      </c>
      <c r="L110" s="27"/>
      <c r="M110" s="25" t="s">
        <v>338</v>
      </c>
      <c r="N110" s="25" t="s">
        <v>170</v>
      </c>
      <c r="O110" s="25" t="s">
        <v>92</v>
      </c>
      <c r="P110" s="27"/>
      <c r="Q110" s="25" t="s">
        <v>375</v>
      </c>
      <c r="R110" s="25" t="s">
        <v>45</v>
      </c>
      <c r="S110" s="25" t="s">
        <v>39</v>
      </c>
      <c r="T110" s="25" t="s">
        <v>137</v>
      </c>
      <c r="U110" s="34">
        <v>45698.0</v>
      </c>
      <c r="V110" s="34">
        <v>45787.0</v>
      </c>
      <c r="W110" s="29">
        <v>109.0</v>
      </c>
      <c r="X110" s="29" t="s">
        <v>375</v>
      </c>
      <c r="Y110" s="30" t="s">
        <v>46</v>
      </c>
      <c r="Z110" s="29" t="s">
        <v>375</v>
      </c>
      <c r="AA110" s="27" t="s">
        <v>337</v>
      </c>
      <c r="AB110" s="25" t="s">
        <v>92</v>
      </c>
      <c r="AC110" s="27" t="str">
        <f>VLOOKUP(C110,Sheet1!$C$2:$X$1242,15,0)</f>
        <v/>
      </c>
      <c r="AD110" s="27"/>
      <c r="AE110" s="15" t="str">
        <f t="shared" si="1"/>
        <v/>
      </c>
      <c r="AF110" s="19" t="str">
        <f>VLOOKUP(C110,Sheet1!$C$2:$AE$400,24,0)</f>
        <v>CHUYÊN ĐỀ</v>
      </c>
      <c r="AG110" s="19" t="s">
        <v>120</v>
      </c>
      <c r="AH110" s="20" t="str">
        <f>VLOOKUP(AG110,gvhd!$D$3:$P$17,11,0)</f>
        <v>0375658728</v>
      </c>
      <c r="AI110" s="21" t="str">
        <f>VLOOKUP(AG110,gvhd!$D$3:$P$17,12,0)</f>
        <v>trinhtkimchung@dtu-hti.edu.vn</v>
      </c>
    </row>
    <row r="111">
      <c r="A111" s="22">
        <v>45678.711164189815</v>
      </c>
      <c r="B111" s="23" t="s">
        <v>635</v>
      </c>
      <c r="C111" s="23">
        <v>2.7217146484E10</v>
      </c>
      <c r="D111" s="23" t="s">
        <v>636</v>
      </c>
      <c r="E111" s="24">
        <v>37603.0</v>
      </c>
      <c r="F111" s="23" t="s">
        <v>178</v>
      </c>
      <c r="G111" s="25" t="s">
        <v>63</v>
      </c>
      <c r="H111" s="25">
        <v>27.0</v>
      </c>
      <c r="I111" s="26" t="s">
        <v>637</v>
      </c>
      <c r="J111" s="25" t="s">
        <v>39</v>
      </c>
      <c r="K111" s="25" t="s">
        <v>154</v>
      </c>
      <c r="L111" s="27"/>
      <c r="M111" s="25" t="s">
        <v>638</v>
      </c>
      <c r="N111" s="25" t="s">
        <v>68</v>
      </c>
      <c r="O111" s="25" t="s">
        <v>56</v>
      </c>
      <c r="P111" s="27"/>
      <c r="Q111" s="25" t="s">
        <v>437</v>
      </c>
      <c r="R111" s="25" t="s">
        <v>45</v>
      </c>
      <c r="S111" s="25" t="s">
        <v>39</v>
      </c>
      <c r="T111" s="27"/>
      <c r="U111" s="34">
        <v>45698.0</v>
      </c>
      <c r="V111" s="34">
        <v>45787.0</v>
      </c>
      <c r="W111" s="29">
        <v>110.0</v>
      </c>
      <c r="X111" s="29" t="s">
        <v>563</v>
      </c>
      <c r="Y111" s="30" t="s">
        <v>46</v>
      </c>
      <c r="Z111" s="29" t="s">
        <v>563</v>
      </c>
      <c r="AA111" s="27" t="s">
        <v>154</v>
      </c>
      <c r="AB111" s="27" t="s">
        <v>56</v>
      </c>
      <c r="AC111" s="27" t="str">
        <f>VLOOKUP(C111,Sheet1!$C$2:$X$1242,15,0)</f>
        <v/>
      </c>
      <c r="AD111" s="27"/>
      <c r="AE111" s="27" t="str">
        <f t="shared" si="1"/>
        <v/>
      </c>
      <c r="AF111" s="19" t="str">
        <f>VLOOKUP(C111,Sheet1!$C$2:$AE$400,24,0)</f>
        <v>CHUYÊN ĐỀ</v>
      </c>
      <c r="AG111" s="19" t="s">
        <v>77</v>
      </c>
      <c r="AH111" s="31" t="str">
        <f>VLOOKUP(AG111,gvhd!$D$3:$P$17,11,0)</f>
        <v>0906 029 602</v>
      </c>
      <c r="AI111" s="32" t="str">
        <f>VLOOKUP(AG111,gvhd!$D$3:$P$17,12,0)</f>
        <v>tranhoanganh@dtu-hti.edu.vn</v>
      </c>
    </row>
    <row r="112">
      <c r="A112" s="22">
        <v>45678.72288446759</v>
      </c>
      <c r="B112" s="23" t="s">
        <v>639</v>
      </c>
      <c r="C112" s="23">
        <v>2.6217140809E10</v>
      </c>
      <c r="D112" s="23" t="s">
        <v>640</v>
      </c>
      <c r="E112" s="24">
        <v>37376.0</v>
      </c>
      <c r="F112" s="23" t="s">
        <v>641</v>
      </c>
      <c r="G112" s="25" t="s">
        <v>37</v>
      </c>
      <c r="H112" s="25">
        <v>26.0</v>
      </c>
      <c r="I112" s="26" t="s">
        <v>642</v>
      </c>
      <c r="J112" s="25" t="s">
        <v>39</v>
      </c>
      <c r="K112" s="25" t="s">
        <v>643</v>
      </c>
      <c r="L112" s="27"/>
      <c r="M112" s="25" t="s">
        <v>644</v>
      </c>
      <c r="N112" s="25" t="s">
        <v>68</v>
      </c>
      <c r="O112" s="25" t="s">
        <v>56</v>
      </c>
      <c r="P112" s="27"/>
      <c r="Q112" s="25" t="s">
        <v>449</v>
      </c>
      <c r="R112" s="25" t="s">
        <v>45</v>
      </c>
      <c r="S112" s="25" t="s">
        <v>39</v>
      </c>
      <c r="T112" s="27"/>
      <c r="U112" s="34">
        <v>45698.0</v>
      </c>
      <c r="V112" s="34">
        <v>45787.0</v>
      </c>
      <c r="W112" s="29">
        <v>111.0</v>
      </c>
      <c r="X112" s="29" t="s">
        <v>563</v>
      </c>
      <c r="Y112" s="30" t="s">
        <v>46</v>
      </c>
      <c r="Z112" s="29" t="s">
        <v>563</v>
      </c>
      <c r="AA112" s="27" t="s">
        <v>643</v>
      </c>
      <c r="AB112" s="27" t="s">
        <v>56</v>
      </c>
      <c r="AC112" s="27" t="str">
        <f>VLOOKUP(C112,Sheet1!$C$2:$X$1242,15,0)</f>
        <v>ĐÃ NỘP</v>
      </c>
      <c r="AD112" s="27"/>
      <c r="AE112" s="27" t="str">
        <f t="shared" si="1"/>
        <v/>
      </c>
      <c r="AF112" s="19" t="str">
        <f>VLOOKUP(C112,Sheet1!$C$2:$AE$400,24,0)</f>
        <v>CHUYÊN ĐỀ</v>
      </c>
      <c r="AG112" s="19" t="s">
        <v>71</v>
      </c>
      <c r="AH112" s="20" t="str">
        <f>VLOOKUP(AG112,gvhd!$D$3:$P$17,11,0)</f>
        <v>0702605664</v>
      </c>
      <c r="AI112" s="21" t="str">
        <f>VLOOKUP(AG112,gvhd!$D$3:$P$17,12,0)</f>
        <v>huynhlthuylinh@dtu-hti.edu.vn</v>
      </c>
    </row>
    <row r="113">
      <c r="A113" s="22">
        <v>45678.722949560186</v>
      </c>
      <c r="B113" s="23" t="s">
        <v>645</v>
      </c>
      <c r="C113" s="23">
        <v>2.7217133248E10</v>
      </c>
      <c r="D113" s="23" t="s">
        <v>646</v>
      </c>
      <c r="E113" s="24">
        <v>37907.0</v>
      </c>
      <c r="F113" s="23" t="s">
        <v>88</v>
      </c>
      <c r="G113" s="25" t="s">
        <v>63</v>
      </c>
      <c r="H113" s="25">
        <v>27.0</v>
      </c>
      <c r="I113" s="26" t="s">
        <v>647</v>
      </c>
      <c r="J113" s="25" t="s">
        <v>39</v>
      </c>
      <c r="K113" s="25" t="s">
        <v>600</v>
      </c>
      <c r="L113" s="27"/>
      <c r="M113" s="25" t="s">
        <v>648</v>
      </c>
      <c r="N113" s="25" t="s">
        <v>68</v>
      </c>
      <c r="O113" s="25" t="s">
        <v>56</v>
      </c>
      <c r="P113" s="27"/>
      <c r="Q113" s="25" t="s">
        <v>375</v>
      </c>
      <c r="R113" s="25" t="s">
        <v>45</v>
      </c>
      <c r="S113" s="25" t="s">
        <v>39</v>
      </c>
      <c r="T113" s="25" t="s">
        <v>77</v>
      </c>
      <c r="U113" s="34">
        <v>45693.0</v>
      </c>
      <c r="V113" s="34">
        <v>45782.0</v>
      </c>
      <c r="W113" s="29">
        <v>112.0</v>
      </c>
      <c r="X113" s="29" t="s">
        <v>563</v>
      </c>
      <c r="Y113" s="30" t="s">
        <v>46</v>
      </c>
      <c r="Z113" s="29" t="s">
        <v>563</v>
      </c>
      <c r="AA113" s="27" t="s">
        <v>600</v>
      </c>
      <c r="AB113" s="27" t="s">
        <v>56</v>
      </c>
      <c r="AC113" s="27" t="str">
        <f>VLOOKUP(C113,Sheet1!$C$2:$X$1242,15,0)</f>
        <v/>
      </c>
      <c r="AD113" s="27"/>
      <c r="AE113" s="27" t="str">
        <f t="shared" si="1"/>
        <v/>
      </c>
      <c r="AF113" s="19" t="str">
        <f>VLOOKUP(C113,Sheet1!$C$2:$AE$400,24,0)</f>
        <v>không đủ điều kiện</v>
      </c>
      <c r="AG113" s="19"/>
      <c r="AH113" s="31"/>
      <c r="AI113" s="32"/>
    </row>
    <row r="114">
      <c r="A114" s="22">
        <v>45692.40305114583</v>
      </c>
      <c r="B114" s="23" t="s">
        <v>649</v>
      </c>
      <c r="C114" s="23">
        <v>2.7207143366E10</v>
      </c>
      <c r="D114" s="23" t="s">
        <v>650</v>
      </c>
      <c r="E114" s="24">
        <v>37935.0</v>
      </c>
      <c r="F114" s="23" t="s">
        <v>178</v>
      </c>
      <c r="G114" s="25" t="s">
        <v>63</v>
      </c>
      <c r="H114" s="25">
        <v>27.0</v>
      </c>
      <c r="I114" s="26" t="s">
        <v>651</v>
      </c>
      <c r="J114" s="25" t="s">
        <v>39</v>
      </c>
      <c r="K114" s="25" t="s">
        <v>82</v>
      </c>
      <c r="L114" s="27"/>
      <c r="M114" s="25" t="s">
        <v>652</v>
      </c>
      <c r="N114" s="25" t="s">
        <v>68</v>
      </c>
      <c r="O114" s="25" t="s">
        <v>117</v>
      </c>
      <c r="P114" s="27"/>
      <c r="Q114" s="26" t="s">
        <v>606</v>
      </c>
      <c r="R114" s="25" t="s">
        <v>45</v>
      </c>
      <c r="S114" s="25" t="s">
        <v>39</v>
      </c>
      <c r="T114" s="27"/>
      <c r="U114" s="34">
        <v>45698.0</v>
      </c>
      <c r="V114" s="34">
        <v>45787.0</v>
      </c>
      <c r="W114" s="29">
        <v>113.0</v>
      </c>
      <c r="X114" s="17">
        <v>45779.0</v>
      </c>
      <c r="Y114" s="30" t="s">
        <v>46</v>
      </c>
      <c r="Z114" s="29" t="s">
        <v>563</v>
      </c>
      <c r="AA114" s="27" t="s">
        <v>82</v>
      </c>
      <c r="AB114" s="27" t="s">
        <v>117</v>
      </c>
      <c r="AC114" s="27" t="str">
        <f>VLOOKUP(C114,Sheet1!$C$2:$X$1242,15,0)</f>
        <v/>
      </c>
      <c r="AD114" s="27"/>
      <c r="AE114" s="27" t="str">
        <f t="shared" si="1"/>
        <v/>
      </c>
      <c r="AF114" s="19" t="str">
        <f>VLOOKUP(C114,Sheet1!$C$2:$AE$400,24,0)</f>
        <v>CHUYÊN ĐỀ</v>
      </c>
      <c r="AG114" s="19" t="s">
        <v>85</v>
      </c>
      <c r="AH114" s="20" t="str">
        <f>VLOOKUP(AG114,gvhd!$D$3:$P$17,11,0)</f>
        <v>0396.153.687</v>
      </c>
      <c r="AI114" s="21" t="str">
        <f>VLOOKUP(AG114,gvhd!$D$3:$P$17,12,0)</f>
        <v>nguyentminhthu@dtu-hti.edu.vn</v>
      </c>
    </row>
    <row r="115">
      <c r="A115" s="22">
        <v>45678.80890591435</v>
      </c>
      <c r="B115" s="23" t="s">
        <v>653</v>
      </c>
      <c r="C115" s="23">
        <v>2.7207129929E10</v>
      </c>
      <c r="D115" s="23" t="s">
        <v>654</v>
      </c>
      <c r="E115" s="24">
        <v>37820.0</v>
      </c>
      <c r="F115" s="23" t="s">
        <v>88</v>
      </c>
      <c r="G115" s="25" t="s">
        <v>63</v>
      </c>
      <c r="H115" s="25">
        <v>27.0</v>
      </c>
      <c r="I115" s="26" t="s">
        <v>655</v>
      </c>
      <c r="J115" s="25" t="s">
        <v>39</v>
      </c>
      <c r="K115" s="25" t="s">
        <v>82</v>
      </c>
      <c r="L115" s="27"/>
      <c r="M115" s="25" t="s">
        <v>242</v>
      </c>
      <c r="N115" s="25" t="s">
        <v>68</v>
      </c>
      <c r="O115" s="25" t="s">
        <v>507</v>
      </c>
      <c r="P115" s="25" t="s">
        <v>507</v>
      </c>
      <c r="Q115" s="25" t="s">
        <v>375</v>
      </c>
      <c r="R115" s="25" t="s">
        <v>45</v>
      </c>
      <c r="S115" s="25" t="s">
        <v>39</v>
      </c>
      <c r="T115" s="27"/>
      <c r="U115" s="34">
        <v>45698.0</v>
      </c>
      <c r="V115" s="34">
        <v>45787.0</v>
      </c>
      <c r="W115" s="29">
        <v>114.0</v>
      </c>
      <c r="X115" s="29" t="s">
        <v>563</v>
      </c>
      <c r="Y115" s="30" t="s">
        <v>46</v>
      </c>
      <c r="Z115" s="29" t="s">
        <v>563</v>
      </c>
      <c r="AA115" s="27" t="s">
        <v>82</v>
      </c>
      <c r="AB115" s="25" t="s">
        <v>507</v>
      </c>
      <c r="AC115" s="27" t="str">
        <f>VLOOKUP(C115,Sheet1!$C$2:$X$1242,15,0)</f>
        <v/>
      </c>
      <c r="AD115" s="27"/>
      <c r="AE115" s="27" t="str">
        <f t="shared" si="1"/>
        <v/>
      </c>
      <c r="AF115" s="19" t="str">
        <f>VLOOKUP(C115,Sheet1!$C$2:$AE$400,24,0)</f>
        <v>CHUYÊN ĐỀ</v>
      </c>
      <c r="AG115" s="19" t="s">
        <v>85</v>
      </c>
      <c r="AH115" s="31" t="str">
        <f>VLOOKUP(AG115,gvhd!$D$3:$P$17,11,0)</f>
        <v>0396.153.687</v>
      </c>
      <c r="AI115" s="32" t="str">
        <f>VLOOKUP(AG115,gvhd!$D$3:$P$17,12,0)</f>
        <v>nguyentminhthu@dtu-hti.edu.vn</v>
      </c>
    </row>
    <row r="116">
      <c r="A116" s="22">
        <v>45678.84720355324</v>
      </c>
      <c r="B116" s="23" t="s">
        <v>656</v>
      </c>
      <c r="C116" s="23">
        <v>2.7207101143E10</v>
      </c>
      <c r="D116" s="23" t="s">
        <v>657</v>
      </c>
      <c r="E116" s="24">
        <v>37785.0</v>
      </c>
      <c r="F116" s="23" t="s">
        <v>658</v>
      </c>
      <c r="G116" s="25" t="s">
        <v>37</v>
      </c>
      <c r="H116" s="25">
        <v>27.0</v>
      </c>
      <c r="I116" s="26" t="s">
        <v>659</v>
      </c>
      <c r="J116" s="25" t="s">
        <v>39</v>
      </c>
      <c r="K116" s="25" t="s">
        <v>621</v>
      </c>
      <c r="L116" s="27"/>
      <c r="M116" s="25" t="s">
        <v>622</v>
      </c>
      <c r="N116" s="25" t="s">
        <v>520</v>
      </c>
      <c r="O116" s="25" t="s">
        <v>56</v>
      </c>
      <c r="P116" s="27"/>
      <c r="Q116" s="25" t="s">
        <v>660</v>
      </c>
      <c r="R116" s="25" t="s">
        <v>45</v>
      </c>
      <c r="S116" s="25" t="s">
        <v>39</v>
      </c>
      <c r="T116" s="25" t="s">
        <v>58</v>
      </c>
      <c r="U116" s="34">
        <v>45693.0</v>
      </c>
      <c r="V116" s="34">
        <v>45782.0</v>
      </c>
      <c r="W116" s="29">
        <v>115.0</v>
      </c>
      <c r="X116" s="17">
        <v>45779.0</v>
      </c>
      <c r="Y116" s="30" t="s">
        <v>46</v>
      </c>
      <c r="Z116" s="29" t="s">
        <v>563</v>
      </c>
      <c r="AA116" s="27" t="s">
        <v>621</v>
      </c>
      <c r="AB116" s="27" t="s">
        <v>56</v>
      </c>
      <c r="AC116" s="27" t="str">
        <f>VLOOKUP(C116,Sheet1!$C$2:$X$1242,15,0)</f>
        <v/>
      </c>
      <c r="AD116" s="25" t="s">
        <v>623</v>
      </c>
      <c r="AE116" s="27" t="str">
        <f t="shared" si="1"/>
        <v/>
      </c>
      <c r="AF116" s="19" t="str">
        <f>VLOOKUP(C116,Sheet1!$C$2:$AE$400,24,0)</f>
        <v>CHUYÊN ĐỀ</v>
      </c>
      <c r="AG116" s="19" t="s">
        <v>48</v>
      </c>
      <c r="AH116" s="20" t="str">
        <f>VLOOKUP(AG116,gvhd!$D$3:$P$17,11,0)</f>
        <v>0327892117</v>
      </c>
      <c r="AI116" s="21" t="str">
        <f>VLOOKUP(AG116,gvhd!$D$3:$P$17,12,0)</f>
        <v>dangtthuytrang3@dtu-hti.edu.vn</v>
      </c>
    </row>
    <row r="117">
      <c r="A117" s="22">
        <v>45695.01533638889</v>
      </c>
      <c r="B117" s="23" t="s">
        <v>661</v>
      </c>
      <c r="C117" s="23">
        <v>2.7207142387E10</v>
      </c>
      <c r="D117" s="23" t="s">
        <v>662</v>
      </c>
      <c r="E117" s="24">
        <v>37890.0</v>
      </c>
      <c r="F117" s="23" t="s">
        <v>663</v>
      </c>
      <c r="G117" s="25" t="s">
        <v>37</v>
      </c>
      <c r="H117" s="25">
        <v>27.0</v>
      </c>
      <c r="I117" s="26" t="s">
        <v>664</v>
      </c>
      <c r="J117" s="25" t="s">
        <v>39</v>
      </c>
      <c r="K117" s="25" t="s">
        <v>621</v>
      </c>
      <c r="L117" s="27"/>
      <c r="M117" s="25" t="s">
        <v>665</v>
      </c>
      <c r="N117" s="25" t="s">
        <v>520</v>
      </c>
      <c r="O117" s="25" t="s">
        <v>56</v>
      </c>
      <c r="P117" s="27"/>
      <c r="Q117" s="25" t="s">
        <v>660</v>
      </c>
      <c r="R117" s="25" t="s">
        <v>45</v>
      </c>
      <c r="S117" s="25" t="s">
        <v>39</v>
      </c>
      <c r="T117" s="25" t="s">
        <v>58</v>
      </c>
      <c r="U117" s="34">
        <v>45693.0</v>
      </c>
      <c r="V117" s="34">
        <v>45782.0</v>
      </c>
      <c r="W117" s="29">
        <v>116.0</v>
      </c>
      <c r="X117" s="17">
        <v>45779.0</v>
      </c>
      <c r="Y117" s="30" t="s">
        <v>46</v>
      </c>
      <c r="Z117" s="29" t="s">
        <v>563</v>
      </c>
      <c r="AA117" s="27" t="s">
        <v>621</v>
      </c>
      <c r="AB117" s="27" t="s">
        <v>56</v>
      </c>
      <c r="AC117" s="27" t="str">
        <f>VLOOKUP(C117,Sheet1!$C$2:$X$1242,15,0)</f>
        <v/>
      </c>
      <c r="AD117" s="25" t="s">
        <v>623</v>
      </c>
      <c r="AE117" s="27" t="str">
        <f t="shared" si="1"/>
        <v/>
      </c>
      <c r="AF117" s="19" t="str">
        <f>VLOOKUP(C117,Sheet1!$C$2:$AE$400,24,0)</f>
        <v>CHUYÊN ĐỀ</v>
      </c>
      <c r="AG117" s="19" t="s">
        <v>48</v>
      </c>
      <c r="AH117" s="31" t="str">
        <f>VLOOKUP(AG117,gvhd!$D$3:$P$17,11,0)</f>
        <v>0327892117</v>
      </c>
      <c r="AI117" s="32" t="str">
        <f>VLOOKUP(AG117,gvhd!$D$3:$P$17,12,0)</f>
        <v>dangtthuytrang3@dtu-hti.edu.vn</v>
      </c>
    </row>
    <row r="118">
      <c r="A118" s="22">
        <v>45678.82103449074</v>
      </c>
      <c r="B118" s="23" t="s">
        <v>666</v>
      </c>
      <c r="C118" s="23">
        <v>2.6217129382E10</v>
      </c>
      <c r="D118" s="23" t="s">
        <v>667</v>
      </c>
      <c r="E118" s="24">
        <v>37264.0</v>
      </c>
      <c r="F118" s="23" t="s">
        <v>668</v>
      </c>
      <c r="G118" s="25" t="s">
        <v>37</v>
      </c>
      <c r="H118" s="25">
        <v>26.0</v>
      </c>
      <c r="I118" s="26" t="s">
        <v>669</v>
      </c>
      <c r="J118" s="25" t="s">
        <v>39</v>
      </c>
      <c r="K118" s="25" t="s">
        <v>621</v>
      </c>
      <c r="L118" s="27"/>
      <c r="M118" s="25" t="s">
        <v>670</v>
      </c>
      <c r="N118" s="25" t="s">
        <v>520</v>
      </c>
      <c r="O118" s="25" t="s">
        <v>56</v>
      </c>
      <c r="P118" s="27"/>
      <c r="Q118" s="25" t="s">
        <v>671</v>
      </c>
      <c r="R118" s="25" t="s">
        <v>45</v>
      </c>
      <c r="S118" s="25" t="s">
        <v>39</v>
      </c>
      <c r="T118" s="25" t="s">
        <v>58</v>
      </c>
      <c r="U118" s="34">
        <v>45693.0</v>
      </c>
      <c r="V118" s="34">
        <v>45782.0</v>
      </c>
      <c r="W118" s="29">
        <v>117.0</v>
      </c>
      <c r="X118" s="17">
        <v>45779.0</v>
      </c>
      <c r="Y118" s="30" t="s">
        <v>46</v>
      </c>
      <c r="Z118" s="29" t="s">
        <v>563</v>
      </c>
      <c r="AA118" s="27" t="s">
        <v>621</v>
      </c>
      <c r="AB118" s="27" t="s">
        <v>56</v>
      </c>
      <c r="AC118" s="27" t="str">
        <f>VLOOKUP(C118,Sheet1!$C$2:$X$1242,15,0)</f>
        <v>ĐÃ NỘP</v>
      </c>
      <c r="AD118" s="25" t="s">
        <v>623</v>
      </c>
      <c r="AE118" s="27" t="str">
        <f t="shared" si="1"/>
        <v/>
      </c>
      <c r="AF118" s="19" t="str">
        <f>VLOOKUP(C118,Sheet1!$C$2:$AE$400,24,0)</f>
        <v>CHUYÊN ĐỀ</v>
      </c>
      <c r="AG118" s="19" t="s">
        <v>48</v>
      </c>
      <c r="AH118" s="20" t="str">
        <f>VLOOKUP(AG118,gvhd!$D$3:$P$17,11,0)</f>
        <v>0327892117</v>
      </c>
      <c r="AI118" s="21" t="str">
        <f>VLOOKUP(AG118,gvhd!$D$3:$P$17,12,0)</f>
        <v>dangtthuytrang3@dtu-hti.edu.vn</v>
      </c>
    </row>
    <row r="119">
      <c r="A119" s="22">
        <v>45678.81771361111</v>
      </c>
      <c r="B119" s="23" t="s">
        <v>672</v>
      </c>
      <c r="C119" s="23">
        <v>2.6217126206E10</v>
      </c>
      <c r="D119" s="23" t="s">
        <v>673</v>
      </c>
      <c r="E119" s="24">
        <v>37318.0</v>
      </c>
      <c r="F119" s="23" t="s">
        <v>674</v>
      </c>
      <c r="G119" s="25" t="s">
        <v>37</v>
      </c>
      <c r="H119" s="25">
        <v>26.0</v>
      </c>
      <c r="I119" s="26" t="s">
        <v>675</v>
      </c>
      <c r="J119" s="25" t="s">
        <v>39</v>
      </c>
      <c r="K119" s="25" t="s">
        <v>621</v>
      </c>
      <c r="L119" s="27"/>
      <c r="M119" s="25" t="s">
        <v>676</v>
      </c>
      <c r="N119" s="25" t="s">
        <v>520</v>
      </c>
      <c r="O119" s="25" t="s">
        <v>56</v>
      </c>
      <c r="P119" s="27"/>
      <c r="Q119" s="25" t="s">
        <v>660</v>
      </c>
      <c r="R119" s="25" t="s">
        <v>45</v>
      </c>
      <c r="S119" s="25" t="s">
        <v>39</v>
      </c>
      <c r="T119" s="25" t="s">
        <v>58</v>
      </c>
      <c r="U119" s="34">
        <v>45693.0</v>
      </c>
      <c r="V119" s="34">
        <v>45782.0</v>
      </c>
      <c r="W119" s="29">
        <v>118.0</v>
      </c>
      <c r="X119" s="17">
        <v>45779.0</v>
      </c>
      <c r="Y119" s="30" t="s">
        <v>46</v>
      </c>
      <c r="Z119" s="29" t="s">
        <v>563</v>
      </c>
      <c r="AA119" s="27" t="s">
        <v>621</v>
      </c>
      <c r="AB119" s="27" t="s">
        <v>56</v>
      </c>
      <c r="AC119" s="27" t="str">
        <f>VLOOKUP(C119,Sheet1!$C$2:$X$1242,15,0)</f>
        <v>ĐÃ NỘP</v>
      </c>
      <c r="AD119" s="25" t="s">
        <v>623</v>
      </c>
      <c r="AE119" s="27" t="str">
        <f t="shared" si="1"/>
        <v/>
      </c>
      <c r="AF119" s="19" t="str">
        <f>VLOOKUP(C119,Sheet1!$C$2:$AE$400,24,0)</f>
        <v>CHUYÊN ĐỀ</v>
      </c>
      <c r="AG119" s="19" t="s">
        <v>48</v>
      </c>
      <c r="AH119" s="31" t="str">
        <f>VLOOKUP(AG119,gvhd!$D$3:$P$17,11,0)</f>
        <v>0327892117</v>
      </c>
      <c r="AI119" s="32" t="str">
        <f>VLOOKUP(AG119,gvhd!$D$3:$P$17,12,0)</f>
        <v>dangtthuytrang3@dtu-hti.edu.vn</v>
      </c>
    </row>
    <row r="120">
      <c r="A120" s="22">
        <v>45678.84643388889</v>
      </c>
      <c r="B120" s="23" t="s">
        <v>677</v>
      </c>
      <c r="C120" s="23">
        <v>2.621713326E10</v>
      </c>
      <c r="D120" s="23" t="s">
        <v>678</v>
      </c>
      <c r="E120" s="24">
        <v>37537.0</v>
      </c>
      <c r="F120" s="23" t="s">
        <v>679</v>
      </c>
      <c r="G120" s="25" t="s">
        <v>37</v>
      </c>
      <c r="H120" s="25">
        <v>26.0</v>
      </c>
      <c r="I120" s="26" t="s">
        <v>680</v>
      </c>
      <c r="J120" s="25" t="s">
        <v>39</v>
      </c>
      <c r="K120" s="25" t="s">
        <v>621</v>
      </c>
      <c r="L120" s="27"/>
      <c r="M120" s="25" t="s">
        <v>622</v>
      </c>
      <c r="N120" s="25" t="s">
        <v>520</v>
      </c>
      <c r="O120" s="25" t="s">
        <v>56</v>
      </c>
      <c r="P120" s="27"/>
      <c r="Q120" s="25" t="s">
        <v>660</v>
      </c>
      <c r="R120" s="25" t="s">
        <v>45</v>
      </c>
      <c r="S120" s="25" t="s">
        <v>39</v>
      </c>
      <c r="T120" s="25" t="s">
        <v>58</v>
      </c>
      <c r="U120" s="34">
        <v>45693.0</v>
      </c>
      <c r="V120" s="34">
        <v>45782.0</v>
      </c>
      <c r="W120" s="29">
        <v>119.0</v>
      </c>
      <c r="X120" s="17">
        <v>45779.0</v>
      </c>
      <c r="Y120" s="30" t="s">
        <v>46</v>
      </c>
      <c r="Z120" s="29" t="s">
        <v>563</v>
      </c>
      <c r="AA120" s="27" t="s">
        <v>621</v>
      </c>
      <c r="AB120" s="27" t="s">
        <v>56</v>
      </c>
      <c r="AC120" s="27" t="str">
        <f>VLOOKUP(C120,Sheet1!$C$2:$X$1242,15,0)</f>
        <v>ĐÃ NỘP</v>
      </c>
      <c r="AD120" s="25" t="s">
        <v>623</v>
      </c>
      <c r="AE120" s="27" t="str">
        <f t="shared" si="1"/>
        <v/>
      </c>
      <c r="AF120" s="19" t="str">
        <f>VLOOKUP(C120,Sheet1!$C$2:$AE$400,24,0)</f>
        <v>CHUYÊN ĐỀ</v>
      </c>
      <c r="AG120" s="19" t="s">
        <v>48</v>
      </c>
      <c r="AH120" s="20" t="str">
        <f>VLOOKUP(AG120,gvhd!$D$3:$P$17,11,0)</f>
        <v>0327892117</v>
      </c>
      <c r="AI120" s="21" t="str">
        <f>VLOOKUP(AG120,gvhd!$D$3:$P$17,12,0)</f>
        <v>dangtthuytrang3@dtu-hti.edu.vn</v>
      </c>
    </row>
    <row r="121">
      <c r="A121" s="22">
        <v>45678.86805908565</v>
      </c>
      <c r="B121" s="23" t="s">
        <v>681</v>
      </c>
      <c r="C121" s="23">
        <v>2.7217140939E10</v>
      </c>
      <c r="D121" s="23" t="s">
        <v>682</v>
      </c>
      <c r="E121" s="24">
        <v>37914.0</v>
      </c>
      <c r="F121" s="23" t="s">
        <v>104</v>
      </c>
      <c r="G121" s="25" t="s">
        <v>63</v>
      </c>
      <c r="H121" s="25">
        <v>27.0</v>
      </c>
      <c r="I121" s="26" t="s">
        <v>683</v>
      </c>
      <c r="J121" s="25" t="s">
        <v>39</v>
      </c>
      <c r="K121" s="25" t="s">
        <v>337</v>
      </c>
      <c r="L121" s="27"/>
      <c r="M121" s="25" t="s">
        <v>338</v>
      </c>
      <c r="N121" s="25" t="s">
        <v>170</v>
      </c>
      <c r="O121" s="25" t="s">
        <v>56</v>
      </c>
      <c r="P121" s="27"/>
      <c r="Q121" s="25" t="s">
        <v>684</v>
      </c>
      <c r="R121" s="25" t="s">
        <v>45</v>
      </c>
      <c r="S121" s="25" t="s">
        <v>39</v>
      </c>
      <c r="T121" s="27"/>
      <c r="U121" s="34">
        <v>45698.0</v>
      </c>
      <c r="V121" s="34">
        <v>45787.0</v>
      </c>
      <c r="W121" s="29">
        <v>120.0</v>
      </c>
      <c r="X121" s="29" t="s">
        <v>563</v>
      </c>
      <c r="Y121" s="30" t="s">
        <v>46</v>
      </c>
      <c r="Z121" s="29" t="s">
        <v>563</v>
      </c>
      <c r="AA121" s="27" t="s">
        <v>337</v>
      </c>
      <c r="AB121" s="27" t="s">
        <v>56</v>
      </c>
      <c r="AC121" s="27" t="str">
        <f>VLOOKUP(C121,Sheet1!$C$2:$X$1242,15,0)</f>
        <v/>
      </c>
      <c r="AD121" s="27"/>
      <c r="AE121" s="27" t="str">
        <f t="shared" si="1"/>
        <v/>
      </c>
      <c r="AF121" s="19" t="str">
        <f>VLOOKUP(C121,Sheet1!$C$2:$AE$400,24,0)</f>
        <v>CHUYÊN ĐỀ</v>
      </c>
      <c r="AG121" s="19" t="s">
        <v>120</v>
      </c>
      <c r="AH121" s="31" t="str">
        <f>VLOOKUP(AG121,gvhd!$D$3:$P$17,11,0)</f>
        <v>0375658728</v>
      </c>
      <c r="AI121" s="32" t="str">
        <f>VLOOKUP(AG121,gvhd!$D$3:$P$17,12,0)</f>
        <v>trinhtkimchung@dtu-hti.edu.vn</v>
      </c>
    </row>
    <row r="122">
      <c r="A122" s="22">
        <v>45678.94514150463</v>
      </c>
      <c r="B122" s="23" t="s">
        <v>685</v>
      </c>
      <c r="C122" s="23">
        <v>2.7207130473E10</v>
      </c>
      <c r="D122" s="23" t="s">
        <v>686</v>
      </c>
      <c r="E122" s="24">
        <v>37654.0</v>
      </c>
      <c r="F122" s="23" t="s">
        <v>108</v>
      </c>
      <c r="G122" s="25" t="s">
        <v>63</v>
      </c>
      <c r="H122" s="25">
        <v>27.0</v>
      </c>
      <c r="I122" s="26" t="s">
        <v>687</v>
      </c>
      <c r="J122" s="25" t="s">
        <v>39</v>
      </c>
      <c r="K122" s="27" t="s">
        <v>688</v>
      </c>
      <c r="L122" s="25" t="s">
        <v>689</v>
      </c>
      <c r="M122" s="25" t="s">
        <v>690</v>
      </c>
      <c r="N122" s="25" t="s">
        <v>68</v>
      </c>
      <c r="O122" s="25" t="s">
        <v>117</v>
      </c>
      <c r="P122" s="27"/>
      <c r="Q122" s="25" t="s">
        <v>251</v>
      </c>
      <c r="R122" s="25" t="s">
        <v>45</v>
      </c>
      <c r="S122" s="25" t="s">
        <v>39</v>
      </c>
      <c r="T122" s="25" t="s">
        <v>137</v>
      </c>
      <c r="U122" s="34">
        <v>45670.0</v>
      </c>
      <c r="V122" s="34">
        <v>45768.0</v>
      </c>
      <c r="W122" s="29">
        <v>121.0</v>
      </c>
      <c r="X122" s="29" t="s">
        <v>691</v>
      </c>
      <c r="Y122" s="30" t="s">
        <v>46</v>
      </c>
      <c r="Z122" s="29" t="s">
        <v>563</v>
      </c>
      <c r="AA122" s="27" t="s">
        <v>688</v>
      </c>
      <c r="AB122" s="27" t="s">
        <v>117</v>
      </c>
      <c r="AC122" s="27" t="str">
        <f>VLOOKUP(C122,Sheet1!$C$2:$X$1242,15,0)</f>
        <v/>
      </c>
      <c r="AD122" s="27"/>
      <c r="AE122" s="27" t="str">
        <f t="shared" si="1"/>
        <v/>
      </c>
      <c r="AF122" s="19" t="str">
        <f>VLOOKUP(C122,Sheet1!$C$2:$AE$400,24,0)</f>
        <v>CHUYÊN ĐỀ</v>
      </c>
      <c r="AG122" s="19" t="s">
        <v>70</v>
      </c>
      <c r="AH122" s="20" t="str">
        <f>VLOOKUP(AG122,gvhd!$D$3:$P$17,11,0)</f>
        <v>0938290678</v>
      </c>
      <c r="AI122" s="21" t="str">
        <f>VLOOKUP(AG122,gvhd!$D$3:$P$17,12,0)</f>
        <v>phamtthuthuy2@dtu-hti.edu.vn</v>
      </c>
    </row>
    <row r="123">
      <c r="A123" s="22">
        <v>45678.958076319446</v>
      </c>
      <c r="B123" s="23" t="s">
        <v>692</v>
      </c>
      <c r="C123" s="23">
        <v>2.7217146062E10</v>
      </c>
      <c r="D123" s="23" t="s">
        <v>693</v>
      </c>
      <c r="E123" s="24">
        <v>37830.0</v>
      </c>
      <c r="F123" s="23" t="s">
        <v>145</v>
      </c>
      <c r="G123" s="25" t="s">
        <v>63</v>
      </c>
      <c r="H123" s="25">
        <v>27.0</v>
      </c>
      <c r="I123" s="26" t="s">
        <v>694</v>
      </c>
      <c r="J123" s="25" t="s">
        <v>39</v>
      </c>
      <c r="K123" s="25" t="s">
        <v>212</v>
      </c>
      <c r="L123" s="27"/>
      <c r="M123" s="25" t="s">
        <v>695</v>
      </c>
      <c r="N123" s="25" t="s">
        <v>68</v>
      </c>
      <c r="O123" s="25" t="s">
        <v>56</v>
      </c>
      <c r="P123" s="27"/>
      <c r="Q123" s="25" t="s">
        <v>375</v>
      </c>
      <c r="R123" s="25" t="s">
        <v>45</v>
      </c>
      <c r="S123" s="25" t="s">
        <v>39</v>
      </c>
      <c r="T123" s="25" t="s">
        <v>215</v>
      </c>
      <c r="U123" s="34">
        <v>45694.0</v>
      </c>
      <c r="V123" s="34">
        <v>45783.0</v>
      </c>
      <c r="W123" s="29">
        <v>122.0</v>
      </c>
      <c r="X123" s="29" t="s">
        <v>563</v>
      </c>
      <c r="Y123" s="30" t="s">
        <v>46</v>
      </c>
      <c r="Z123" s="29" t="s">
        <v>563</v>
      </c>
      <c r="AA123" s="27" t="s">
        <v>212</v>
      </c>
      <c r="AB123" s="27" t="s">
        <v>56</v>
      </c>
      <c r="AC123" s="27" t="str">
        <f>VLOOKUP(C123,Sheet1!$C$2:$X$1242,15,0)</f>
        <v/>
      </c>
      <c r="AD123" s="25"/>
      <c r="AE123" s="27" t="str">
        <f t="shared" si="1"/>
        <v/>
      </c>
      <c r="AF123" s="19" t="str">
        <f>VLOOKUP(C123,Sheet1!$C$2:$AE$400,24,0)</f>
        <v>CHUYÊN ĐỀ</v>
      </c>
      <c r="AG123" s="19" t="s">
        <v>406</v>
      </c>
      <c r="AH123" s="31" t="str">
        <f>VLOOKUP(AG123,gvhd!$D$3:$P$17,11,0)</f>
        <v>0905767997</v>
      </c>
      <c r="AI123" s="32" t="str">
        <f>VLOOKUP(AG123,gvhd!$D$3:$P$17,12,0)</f>
        <v>voduchieu@dtu-hti.edu.vn</v>
      </c>
    </row>
    <row r="124">
      <c r="A124" s="22">
        <v>45679.011854386576</v>
      </c>
      <c r="B124" s="23" t="s">
        <v>696</v>
      </c>
      <c r="C124" s="23">
        <v>2.7207142513E10</v>
      </c>
      <c r="D124" s="23" t="s">
        <v>697</v>
      </c>
      <c r="E124" s="24">
        <v>37864.0</v>
      </c>
      <c r="F124" s="23" t="s">
        <v>276</v>
      </c>
      <c r="G124" s="25" t="s">
        <v>63</v>
      </c>
      <c r="H124" s="25">
        <v>27.0</v>
      </c>
      <c r="I124" s="26" t="s">
        <v>698</v>
      </c>
      <c r="J124" s="25" t="s">
        <v>39</v>
      </c>
      <c r="K124" s="25" t="s">
        <v>380</v>
      </c>
      <c r="L124" s="27"/>
      <c r="M124" s="25" t="s">
        <v>699</v>
      </c>
      <c r="N124" s="25" t="s">
        <v>68</v>
      </c>
      <c r="O124" s="25" t="s">
        <v>56</v>
      </c>
      <c r="P124" s="27"/>
      <c r="Q124" s="25" t="s">
        <v>563</v>
      </c>
      <c r="R124" s="25" t="s">
        <v>45</v>
      </c>
      <c r="S124" s="25" t="s">
        <v>39</v>
      </c>
      <c r="T124" s="27"/>
      <c r="U124" s="34">
        <v>45698.0</v>
      </c>
      <c r="V124" s="34">
        <v>45787.0</v>
      </c>
      <c r="W124" s="29">
        <v>123.0</v>
      </c>
      <c r="X124" s="29" t="s">
        <v>563</v>
      </c>
      <c r="Y124" s="30" t="s">
        <v>46</v>
      </c>
      <c r="Z124" s="29" t="s">
        <v>563</v>
      </c>
      <c r="AA124" s="27" t="s">
        <v>380</v>
      </c>
      <c r="AB124" s="27" t="s">
        <v>56</v>
      </c>
      <c r="AC124" s="27" t="str">
        <f>VLOOKUP(C124,Sheet1!$C$2:$X$1242,15,0)</f>
        <v/>
      </c>
      <c r="AD124" s="27"/>
      <c r="AE124" s="27" t="str">
        <f t="shared" si="1"/>
        <v/>
      </c>
      <c r="AF124" s="19" t="str">
        <f>VLOOKUP(C124,Sheet1!$C$2:$AE$400,24,0)</f>
        <v>CHUYÊN ĐỀ</v>
      </c>
      <c r="AG124" s="19" t="s">
        <v>71</v>
      </c>
      <c r="AH124" s="20" t="str">
        <f>VLOOKUP(AG124,gvhd!$D$3:$P$17,11,0)</f>
        <v>0702605664</v>
      </c>
      <c r="AI124" s="21" t="str">
        <f>VLOOKUP(AG124,gvhd!$D$3:$P$17,12,0)</f>
        <v>huynhlthuylinh@dtu-hti.edu.vn</v>
      </c>
    </row>
    <row r="125">
      <c r="A125" s="22">
        <v>45679.06929969907</v>
      </c>
      <c r="B125" s="23" t="s">
        <v>700</v>
      </c>
      <c r="C125" s="23">
        <v>2.7217125794E10</v>
      </c>
      <c r="D125" s="23" t="s">
        <v>701</v>
      </c>
      <c r="E125" s="24">
        <v>37771.0</v>
      </c>
      <c r="F125" s="23" t="s">
        <v>481</v>
      </c>
      <c r="G125" s="25" t="s">
        <v>63</v>
      </c>
      <c r="H125" s="25">
        <v>27.0</v>
      </c>
      <c r="I125" s="26" t="s">
        <v>702</v>
      </c>
      <c r="J125" s="25" t="s">
        <v>39</v>
      </c>
      <c r="K125" s="25" t="s">
        <v>212</v>
      </c>
      <c r="L125" s="27"/>
      <c r="M125" s="25" t="s">
        <v>703</v>
      </c>
      <c r="N125" s="25" t="s">
        <v>704</v>
      </c>
      <c r="O125" s="25" t="s">
        <v>117</v>
      </c>
      <c r="P125" s="27"/>
      <c r="Q125" s="25" t="s">
        <v>705</v>
      </c>
      <c r="R125" s="25" t="s">
        <v>45</v>
      </c>
      <c r="S125" s="25" t="s">
        <v>39</v>
      </c>
      <c r="T125" s="27"/>
      <c r="U125" s="34">
        <v>45698.0</v>
      </c>
      <c r="V125" s="34">
        <v>45786.0</v>
      </c>
      <c r="W125" s="29">
        <v>124.0</v>
      </c>
      <c r="X125" s="29" t="s">
        <v>563</v>
      </c>
      <c r="Y125" s="30" t="s">
        <v>46</v>
      </c>
      <c r="Z125" s="29" t="s">
        <v>563</v>
      </c>
      <c r="AA125" s="27" t="s">
        <v>212</v>
      </c>
      <c r="AB125" s="27" t="s">
        <v>117</v>
      </c>
      <c r="AC125" s="27" t="str">
        <f>VLOOKUP(C125,Sheet1!$C$2:$X$1242,15,0)</f>
        <v/>
      </c>
      <c r="AD125" s="27"/>
      <c r="AE125" s="27" t="str">
        <f t="shared" si="1"/>
        <v/>
      </c>
      <c r="AF125" s="19" t="str">
        <f>VLOOKUP(C125,Sheet1!$C$2:$AE$400,24,0)</f>
        <v>CHUYÊN ĐỀ</v>
      </c>
      <c r="AG125" s="19" t="s">
        <v>85</v>
      </c>
      <c r="AH125" s="31" t="str">
        <f>VLOOKUP(AG125,gvhd!$D$3:$P$17,11,0)</f>
        <v>0396.153.687</v>
      </c>
      <c r="AI125" s="32" t="str">
        <f>VLOOKUP(AG125,gvhd!$D$3:$P$17,12,0)</f>
        <v>nguyentminhthu@dtu-hti.edu.vn</v>
      </c>
    </row>
    <row r="126">
      <c r="A126" s="22">
        <v>45679.42342158565</v>
      </c>
      <c r="B126" s="23" t="s">
        <v>706</v>
      </c>
      <c r="C126" s="23">
        <v>2.7217140277E10</v>
      </c>
      <c r="D126" s="23" t="s">
        <v>707</v>
      </c>
      <c r="E126" s="24">
        <v>37882.0</v>
      </c>
      <c r="F126" s="23" t="s">
        <v>276</v>
      </c>
      <c r="G126" s="25" t="s">
        <v>63</v>
      </c>
      <c r="H126" s="25">
        <v>27.0</v>
      </c>
      <c r="I126" s="26" t="s">
        <v>708</v>
      </c>
      <c r="J126" s="25" t="s">
        <v>39</v>
      </c>
      <c r="K126" s="25" t="s">
        <v>709</v>
      </c>
      <c r="L126" s="27"/>
      <c r="M126" s="25" t="s">
        <v>710</v>
      </c>
      <c r="N126" s="25" t="s">
        <v>68</v>
      </c>
      <c r="O126" s="25" t="s">
        <v>56</v>
      </c>
      <c r="P126" s="27"/>
      <c r="Q126" s="25" t="s">
        <v>563</v>
      </c>
      <c r="R126" s="25" t="s">
        <v>45</v>
      </c>
      <c r="S126" s="25" t="s">
        <v>39</v>
      </c>
      <c r="T126" s="27"/>
      <c r="U126" s="34">
        <v>45698.0</v>
      </c>
      <c r="V126" s="34">
        <v>45787.0</v>
      </c>
      <c r="W126" s="29">
        <v>125.0</v>
      </c>
      <c r="X126" s="29" t="s">
        <v>563</v>
      </c>
      <c r="Y126" s="30" t="s">
        <v>46</v>
      </c>
      <c r="Z126" s="29" t="s">
        <v>563</v>
      </c>
      <c r="AA126" s="27" t="s">
        <v>709</v>
      </c>
      <c r="AB126" s="27" t="s">
        <v>56</v>
      </c>
      <c r="AC126" s="27" t="str">
        <f>VLOOKUP(C126,Sheet1!$C$2:$X$1242,15,0)</f>
        <v/>
      </c>
      <c r="AD126" s="27"/>
      <c r="AE126" s="27" t="str">
        <f t="shared" si="1"/>
        <v/>
      </c>
      <c r="AF126" s="19" t="str">
        <f>VLOOKUP(C126,Sheet1!$C$2:$AE$400,24,0)</f>
        <v>CHUYÊN ĐỀ</v>
      </c>
      <c r="AG126" s="19" t="s">
        <v>70</v>
      </c>
      <c r="AH126" s="20" t="str">
        <f>VLOOKUP(AG126,gvhd!$D$3:$P$17,11,0)</f>
        <v>0938290678</v>
      </c>
      <c r="AI126" s="21" t="str">
        <f>VLOOKUP(AG126,gvhd!$D$3:$P$17,12,0)</f>
        <v>phamtthuthuy2@dtu-hti.edu.vn</v>
      </c>
    </row>
    <row r="127">
      <c r="A127" s="22">
        <v>45679.4307978125</v>
      </c>
      <c r="B127" s="23" t="s">
        <v>711</v>
      </c>
      <c r="C127" s="23">
        <v>2.721712848E10</v>
      </c>
      <c r="D127" s="23" t="s">
        <v>712</v>
      </c>
      <c r="E127" s="24">
        <v>37958.0</v>
      </c>
      <c r="F127" s="23" t="s">
        <v>104</v>
      </c>
      <c r="G127" s="25" t="s">
        <v>63</v>
      </c>
      <c r="H127" s="25">
        <v>27.0</v>
      </c>
      <c r="I127" s="26" t="s">
        <v>713</v>
      </c>
      <c r="J127" s="25" t="s">
        <v>39</v>
      </c>
      <c r="K127" s="25" t="s">
        <v>337</v>
      </c>
      <c r="L127" s="27"/>
      <c r="M127" s="25" t="s">
        <v>714</v>
      </c>
      <c r="N127" s="25" t="s">
        <v>68</v>
      </c>
      <c r="O127" s="25" t="s">
        <v>56</v>
      </c>
      <c r="P127" s="27"/>
      <c r="Q127" s="25" t="s">
        <v>715</v>
      </c>
      <c r="R127" s="25" t="s">
        <v>45</v>
      </c>
      <c r="S127" s="25" t="s">
        <v>39</v>
      </c>
      <c r="T127" s="27"/>
      <c r="U127" s="34">
        <v>45697.0</v>
      </c>
      <c r="V127" s="34">
        <v>45787.0</v>
      </c>
      <c r="W127" s="29">
        <v>126.0</v>
      </c>
      <c r="X127" s="29" t="s">
        <v>563</v>
      </c>
      <c r="Y127" s="30" t="s">
        <v>46</v>
      </c>
      <c r="Z127" s="29" t="s">
        <v>563</v>
      </c>
      <c r="AA127" s="27" t="s">
        <v>337</v>
      </c>
      <c r="AB127" s="27" t="s">
        <v>56</v>
      </c>
      <c r="AC127" s="27" t="str">
        <f>VLOOKUP(C127,Sheet1!$C$2:$X$1242,15,0)</f>
        <v/>
      </c>
      <c r="AD127" s="27"/>
      <c r="AE127" s="27" t="str">
        <f t="shared" si="1"/>
        <v/>
      </c>
      <c r="AF127" s="19" t="str">
        <f>VLOOKUP(C127,Sheet1!$C$2:$AE$400,24,0)</f>
        <v>CHUYÊN ĐỀ</v>
      </c>
      <c r="AG127" s="19" t="s">
        <v>120</v>
      </c>
      <c r="AH127" s="31" t="str">
        <f>VLOOKUP(AG127,gvhd!$D$3:$P$17,11,0)</f>
        <v>0375658728</v>
      </c>
      <c r="AI127" s="32" t="str">
        <f>VLOOKUP(AG127,gvhd!$D$3:$P$17,12,0)</f>
        <v>trinhtkimchung@dtu-hti.edu.vn</v>
      </c>
    </row>
    <row r="128">
      <c r="A128" s="22">
        <v>45679.46073533565</v>
      </c>
      <c r="B128" s="23" t="s">
        <v>716</v>
      </c>
      <c r="C128" s="23">
        <v>2.7207140629E10</v>
      </c>
      <c r="D128" s="23" t="s">
        <v>717</v>
      </c>
      <c r="E128" s="24">
        <v>37764.0</v>
      </c>
      <c r="F128" s="23" t="s">
        <v>276</v>
      </c>
      <c r="G128" s="25" t="s">
        <v>63</v>
      </c>
      <c r="H128" s="25">
        <v>27.0</v>
      </c>
      <c r="I128" s="26" t="s">
        <v>718</v>
      </c>
      <c r="J128" s="25" t="s">
        <v>39</v>
      </c>
      <c r="K128" s="25" t="s">
        <v>325</v>
      </c>
      <c r="L128" s="25" t="s">
        <v>719</v>
      </c>
      <c r="M128" s="25" t="s">
        <v>720</v>
      </c>
      <c r="N128" s="25" t="s">
        <v>68</v>
      </c>
      <c r="O128" s="25" t="s">
        <v>92</v>
      </c>
      <c r="P128" s="27"/>
      <c r="Q128" s="25" t="s">
        <v>563</v>
      </c>
      <c r="R128" s="25" t="s">
        <v>45</v>
      </c>
      <c r="S128" s="25" t="s">
        <v>39</v>
      </c>
      <c r="T128" s="27"/>
      <c r="U128" s="34">
        <v>45691.0</v>
      </c>
      <c r="V128" s="34">
        <v>45049.0</v>
      </c>
      <c r="W128" s="29">
        <v>127.0</v>
      </c>
      <c r="X128" s="29" t="s">
        <v>563</v>
      </c>
      <c r="Y128" s="30" t="s">
        <v>46</v>
      </c>
      <c r="Z128" s="29" t="s">
        <v>563</v>
      </c>
      <c r="AA128" s="25" t="s">
        <v>325</v>
      </c>
      <c r="AB128" s="27" t="s">
        <v>92</v>
      </c>
      <c r="AC128" s="27" t="str">
        <f>VLOOKUP(C128,Sheet1!$C$2:$X$1242,15,0)</f>
        <v/>
      </c>
      <c r="AD128" s="25"/>
      <c r="AE128" s="27" t="str">
        <f t="shared" si="1"/>
        <v/>
      </c>
      <c r="AF128" s="19" t="str">
        <f>VLOOKUP(C128,Sheet1!$C$2:$AE$400,24,0)</f>
        <v>CHUYÊN ĐỀ</v>
      </c>
      <c r="AG128" s="19" t="s">
        <v>93</v>
      </c>
      <c r="AH128" s="20" t="str">
        <f>VLOOKUP(AG128,gvhd!$D$3:$P$17,11,0)</f>
        <v>0904464092</v>
      </c>
      <c r="AI128" s="21" t="str">
        <f>VLOOKUP(AG128,gvhd!$D$3:$P$17,12,0)</f>
        <v>anhphuong@duytan.edu.vn</v>
      </c>
    </row>
    <row r="129">
      <c r="A129" s="22">
        <v>45679.49990322917</v>
      </c>
      <c r="B129" s="23" t="s">
        <v>721</v>
      </c>
      <c r="C129" s="23">
        <v>2.7217100262E10</v>
      </c>
      <c r="D129" s="23" t="s">
        <v>722</v>
      </c>
      <c r="E129" s="24">
        <v>37778.0</v>
      </c>
      <c r="F129" s="23" t="s">
        <v>129</v>
      </c>
      <c r="G129" s="25" t="s">
        <v>63</v>
      </c>
      <c r="H129" s="25">
        <v>27.0</v>
      </c>
      <c r="I129" s="26" t="s">
        <v>723</v>
      </c>
      <c r="J129" s="25" t="s">
        <v>39</v>
      </c>
      <c r="K129" s="25" t="s">
        <v>709</v>
      </c>
      <c r="L129" s="27"/>
      <c r="M129" s="25" t="s">
        <v>724</v>
      </c>
      <c r="N129" s="25" t="s">
        <v>68</v>
      </c>
      <c r="O129" s="25" t="s">
        <v>56</v>
      </c>
      <c r="P129" s="27"/>
      <c r="Q129" s="25" t="s">
        <v>563</v>
      </c>
      <c r="R129" s="25" t="s">
        <v>45</v>
      </c>
      <c r="S129" s="25" t="s">
        <v>39</v>
      </c>
      <c r="T129" s="27"/>
      <c r="U129" s="34">
        <v>45698.0</v>
      </c>
      <c r="V129" s="34">
        <v>45787.0</v>
      </c>
      <c r="W129" s="29">
        <v>128.0</v>
      </c>
      <c r="X129" s="29" t="s">
        <v>563</v>
      </c>
      <c r="Y129" s="30" t="s">
        <v>46</v>
      </c>
      <c r="Z129" s="29" t="s">
        <v>563</v>
      </c>
      <c r="AA129" s="27" t="s">
        <v>709</v>
      </c>
      <c r="AB129" s="27" t="s">
        <v>56</v>
      </c>
      <c r="AC129" s="27" t="str">
        <f>VLOOKUP(C129,Sheet1!$C$2:$X$1242,15,0)</f>
        <v/>
      </c>
      <c r="AD129" s="27"/>
      <c r="AE129" s="27" t="str">
        <f t="shared" si="1"/>
        <v/>
      </c>
      <c r="AF129" s="19" t="str">
        <f>VLOOKUP(C129,Sheet1!$C$2:$AE$400,24,0)</f>
        <v>CHUYÊN ĐỀ</v>
      </c>
      <c r="AG129" s="19" t="s">
        <v>70</v>
      </c>
      <c r="AH129" s="31" t="str">
        <f>VLOOKUP(AG129,gvhd!$D$3:$P$17,11,0)</f>
        <v>0938290678</v>
      </c>
      <c r="AI129" s="32" t="str">
        <f>VLOOKUP(AG129,gvhd!$D$3:$P$17,12,0)</f>
        <v>phamtthuthuy2@dtu-hti.edu.vn</v>
      </c>
    </row>
    <row r="130">
      <c r="A130" s="22">
        <v>45679.58782894676</v>
      </c>
      <c r="B130" s="23" t="s">
        <v>725</v>
      </c>
      <c r="C130" s="23">
        <v>2.6207124697E10</v>
      </c>
      <c r="D130" s="23" t="s">
        <v>726</v>
      </c>
      <c r="E130" s="24">
        <v>37483.0</v>
      </c>
      <c r="F130" s="23" t="s">
        <v>62</v>
      </c>
      <c r="G130" s="25" t="s">
        <v>63</v>
      </c>
      <c r="H130" s="25">
        <v>26.0</v>
      </c>
      <c r="I130" s="26" t="s">
        <v>727</v>
      </c>
      <c r="J130" s="25" t="s">
        <v>39</v>
      </c>
      <c r="K130" s="25" t="s">
        <v>728</v>
      </c>
      <c r="L130" s="27"/>
      <c r="M130" s="25" t="s">
        <v>729</v>
      </c>
      <c r="N130" s="25" t="s">
        <v>730</v>
      </c>
      <c r="O130" s="25" t="s">
        <v>56</v>
      </c>
      <c r="P130" s="27"/>
      <c r="Q130" s="25" t="s">
        <v>563</v>
      </c>
      <c r="R130" s="25" t="s">
        <v>45</v>
      </c>
      <c r="S130" s="25" t="s">
        <v>39</v>
      </c>
      <c r="T130" s="27" t="s">
        <v>77</v>
      </c>
      <c r="U130" s="34">
        <v>45663.0</v>
      </c>
      <c r="V130" s="34">
        <v>45753.0</v>
      </c>
      <c r="W130" s="29">
        <v>129.0</v>
      </c>
      <c r="X130" s="29" t="s">
        <v>563</v>
      </c>
      <c r="Y130" s="30" t="s">
        <v>46</v>
      </c>
      <c r="Z130" s="29" t="s">
        <v>563</v>
      </c>
      <c r="AA130" s="46" t="s">
        <v>728</v>
      </c>
      <c r="AB130" s="27" t="s">
        <v>56</v>
      </c>
      <c r="AC130" s="27" t="str">
        <f>VLOOKUP(C130,Sheet1!$C$2:$X$1242,15,0)</f>
        <v>ĐÃ NỘP</v>
      </c>
      <c r="AD130" s="27"/>
      <c r="AE130" s="27" t="str">
        <f t="shared" si="1"/>
        <v/>
      </c>
      <c r="AF130" s="19" t="str">
        <f>VLOOKUP(C130,Sheet1!$C$2:$AE$400,24,0)</f>
        <v>CHUYÊN ĐỀ</v>
      </c>
      <c r="AG130" s="19" t="s">
        <v>71</v>
      </c>
      <c r="AH130" s="20" t="str">
        <f>VLOOKUP(AG130,gvhd!$D$3:$P$17,11,0)</f>
        <v>0702605664</v>
      </c>
      <c r="AI130" s="21" t="str">
        <f>VLOOKUP(AG130,gvhd!$D$3:$P$17,12,0)</f>
        <v>huynhlthuylinh@dtu-hti.edu.vn</v>
      </c>
    </row>
    <row r="131">
      <c r="A131" s="22">
        <v>45679.60914240741</v>
      </c>
      <c r="B131" s="23" t="s">
        <v>731</v>
      </c>
      <c r="C131" s="23">
        <v>2.6217135634E10</v>
      </c>
      <c r="D131" s="23" t="s">
        <v>732</v>
      </c>
      <c r="E131" s="24">
        <v>37396.0</v>
      </c>
      <c r="F131" s="23" t="s">
        <v>733</v>
      </c>
      <c r="G131" s="25" t="s">
        <v>63</v>
      </c>
      <c r="H131" s="25">
        <v>26.0</v>
      </c>
      <c r="I131" s="26" t="s">
        <v>734</v>
      </c>
      <c r="J131" s="25" t="s">
        <v>39</v>
      </c>
      <c r="K131" s="25" t="s">
        <v>454</v>
      </c>
      <c r="L131" s="27" t="s">
        <v>735</v>
      </c>
      <c r="M131" s="25" t="s">
        <v>736</v>
      </c>
      <c r="N131" s="25" t="s">
        <v>68</v>
      </c>
      <c r="O131" s="25" t="s">
        <v>117</v>
      </c>
      <c r="P131" s="27"/>
      <c r="Q131" s="25" t="s">
        <v>660</v>
      </c>
      <c r="R131" s="25" t="s">
        <v>45</v>
      </c>
      <c r="S131" s="25" t="s">
        <v>39</v>
      </c>
      <c r="T131" s="27"/>
      <c r="U131" s="34">
        <v>45698.0</v>
      </c>
      <c r="V131" s="34">
        <v>45787.0</v>
      </c>
      <c r="W131" s="29">
        <v>130.0</v>
      </c>
      <c r="X131" s="29" t="s">
        <v>660</v>
      </c>
      <c r="Y131" s="30" t="s">
        <v>46</v>
      </c>
      <c r="Z131" s="29" t="s">
        <v>563</v>
      </c>
      <c r="AA131" s="25" t="s">
        <v>454</v>
      </c>
      <c r="AB131" s="27" t="s">
        <v>117</v>
      </c>
      <c r="AC131" s="27" t="str">
        <f>VLOOKUP(C131,Sheet1!$C$2:$X$1242,15,0)</f>
        <v>ĐÃ NỘP</v>
      </c>
      <c r="AD131" s="27"/>
      <c r="AE131" s="27" t="str">
        <f t="shared" si="1"/>
        <v/>
      </c>
      <c r="AF131" s="19" t="str">
        <f>VLOOKUP(C131,Sheet1!$C$2:$AE$400,24,0)</f>
        <v>CHUYÊN ĐỀ</v>
      </c>
      <c r="AG131" s="19" t="s">
        <v>120</v>
      </c>
      <c r="AH131" s="31" t="str">
        <f>VLOOKUP(AG131,gvhd!$D$3:$P$17,11,0)</f>
        <v>0375658728</v>
      </c>
      <c r="AI131" s="32" t="str">
        <f>VLOOKUP(AG131,gvhd!$D$3:$P$17,12,0)</f>
        <v>trinhtkimchung@dtu-hti.edu.vn</v>
      </c>
    </row>
    <row r="132">
      <c r="A132" s="22">
        <v>45679.61838140046</v>
      </c>
      <c r="B132" s="23" t="s">
        <v>737</v>
      </c>
      <c r="C132" s="23">
        <v>2.7207128961E10</v>
      </c>
      <c r="D132" s="23" t="s">
        <v>738</v>
      </c>
      <c r="E132" s="24">
        <v>37818.0</v>
      </c>
      <c r="F132" s="23" t="s">
        <v>739</v>
      </c>
      <c r="G132" s="25" t="s">
        <v>37</v>
      </c>
      <c r="H132" s="25">
        <v>27.0</v>
      </c>
      <c r="I132" s="26" t="s">
        <v>740</v>
      </c>
      <c r="J132" s="25" t="s">
        <v>39</v>
      </c>
      <c r="K132" s="25" t="s">
        <v>741</v>
      </c>
      <c r="L132" s="27"/>
      <c r="M132" s="25" t="s">
        <v>742</v>
      </c>
      <c r="N132" s="25" t="s">
        <v>68</v>
      </c>
      <c r="O132" s="25" t="s">
        <v>56</v>
      </c>
      <c r="P132" s="27"/>
      <c r="Q132" s="25" t="s">
        <v>715</v>
      </c>
      <c r="R132" s="25" t="s">
        <v>45</v>
      </c>
      <c r="S132" s="25" t="s">
        <v>39</v>
      </c>
      <c r="T132" s="27" t="s">
        <v>58</v>
      </c>
      <c r="U132" s="34">
        <v>45677.0</v>
      </c>
      <c r="V132" s="34">
        <v>45767.0</v>
      </c>
      <c r="W132" s="29">
        <v>131.0</v>
      </c>
      <c r="X132" s="29" t="s">
        <v>563</v>
      </c>
      <c r="Y132" s="30" t="s">
        <v>46</v>
      </c>
      <c r="Z132" s="29" t="s">
        <v>563</v>
      </c>
      <c r="AA132" s="46" t="s">
        <v>741</v>
      </c>
      <c r="AB132" s="27" t="s">
        <v>56</v>
      </c>
      <c r="AC132" s="27" t="str">
        <f>VLOOKUP(C132,Sheet1!$C$2:$X$1242,15,0)</f>
        <v/>
      </c>
      <c r="AD132" s="27"/>
      <c r="AE132" s="27" t="str">
        <f t="shared" si="1"/>
        <v/>
      </c>
      <c r="AF132" s="19" t="str">
        <f>VLOOKUP(C132,Sheet1!$C$2:$AE$400,24,0)</f>
        <v>CHUYÊN ĐỀ</v>
      </c>
      <c r="AG132" s="19" t="s">
        <v>77</v>
      </c>
      <c r="AH132" s="20" t="str">
        <f>VLOOKUP(AG132,gvhd!$D$3:$P$17,11,0)</f>
        <v>0906 029 602</v>
      </c>
      <c r="AI132" s="21" t="str">
        <f>VLOOKUP(AG132,gvhd!$D$3:$P$17,12,0)</f>
        <v>tranhoanganh@dtu-hti.edu.vn</v>
      </c>
    </row>
    <row r="133">
      <c r="A133" s="22">
        <v>45679.61858646991</v>
      </c>
      <c r="B133" s="23" t="s">
        <v>743</v>
      </c>
      <c r="C133" s="23">
        <v>2.721713262E10</v>
      </c>
      <c r="D133" s="23" t="s">
        <v>744</v>
      </c>
      <c r="E133" s="24">
        <v>37910.0</v>
      </c>
      <c r="F133" s="23" t="s">
        <v>745</v>
      </c>
      <c r="G133" s="25" t="s">
        <v>37</v>
      </c>
      <c r="H133" s="25">
        <v>27.0</v>
      </c>
      <c r="I133" s="26" t="s">
        <v>746</v>
      </c>
      <c r="J133" s="25" t="s">
        <v>39</v>
      </c>
      <c r="K133" s="25" t="s">
        <v>741</v>
      </c>
      <c r="L133" s="27"/>
      <c r="M133" s="25" t="s">
        <v>747</v>
      </c>
      <c r="N133" s="25" t="s">
        <v>68</v>
      </c>
      <c r="O133" s="25" t="s">
        <v>56</v>
      </c>
      <c r="P133" s="27"/>
      <c r="Q133" s="25" t="s">
        <v>563</v>
      </c>
      <c r="R133" s="25" t="s">
        <v>45</v>
      </c>
      <c r="S133" s="25" t="s">
        <v>39</v>
      </c>
      <c r="T133" s="27" t="s">
        <v>58</v>
      </c>
      <c r="U133" s="34">
        <v>45677.0</v>
      </c>
      <c r="V133" s="34">
        <v>45767.0</v>
      </c>
      <c r="W133" s="29">
        <v>132.0</v>
      </c>
      <c r="X133" s="29" t="s">
        <v>563</v>
      </c>
      <c r="Y133" s="30" t="s">
        <v>46</v>
      </c>
      <c r="Z133" s="29" t="s">
        <v>563</v>
      </c>
      <c r="AA133" s="46" t="s">
        <v>741</v>
      </c>
      <c r="AB133" s="27" t="s">
        <v>56</v>
      </c>
      <c r="AC133" s="27" t="str">
        <f>VLOOKUP(C133,Sheet1!$C$2:$X$1242,15,0)</f>
        <v/>
      </c>
      <c r="AD133" s="27"/>
      <c r="AE133" s="27" t="str">
        <f t="shared" si="1"/>
        <v/>
      </c>
      <c r="AF133" s="19" t="str">
        <f>VLOOKUP(C133,Sheet1!$C$2:$AE$400,24,0)</f>
        <v>CHUYÊN ĐỀ</v>
      </c>
      <c r="AG133" s="19" t="s">
        <v>77</v>
      </c>
      <c r="AH133" s="31" t="str">
        <f>VLOOKUP(AG133,gvhd!$D$3:$P$17,11,0)</f>
        <v>0906 029 602</v>
      </c>
      <c r="AI133" s="32" t="str">
        <f>VLOOKUP(AG133,gvhd!$D$3:$P$17,12,0)</f>
        <v>tranhoanganh@dtu-hti.edu.vn</v>
      </c>
    </row>
    <row r="134">
      <c r="A134" s="22">
        <v>45679.62542895833</v>
      </c>
      <c r="B134" s="23" t="s">
        <v>748</v>
      </c>
      <c r="C134" s="23">
        <v>2.7207142571E10</v>
      </c>
      <c r="D134" s="23" t="s">
        <v>749</v>
      </c>
      <c r="E134" s="24">
        <v>37892.0</v>
      </c>
      <c r="F134" s="23" t="s">
        <v>178</v>
      </c>
      <c r="G134" s="25" t="s">
        <v>63</v>
      </c>
      <c r="H134" s="25">
        <v>27.0</v>
      </c>
      <c r="I134" s="26" t="s">
        <v>750</v>
      </c>
      <c r="J134" s="25" t="s">
        <v>39</v>
      </c>
      <c r="K134" s="25" t="s">
        <v>65</v>
      </c>
      <c r="L134" s="27"/>
      <c r="M134" s="25" t="s">
        <v>751</v>
      </c>
      <c r="N134" s="25" t="s">
        <v>68</v>
      </c>
      <c r="O134" s="25" t="s">
        <v>56</v>
      </c>
      <c r="P134" s="27"/>
      <c r="Q134" s="25" t="s">
        <v>563</v>
      </c>
      <c r="R134" s="25" t="s">
        <v>45</v>
      </c>
      <c r="S134" s="25" t="s">
        <v>39</v>
      </c>
      <c r="T134" s="27"/>
      <c r="U134" s="34">
        <v>45698.0</v>
      </c>
      <c r="V134" s="34">
        <v>45787.0</v>
      </c>
      <c r="W134" s="29">
        <v>133.0</v>
      </c>
      <c r="X134" s="29" t="s">
        <v>563</v>
      </c>
      <c r="Y134" s="30" t="s">
        <v>46</v>
      </c>
      <c r="Z134" s="29" t="s">
        <v>563</v>
      </c>
      <c r="AA134" s="46" t="s">
        <v>65</v>
      </c>
      <c r="AB134" s="27" t="s">
        <v>56</v>
      </c>
      <c r="AC134" s="27" t="str">
        <f>VLOOKUP(C134,Sheet1!$C$2:$X$1242,15,0)</f>
        <v/>
      </c>
      <c r="AD134" s="27"/>
      <c r="AE134" s="27" t="str">
        <f t="shared" si="1"/>
        <v/>
      </c>
      <c r="AF134" s="19" t="str">
        <f>VLOOKUP(C134,Sheet1!$C$2:$AE$400,24,0)</f>
        <v>CHUYÊN ĐỀ</v>
      </c>
      <c r="AG134" s="19" t="s">
        <v>71</v>
      </c>
      <c r="AH134" s="20" t="str">
        <f>VLOOKUP(AG134,gvhd!$D$3:$P$17,11,0)</f>
        <v>0702605664</v>
      </c>
      <c r="AI134" s="21" t="str">
        <f>VLOOKUP(AG134,gvhd!$D$3:$P$17,12,0)</f>
        <v>huynhlthuylinh@dtu-hti.edu.vn</v>
      </c>
    </row>
    <row r="135">
      <c r="A135" s="22">
        <v>45697.659182083335</v>
      </c>
      <c r="B135" s="23" t="s">
        <v>752</v>
      </c>
      <c r="C135" s="23">
        <v>2.7207101733E10</v>
      </c>
      <c r="D135" s="23" t="s">
        <v>753</v>
      </c>
      <c r="E135" s="24">
        <v>37808.0</v>
      </c>
      <c r="F135" s="23" t="s">
        <v>152</v>
      </c>
      <c r="G135" s="25" t="s">
        <v>63</v>
      </c>
      <c r="H135" s="25">
        <v>27.0</v>
      </c>
      <c r="I135" s="26" t="s">
        <v>754</v>
      </c>
      <c r="J135" s="25" t="s">
        <v>39</v>
      </c>
      <c r="K135" s="27" t="s">
        <v>755</v>
      </c>
      <c r="L135" s="27" t="s">
        <v>755</v>
      </c>
      <c r="M135" s="25" t="s">
        <v>756</v>
      </c>
      <c r="N135" s="25" t="s">
        <v>116</v>
      </c>
      <c r="O135" s="25" t="s">
        <v>56</v>
      </c>
      <c r="P135" s="27"/>
      <c r="Q135" s="25" t="s">
        <v>563</v>
      </c>
      <c r="R135" s="25" t="s">
        <v>45</v>
      </c>
      <c r="S135" s="25" t="s">
        <v>39</v>
      </c>
      <c r="T135" s="27"/>
      <c r="U135" s="34">
        <v>45698.0</v>
      </c>
      <c r="V135" s="34">
        <v>45786.0</v>
      </c>
      <c r="W135" s="29">
        <v>134.0</v>
      </c>
      <c r="X135" s="29" t="s">
        <v>563</v>
      </c>
      <c r="Y135" s="30" t="s">
        <v>46</v>
      </c>
      <c r="Z135" s="29" t="s">
        <v>563</v>
      </c>
      <c r="AA135" s="27" t="s">
        <v>755</v>
      </c>
      <c r="AB135" s="27" t="s">
        <v>56</v>
      </c>
      <c r="AC135" s="27" t="str">
        <f>VLOOKUP(C135,Sheet1!$C$2:$X$1242,15,0)</f>
        <v/>
      </c>
      <c r="AD135" s="25"/>
      <c r="AE135" s="27" t="str">
        <f t="shared" si="1"/>
        <v/>
      </c>
      <c r="AF135" s="19" t="str">
        <f>VLOOKUP(C135,Sheet1!$C$2:$AE$400,24,0)</f>
        <v>CHUYÊN ĐỀ</v>
      </c>
      <c r="AG135" s="19" t="s">
        <v>101</v>
      </c>
      <c r="AH135" s="31" t="str">
        <f>VLOOKUP(AG135,gvhd!$D$3:$P$17,11,0)</f>
        <v>0935 141614</v>
      </c>
      <c r="AI135" s="32" t="str">
        <f>VLOOKUP(AG135,gvhd!$D$3:$P$17,12,0)</f>
        <v>phamthoangdung@duytan.edu.vn</v>
      </c>
    </row>
    <row r="136">
      <c r="A136" s="22">
        <v>45679.64323688658</v>
      </c>
      <c r="B136" s="23" t="s">
        <v>757</v>
      </c>
      <c r="C136" s="23">
        <v>2.720713301E10</v>
      </c>
      <c r="D136" s="23" t="s">
        <v>758</v>
      </c>
      <c r="E136" s="24">
        <v>37952.0</v>
      </c>
      <c r="F136" s="23" t="s">
        <v>96</v>
      </c>
      <c r="G136" s="25" t="s">
        <v>63</v>
      </c>
      <c r="H136" s="25">
        <v>27.0</v>
      </c>
      <c r="I136" s="26" t="s">
        <v>759</v>
      </c>
      <c r="J136" s="25" t="s">
        <v>39</v>
      </c>
      <c r="K136" s="25" t="s">
        <v>337</v>
      </c>
      <c r="L136" s="27"/>
      <c r="M136" s="25" t="s">
        <v>760</v>
      </c>
      <c r="N136" s="25" t="s">
        <v>68</v>
      </c>
      <c r="O136" s="25" t="s">
        <v>117</v>
      </c>
      <c r="P136" s="27"/>
      <c r="Q136" s="25" t="s">
        <v>563</v>
      </c>
      <c r="R136" s="25" t="s">
        <v>45</v>
      </c>
      <c r="S136" s="25" t="s">
        <v>39</v>
      </c>
      <c r="T136" s="27"/>
      <c r="U136" s="34">
        <v>45698.0</v>
      </c>
      <c r="V136" s="34">
        <v>45787.0</v>
      </c>
      <c r="W136" s="29">
        <v>135.0</v>
      </c>
      <c r="X136" s="58"/>
      <c r="Y136" s="30" t="s">
        <v>46</v>
      </c>
      <c r="Z136" s="29" t="s">
        <v>563</v>
      </c>
      <c r="AA136" s="46" t="s">
        <v>337</v>
      </c>
      <c r="AB136" s="27" t="s">
        <v>117</v>
      </c>
      <c r="AC136" s="27" t="str">
        <f>VLOOKUP(C136,Sheet1!$C$2:$X$1242,15,0)</f>
        <v/>
      </c>
      <c r="AD136" s="27"/>
      <c r="AE136" s="27" t="str">
        <f t="shared" si="1"/>
        <v/>
      </c>
      <c r="AF136" s="19" t="str">
        <f>VLOOKUP(C136,Sheet1!$C$2:$AE$400,24,0)</f>
        <v>CHUYÊN ĐỀ</v>
      </c>
      <c r="AG136" s="19" t="s">
        <v>120</v>
      </c>
      <c r="AH136" s="20" t="str">
        <f>VLOOKUP(AG136,gvhd!$D$3:$P$17,11,0)</f>
        <v>0375658728</v>
      </c>
      <c r="AI136" s="21" t="str">
        <f>VLOOKUP(AG136,gvhd!$D$3:$P$17,12,0)</f>
        <v>trinhtkimchung@dtu-hti.edu.vn</v>
      </c>
    </row>
    <row r="137">
      <c r="A137" s="22">
        <v>45695.63473900463</v>
      </c>
      <c r="B137" s="23" t="s">
        <v>761</v>
      </c>
      <c r="C137" s="23">
        <v>2.4207105293E10</v>
      </c>
      <c r="D137" s="23" t="s">
        <v>762</v>
      </c>
      <c r="E137" s="24">
        <v>36810.0</v>
      </c>
      <c r="F137" s="23" t="s">
        <v>763</v>
      </c>
      <c r="G137" s="25" t="s">
        <v>63</v>
      </c>
      <c r="H137" s="25">
        <v>24.0</v>
      </c>
      <c r="I137" s="26" t="s">
        <v>764</v>
      </c>
      <c r="J137" s="25" t="s">
        <v>39</v>
      </c>
      <c r="K137" s="25" t="s">
        <v>765</v>
      </c>
      <c r="L137" s="25" t="s">
        <v>765</v>
      </c>
      <c r="M137" s="25" t="s">
        <v>155</v>
      </c>
      <c r="N137" s="25" t="s">
        <v>68</v>
      </c>
      <c r="O137" s="25" t="s">
        <v>56</v>
      </c>
      <c r="P137" s="27"/>
      <c r="Q137" s="26" t="s">
        <v>395</v>
      </c>
      <c r="R137" s="25" t="s">
        <v>45</v>
      </c>
      <c r="S137" s="25" t="s">
        <v>39</v>
      </c>
      <c r="T137" s="27"/>
      <c r="U137" s="34">
        <v>45698.0</v>
      </c>
      <c r="V137" s="34">
        <v>45787.0</v>
      </c>
      <c r="W137" s="29">
        <v>136.0</v>
      </c>
      <c r="X137" s="17">
        <v>45932.0</v>
      </c>
      <c r="Y137" s="30" t="s">
        <v>46</v>
      </c>
      <c r="Z137" s="29" t="s">
        <v>563</v>
      </c>
      <c r="AA137" s="25" t="s">
        <v>765</v>
      </c>
      <c r="AB137" s="27" t="s">
        <v>56</v>
      </c>
      <c r="AC137" s="27" t="str">
        <f>VLOOKUP(C137,Sheet1!$C$2:$X$1242,15,0)</f>
        <v>ĐÃ NỘP</v>
      </c>
      <c r="AD137" s="27"/>
      <c r="AE137" s="27" t="str">
        <f t="shared" si="1"/>
        <v/>
      </c>
      <c r="AF137" s="19" t="str">
        <f>VLOOKUP(C137,Sheet1!$C$2:$AE$400,24,0)</f>
        <v>CHUYÊN ĐỀ</v>
      </c>
      <c r="AG137" s="19" t="s">
        <v>101</v>
      </c>
      <c r="AH137" s="31" t="str">
        <f>VLOOKUP(AG137,gvhd!$D$3:$P$17,11,0)</f>
        <v>0935 141614</v>
      </c>
      <c r="AI137" s="32" t="str">
        <f>VLOOKUP(AG137,gvhd!$D$3:$P$17,12,0)</f>
        <v>phamthoangdung@duytan.edu.vn</v>
      </c>
    </row>
    <row r="138">
      <c r="A138" s="22">
        <v>45679.6763952662</v>
      </c>
      <c r="B138" s="23" t="s">
        <v>766</v>
      </c>
      <c r="C138" s="23">
        <v>2.5217202931E10</v>
      </c>
      <c r="D138" s="23" t="s">
        <v>767</v>
      </c>
      <c r="E138" s="24">
        <v>36559.0</v>
      </c>
      <c r="F138" s="23" t="s">
        <v>768</v>
      </c>
      <c r="G138" s="25" t="s">
        <v>63</v>
      </c>
      <c r="H138" s="25">
        <v>25.0</v>
      </c>
      <c r="I138" s="26" t="s">
        <v>769</v>
      </c>
      <c r="J138" s="25" t="s">
        <v>39</v>
      </c>
      <c r="K138" s="27" t="s">
        <v>770</v>
      </c>
      <c r="L138" s="27" t="s">
        <v>770</v>
      </c>
      <c r="M138" s="25" t="s">
        <v>771</v>
      </c>
      <c r="N138" s="25" t="s">
        <v>772</v>
      </c>
      <c r="O138" s="25" t="s">
        <v>92</v>
      </c>
      <c r="P138" s="27" t="s">
        <v>75</v>
      </c>
      <c r="Q138" s="26" t="s">
        <v>773</v>
      </c>
      <c r="R138" s="25" t="s">
        <v>45</v>
      </c>
      <c r="S138" s="25" t="s">
        <v>39</v>
      </c>
      <c r="T138" s="27" t="s">
        <v>70</v>
      </c>
      <c r="U138" s="34">
        <v>45698.0</v>
      </c>
      <c r="V138" s="34">
        <v>45787.0</v>
      </c>
      <c r="W138" s="29">
        <v>137.0</v>
      </c>
      <c r="X138" s="17">
        <v>45963.0</v>
      </c>
      <c r="Y138" s="30" t="s">
        <v>46</v>
      </c>
      <c r="Z138" s="29" t="s">
        <v>691</v>
      </c>
      <c r="AA138" s="46" t="s">
        <v>770</v>
      </c>
      <c r="AB138" s="27" t="s">
        <v>92</v>
      </c>
      <c r="AC138" s="27" t="str">
        <f>VLOOKUP(C138,Sheet1!$C$2:$X$1242,15,0)</f>
        <v>ĐÃ NỘP</v>
      </c>
      <c r="AD138" s="27"/>
      <c r="AE138" s="27" t="str">
        <f t="shared" si="1"/>
        <v/>
      </c>
      <c r="AF138" s="19" t="str">
        <f>VLOOKUP(C138,Sheet1!$C$2:$AE$400,24,0)</f>
        <v>CHUYÊN ĐỀ</v>
      </c>
      <c r="AG138" s="19" t="s">
        <v>120</v>
      </c>
      <c r="AH138" s="20" t="str">
        <f>VLOOKUP(AG138,gvhd!$D$3:$P$17,11,0)</f>
        <v>0375658728</v>
      </c>
      <c r="AI138" s="21" t="str">
        <f>VLOOKUP(AG138,gvhd!$D$3:$P$17,12,0)</f>
        <v>trinhtkimchung@dtu-hti.edu.vn</v>
      </c>
    </row>
    <row r="139">
      <c r="A139" s="22">
        <v>45679.69444431713</v>
      </c>
      <c r="B139" s="23" t="s">
        <v>774</v>
      </c>
      <c r="C139" s="23">
        <v>2.721712527E10</v>
      </c>
      <c r="D139" s="23" t="s">
        <v>775</v>
      </c>
      <c r="E139" s="24">
        <v>37659.0</v>
      </c>
      <c r="F139" s="23" t="s">
        <v>276</v>
      </c>
      <c r="G139" s="25" t="s">
        <v>63</v>
      </c>
      <c r="H139" s="25">
        <v>27.0</v>
      </c>
      <c r="I139" s="26" t="s">
        <v>776</v>
      </c>
      <c r="J139" s="25" t="s">
        <v>39</v>
      </c>
      <c r="K139" s="27" t="s">
        <v>755</v>
      </c>
      <c r="L139" s="27" t="s">
        <v>755</v>
      </c>
      <c r="M139" s="25" t="s">
        <v>777</v>
      </c>
      <c r="N139" s="25" t="s">
        <v>319</v>
      </c>
      <c r="O139" s="25" t="s">
        <v>56</v>
      </c>
      <c r="P139" s="27"/>
      <c r="Q139" s="25" t="s">
        <v>715</v>
      </c>
      <c r="R139" s="25" t="s">
        <v>45</v>
      </c>
      <c r="S139" s="25" t="s">
        <v>39</v>
      </c>
      <c r="T139" s="27" t="s">
        <v>137</v>
      </c>
      <c r="U139" s="34">
        <v>45698.0</v>
      </c>
      <c r="V139" s="34">
        <v>45786.0</v>
      </c>
      <c r="W139" s="29">
        <v>138.0</v>
      </c>
      <c r="X139" s="29" t="s">
        <v>563</v>
      </c>
      <c r="Y139" s="30" t="s">
        <v>46</v>
      </c>
      <c r="Z139" s="29" t="s">
        <v>563</v>
      </c>
      <c r="AA139" s="27" t="s">
        <v>755</v>
      </c>
      <c r="AB139" s="61" t="s">
        <v>56</v>
      </c>
      <c r="AC139" s="27" t="str">
        <f>VLOOKUP(C139,Sheet1!$C$2:$X$1242,15,0)</f>
        <v/>
      </c>
      <c r="AD139" s="25"/>
      <c r="AE139" s="27" t="str">
        <f t="shared" si="1"/>
        <v/>
      </c>
      <c r="AF139" s="19" t="str">
        <f>VLOOKUP(C139,Sheet1!$C$2:$AE$400,24,0)</f>
        <v>CHUYÊN ĐỀ</v>
      </c>
      <c r="AG139" s="19" t="s">
        <v>101</v>
      </c>
      <c r="AH139" s="31" t="str">
        <f>VLOOKUP(AG139,gvhd!$D$3:$P$17,11,0)</f>
        <v>0935 141614</v>
      </c>
      <c r="AI139" s="32" t="str">
        <f>VLOOKUP(AG139,gvhd!$D$3:$P$17,12,0)</f>
        <v>phamthoangdung@duytan.edu.vn</v>
      </c>
    </row>
    <row r="140">
      <c r="A140" s="22">
        <v>45695.72782770834</v>
      </c>
      <c r="B140" s="23" t="s">
        <v>778</v>
      </c>
      <c r="C140" s="23">
        <v>2.7202237832E10</v>
      </c>
      <c r="D140" s="23" t="s">
        <v>779</v>
      </c>
      <c r="E140" s="24">
        <v>37971.0</v>
      </c>
      <c r="F140" s="23" t="s">
        <v>145</v>
      </c>
      <c r="G140" s="25" t="s">
        <v>63</v>
      </c>
      <c r="H140" s="25">
        <v>27.0</v>
      </c>
      <c r="I140" s="26" t="s">
        <v>780</v>
      </c>
      <c r="J140" s="25" t="s">
        <v>288</v>
      </c>
      <c r="K140" s="25" t="s">
        <v>324</v>
      </c>
      <c r="L140" s="27" t="s">
        <v>781</v>
      </c>
      <c r="M140" s="25" t="s">
        <v>777</v>
      </c>
      <c r="N140" s="25" t="s">
        <v>68</v>
      </c>
      <c r="O140" s="25" t="s">
        <v>56</v>
      </c>
      <c r="P140" s="27"/>
      <c r="Q140" s="25" t="s">
        <v>715</v>
      </c>
      <c r="R140" s="25" t="s">
        <v>45</v>
      </c>
      <c r="S140" s="25" t="s">
        <v>288</v>
      </c>
      <c r="T140" s="27" t="s">
        <v>137</v>
      </c>
      <c r="U140" s="34">
        <v>45698.0</v>
      </c>
      <c r="V140" s="34">
        <v>45786.0</v>
      </c>
      <c r="W140" s="29">
        <v>139.0</v>
      </c>
      <c r="X140" s="29" t="s">
        <v>563</v>
      </c>
      <c r="Y140" s="30" t="s">
        <v>46</v>
      </c>
      <c r="Z140" s="29" t="s">
        <v>563</v>
      </c>
      <c r="AA140" s="46" t="s">
        <v>755</v>
      </c>
      <c r="AB140" s="62" t="s">
        <v>56</v>
      </c>
      <c r="AC140" s="27" t="str">
        <f>VLOOKUP(C140,Sheet1!$C$2:$X$1242,15,0)</f>
        <v/>
      </c>
      <c r="AD140" s="25"/>
      <c r="AE140" s="27" t="str">
        <f t="shared" si="1"/>
        <v/>
      </c>
      <c r="AF140" s="19" t="str">
        <f>VLOOKUP(C140,Sheet1!$C$2:$AE$400,24,0)</f>
        <v>CHUYÊN ĐỀ</v>
      </c>
      <c r="AG140" s="19" t="s">
        <v>101</v>
      </c>
      <c r="AH140" s="20" t="str">
        <f>VLOOKUP(AG140,gvhd!$D$3:$P$17,11,0)</f>
        <v>0935 141614</v>
      </c>
      <c r="AI140" s="21" t="str">
        <f>VLOOKUP(AG140,gvhd!$D$3:$P$17,12,0)</f>
        <v>phamthoangdung@duytan.edu.vn</v>
      </c>
    </row>
    <row r="141">
      <c r="A141" s="22">
        <v>45679.741828252314</v>
      </c>
      <c r="B141" s="23" t="s">
        <v>782</v>
      </c>
      <c r="C141" s="23">
        <v>2.720710207E10</v>
      </c>
      <c r="D141" s="23" t="s">
        <v>783</v>
      </c>
      <c r="E141" s="24">
        <v>37741.0</v>
      </c>
      <c r="F141" s="23" t="s">
        <v>145</v>
      </c>
      <c r="G141" s="25" t="s">
        <v>63</v>
      </c>
      <c r="H141" s="25">
        <v>27.0</v>
      </c>
      <c r="I141" s="26" t="s">
        <v>784</v>
      </c>
      <c r="J141" s="25" t="s">
        <v>288</v>
      </c>
      <c r="K141" s="27" t="s">
        <v>755</v>
      </c>
      <c r="L141" s="27" t="s">
        <v>755</v>
      </c>
      <c r="M141" s="25" t="s">
        <v>777</v>
      </c>
      <c r="N141" s="25" t="s">
        <v>68</v>
      </c>
      <c r="O141" s="25" t="s">
        <v>56</v>
      </c>
      <c r="P141" s="27"/>
      <c r="Q141" s="25" t="s">
        <v>715</v>
      </c>
      <c r="R141" s="25" t="s">
        <v>45</v>
      </c>
      <c r="S141" s="25" t="s">
        <v>288</v>
      </c>
      <c r="T141" s="27" t="s">
        <v>137</v>
      </c>
      <c r="U141" s="34">
        <v>45698.0</v>
      </c>
      <c r="V141" s="34">
        <v>45786.0</v>
      </c>
      <c r="W141" s="29">
        <v>140.0</v>
      </c>
      <c r="X141" s="29" t="s">
        <v>563</v>
      </c>
      <c r="Y141" s="30" t="s">
        <v>46</v>
      </c>
      <c r="Z141" s="29" t="s">
        <v>563</v>
      </c>
      <c r="AA141" s="46" t="s">
        <v>755</v>
      </c>
      <c r="AB141" s="61" t="s">
        <v>56</v>
      </c>
      <c r="AC141" s="27" t="str">
        <f>VLOOKUP(C141,Sheet1!$C$2:$X$1242,15,0)</f>
        <v/>
      </c>
      <c r="AD141" s="25"/>
      <c r="AE141" s="27" t="str">
        <f t="shared" si="1"/>
        <v/>
      </c>
      <c r="AF141" s="19" t="str">
        <f>VLOOKUP(C141,Sheet1!$C$2:$AE$400,24,0)</f>
        <v>CHUYÊN ĐỀ</v>
      </c>
      <c r="AG141" s="19" t="s">
        <v>101</v>
      </c>
      <c r="AH141" s="31" t="str">
        <f>VLOOKUP(AG141,gvhd!$D$3:$P$17,11,0)</f>
        <v>0935 141614</v>
      </c>
      <c r="AI141" s="32" t="str">
        <f>VLOOKUP(AG141,gvhd!$D$3:$P$17,12,0)</f>
        <v>phamthoangdung@duytan.edu.vn</v>
      </c>
    </row>
    <row r="142">
      <c r="A142" s="22">
        <v>45679.72248231481</v>
      </c>
      <c r="B142" s="23" t="s">
        <v>785</v>
      </c>
      <c r="C142" s="23">
        <v>2.7207100842E10</v>
      </c>
      <c r="D142" s="23" t="s">
        <v>786</v>
      </c>
      <c r="E142" s="24">
        <v>37723.0</v>
      </c>
      <c r="F142" s="23" t="s">
        <v>96</v>
      </c>
      <c r="G142" s="25" t="s">
        <v>63</v>
      </c>
      <c r="H142" s="25">
        <v>27.0</v>
      </c>
      <c r="I142" s="26" t="s">
        <v>787</v>
      </c>
      <c r="J142" s="25" t="s">
        <v>39</v>
      </c>
      <c r="K142" s="25" t="s">
        <v>325</v>
      </c>
      <c r="L142" s="27" t="s">
        <v>325</v>
      </c>
      <c r="M142" s="25" t="s">
        <v>788</v>
      </c>
      <c r="N142" s="25" t="s">
        <v>116</v>
      </c>
      <c r="O142" s="25" t="s">
        <v>92</v>
      </c>
      <c r="P142" s="27"/>
      <c r="Q142" s="25" t="s">
        <v>563</v>
      </c>
      <c r="R142" s="25" t="s">
        <v>45</v>
      </c>
      <c r="S142" s="25" t="s">
        <v>39</v>
      </c>
      <c r="T142" s="27" t="s">
        <v>137</v>
      </c>
      <c r="U142" s="34">
        <v>45698.0</v>
      </c>
      <c r="V142" s="34">
        <v>45787.0</v>
      </c>
      <c r="W142" s="29">
        <v>141.0</v>
      </c>
      <c r="X142" s="29" t="s">
        <v>691</v>
      </c>
      <c r="Y142" s="30" t="s">
        <v>46</v>
      </c>
      <c r="Z142" s="29" t="s">
        <v>691</v>
      </c>
      <c r="AA142" s="25" t="s">
        <v>325</v>
      </c>
      <c r="AB142" s="25" t="s">
        <v>92</v>
      </c>
      <c r="AC142" s="27" t="str">
        <f>VLOOKUP(C142,Sheet1!$C$2:$X$1242,15,0)</f>
        <v/>
      </c>
      <c r="AD142" s="27"/>
      <c r="AE142" s="27" t="str">
        <f t="shared" si="1"/>
        <v/>
      </c>
      <c r="AF142" s="19" t="str">
        <f>VLOOKUP(C142,Sheet1!$C$2:$AE$400,24,0)</f>
        <v>CHUYÊN ĐỀ</v>
      </c>
      <c r="AG142" s="19" t="s">
        <v>93</v>
      </c>
      <c r="AH142" s="20" t="str">
        <f>VLOOKUP(AG142,gvhd!$D$3:$P$17,11,0)</f>
        <v>0904464092</v>
      </c>
      <c r="AI142" s="21" t="str">
        <f>VLOOKUP(AG142,gvhd!$D$3:$P$17,12,0)</f>
        <v>anhphuong@duytan.edu.vn</v>
      </c>
    </row>
    <row r="143">
      <c r="A143" s="22">
        <v>45679.85424789352</v>
      </c>
      <c r="B143" s="23" t="s">
        <v>789</v>
      </c>
      <c r="C143" s="23">
        <v>2.6217241667E10</v>
      </c>
      <c r="D143" s="23" t="s">
        <v>790</v>
      </c>
      <c r="E143" s="24">
        <v>37559.0</v>
      </c>
      <c r="F143" s="23" t="s">
        <v>88</v>
      </c>
      <c r="G143" s="25" t="s">
        <v>63</v>
      </c>
      <c r="H143" s="25">
        <v>27.0</v>
      </c>
      <c r="I143" s="26" t="s">
        <v>791</v>
      </c>
      <c r="J143" s="25" t="s">
        <v>39</v>
      </c>
      <c r="K143" s="25" t="s">
        <v>160</v>
      </c>
      <c r="L143" s="27"/>
      <c r="M143" s="25" t="s">
        <v>792</v>
      </c>
      <c r="N143" s="25" t="s">
        <v>68</v>
      </c>
      <c r="O143" s="25" t="s">
        <v>56</v>
      </c>
      <c r="P143" s="27"/>
      <c r="Q143" s="25" t="s">
        <v>715</v>
      </c>
      <c r="R143" s="25" t="s">
        <v>45</v>
      </c>
      <c r="S143" s="25" t="s">
        <v>39</v>
      </c>
      <c r="T143" s="27" t="s">
        <v>70</v>
      </c>
      <c r="U143" s="34">
        <v>45677.0</v>
      </c>
      <c r="V143" s="34">
        <v>45767.0</v>
      </c>
      <c r="W143" s="29">
        <v>142.0</v>
      </c>
      <c r="X143" s="29" t="s">
        <v>691</v>
      </c>
      <c r="Y143" s="30" t="s">
        <v>46</v>
      </c>
      <c r="Z143" s="29" t="s">
        <v>691</v>
      </c>
      <c r="AA143" s="25" t="s">
        <v>160</v>
      </c>
      <c r="AB143" s="25" t="s">
        <v>56</v>
      </c>
      <c r="AC143" s="27" t="str">
        <f>VLOOKUP(C143,Sheet1!$C$2:$X$1242,15,0)</f>
        <v/>
      </c>
      <c r="AD143" s="25" t="s">
        <v>290</v>
      </c>
      <c r="AE143" s="27" t="str">
        <f t="shared" si="1"/>
        <v/>
      </c>
      <c r="AF143" s="19" t="str">
        <f>VLOOKUP(C143,Sheet1!$C$2:$AE$400,24,0)</f>
        <v>CHUYÊN ĐỀ</v>
      </c>
      <c r="AG143" s="19" t="s">
        <v>70</v>
      </c>
      <c r="AH143" s="31" t="str">
        <f>VLOOKUP(AG143,gvhd!$D$3:$P$17,11,0)</f>
        <v>0938290678</v>
      </c>
      <c r="AI143" s="32" t="str">
        <f>VLOOKUP(AG143,gvhd!$D$3:$P$17,12,0)</f>
        <v>phamtthuthuy2@dtu-hti.edu.vn</v>
      </c>
    </row>
    <row r="144">
      <c r="A144" s="22">
        <v>45679.903464664356</v>
      </c>
      <c r="B144" s="23" t="s">
        <v>793</v>
      </c>
      <c r="C144" s="23">
        <v>2.720714344E10</v>
      </c>
      <c r="D144" s="23" t="s">
        <v>794</v>
      </c>
      <c r="E144" s="24">
        <v>37747.0</v>
      </c>
      <c r="F144" s="23" t="s">
        <v>276</v>
      </c>
      <c r="G144" s="25" t="s">
        <v>63</v>
      </c>
      <c r="H144" s="25">
        <v>27.0</v>
      </c>
      <c r="I144" s="26" t="s">
        <v>795</v>
      </c>
      <c r="J144" s="25" t="s">
        <v>39</v>
      </c>
      <c r="K144" s="27" t="s">
        <v>475</v>
      </c>
      <c r="L144" s="27" t="s">
        <v>796</v>
      </c>
      <c r="M144" s="25" t="s">
        <v>476</v>
      </c>
      <c r="N144" s="25" t="s">
        <v>68</v>
      </c>
      <c r="O144" s="25" t="s">
        <v>56</v>
      </c>
      <c r="P144" s="27"/>
      <c r="Q144" s="25" t="s">
        <v>691</v>
      </c>
      <c r="R144" s="25" t="s">
        <v>45</v>
      </c>
      <c r="S144" s="25" t="s">
        <v>39</v>
      </c>
      <c r="T144" s="27" t="s">
        <v>70</v>
      </c>
      <c r="U144" s="34">
        <v>45698.0</v>
      </c>
      <c r="V144" s="34">
        <v>45787.0</v>
      </c>
      <c r="W144" s="29">
        <v>143.0</v>
      </c>
      <c r="X144" s="17">
        <v>45963.0</v>
      </c>
      <c r="Y144" s="30" t="s">
        <v>46</v>
      </c>
      <c r="Z144" s="29" t="s">
        <v>691</v>
      </c>
      <c r="AA144" s="27" t="s">
        <v>475</v>
      </c>
      <c r="AB144" s="25" t="s">
        <v>56</v>
      </c>
      <c r="AC144" s="27" t="str">
        <f>VLOOKUP(C144,Sheet1!$C$2:$X$1242,15,0)</f>
        <v/>
      </c>
      <c r="AD144" s="27"/>
      <c r="AE144" s="27" t="str">
        <f t="shared" si="1"/>
        <v/>
      </c>
      <c r="AF144" s="19" t="str">
        <f>VLOOKUP(C144,Sheet1!$C$2:$AE$400,24,0)</f>
        <v>CHUYÊN ĐỀ</v>
      </c>
      <c r="AG144" s="19" t="s">
        <v>71</v>
      </c>
      <c r="AH144" s="20" t="str">
        <f>VLOOKUP(AG144,gvhd!$D$3:$P$17,11,0)</f>
        <v>0702605664</v>
      </c>
      <c r="AI144" s="21" t="str">
        <f>VLOOKUP(AG144,gvhd!$D$3:$P$17,12,0)</f>
        <v>huynhlthuylinh@dtu-hti.edu.vn</v>
      </c>
    </row>
    <row r="145">
      <c r="A145" s="22">
        <v>45679.903898749995</v>
      </c>
      <c r="B145" s="23" t="s">
        <v>797</v>
      </c>
      <c r="C145" s="23">
        <v>2.721713288E10</v>
      </c>
      <c r="D145" s="23" t="s">
        <v>798</v>
      </c>
      <c r="E145" s="24">
        <v>37681.0</v>
      </c>
      <c r="F145" s="23" t="s">
        <v>129</v>
      </c>
      <c r="G145" s="25" t="s">
        <v>63</v>
      </c>
      <c r="H145" s="25">
        <v>27.0</v>
      </c>
      <c r="I145" s="26" t="s">
        <v>799</v>
      </c>
      <c r="J145" s="25" t="s">
        <v>39</v>
      </c>
      <c r="K145" s="25" t="s">
        <v>114</v>
      </c>
      <c r="L145" s="27"/>
      <c r="M145" s="25" t="s">
        <v>136</v>
      </c>
      <c r="N145" s="25" t="s">
        <v>319</v>
      </c>
      <c r="O145" s="25" t="s">
        <v>56</v>
      </c>
      <c r="P145" s="27"/>
      <c r="Q145" s="26" t="s">
        <v>132</v>
      </c>
      <c r="R145" s="25" t="s">
        <v>45</v>
      </c>
      <c r="S145" s="25" t="s">
        <v>39</v>
      </c>
      <c r="T145" s="27" t="s">
        <v>137</v>
      </c>
      <c r="U145" s="34">
        <v>45698.0</v>
      </c>
      <c r="V145" s="34">
        <v>45787.0</v>
      </c>
      <c r="W145" s="29">
        <v>144.0</v>
      </c>
      <c r="X145" s="29" t="s">
        <v>691</v>
      </c>
      <c r="Y145" s="30" t="s">
        <v>46</v>
      </c>
      <c r="Z145" s="29" t="s">
        <v>691</v>
      </c>
      <c r="AA145" s="25" t="s">
        <v>114</v>
      </c>
      <c r="AB145" s="25" t="s">
        <v>56</v>
      </c>
      <c r="AC145" s="27" t="str">
        <f>VLOOKUP(C145,Sheet1!$C$2:$X$1242,15,0)</f>
        <v/>
      </c>
      <c r="AD145" s="25" t="s">
        <v>138</v>
      </c>
      <c r="AE145" s="27" t="str">
        <f t="shared" si="1"/>
        <v/>
      </c>
      <c r="AF145" s="19" t="str">
        <f>VLOOKUP(C145,Sheet1!$C$2:$AE$400,24,0)</f>
        <v>CHUYÊN ĐỀ</v>
      </c>
      <c r="AG145" s="19" t="s">
        <v>139</v>
      </c>
      <c r="AH145" s="31" t="str">
        <f>VLOOKUP(AG145,gvhd!$D$3:$P$17,11,0)</f>
        <v>0975718029</v>
      </c>
      <c r="AI145" s="32" t="str">
        <f>VLOOKUP(AG145,gvhd!$D$3:$P$17,12,0)</f>
        <v>trantmylinh5@duytan.edu.vn</v>
      </c>
    </row>
    <row r="146">
      <c r="A146" s="22">
        <v>45679.90719172454</v>
      </c>
      <c r="B146" s="23" t="s">
        <v>800</v>
      </c>
      <c r="C146" s="23">
        <v>2.7217130749E10</v>
      </c>
      <c r="D146" s="23" t="s">
        <v>801</v>
      </c>
      <c r="E146" s="24">
        <v>37813.0</v>
      </c>
      <c r="F146" s="23" t="s">
        <v>108</v>
      </c>
      <c r="G146" s="25" t="s">
        <v>63</v>
      </c>
      <c r="H146" s="25">
        <v>27.0</v>
      </c>
      <c r="I146" s="26" t="s">
        <v>802</v>
      </c>
      <c r="J146" s="25" t="s">
        <v>39</v>
      </c>
      <c r="K146" s="25" t="s">
        <v>475</v>
      </c>
      <c r="L146" s="27"/>
      <c r="M146" s="25" t="s">
        <v>476</v>
      </c>
      <c r="N146" s="25" t="s">
        <v>68</v>
      </c>
      <c r="O146" s="25" t="s">
        <v>92</v>
      </c>
      <c r="P146" s="27"/>
      <c r="Q146" s="26" t="s">
        <v>477</v>
      </c>
      <c r="R146" s="25" t="s">
        <v>45</v>
      </c>
      <c r="S146" s="25" t="s">
        <v>39</v>
      </c>
      <c r="T146" s="27"/>
      <c r="U146" s="34">
        <v>45696.0</v>
      </c>
      <c r="V146" s="34">
        <v>45785.0</v>
      </c>
      <c r="W146" s="29">
        <v>145.0</v>
      </c>
      <c r="X146" s="17">
        <v>45963.0</v>
      </c>
      <c r="Y146" s="30" t="s">
        <v>46</v>
      </c>
      <c r="Z146" s="29" t="s">
        <v>691</v>
      </c>
      <c r="AA146" s="25" t="s">
        <v>475</v>
      </c>
      <c r="AB146" s="25" t="s">
        <v>92</v>
      </c>
      <c r="AC146" s="27" t="str">
        <f>VLOOKUP(C146,Sheet1!$C$2:$X$1242,15,0)</f>
        <v/>
      </c>
      <c r="AD146" s="27"/>
      <c r="AE146" s="27" t="str">
        <f t="shared" si="1"/>
        <v/>
      </c>
      <c r="AF146" s="19" t="str">
        <f>VLOOKUP(C146,Sheet1!$C$2:$AE$400,24,0)</f>
        <v>CHUYÊN ĐỀ</v>
      </c>
      <c r="AG146" s="19" t="s">
        <v>93</v>
      </c>
      <c r="AH146" s="20" t="str">
        <f>VLOOKUP(AG146,gvhd!$D$3:$P$17,11,0)</f>
        <v>0904464092</v>
      </c>
      <c r="AI146" s="21" t="str">
        <f>VLOOKUP(AG146,gvhd!$D$3:$P$17,12,0)</f>
        <v>anhphuong@duytan.edu.vn</v>
      </c>
    </row>
    <row r="147">
      <c r="A147" s="22">
        <v>45679.92624958333</v>
      </c>
      <c r="B147" s="23" t="s">
        <v>803</v>
      </c>
      <c r="C147" s="23">
        <v>2.6207131837E10</v>
      </c>
      <c r="D147" s="23" t="s">
        <v>804</v>
      </c>
      <c r="E147" s="24">
        <v>37370.0</v>
      </c>
      <c r="F147" s="23" t="s">
        <v>805</v>
      </c>
      <c r="G147" s="25" t="s">
        <v>63</v>
      </c>
      <c r="H147" s="25">
        <v>26.0</v>
      </c>
      <c r="I147" s="26" t="s">
        <v>806</v>
      </c>
      <c r="J147" s="25" t="s">
        <v>39</v>
      </c>
      <c r="K147" s="25" t="s">
        <v>380</v>
      </c>
      <c r="L147" s="27"/>
      <c r="M147" s="25" t="s">
        <v>807</v>
      </c>
      <c r="N147" s="25" t="s">
        <v>68</v>
      </c>
      <c r="O147" s="25" t="s">
        <v>56</v>
      </c>
      <c r="P147" s="27"/>
      <c r="Q147" s="25" t="s">
        <v>563</v>
      </c>
      <c r="R147" s="25" t="s">
        <v>45</v>
      </c>
      <c r="S147" s="25" t="s">
        <v>39</v>
      </c>
      <c r="T147" s="27" t="s">
        <v>58</v>
      </c>
      <c r="U147" s="34">
        <v>45698.0</v>
      </c>
      <c r="V147" s="34">
        <v>45787.0</v>
      </c>
      <c r="W147" s="29">
        <v>146.0</v>
      </c>
      <c r="X147" s="29" t="s">
        <v>691</v>
      </c>
      <c r="Y147" s="30" t="s">
        <v>46</v>
      </c>
      <c r="Z147" s="29" t="s">
        <v>691</v>
      </c>
      <c r="AA147" s="25" t="s">
        <v>380</v>
      </c>
      <c r="AB147" s="25" t="s">
        <v>56</v>
      </c>
      <c r="AC147" s="27" t="str">
        <f>VLOOKUP(C147,Sheet1!$C$2:$X$1242,15,0)</f>
        <v>ĐÃ NỘP</v>
      </c>
      <c r="AD147" s="27"/>
      <c r="AE147" s="27" t="str">
        <f t="shared" si="1"/>
        <v/>
      </c>
      <c r="AF147" s="19" t="str">
        <f>VLOOKUP(C147,Sheet1!$C$2:$AE$400,24,0)</f>
        <v>không đủ điều kiện</v>
      </c>
      <c r="AG147" s="19"/>
      <c r="AH147" s="31"/>
      <c r="AI147" s="32"/>
    </row>
    <row r="148">
      <c r="A148" s="22">
        <v>45680.53398576389</v>
      </c>
      <c r="B148" s="23" t="s">
        <v>808</v>
      </c>
      <c r="C148" s="23">
        <v>2.7207147294E10</v>
      </c>
      <c r="D148" s="23" t="s">
        <v>809</v>
      </c>
      <c r="E148" s="24">
        <v>37891.0</v>
      </c>
      <c r="F148" s="23" t="s">
        <v>145</v>
      </c>
      <c r="G148" s="25" t="s">
        <v>63</v>
      </c>
      <c r="H148" s="25">
        <v>27.0</v>
      </c>
      <c r="I148" s="26" t="s">
        <v>810</v>
      </c>
      <c r="J148" s="25" t="s">
        <v>39</v>
      </c>
      <c r="K148" s="25" t="s">
        <v>811</v>
      </c>
      <c r="L148" s="27"/>
      <c r="M148" s="25" t="s">
        <v>812</v>
      </c>
      <c r="N148" s="25" t="s">
        <v>68</v>
      </c>
      <c r="O148" s="25" t="s">
        <v>117</v>
      </c>
      <c r="P148" s="27"/>
      <c r="Q148" s="26" t="s">
        <v>244</v>
      </c>
      <c r="R148" s="25" t="s">
        <v>45</v>
      </c>
      <c r="S148" s="25" t="s">
        <v>39</v>
      </c>
      <c r="T148" s="27"/>
      <c r="U148" s="34">
        <v>45698.0</v>
      </c>
      <c r="V148" s="34">
        <v>45787.0</v>
      </c>
      <c r="W148" s="29">
        <v>147.0</v>
      </c>
      <c r="X148" s="17">
        <v>45810.0</v>
      </c>
      <c r="Y148" s="30" t="s">
        <v>46</v>
      </c>
      <c r="Z148" s="29" t="s">
        <v>660</v>
      </c>
      <c r="AA148" s="46" t="s">
        <v>811</v>
      </c>
      <c r="AB148" s="46" t="s">
        <v>117</v>
      </c>
      <c r="AC148" s="27" t="str">
        <f>VLOOKUP(C148,Sheet1!$C$2:$X$1242,15,0)</f>
        <v/>
      </c>
      <c r="AD148" s="27"/>
      <c r="AE148" s="27" t="str">
        <f t="shared" si="1"/>
        <v/>
      </c>
      <c r="AF148" s="19" t="str">
        <f>VLOOKUP(C148,Sheet1!$C$2:$AE$400,24,0)</f>
        <v>không đủ điều kiện</v>
      </c>
      <c r="AG148" s="19"/>
      <c r="AH148" s="20"/>
      <c r="AI148" s="21"/>
    </row>
    <row r="149">
      <c r="A149" s="22">
        <v>45680.61013505787</v>
      </c>
      <c r="B149" s="23" t="s">
        <v>813</v>
      </c>
      <c r="C149" s="23">
        <v>2.7207153285E10</v>
      </c>
      <c r="D149" s="23" t="s">
        <v>814</v>
      </c>
      <c r="E149" s="24">
        <v>37803.0</v>
      </c>
      <c r="F149" s="23" t="s">
        <v>815</v>
      </c>
      <c r="G149" s="25" t="s">
        <v>355</v>
      </c>
      <c r="H149" s="25">
        <v>27.0</v>
      </c>
      <c r="I149" s="26" t="s">
        <v>816</v>
      </c>
      <c r="J149" s="25" t="s">
        <v>288</v>
      </c>
      <c r="K149" s="25" t="s">
        <v>741</v>
      </c>
      <c r="L149" s="27"/>
      <c r="M149" s="25" t="s">
        <v>747</v>
      </c>
      <c r="N149" s="25" t="s">
        <v>68</v>
      </c>
      <c r="O149" s="25" t="s">
        <v>56</v>
      </c>
      <c r="P149" s="27"/>
      <c r="Q149" s="25" t="s">
        <v>691</v>
      </c>
      <c r="R149" s="25" t="s">
        <v>45</v>
      </c>
      <c r="S149" s="25" t="s">
        <v>288</v>
      </c>
      <c r="T149" s="27" t="s">
        <v>137</v>
      </c>
      <c r="U149" s="34">
        <v>45677.0</v>
      </c>
      <c r="V149" s="34">
        <v>45767.0</v>
      </c>
      <c r="W149" s="29">
        <v>148.0</v>
      </c>
      <c r="X149" s="29" t="s">
        <v>660</v>
      </c>
      <c r="Y149" s="30" t="s">
        <v>46</v>
      </c>
      <c r="Z149" s="29" t="s">
        <v>660</v>
      </c>
      <c r="AA149" s="46" t="s">
        <v>741</v>
      </c>
      <c r="AB149" s="46" t="s">
        <v>56</v>
      </c>
      <c r="AC149" s="27" t="str">
        <f>VLOOKUP(C149,Sheet1!$C$2:$X$1242,15,0)</f>
        <v/>
      </c>
      <c r="AD149" s="27"/>
      <c r="AE149" s="27" t="str">
        <f t="shared" si="1"/>
        <v/>
      </c>
      <c r="AF149" s="19" t="str">
        <f>VLOOKUP(C149,Sheet1!$C$2:$AE$400,24,0)</f>
        <v>KHÓA LUẬN</v>
      </c>
      <c r="AG149" s="13" t="s">
        <v>70</v>
      </c>
      <c r="AH149" s="31" t="str">
        <f>VLOOKUP(AG149,gvhd!$D$3:$P$17,11,0)</f>
        <v>0938290678</v>
      </c>
      <c r="AI149" s="32" t="str">
        <f>VLOOKUP(AG149,gvhd!$D$3:$P$17,12,0)</f>
        <v>phamtthuthuy2@dtu-hti.edu.vn</v>
      </c>
    </row>
    <row r="150">
      <c r="A150" s="22">
        <v>45680.64160045139</v>
      </c>
      <c r="B150" s="23" t="s">
        <v>817</v>
      </c>
      <c r="C150" s="23">
        <v>2.6207129998E10</v>
      </c>
      <c r="D150" s="23" t="s">
        <v>818</v>
      </c>
      <c r="E150" s="24">
        <v>37595.0</v>
      </c>
      <c r="F150" s="23" t="s">
        <v>819</v>
      </c>
      <c r="G150" s="25" t="s">
        <v>63</v>
      </c>
      <c r="H150" s="25">
        <v>26.0</v>
      </c>
      <c r="I150" s="26" t="s">
        <v>820</v>
      </c>
      <c r="J150" s="25" t="s">
        <v>39</v>
      </c>
      <c r="K150" s="25" t="s">
        <v>212</v>
      </c>
      <c r="L150" s="27"/>
      <c r="M150" s="25" t="s">
        <v>821</v>
      </c>
      <c r="N150" s="25" t="s">
        <v>822</v>
      </c>
      <c r="O150" s="25" t="s">
        <v>117</v>
      </c>
      <c r="P150" s="27"/>
      <c r="Q150" s="25" t="s">
        <v>251</v>
      </c>
      <c r="R150" s="25" t="s">
        <v>45</v>
      </c>
      <c r="S150" s="25" t="s">
        <v>39</v>
      </c>
      <c r="T150" s="27" t="s">
        <v>101</v>
      </c>
      <c r="U150" s="34">
        <v>45698.0</v>
      </c>
      <c r="V150" s="34">
        <v>45787.0</v>
      </c>
      <c r="W150" s="29">
        <v>149.0</v>
      </c>
      <c r="X150" s="17">
        <v>45749.0</v>
      </c>
      <c r="Y150" s="30" t="s">
        <v>46</v>
      </c>
      <c r="Z150" s="29" t="s">
        <v>660</v>
      </c>
      <c r="AA150" s="46" t="s">
        <v>212</v>
      </c>
      <c r="AB150" s="46" t="s">
        <v>117</v>
      </c>
      <c r="AC150" s="27" t="str">
        <f>VLOOKUP(C150,Sheet1!$C$2:$X$1242,15,0)</f>
        <v>ĐÃ NỘP</v>
      </c>
      <c r="AD150" s="27"/>
      <c r="AE150" s="27" t="str">
        <f t="shared" si="1"/>
        <v/>
      </c>
      <c r="AF150" s="19" t="str">
        <f>VLOOKUP(C150,Sheet1!$C$2:$AE$400,24,0)</f>
        <v>CHUYÊN ĐỀ</v>
      </c>
      <c r="AG150" s="19" t="s">
        <v>85</v>
      </c>
      <c r="AH150" s="20" t="str">
        <f>VLOOKUP(AG150,gvhd!$D$3:$P$17,11,0)</f>
        <v>0396.153.687</v>
      </c>
      <c r="AI150" s="21" t="str">
        <f>VLOOKUP(AG150,gvhd!$D$3:$P$17,12,0)</f>
        <v>nguyentminhthu@dtu-hti.edu.vn</v>
      </c>
    </row>
    <row r="151">
      <c r="A151" s="22">
        <v>45693.5020500463</v>
      </c>
      <c r="B151" s="23" t="s">
        <v>823</v>
      </c>
      <c r="C151" s="23">
        <v>2.6217134576E10</v>
      </c>
      <c r="D151" s="23" t="s">
        <v>824</v>
      </c>
      <c r="E151" s="24">
        <v>37259.0</v>
      </c>
      <c r="F151" s="23" t="s">
        <v>825</v>
      </c>
      <c r="G151" s="25" t="s">
        <v>37</v>
      </c>
      <c r="H151" s="25">
        <v>26.0</v>
      </c>
      <c r="I151" s="26" t="s">
        <v>826</v>
      </c>
      <c r="J151" s="25" t="s">
        <v>39</v>
      </c>
      <c r="K151" s="25" t="s">
        <v>621</v>
      </c>
      <c r="L151" s="27"/>
      <c r="M151" s="25" t="s">
        <v>665</v>
      </c>
      <c r="N151" s="25" t="s">
        <v>68</v>
      </c>
      <c r="O151" s="25" t="s">
        <v>56</v>
      </c>
      <c r="P151" s="27"/>
      <c r="Q151" s="26" t="s">
        <v>827</v>
      </c>
      <c r="R151" s="25" t="s">
        <v>45</v>
      </c>
      <c r="S151" s="25" t="s">
        <v>39</v>
      </c>
      <c r="T151" s="25" t="s">
        <v>58</v>
      </c>
      <c r="U151" s="34">
        <v>45693.0</v>
      </c>
      <c r="V151" s="34">
        <v>45782.0</v>
      </c>
      <c r="W151" s="29">
        <v>150.0</v>
      </c>
      <c r="X151" s="17">
        <v>45963.0</v>
      </c>
      <c r="Y151" s="30" t="s">
        <v>46</v>
      </c>
      <c r="Z151" s="17">
        <v>45779.0</v>
      </c>
      <c r="AA151" s="46" t="s">
        <v>621</v>
      </c>
      <c r="AB151" s="46" t="s">
        <v>56</v>
      </c>
      <c r="AC151" s="27" t="str">
        <f>VLOOKUP(C151,Sheet1!$C$2:$X$1242,15,0)</f>
        <v>ĐÃ NỘP</v>
      </c>
      <c r="AD151" s="25" t="s">
        <v>623</v>
      </c>
      <c r="AE151" s="27" t="str">
        <f t="shared" si="1"/>
        <v/>
      </c>
      <c r="AF151" s="19" t="str">
        <f>VLOOKUP(C151,Sheet1!$C$2:$AE$400,24,0)</f>
        <v>CHUYÊN ĐỀ</v>
      </c>
      <c r="AG151" s="19" t="s">
        <v>48</v>
      </c>
      <c r="AH151" s="31" t="str">
        <f>VLOOKUP(AG151,gvhd!$D$3:$P$17,11,0)</f>
        <v>0327892117</v>
      </c>
      <c r="AI151" s="32" t="str">
        <f>VLOOKUP(AG151,gvhd!$D$3:$P$17,12,0)</f>
        <v>dangtthuytrang3@dtu-hti.edu.vn</v>
      </c>
    </row>
    <row r="152">
      <c r="A152" s="22">
        <v>45680.92794282407</v>
      </c>
      <c r="B152" s="23" t="s">
        <v>828</v>
      </c>
      <c r="C152" s="23">
        <v>2.6217142007E10</v>
      </c>
      <c r="D152" s="23" t="s">
        <v>829</v>
      </c>
      <c r="E152" s="24">
        <v>37417.0</v>
      </c>
      <c r="F152" s="23" t="s">
        <v>830</v>
      </c>
      <c r="G152" s="25" t="s">
        <v>37</v>
      </c>
      <c r="H152" s="25">
        <v>26.0</v>
      </c>
      <c r="I152" s="26" t="s">
        <v>831</v>
      </c>
      <c r="J152" s="25" t="s">
        <v>39</v>
      </c>
      <c r="K152" s="25" t="s">
        <v>811</v>
      </c>
      <c r="L152" s="27"/>
      <c r="M152" s="25" t="s">
        <v>812</v>
      </c>
      <c r="N152" s="25" t="s">
        <v>68</v>
      </c>
      <c r="O152" s="25" t="s">
        <v>117</v>
      </c>
      <c r="P152" s="27"/>
      <c r="Q152" s="26" t="s">
        <v>477</v>
      </c>
      <c r="R152" s="25" t="s">
        <v>45</v>
      </c>
      <c r="S152" s="25" t="s">
        <v>39</v>
      </c>
      <c r="T152" s="27"/>
      <c r="U152" s="34">
        <v>45558.0</v>
      </c>
      <c r="V152" s="34">
        <v>45648.0</v>
      </c>
      <c r="W152" s="29">
        <v>151.0</v>
      </c>
      <c r="X152" s="17">
        <v>45871.0</v>
      </c>
      <c r="Y152" s="30" t="s">
        <v>46</v>
      </c>
      <c r="Z152" s="17">
        <v>45871.0</v>
      </c>
      <c r="AA152" s="46" t="s">
        <v>811</v>
      </c>
      <c r="AB152" s="46" t="s">
        <v>117</v>
      </c>
      <c r="AC152" s="27" t="str">
        <f>VLOOKUP(C152,Sheet1!$C$2:$X$1242,15,0)</f>
        <v>ĐÃ NỘP</v>
      </c>
      <c r="AD152" s="25" t="s">
        <v>832</v>
      </c>
      <c r="AE152" s="27" t="str">
        <f t="shared" si="1"/>
        <v/>
      </c>
      <c r="AF152" s="19" t="str">
        <f>VLOOKUP(C152,Sheet1!$C$2:$AE$400,24,0)</f>
        <v>CHUYÊN ĐỀ</v>
      </c>
      <c r="AG152" s="19" t="s">
        <v>85</v>
      </c>
      <c r="AH152" s="20" t="str">
        <f>VLOOKUP(AG152,gvhd!$D$3:$P$17,11,0)</f>
        <v>0396.153.687</v>
      </c>
      <c r="AI152" s="21" t="str">
        <f>VLOOKUP(AG152,gvhd!$D$3:$P$17,12,0)</f>
        <v>nguyentminhthu@dtu-hti.edu.vn</v>
      </c>
    </row>
    <row r="153">
      <c r="A153" s="22">
        <v>45680.976836180555</v>
      </c>
      <c r="B153" s="23" t="s">
        <v>833</v>
      </c>
      <c r="C153" s="23">
        <v>2.7207131271E10</v>
      </c>
      <c r="D153" s="23" t="s">
        <v>834</v>
      </c>
      <c r="E153" s="24">
        <v>37877.0</v>
      </c>
      <c r="F153" s="23" t="s">
        <v>328</v>
      </c>
      <c r="G153" s="25" t="s">
        <v>63</v>
      </c>
      <c r="H153" s="25">
        <v>27.0</v>
      </c>
      <c r="I153" s="26" t="s">
        <v>835</v>
      </c>
      <c r="J153" s="25" t="s">
        <v>39</v>
      </c>
      <c r="K153" s="25" t="s">
        <v>53</v>
      </c>
      <c r="L153" s="27"/>
      <c r="M153" s="25" t="s">
        <v>836</v>
      </c>
      <c r="N153" s="25" t="s">
        <v>68</v>
      </c>
      <c r="O153" s="25" t="s">
        <v>56</v>
      </c>
      <c r="P153" s="27"/>
      <c r="Q153" s="25" t="s">
        <v>563</v>
      </c>
      <c r="R153" s="25" t="s">
        <v>45</v>
      </c>
      <c r="S153" s="25" t="s">
        <v>39</v>
      </c>
      <c r="T153" s="27" t="s">
        <v>215</v>
      </c>
      <c r="U153" s="34">
        <v>45649.0</v>
      </c>
      <c r="V153" s="34">
        <v>45739.0</v>
      </c>
      <c r="W153" s="29">
        <v>152.0</v>
      </c>
      <c r="X153" s="17">
        <v>45749.0</v>
      </c>
      <c r="Y153" s="30" t="s">
        <v>46</v>
      </c>
      <c r="Z153" s="29" t="s">
        <v>660</v>
      </c>
      <c r="AA153" s="46" t="s">
        <v>53</v>
      </c>
      <c r="AB153" s="46" t="s">
        <v>56</v>
      </c>
      <c r="AC153" s="27" t="str">
        <f>VLOOKUP(C153,Sheet1!$C$2:$X$1242,15,0)</f>
        <v/>
      </c>
      <c r="AD153" s="27"/>
      <c r="AE153" s="19" t="str">
        <f t="shared" si="1"/>
        <v/>
      </c>
      <c r="AF153" s="19" t="str">
        <f>VLOOKUP(C153,Sheet1!$C$2:$AE$400,24,0)</f>
        <v>CHUYÊN ĐỀ</v>
      </c>
      <c r="AG153" s="19" t="s">
        <v>59</v>
      </c>
      <c r="AH153" s="31" t="str">
        <f>VLOOKUP(AG153,gvhd!$D$3:$P$17,11,0)</f>
        <v>0355072844</v>
      </c>
      <c r="AI153" s="32" t="str">
        <f>VLOOKUP(AG153,gvhd!$D$3:$P$17,12,0)</f>
        <v>Ngotthanhnga@dtu-hti.edu.vn</v>
      </c>
    </row>
    <row r="154">
      <c r="A154" s="22">
        <v>45681.82808349537</v>
      </c>
      <c r="B154" s="23" t="s">
        <v>837</v>
      </c>
      <c r="C154" s="23">
        <v>2.7217130618E10</v>
      </c>
      <c r="D154" s="23" t="s">
        <v>838</v>
      </c>
      <c r="E154" s="24">
        <v>37870.0</v>
      </c>
      <c r="F154" s="23" t="s">
        <v>145</v>
      </c>
      <c r="G154" s="25" t="s">
        <v>63</v>
      </c>
      <c r="H154" s="25">
        <v>27.0</v>
      </c>
      <c r="I154" s="26" t="s">
        <v>839</v>
      </c>
      <c r="J154" s="25" t="s">
        <v>39</v>
      </c>
      <c r="K154" s="25" t="s">
        <v>160</v>
      </c>
      <c r="L154" s="27"/>
      <c r="M154" s="25" t="s">
        <v>840</v>
      </c>
      <c r="N154" s="25" t="s">
        <v>68</v>
      </c>
      <c r="O154" s="25" t="s">
        <v>56</v>
      </c>
      <c r="P154" s="27"/>
      <c r="Q154" s="25" t="s">
        <v>715</v>
      </c>
      <c r="R154" s="25" t="s">
        <v>45</v>
      </c>
      <c r="S154" s="25" t="s">
        <v>39</v>
      </c>
      <c r="T154" s="27" t="s">
        <v>215</v>
      </c>
      <c r="U154" s="34">
        <v>45698.0</v>
      </c>
      <c r="V154" s="34">
        <v>45787.0</v>
      </c>
      <c r="W154" s="29">
        <v>153.0</v>
      </c>
      <c r="X154" s="17">
        <v>45749.0</v>
      </c>
      <c r="Y154" s="30" t="s">
        <v>46</v>
      </c>
      <c r="Z154" s="17">
        <v>45718.0</v>
      </c>
      <c r="AA154" s="25" t="s">
        <v>160</v>
      </c>
      <c r="AB154" s="25" t="s">
        <v>56</v>
      </c>
      <c r="AC154" s="27" t="str">
        <f>VLOOKUP(C154,Sheet1!$C$2:$X$1242,15,0)</f>
        <v/>
      </c>
      <c r="AD154" s="25" t="s">
        <v>290</v>
      </c>
      <c r="AE154" s="19" t="str">
        <f t="shared" si="1"/>
        <v/>
      </c>
      <c r="AF154" s="19" t="str">
        <f>VLOOKUP(C154,Sheet1!$C$2:$AE$400,24,0)</f>
        <v>CHUYÊN ĐỀ</v>
      </c>
      <c r="AG154" s="19" t="s">
        <v>77</v>
      </c>
      <c r="AH154" s="20" t="str">
        <f>VLOOKUP(AG154,gvhd!$D$3:$P$17,11,0)</f>
        <v>0906 029 602</v>
      </c>
      <c r="AI154" s="21" t="str">
        <f>VLOOKUP(AG154,gvhd!$D$3:$P$17,12,0)</f>
        <v>tranhoanganh@dtu-hti.edu.vn</v>
      </c>
    </row>
    <row r="155">
      <c r="A155" s="22">
        <v>45682.00097346064</v>
      </c>
      <c r="B155" s="23" t="s">
        <v>841</v>
      </c>
      <c r="C155" s="23">
        <v>2.7207134678E10</v>
      </c>
      <c r="D155" s="23" t="s">
        <v>842</v>
      </c>
      <c r="E155" s="24">
        <v>37962.0</v>
      </c>
      <c r="F155" s="23" t="s">
        <v>96</v>
      </c>
      <c r="G155" s="25" t="s">
        <v>63</v>
      </c>
      <c r="H155" s="25">
        <v>27.0</v>
      </c>
      <c r="I155" s="26" t="s">
        <v>843</v>
      </c>
      <c r="J155" s="25" t="s">
        <v>39</v>
      </c>
      <c r="K155" s="25" t="s">
        <v>124</v>
      </c>
      <c r="L155" s="27"/>
      <c r="M155" s="25" t="s">
        <v>844</v>
      </c>
      <c r="N155" s="25" t="s">
        <v>68</v>
      </c>
      <c r="O155" s="25" t="s">
        <v>56</v>
      </c>
      <c r="P155" s="27"/>
      <c r="Q155" s="25" t="s">
        <v>691</v>
      </c>
      <c r="R155" s="25" t="s">
        <v>45</v>
      </c>
      <c r="S155" s="25" t="s">
        <v>39</v>
      </c>
      <c r="T155" s="27"/>
      <c r="U155" s="34">
        <v>45698.0</v>
      </c>
      <c r="V155" s="34">
        <v>45787.0</v>
      </c>
      <c r="W155" s="29">
        <v>154.0</v>
      </c>
      <c r="X155" s="17">
        <v>45749.0</v>
      </c>
      <c r="Y155" s="30" t="s">
        <v>46</v>
      </c>
      <c r="Z155" s="17">
        <v>45718.0</v>
      </c>
      <c r="AA155" s="25" t="s">
        <v>124</v>
      </c>
      <c r="AB155" s="25" t="s">
        <v>56</v>
      </c>
      <c r="AC155" s="27" t="str">
        <f>VLOOKUP(C155,Sheet1!$C$2:$X$1242,15,0)</f>
        <v/>
      </c>
      <c r="AD155" s="27"/>
      <c r="AE155" s="19" t="str">
        <f t="shared" si="1"/>
        <v/>
      </c>
      <c r="AF155" s="19" t="str">
        <f>VLOOKUP(C155,Sheet1!$C$2:$AE$400,24,0)</f>
        <v>CHUYÊN ĐỀ</v>
      </c>
      <c r="AG155" s="19" t="s">
        <v>120</v>
      </c>
      <c r="AH155" s="31" t="str">
        <f>VLOOKUP(AG155,gvhd!$D$3:$P$17,11,0)</f>
        <v>0375658728</v>
      </c>
      <c r="AI155" s="32" t="str">
        <f>VLOOKUP(AG155,gvhd!$D$3:$P$17,12,0)</f>
        <v>trinhtkimchung@dtu-hti.edu.vn</v>
      </c>
    </row>
    <row r="156" ht="47.25" customHeight="1">
      <c r="A156" s="22">
        <v>45682.69742591435</v>
      </c>
      <c r="B156" s="23" t="s">
        <v>845</v>
      </c>
      <c r="C156" s="23">
        <v>2.7202124339E10</v>
      </c>
      <c r="D156" s="23" t="s">
        <v>846</v>
      </c>
      <c r="E156" s="24">
        <v>37650.0</v>
      </c>
      <c r="F156" s="23" t="s">
        <v>145</v>
      </c>
      <c r="G156" s="25" t="s">
        <v>63</v>
      </c>
      <c r="H156" s="25">
        <v>27.0</v>
      </c>
      <c r="I156" s="26" t="s">
        <v>847</v>
      </c>
      <c r="J156" s="25" t="s">
        <v>39</v>
      </c>
      <c r="K156" s="27" t="s">
        <v>848</v>
      </c>
      <c r="L156" s="27" t="s">
        <v>848</v>
      </c>
      <c r="M156" s="25" t="s">
        <v>849</v>
      </c>
      <c r="N156" s="25" t="s">
        <v>116</v>
      </c>
      <c r="O156" s="25" t="s">
        <v>117</v>
      </c>
      <c r="P156" s="27"/>
      <c r="Q156" s="25" t="s">
        <v>214</v>
      </c>
      <c r="R156" s="25" t="s">
        <v>45</v>
      </c>
      <c r="S156" s="25" t="s">
        <v>39</v>
      </c>
      <c r="T156" s="27"/>
      <c r="U156" s="34">
        <v>45678.0</v>
      </c>
      <c r="V156" s="34">
        <v>45768.0</v>
      </c>
      <c r="W156" s="29">
        <v>155.0</v>
      </c>
      <c r="X156" s="17">
        <v>45749.0</v>
      </c>
      <c r="Y156" s="30" t="s">
        <v>46</v>
      </c>
      <c r="Z156" s="17">
        <v>45718.0</v>
      </c>
      <c r="AA156" s="27" t="s">
        <v>848</v>
      </c>
      <c r="AB156" s="25" t="s">
        <v>117</v>
      </c>
      <c r="AC156" s="27" t="str">
        <f>VLOOKUP(C156,Sheet1!$C$2:$X$1242,15,0)</f>
        <v/>
      </c>
      <c r="AD156" s="27"/>
      <c r="AE156" s="19" t="str">
        <f t="shared" si="1"/>
        <v/>
      </c>
      <c r="AF156" s="19" t="str">
        <f>VLOOKUP(C156,Sheet1!$C$2:$AE$400,24,0)</f>
        <v>CHUYÊN ĐỀ</v>
      </c>
      <c r="AG156" s="19" t="s">
        <v>70</v>
      </c>
      <c r="AH156" s="20" t="str">
        <f>VLOOKUP(AG156,gvhd!$D$3:$P$17,11,0)</f>
        <v>0938290678</v>
      </c>
      <c r="AI156" s="21" t="str">
        <f>VLOOKUP(AG156,gvhd!$D$3:$P$17,12,0)</f>
        <v>phamtthuthuy2@dtu-hti.edu.vn</v>
      </c>
    </row>
    <row r="157" ht="47.25" customHeight="1">
      <c r="A157" s="22">
        <v>45692.419721875005</v>
      </c>
      <c r="B157" s="23" t="s">
        <v>850</v>
      </c>
      <c r="C157" s="23">
        <v>2.7207141615E10</v>
      </c>
      <c r="D157" s="23" t="s">
        <v>851</v>
      </c>
      <c r="E157" s="24">
        <v>37791.0</v>
      </c>
      <c r="F157" s="23" t="s">
        <v>96</v>
      </c>
      <c r="G157" s="25" t="s">
        <v>63</v>
      </c>
      <c r="H157" s="25">
        <v>27.0</v>
      </c>
      <c r="I157" s="26" t="s">
        <v>852</v>
      </c>
      <c r="J157" s="25" t="s">
        <v>39</v>
      </c>
      <c r="K157" s="25" t="s">
        <v>380</v>
      </c>
      <c r="L157" s="27"/>
      <c r="M157" s="25" t="s">
        <v>853</v>
      </c>
      <c r="N157" s="25" t="s">
        <v>68</v>
      </c>
      <c r="O157" s="25" t="s">
        <v>117</v>
      </c>
      <c r="P157" s="27"/>
      <c r="Q157" s="26" t="s">
        <v>420</v>
      </c>
      <c r="R157" s="25" t="s">
        <v>45</v>
      </c>
      <c r="S157" s="25" t="s">
        <v>39</v>
      </c>
      <c r="T157" s="27"/>
      <c r="U157" s="34">
        <v>45698.0</v>
      </c>
      <c r="V157" s="34">
        <v>45787.0</v>
      </c>
      <c r="W157" s="29">
        <v>156.0</v>
      </c>
      <c r="X157" s="17">
        <v>45779.0</v>
      </c>
      <c r="Y157" s="30" t="s">
        <v>46</v>
      </c>
      <c r="Z157" s="17">
        <v>45718.0</v>
      </c>
      <c r="AA157" s="25" t="s">
        <v>380</v>
      </c>
      <c r="AB157" s="25" t="s">
        <v>117</v>
      </c>
      <c r="AC157" s="27" t="str">
        <f>VLOOKUP(C157,Sheet1!$C$2:$X$1242,15,0)</f>
        <v/>
      </c>
      <c r="AD157" s="27"/>
      <c r="AE157" s="19" t="str">
        <f t="shared" si="1"/>
        <v/>
      </c>
      <c r="AF157" s="19" t="str">
        <f>VLOOKUP(C157,Sheet1!$C$2:$AE$400,24,0)</f>
        <v>CHUYÊN ĐỀ</v>
      </c>
      <c r="AG157" s="19" t="s">
        <v>71</v>
      </c>
      <c r="AH157" s="31" t="str">
        <f>VLOOKUP(AG157,gvhd!$D$3:$P$17,11,0)</f>
        <v>0702605664</v>
      </c>
      <c r="AI157" s="32" t="str">
        <f>VLOOKUP(AG157,gvhd!$D$3:$P$17,12,0)</f>
        <v>huynhlthuylinh@dtu-hti.edu.vn</v>
      </c>
    </row>
    <row r="158" ht="47.25" customHeight="1">
      <c r="A158" s="22">
        <v>45688.7062203588</v>
      </c>
      <c r="B158" s="23" t="s">
        <v>854</v>
      </c>
      <c r="C158" s="23">
        <v>2.7217132965E10</v>
      </c>
      <c r="D158" s="23" t="s">
        <v>855</v>
      </c>
      <c r="E158" s="24">
        <v>37948.0</v>
      </c>
      <c r="F158" s="23" t="s">
        <v>609</v>
      </c>
      <c r="G158" s="25" t="s">
        <v>37</v>
      </c>
      <c r="H158" s="25">
        <v>27.0</v>
      </c>
      <c r="I158" s="26" t="s">
        <v>856</v>
      </c>
      <c r="J158" s="25" t="s">
        <v>39</v>
      </c>
      <c r="K158" s="25" t="s">
        <v>325</v>
      </c>
      <c r="L158" s="27" t="s">
        <v>857</v>
      </c>
      <c r="M158" s="25" t="s">
        <v>414</v>
      </c>
      <c r="N158" s="25" t="s">
        <v>68</v>
      </c>
      <c r="O158" s="25" t="s">
        <v>92</v>
      </c>
      <c r="P158" s="27" t="s">
        <v>858</v>
      </c>
      <c r="Q158" s="26" t="s">
        <v>244</v>
      </c>
      <c r="R158" s="25" t="s">
        <v>45</v>
      </c>
      <c r="S158" s="25" t="s">
        <v>39</v>
      </c>
      <c r="T158" s="27" t="s">
        <v>58</v>
      </c>
      <c r="U158" s="34">
        <v>45698.0</v>
      </c>
      <c r="V158" s="34">
        <v>45787.0</v>
      </c>
      <c r="W158" s="29">
        <v>157.0</v>
      </c>
      <c r="X158" s="17">
        <v>45779.0</v>
      </c>
      <c r="Y158" s="30" t="s">
        <v>46</v>
      </c>
      <c r="Z158" s="17">
        <v>45718.0</v>
      </c>
      <c r="AA158" s="25" t="s">
        <v>325</v>
      </c>
      <c r="AB158" s="25" t="s">
        <v>92</v>
      </c>
      <c r="AC158" s="27" t="str">
        <f>VLOOKUP(C158,Sheet1!$C$2:$X$1242,15,0)</f>
        <v/>
      </c>
      <c r="AD158" s="27"/>
      <c r="AE158" s="19" t="str">
        <f t="shared" si="1"/>
        <v/>
      </c>
      <c r="AF158" s="19" t="str">
        <f>VLOOKUP(C158,Sheet1!$C$2:$AE$400,24,0)</f>
        <v>CHUYÊN ĐỀ</v>
      </c>
      <c r="AG158" s="19" t="s">
        <v>93</v>
      </c>
      <c r="AH158" s="20" t="str">
        <f>VLOOKUP(AG158,gvhd!$D$3:$P$17,11,0)</f>
        <v>0904464092</v>
      </c>
      <c r="AI158" s="21" t="str">
        <f>VLOOKUP(AG158,gvhd!$D$3:$P$17,12,0)</f>
        <v>anhphuong@duytan.edu.vn</v>
      </c>
    </row>
    <row r="159" ht="47.25" customHeight="1">
      <c r="A159" s="22">
        <v>45691.671091620374</v>
      </c>
      <c r="B159" s="23" t="s">
        <v>859</v>
      </c>
      <c r="C159" s="23">
        <v>2.6207135165E10</v>
      </c>
      <c r="D159" s="23" t="s">
        <v>860</v>
      </c>
      <c r="E159" s="24">
        <v>37519.0</v>
      </c>
      <c r="F159" s="23" t="s">
        <v>861</v>
      </c>
      <c r="G159" s="25" t="s">
        <v>63</v>
      </c>
      <c r="H159" s="25">
        <v>26.0</v>
      </c>
      <c r="I159" s="26" t="s">
        <v>862</v>
      </c>
      <c r="J159" s="25" t="s">
        <v>39</v>
      </c>
      <c r="K159" s="27" t="s">
        <v>688</v>
      </c>
      <c r="L159" s="27" t="s">
        <v>688</v>
      </c>
      <c r="M159" s="25" t="s">
        <v>863</v>
      </c>
      <c r="N159" s="25" t="s">
        <v>170</v>
      </c>
      <c r="O159" s="27" t="s">
        <v>56</v>
      </c>
      <c r="P159" s="27"/>
      <c r="Q159" s="26" t="s">
        <v>864</v>
      </c>
      <c r="R159" s="25" t="s">
        <v>45</v>
      </c>
      <c r="S159" s="25" t="s">
        <v>39</v>
      </c>
      <c r="T159" s="27" t="s">
        <v>70</v>
      </c>
      <c r="U159" s="34">
        <v>45698.0</v>
      </c>
      <c r="V159" s="34">
        <v>45787.0</v>
      </c>
      <c r="W159" s="29">
        <v>158.0</v>
      </c>
      <c r="X159" s="17">
        <v>45779.0</v>
      </c>
      <c r="Y159" s="30" t="s">
        <v>46</v>
      </c>
      <c r="Z159" s="17">
        <v>45718.0</v>
      </c>
      <c r="AA159" s="27" t="s">
        <v>688</v>
      </c>
      <c r="AB159" s="27" t="s">
        <v>56</v>
      </c>
      <c r="AC159" s="27" t="str">
        <f>VLOOKUP(C159,Sheet1!$C$2:$X$1242,15,0)</f>
        <v>ĐÃ NỘP</v>
      </c>
      <c r="AD159" s="27"/>
      <c r="AE159" s="19" t="str">
        <f t="shared" si="1"/>
        <v/>
      </c>
      <c r="AF159" s="19" t="str">
        <f>VLOOKUP(C159,Sheet1!$C$2:$AE$400,24,0)</f>
        <v>CHUYÊN ĐỀ</v>
      </c>
      <c r="AG159" s="19" t="s">
        <v>59</v>
      </c>
      <c r="AH159" s="31" t="str">
        <f>VLOOKUP(AG159,gvhd!$D$3:$P$17,11,0)</f>
        <v>0355072844</v>
      </c>
      <c r="AI159" s="32" t="str">
        <f>VLOOKUP(AG159,gvhd!$D$3:$P$17,12,0)</f>
        <v>Ngotthanhnga@dtu-hti.edu.vn</v>
      </c>
    </row>
    <row r="160" ht="47.25" customHeight="1">
      <c r="A160" s="22">
        <v>45691.72208247685</v>
      </c>
      <c r="B160" s="23" t="s">
        <v>865</v>
      </c>
      <c r="C160" s="23">
        <v>2.5217203161E10</v>
      </c>
      <c r="D160" s="23" t="s">
        <v>866</v>
      </c>
      <c r="E160" s="24">
        <v>37034.0</v>
      </c>
      <c r="F160" s="23" t="s">
        <v>867</v>
      </c>
      <c r="G160" s="25" t="s">
        <v>63</v>
      </c>
      <c r="H160" s="25">
        <v>25.0</v>
      </c>
      <c r="I160" s="26" t="s">
        <v>868</v>
      </c>
      <c r="J160" s="25" t="s">
        <v>39</v>
      </c>
      <c r="K160" s="27" t="s">
        <v>154</v>
      </c>
      <c r="L160" s="27"/>
      <c r="M160" s="25" t="s">
        <v>869</v>
      </c>
      <c r="N160" s="25" t="s">
        <v>68</v>
      </c>
      <c r="O160" s="27" t="s">
        <v>92</v>
      </c>
      <c r="P160" s="27"/>
      <c r="Q160" s="26" t="s">
        <v>156</v>
      </c>
      <c r="R160" s="25" t="s">
        <v>45</v>
      </c>
      <c r="S160" s="25" t="s">
        <v>39</v>
      </c>
      <c r="T160" s="27"/>
      <c r="U160" s="34">
        <v>45698.0</v>
      </c>
      <c r="V160" s="34">
        <v>45787.0</v>
      </c>
      <c r="W160" s="29">
        <v>159.0</v>
      </c>
      <c r="X160" s="17">
        <v>45963.0</v>
      </c>
      <c r="Y160" s="30" t="s">
        <v>46</v>
      </c>
      <c r="Z160" s="17">
        <v>45749.0</v>
      </c>
      <c r="AA160" s="27" t="s">
        <v>154</v>
      </c>
      <c r="AB160" s="27" t="s">
        <v>92</v>
      </c>
      <c r="AC160" s="27" t="str">
        <f>VLOOKUP(C160,Sheet1!$C$2:$X$1242,15,0)</f>
        <v>ĐÃ NỘP</v>
      </c>
      <c r="AD160" s="27"/>
      <c r="AE160" s="19" t="str">
        <f t="shared" si="1"/>
        <v/>
      </c>
      <c r="AF160" s="19" t="str">
        <f>VLOOKUP(C160,Sheet1!$C$2:$AE$400,24,0)</f>
        <v>CHUYÊN ĐỀ</v>
      </c>
      <c r="AG160" s="19" t="s">
        <v>93</v>
      </c>
      <c r="AH160" s="20" t="str">
        <f>VLOOKUP(AG160,gvhd!$D$3:$P$17,11,0)</f>
        <v>0904464092</v>
      </c>
      <c r="AI160" s="21" t="str">
        <f>VLOOKUP(AG160,gvhd!$D$3:$P$17,12,0)</f>
        <v>anhphuong@duytan.edu.vn</v>
      </c>
    </row>
    <row r="161" ht="47.25" customHeight="1">
      <c r="A161" s="22">
        <v>45691.79361201389</v>
      </c>
      <c r="B161" s="23" t="s">
        <v>870</v>
      </c>
      <c r="C161" s="23">
        <v>2.7207140631E10</v>
      </c>
      <c r="D161" s="23" t="s">
        <v>871</v>
      </c>
      <c r="E161" s="24">
        <v>37799.0</v>
      </c>
      <c r="F161" s="23" t="s">
        <v>872</v>
      </c>
      <c r="G161" s="25" t="s">
        <v>37</v>
      </c>
      <c r="H161" s="25">
        <v>27.0</v>
      </c>
      <c r="I161" s="26" t="s">
        <v>873</v>
      </c>
      <c r="J161" s="25" t="s">
        <v>39</v>
      </c>
      <c r="K161" s="27" t="s">
        <v>741</v>
      </c>
      <c r="L161" s="27"/>
      <c r="M161" s="25" t="s">
        <v>874</v>
      </c>
      <c r="N161" s="25" t="s">
        <v>68</v>
      </c>
      <c r="O161" s="27" t="s">
        <v>56</v>
      </c>
      <c r="P161" s="27"/>
      <c r="Q161" s="26" t="s">
        <v>395</v>
      </c>
      <c r="R161" s="25" t="s">
        <v>45</v>
      </c>
      <c r="S161" s="25" t="s">
        <v>39</v>
      </c>
      <c r="T161" s="27" t="s">
        <v>58</v>
      </c>
      <c r="U161" s="34">
        <v>45695.0</v>
      </c>
      <c r="V161" s="34">
        <v>45786.0</v>
      </c>
      <c r="W161" s="29">
        <v>160.0</v>
      </c>
      <c r="X161" s="17">
        <v>45840.0</v>
      </c>
      <c r="Y161" s="30" t="s">
        <v>46</v>
      </c>
      <c r="Z161" s="17">
        <v>45749.0</v>
      </c>
      <c r="AA161" s="27" t="s">
        <v>741</v>
      </c>
      <c r="AB161" s="27" t="s">
        <v>56</v>
      </c>
      <c r="AC161" s="27" t="str">
        <f>VLOOKUP(C161,Sheet1!$C$2:$X$1242,15,0)</f>
        <v/>
      </c>
      <c r="AD161" s="25" t="s">
        <v>875</v>
      </c>
      <c r="AE161" s="19" t="str">
        <f t="shared" si="1"/>
        <v/>
      </c>
      <c r="AF161" s="19" t="str">
        <f>VLOOKUP(C161,Sheet1!$C$2:$AE$400,24,0)</f>
        <v>CHUYÊN ĐỀ</v>
      </c>
      <c r="AG161" s="19" t="s">
        <v>77</v>
      </c>
      <c r="AH161" s="31" t="str">
        <f>VLOOKUP(AG161,gvhd!$D$3:$P$17,11,0)</f>
        <v>0906 029 602</v>
      </c>
      <c r="AI161" s="32" t="str">
        <f>VLOOKUP(AG161,gvhd!$D$3:$P$17,12,0)</f>
        <v>tranhoanganh@dtu-hti.edu.vn</v>
      </c>
    </row>
    <row r="162" ht="47.25" customHeight="1">
      <c r="A162" s="22">
        <v>45692.949421516205</v>
      </c>
      <c r="B162" s="23" t="s">
        <v>876</v>
      </c>
      <c r="C162" s="23">
        <v>2.5217110499E10</v>
      </c>
      <c r="D162" s="23" t="s">
        <v>877</v>
      </c>
      <c r="E162" s="24">
        <v>37123.0</v>
      </c>
      <c r="F162" s="23" t="s">
        <v>878</v>
      </c>
      <c r="G162" s="25" t="s">
        <v>63</v>
      </c>
      <c r="H162" s="25">
        <v>25.0</v>
      </c>
      <c r="I162" s="26" t="s">
        <v>879</v>
      </c>
      <c r="J162" s="25" t="s">
        <v>39</v>
      </c>
      <c r="K162" s="27" t="s">
        <v>154</v>
      </c>
      <c r="L162" s="27"/>
      <c r="M162" s="25" t="s">
        <v>638</v>
      </c>
      <c r="N162" s="25" t="s">
        <v>68</v>
      </c>
      <c r="O162" s="27" t="s">
        <v>56</v>
      </c>
      <c r="P162" s="27"/>
      <c r="Q162" s="26" t="s">
        <v>880</v>
      </c>
      <c r="R162" s="25" t="s">
        <v>45</v>
      </c>
      <c r="S162" s="25" t="s">
        <v>39</v>
      </c>
      <c r="T162" s="27"/>
      <c r="U162" s="34">
        <v>45698.0</v>
      </c>
      <c r="V162" s="34">
        <v>45787.0</v>
      </c>
      <c r="W162" s="29">
        <v>161.0</v>
      </c>
      <c r="X162" s="17">
        <v>45932.0</v>
      </c>
      <c r="Y162" s="30" t="s">
        <v>46</v>
      </c>
      <c r="Z162" s="17">
        <v>45749.0</v>
      </c>
      <c r="AA162" s="27" t="s">
        <v>154</v>
      </c>
      <c r="AB162" s="27" t="s">
        <v>56</v>
      </c>
      <c r="AC162" s="27" t="str">
        <f>VLOOKUP(C162,Sheet1!$C$2:$X$1242,15,0)</f>
        <v>ĐÃ NỘP</v>
      </c>
      <c r="AD162" s="27"/>
      <c r="AE162" s="19" t="str">
        <f t="shared" si="1"/>
        <v/>
      </c>
      <c r="AF162" s="19" t="str">
        <f>VLOOKUP(C162,Sheet1!$C$2:$AE$400,24,0)</f>
        <v>CHUYÊN ĐỀ</v>
      </c>
      <c r="AG162" s="19" t="s">
        <v>215</v>
      </c>
      <c r="AH162" s="20" t="str">
        <f>VLOOKUP(AG162,gvhd!$D$3:$P$17,11,0)</f>
        <v>0905938748</v>
      </c>
      <c r="AI162" s="21" t="str">
        <f>VLOOKUP(AG162,gvhd!$D$3:$P$17,12,0)</f>
        <v>duongtxuandieu@dtu-hti.edu.vn</v>
      </c>
    </row>
    <row r="163" ht="47.25" customHeight="1">
      <c r="A163" s="22">
        <v>45691.98321340278</v>
      </c>
      <c r="B163" s="23" t="s">
        <v>881</v>
      </c>
      <c r="C163" s="23">
        <v>2.7207122197E10</v>
      </c>
      <c r="D163" s="23" t="s">
        <v>882</v>
      </c>
      <c r="E163" s="24">
        <v>37684.0</v>
      </c>
      <c r="F163" s="23" t="s">
        <v>108</v>
      </c>
      <c r="G163" s="25" t="s">
        <v>63</v>
      </c>
      <c r="H163" s="25">
        <v>27.0</v>
      </c>
      <c r="I163" s="26" t="s">
        <v>883</v>
      </c>
      <c r="J163" s="25" t="s">
        <v>39</v>
      </c>
      <c r="K163" s="27" t="s">
        <v>621</v>
      </c>
      <c r="L163" s="27"/>
      <c r="M163" s="25" t="s">
        <v>884</v>
      </c>
      <c r="N163" s="25" t="s">
        <v>520</v>
      </c>
      <c r="O163" s="27" t="s">
        <v>92</v>
      </c>
      <c r="P163" s="27"/>
      <c r="Q163" s="25" t="s">
        <v>563</v>
      </c>
      <c r="R163" s="25" t="s">
        <v>45</v>
      </c>
      <c r="S163" s="25" t="s">
        <v>39</v>
      </c>
      <c r="T163" s="27"/>
      <c r="U163" s="34">
        <v>45698.0</v>
      </c>
      <c r="V163" s="34">
        <v>45787.0</v>
      </c>
      <c r="W163" s="29">
        <v>162.0</v>
      </c>
      <c r="X163" s="17">
        <v>45749.0</v>
      </c>
      <c r="Y163" s="30" t="s">
        <v>46</v>
      </c>
      <c r="Z163" s="17">
        <v>45749.0</v>
      </c>
      <c r="AA163" s="27" t="s">
        <v>621</v>
      </c>
      <c r="AB163" s="27" t="s">
        <v>92</v>
      </c>
      <c r="AC163" s="27" t="str">
        <f>VLOOKUP(C163,Sheet1!$C$2:$X$1242,15,0)</f>
        <v/>
      </c>
      <c r="AD163" s="27"/>
      <c r="AE163" s="19" t="str">
        <f t="shared" si="1"/>
        <v/>
      </c>
      <c r="AF163" s="19" t="str">
        <f>VLOOKUP(C163,Sheet1!$C$2:$AE$400,24,0)</f>
        <v>CHUYÊN ĐỀ</v>
      </c>
      <c r="AG163" s="19" t="s">
        <v>93</v>
      </c>
      <c r="AH163" s="31" t="str">
        <f>VLOOKUP(AG163,gvhd!$D$3:$P$17,11,0)</f>
        <v>0904464092</v>
      </c>
      <c r="AI163" s="32" t="str">
        <f>VLOOKUP(AG163,gvhd!$D$3:$P$17,12,0)</f>
        <v>anhphuong@duytan.edu.vn</v>
      </c>
    </row>
    <row r="164" ht="47.25" customHeight="1">
      <c r="A164" s="22">
        <v>45692.96177934028</v>
      </c>
      <c r="B164" s="23" t="s">
        <v>885</v>
      </c>
      <c r="C164" s="23">
        <v>2.7207137064E10</v>
      </c>
      <c r="D164" s="23" t="s">
        <v>886</v>
      </c>
      <c r="E164" s="24">
        <v>37933.0</v>
      </c>
      <c r="F164" s="23" t="s">
        <v>108</v>
      </c>
      <c r="G164" s="25" t="s">
        <v>63</v>
      </c>
      <c r="H164" s="25">
        <v>27.0</v>
      </c>
      <c r="I164" s="26" t="s">
        <v>887</v>
      </c>
      <c r="J164" s="25" t="s">
        <v>39</v>
      </c>
      <c r="K164" s="27" t="s">
        <v>621</v>
      </c>
      <c r="L164" s="27"/>
      <c r="M164" s="25" t="s">
        <v>888</v>
      </c>
      <c r="N164" s="25" t="s">
        <v>68</v>
      </c>
      <c r="O164" s="27" t="s">
        <v>56</v>
      </c>
      <c r="P164" s="27"/>
      <c r="Q164" s="25" t="s">
        <v>715</v>
      </c>
      <c r="R164" s="25" t="s">
        <v>45</v>
      </c>
      <c r="S164" s="25" t="s">
        <v>39</v>
      </c>
      <c r="T164" s="27" t="s">
        <v>137</v>
      </c>
      <c r="U164" s="34">
        <v>45693.0</v>
      </c>
      <c r="V164" s="34">
        <v>45782.0</v>
      </c>
      <c r="W164" s="29">
        <v>163.0</v>
      </c>
      <c r="X164" s="17">
        <v>45749.0</v>
      </c>
      <c r="Y164" s="30" t="s">
        <v>46</v>
      </c>
      <c r="Z164" s="17">
        <v>45749.0</v>
      </c>
      <c r="AA164" s="27" t="s">
        <v>621</v>
      </c>
      <c r="AB164" s="27" t="s">
        <v>56</v>
      </c>
      <c r="AC164" s="27" t="str">
        <f>VLOOKUP(C164,Sheet1!$C$2:$X$1242,15,0)</f>
        <v/>
      </c>
      <c r="AD164" s="25" t="s">
        <v>623</v>
      </c>
      <c r="AE164" s="19" t="str">
        <f t="shared" si="1"/>
        <v/>
      </c>
      <c r="AF164" s="19" t="str">
        <f>VLOOKUP(C164,Sheet1!$C$2:$AE$400,24,0)</f>
        <v>CHUYÊN ĐỀ</v>
      </c>
      <c r="AG164" s="19" t="s">
        <v>48</v>
      </c>
      <c r="AH164" s="20" t="str">
        <f>VLOOKUP(AG164,gvhd!$D$3:$P$17,11,0)</f>
        <v>0327892117</v>
      </c>
      <c r="AI164" s="21" t="str">
        <f>VLOOKUP(AG164,gvhd!$D$3:$P$17,12,0)</f>
        <v>dangtthuytrang3@dtu-hti.edu.vn</v>
      </c>
    </row>
    <row r="165" ht="47.25" customHeight="1">
      <c r="A165" s="22">
        <v>45694.4648478125</v>
      </c>
      <c r="B165" s="23" t="s">
        <v>889</v>
      </c>
      <c r="C165" s="23">
        <v>2.7207100874E10</v>
      </c>
      <c r="D165" s="23" t="s">
        <v>890</v>
      </c>
      <c r="E165" s="24">
        <v>37774.0</v>
      </c>
      <c r="F165" s="23" t="s">
        <v>129</v>
      </c>
      <c r="G165" s="25" t="s">
        <v>63</v>
      </c>
      <c r="H165" s="25">
        <v>27.0</v>
      </c>
      <c r="I165" s="26" t="s">
        <v>891</v>
      </c>
      <c r="J165" s="25" t="s">
        <v>39</v>
      </c>
      <c r="K165" s="25" t="s">
        <v>892</v>
      </c>
      <c r="L165" s="27"/>
      <c r="M165" s="25" t="s">
        <v>893</v>
      </c>
      <c r="N165" s="25" t="s">
        <v>68</v>
      </c>
      <c r="O165" s="25" t="s">
        <v>56</v>
      </c>
      <c r="P165" s="27"/>
      <c r="Q165" s="26" t="s">
        <v>606</v>
      </c>
      <c r="R165" s="25" t="s">
        <v>45</v>
      </c>
      <c r="S165" s="25" t="s">
        <v>39</v>
      </c>
      <c r="T165" s="27" t="s">
        <v>215</v>
      </c>
      <c r="U165" s="34">
        <v>45698.0</v>
      </c>
      <c r="V165" s="34">
        <v>45787.0</v>
      </c>
      <c r="W165" s="29">
        <v>164.0</v>
      </c>
      <c r="X165" s="17">
        <v>45810.0</v>
      </c>
      <c r="Y165" s="30" t="s">
        <v>46</v>
      </c>
      <c r="Z165" s="17">
        <v>45749.0</v>
      </c>
      <c r="AA165" s="27" t="s">
        <v>892</v>
      </c>
      <c r="AB165" s="27" t="s">
        <v>56</v>
      </c>
      <c r="AC165" s="27" t="str">
        <f>VLOOKUP(C165,Sheet1!$C$2:$X$1242,15,0)</f>
        <v/>
      </c>
      <c r="AD165" s="25"/>
      <c r="AE165" s="19" t="str">
        <f t="shared" si="1"/>
        <v/>
      </c>
      <c r="AF165" s="19" t="str">
        <f>VLOOKUP(C165,Sheet1!$C$2:$AE$400,24,0)</f>
        <v>không đủ điều kiện</v>
      </c>
      <c r="AG165" s="19"/>
      <c r="AH165" s="31"/>
      <c r="AI165" s="32"/>
    </row>
    <row r="166" ht="47.25" customHeight="1">
      <c r="A166" s="22">
        <v>45692.64024354167</v>
      </c>
      <c r="B166" s="23" t="s">
        <v>894</v>
      </c>
      <c r="C166" s="23">
        <v>2.7207237015E10</v>
      </c>
      <c r="D166" s="23" t="s">
        <v>895</v>
      </c>
      <c r="E166" s="24">
        <v>37904.0</v>
      </c>
      <c r="F166" s="23" t="s">
        <v>178</v>
      </c>
      <c r="G166" s="25" t="s">
        <v>63</v>
      </c>
      <c r="H166" s="25">
        <v>27.0</v>
      </c>
      <c r="I166" s="26" t="s">
        <v>896</v>
      </c>
      <c r="J166" s="25" t="s">
        <v>39</v>
      </c>
      <c r="K166" s="27" t="s">
        <v>212</v>
      </c>
      <c r="L166" s="27"/>
      <c r="M166" s="25" t="s">
        <v>897</v>
      </c>
      <c r="N166" s="25" t="s">
        <v>170</v>
      </c>
      <c r="O166" s="27" t="s">
        <v>56</v>
      </c>
      <c r="P166" s="27"/>
      <c r="Q166" s="26" t="s">
        <v>898</v>
      </c>
      <c r="R166" s="25" t="s">
        <v>45</v>
      </c>
      <c r="S166" s="25" t="s">
        <v>39</v>
      </c>
      <c r="T166" s="27"/>
      <c r="U166" s="34">
        <v>45698.0</v>
      </c>
      <c r="V166" s="34">
        <v>45787.0</v>
      </c>
      <c r="W166" s="29">
        <v>165.0</v>
      </c>
      <c r="X166" s="17">
        <v>45810.0</v>
      </c>
      <c r="Y166" s="30" t="s">
        <v>46</v>
      </c>
      <c r="Z166" s="17">
        <v>45779.0</v>
      </c>
      <c r="AA166" s="27" t="s">
        <v>212</v>
      </c>
      <c r="AB166" s="27" t="s">
        <v>56</v>
      </c>
      <c r="AC166" s="27" t="str">
        <f>VLOOKUP(C166,Sheet1!$C$2:$X$1242,15,0)</f>
        <v/>
      </c>
      <c r="AD166" s="25" t="s">
        <v>899</v>
      </c>
      <c r="AE166" s="19" t="str">
        <f t="shared" si="1"/>
        <v/>
      </c>
      <c r="AF166" s="19" t="str">
        <f>VLOOKUP(C166,Sheet1!$C$2:$AE$400,24,0)</f>
        <v>CHUYÊN ĐỀ</v>
      </c>
      <c r="AG166" s="19" t="s">
        <v>406</v>
      </c>
      <c r="AH166" s="20" t="str">
        <f>VLOOKUP(AG166,gvhd!$D$3:$P$17,11,0)</f>
        <v>0905767997</v>
      </c>
      <c r="AI166" s="21" t="str">
        <f>VLOOKUP(AG166,gvhd!$D$3:$P$17,12,0)</f>
        <v>voduchieu@dtu-hti.edu.vn</v>
      </c>
    </row>
    <row r="167" ht="47.25" customHeight="1">
      <c r="A167" s="22">
        <v>45692.640278182866</v>
      </c>
      <c r="B167" s="23" t="s">
        <v>900</v>
      </c>
      <c r="C167" s="23">
        <v>2.7217143497E10</v>
      </c>
      <c r="D167" s="23" t="s">
        <v>901</v>
      </c>
      <c r="E167" s="24">
        <v>37942.0</v>
      </c>
      <c r="F167" s="23" t="s">
        <v>178</v>
      </c>
      <c r="G167" s="25" t="s">
        <v>63</v>
      </c>
      <c r="H167" s="25">
        <v>27.0</v>
      </c>
      <c r="I167" s="26" t="s">
        <v>902</v>
      </c>
      <c r="J167" s="25" t="s">
        <v>39</v>
      </c>
      <c r="K167" s="27" t="s">
        <v>728</v>
      </c>
      <c r="L167" s="27"/>
      <c r="M167" s="25" t="s">
        <v>903</v>
      </c>
      <c r="N167" s="25" t="s">
        <v>68</v>
      </c>
      <c r="O167" s="27" t="s">
        <v>56</v>
      </c>
      <c r="P167" s="27"/>
      <c r="Q167" s="26" t="s">
        <v>898</v>
      </c>
      <c r="R167" s="25" t="s">
        <v>45</v>
      </c>
      <c r="S167" s="25" t="s">
        <v>39</v>
      </c>
      <c r="T167" s="27"/>
      <c r="U167" s="34">
        <v>45663.0</v>
      </c>
      <c r="V167" s="34">
        <v>45753.0</v>
      </c>
      <c r="W167" s="29">
        <v>166.0</v>
      </c>
      <c r="X167" s="17">
        <v>45810.0</v>
      </c>
      <c r="Y167" s="30" t="s">
        <v>46</v>
      </c>
      <c r="Z167" s="17">
        <v>45779.0</v>
      </c>
      <c r="AA167" s="27" t="s">
        <v>728</v>
      </c>
      <c r="AB167" s="27" t="s">
        <v>56</v>
      </c>
      <c r="AC167" s="27" t="str">
        <f>VLOOKUP(C167,Sheet1!$C$2:$X$1242,15,0)</f>
        <v/>
      </c>
      <c r="AD167" s="25"/>
      <c r="AE167" s="19" t="str">
        <f t="shared" si="1"/>
        <v/>
      </c>
      <c r="AF167" s="19" t="str">
        <f>VLOOKUP(C167,Sheet1!$C$2:$AE$400,24,0)</f>
        <v>CHUYÊN ĐỀ</v>
      </c>
      <c r="AG167" s="19" t="s">
        <v>71</v>
      </c>
      <c r="AH167" s="31" t="str">
        <f>VLOOKUP(AG167,gvhd!$D$3:$P$17,11,0)</f>
        <v>0702605664</v>
      </c>
      <c r="AI167" s="32" t="str">
        <f>VLOOKUP(AG167,gvhd!$D$3:$P$17,12,0)</f>
        <v>huynhlthuylinh@dtu-hti.edu.vn</v>
      </c>
    </row>
    <row r="168" ht="47.25" customHeight="1">
      <c r="A168" s="22">
        <v>45692.977036041666</v>
      </c>
      <c r="B168" s="23" t="s">
        <v>904</v>
      </c>
      <c r="C168" s="23">
        <v>2.7207100654E10</v>
      </c>
      <c r="D168" s="23" t="s">
        <v>905</v>
      </c>
      <c r="E168" s="24">
        <v>37785.0</v>
      </c>
      <c r="F168" s="23" t="s">
        <v>286</v>
      </c>
      <c r="G168" s="25" t="s">
        <v>37</v>
      </c>
      <c r="H168" s="25">
        <v>27.0</v>
      </c>
      <c r="I168" s="26" t="s">
        <v>906</v>
      </c>
      <c r="J168" s="25" t="s">
        <v>39</v>
      </c>
      <c r="K168" s="27" t="s">
        <v>907</v>
      </c>
      <c r="L168" s="27"/>
      <c r="M168" s="25" t="s">
        <v>908</v>
      </c>
      <c r="N168" s="25" t="s">
        <v>68</v>
      </c>
      <c r="O168" s="27" t="s">
        <v>56</v>
      </c>
      <c r="P168" s="27"/>
      <c r="Q168" s="26" t="s">
        <v>405</v>
      </c>
      <c r="R168" s="25" t="s">
        <v>45</v>
      </c>
      <c r="S168" s="25" t="s">
        <v>39</v>
      </c>
      <c r="T168" s="27"/>
      <c r="U168" s="34">
        <v>45694.0</v>
      </c>
      <c r="V168" s="34">
        <v>45783.0</v>
      </c>
      <c r="W168" s="29">
        <v>167.0</v>
      </c>
      <c r="X168" s="17">
        <v>45963.0</v>
      </c>
      <c r="Y168" s="30" t="s">
        <v>46</v>
      </c>
      <c r="Z168" s="17">
        <v>45779.0</v>
      </c>
      <c r="AA168" s="27" t="s">
        <v>907</v>
      </c>
      <c r="AB168" s="27" t="s">
        <v>56</v>
      </c>
      <c r="AC168" s="27" t="str">
        <f>VLOOKUP(C168,Sheet1!$C$2:$X$1242,15,0)</f>
        <v/>
      </c>
      <c r="AD168" s="13" t="s">
        <v>47</v>
      </c>
      <c r="AE168" s="19" t="str">
        <f t="shared" si="1"/>
        <v/>
      </c>
      <c r="AF168" s="19" t="str">
        <f>VLOOKUP(C168,Sheet1!$C$2:$AE$400,24,0)</f>
        <v>CHUYÊN ĐỀ</v>
      </c>
      <c r="AG168" s="19" t="s">
        <v>120</v>
      </c>
      <c r="AH168" s="20" t="str">
        <f>VLOOKUP(AG168,gvhd!$D$3:$P$17,11,0)</f>
        <v>0375658728</v>
      </c>
      <c r="AI168" s="21" t="str">
        <f>VLOOKUP(AG168,gvhd!$D$3:$P$17,12,0)</f>
        <v>trinhtkimchung@dtu-hti.edu.vn</v>
      </c>
    </row>
    <row r="169" ht="47.25" customHeight="1">
      <c r="A169" s="22">
        <v>45692.97451071759</v>
      </c>
      <c r="B169" s="23" t="s">
        <v>909</v>
      </c>
      <c r="C169" s="23">
        <v>2.7202131041E10</v>
      </c>
      <c r="D169" s="23" t="s">
        <v>910</v>
      </c>
      <c r="E169" s="24">
        <v>37935.0</v>
      </c>
      <c r="F169" s="23" t="s">
        <v>911</v>
      </c>
      <c r="G169" s="25" t="s">
        <v>37</v>
      </c>
      <c r="H169" s="25">
        <v>27.0</v>
      </c>
      <c r="I169" s="26" t="s">
        <v>912</v>
      </c>
      <c r="J169" s="25" t="s">
        <v>39</v>
      </c>
      <c r="K169" s="27" t="s">
        <v>907</v>
      </c>
      <c r="L169" s="27"/>
      <c r="M169" s="25" t="s">
        <v>913</v>
      </c>
      <c r="N169" s="25" t="s">
        <v>243</v>
      </c>
      <c r="O169" s="27" t="s">
        <v>56</v>
      </c>
      <c r="P169" s="27"/>
      <c r="Q169" s="26" t="s">
        <v>156</v>
      </c>
      <c r="R169" s="25" t="s">
        <v>45</v>
      </c>
      <c r="S169" s="25" t="s">
        <v>39</v>
      </c>
      <c r="T169" s="27"/>
      <c r="U169" s="34">
        <v>45694.0</v>
      </c>
      <c r="V169" s="34">
        <v>45783.0</v>
      </c>
      <c r="W169" s="29">
        <v>168.0</v>
      </c>
      <c r="X169" s="17">
        <v>45963.0</v>
      </c>
      <c r="Y169" s="30" t="s">
        <v>46</v>
      </c>
      <c r="Z169" s="17">
        <v>45779.0</v>
      </c>
      <c r="AA169" s="27" t="s">
        <v>907</v>
      </c>
      <c r="AB169" s="27" t="s">
        <v>56</v>
      </c>
      <c r="AC169" s="27" t="str">
        <f>VLOOKUP(C169,Sheet1!$C$2:$X$1242,15,0)</f>
        <v/>
      </c>
      <c r="AD169" s="13" t="s">
        <v>47</v>
      </c>
      <c r="AE169" s="19" t="str">
        <f t="shared" si="1"/>
        <v/>
      </c>
      <c r="AF169" s="19" t="str">
        <f>VLOOKUP(C169,Sheet1!$C$2:$AE$400,24,0)</f>
        <v>CHUYÊN ĐỀ</v>
      </c>
      <c r="AG169" s="19" t="s">
        <v>120</v>
      </c>
      <c r="AH169" s="31" t="str">
        <f>VLOOKUP(AG169,gvhd!$D$3:$P$17,11,0)</f>
        <v>0375658728</v>
      </c>
      <c r="AI169" s="32" t="str">
        <f>VLOOKUP(AG169,gvhd!$D$3:$P$17,12,0)</f>
        <v>trinhtkimchung@dtu-hti.edu.vn</v>
      </c>
    </row>
    <row r="170" ht="47.25" customHeight="1">
      <c r="A170" s="22">
        <v>45692.98241456019</v>
      </c>
      <c r="B170" s="23" t="s">
        <v>914</v>
      </c>
      <c r="C170" s="23">
        <v>2.7217128905E10</v>
      </c>
      <c r="D170" s="23" t="s">
        <v>915</v>
      </c>
      <c r="E170" s="24">
        <v>37788.0</v>
      </c>
      <c r="F170" s="23" t="s">
        <v>322</v>
      </c>
      <c r="G170" s="25" t="s">
        <v>37</v>
      </c>
      <c r="H170" s="25">
        <v>27.0</v>
      </c>
      <c r="I170" s="26" t="s">
        <v>916</v>
      </c>
      <c r="J170" s="25" t="s">
        <v>39</v>
      </c>
      <c r="K170" s="27" t="s">
        <v>907</v>
      </c>
      <c r="L170" s="27"/>
      <c r="M170" s="25" t="s">
        <v>917</v>
      </c>
      <c r="N170" s="25" t="s">
        <v>68</v>
      </c>
      <c r="O170" s="27" t="s">
        <v>56</v>
      </c>
      <c r="P170" s="27"/>
      <c r="Q170" s="26" t="s">
        <v>156</v>
      </c>
      <c r="R170" s="25" t="s">
        <v>45</v>
      </c>
      <c r="S170" s="25" t="s">
        <v>39</v>
      </c>
      <c r="T170" s="27" t="s">
        <v>58</v>
      </c>
      <c r="U170" s="34">
        <v>45694.0</v>
      </c>
      <c r="V170" s="34">
        <v>45783.0</v>
      </c>
      <c r="W170" s="29">
        <v>169.0</v>
      </c>
      <c r="X170" s="17">
        <v>45963.0</v>
      </c>
      <c r="Y170" s="30" t="s">
        <v>46</v>
      </c>
      <c r="Z170" s="17">
        <v>45779.0</v>
      </c>
      <c r="AA170" s="27" t="s">
        <v>907</v>
      </c>
      <c r="AB170" s="27" t="s">
        <v>56</v>
      </c>
      <c r="AC170" s="27" t="str">
        <f>VLOOKUP(C170,Sheet1!$C$2:$X$1242,15,0)</f>
        <v/>
      </c>
      <c r="AD170" s="13" t="s">
        <v>47</v>
      </c>
      <c r="AE170" s="19" t="str">
        <f t="shared" si="1"/>
        <v/>
      </c>
      <c r="AF170" s="19" t="str">
        <f>VLOOKUP(C170,Sheet1!$C$2:$AE$400,24,0)</f>
        <v>không đủ điều kiện</v>
      </c>
      <c r="AG170" s="19"/>
      <c r="AH170" s="20"/>
      <c r="AI170" s="21"/>
    </row>
    <row r="171" ht="47.25" customHeight="1">
      <c r="A171" s="22">
        <v>45693.467675567124</v>
      </c>
      <c r="B171" s="23" t="s">
        <v>918</v>
      </c>
      <c r="C171" s="23">
        <v>2.6217142313E10</v>
      </c>
      <c r="D171" s="23" t="s">
        <v>919</v>
      </c>
      <c r="E171" s="24">
        <v>37304.0</v>
      </c>
      <c r="F171" s="23" t="s">
        <v>920</v>
      </c>
      <c r="G171" s="25" t="s">
        <v>63</v>
      </c>
      <c r="H171" s="25">
        <v>26.0</v>
      </c>
      <c r="I171" s="26" t="s">
        <v>921</v>
      </c>
      <c r="J171" s="25" t="s">
        <v>39</v>
      </c>
      <c r="K171" s="27" t="s">
        <v>922</v>
      </c>
      <c r="L171" s="27"/>
      <c r="M171" s="25" t="s">
        <v>923</v>
      </c>
      <c r="N171" s="25" t="s">
        <v>924</v>
      </c>
      <c r="O171" s="27" t="s">
        <v>117</v>
      </c>
      <c r="P171" s="27"/>
      <c r="Q171" s="26" t="s">
        <v>156</v>
      </c>
      <c r="R171" s="25" t="s">
        <v>45</v>
      </c>
      <c r="S171" s="25" t="s">
        <v>39</v>
      </c>
      <c r="T171" s="27" t="s">
        <v>215</v>
      </c>
      <c r="U171" s="34">
        <v>45696.0</v>
      </c>
      <c r="V171" s="34">
        <v>45785.0</v>
      </c>
      <c r="W171" s="29">
        <v>170.0</v>
      </c>
      <c r="X171" s="17">
        <v>45963.0</v>
      </c>
      <c r="Y171" s="30" t="s">
        <v>46</v>
      </c>
      <c r="Z171" s="17">
        <v>45779.0</v>
      </c>
      <c r="AA171" s="27" t="s">
        <v>922</v>
      </c>
      <c r="AB171" s="27" t="s">
        <v>117</v>
      </c>
      <c r="AC171" s="27" t="str">
        <f>VLOOKUP(C171,Sheet1!$C$2:$X$1242,15,0)</f>
        <v>ĐÃ NỘP</v>
      </c>
      <c r="AD171" s="25"/>
      <c r="AE171" s="19" t="str">
        <f t="shared" si="1"/>
        <v/>
      </c>
      <c r="AF171" s="19" t="str">
        <f>VLOOKUP(C171,Sheet1!$C$2:$AE$400,24,0)</f>
        <v>CHUYÊN ĐỀ</v>
      </c>
      <c r="AG171" s="19" t="s">
        <v>70</v>
      </c>
      <c r="AH171" s="31" t="str">
        <f>VLOOKUP(AG171,gvhd!$D$3:$P$17,11,0)</f>
        <v>0938290678</v>
      </c>
      <c r="AI171" s="32" t="str">
        <f>VLOOKUP(AG171,gvhd!$D$3:$P$17,12,0)</f>
        <v>phamtthuthuy2@dtu-hti.edu.vn</v>
      </c>
    </row>
    <row r="172" ht="47.25" customHeight="1">
      <c r="A172" s="22">
        <v>45693.47307212963</v>
      </c>
      <c r="B172" s="23" t="s">
        <v>925</v>
      </c>
      <c r="C172" s="23">
        <v>2.7217133352E10</v>
      </c>
      <c r="D172" s="23" t="s">
        <v>926</v>
      </c>
      <c r="E172" s="24">
        <v>37646.0</v>
      </c>
      <c r="F172" s="23" t="s">
        <v>276</v>
      </c>
      <c r="G172" s="25" t="s">
        <v>63</v>
      </c>
      <c r="H172" s="25">
        <v>27.0</v>
      </c>
      <c r="I172" s="26" t="s">
        <v>927</v>
      </c>
      <c r="J172" s="25" t="s">
        <v>39</v>
      </c>
      <c r="K172" s="27" t="s">
        <v>53</v>
      </c>
      <c r="L172" s="27"/>
      <c r="M172" s="25" t="s">
        <v>928</v>
      </c>
      <c r="N172" s="25" t="s">
        <v>68</v>
      </c>
      <c r="O172" s="27" t="s">
        <v>117</v>
      </c>
      <c r="P172" s="27"/>
      <c r="Q172" s="26" t="s">
        <v>898</v>
      </c>
      <c r="R172" s="25" t="s">
        <v>45</v>
      </c>
      <c r="S172" s="25" t="s">
        <v>39</v>
      </c>
      <c r="T172" s="27" t="s">
        <v>137</v>
      </c>
      <c r="U172" s="34">
        <v>45698.0</v>
      </c>
      <c r="V172" s="34">
        <v>45787.0</v>
      </c>
      <c r="W172" s="29">
        <v>171.0</v>
      </c>
      <c r="X172" s="17">
        <v>45810.0</v>
      </c>
      <c r="Y172" s="30" t="s">
        <v>46</v>
      </c>
      <c r="Z172" s="17">
        <v>45779.0</v>
      </c>
      <c r="AA172" s="27" t="s">
        <v>53</v>
      </c>
      <c r="AB172" s="27" t="s">
        <v>117</v>
      </c>
      <c r="AC172" s="27" t="str">
        <f>VLOOKUP(C172,Sheet1!$C$2:$X$1242,15,0)</f>
        <v/>
      </c>
      <c r="AD172" s="25"/>
      <c r="AE172" s="19" t="str">
        <f t="shared" si="1"/>
        <v/>
      </c>
      <c r="AF172" s="19" t="str">
        <f>VLOOKUP(C172,Sheet1!$C$2:$AE$400,24,0)</f>
        <v>CHUYÊN ĐỀ</v>
      </c>
      <c r="AG172" s="19" t="s">
        <v>70</v>
      </c>
      <c r="AH172" s="20" t="str">
        <f>VLOOKUP(AG172,gvhd!$D$3:$P$17,11,0)</f>
        <v>0938290678</v>
      </c>
      <c r="AI172" s="21" t="str">
        <f>VLOOKUP(AG172,gvhd!$D$3:$P$17,12,0)</f>
        <v>phamtthuthuy2@dtu-hti.edu.vn</v>
      </c>
    </row>
    <row r="173" ht="47.25" customHeight="1">
      <c r="A173" s="22">
        <v>45693.92081319445</v>
      </c>
      <c r="B173" s="23" t="s">
        <v>929</v>
      </c>
      <c r="C173" s="23">
        <v>2.72071474E10</v>
      </c>
      <c r="D173" s="23" t="s">
        <v>930</v>
      </c>
      <c r="E173" s="24">
        <v>37645.0</v>
      </c>
      <c r="F173" s="23" t="s">
        <v>88</v>
      </c>
      <c r="G173" s="25" t="s">
        <v>63</v>
      </c>
      <c r="H173" s="25">
        <v>27.0</v>
      </c>
      <c r="I173" s="26" t="s">
        <v>931</v>
      </c>
      <c r="J173" s="25" t="s">
        <v>39</v>
      </c>
      <c r="K173" s="27" t="s">
        <v>932</v>
      </c>
      <c r="L173" s="27" t="s">
        <v>932</v>
      </c>
      <c r="M173" s="25" t="s">
        <v>933</v>
      </c>
      <c r="N173" s="25" t="s">
        <v>68</v>
      </c>
      <c r="O173" s="27" t="s">
        <v>56</v>
      </c>
      <c r="P173" s="27"/>
      <c r="Q173" s="26" t="s">
        <v>898</v>
      </c>
      <c r="R173" s="25" t="s">
        <v>45</v>
      </c>
      <c r="S173" s="25" t="s">
        <v>39</v>
      </c>
      <c r="T173" s="27"/>
      <c r="U173" s="34">
        <v>45698.0</v>
      </c>
      <c r="V173" s="34">
        <v>45787.0</v>
      </c>
      <c r="W173" s="29">
        <v>172.0</v>
      </c>
      <c r="X173" s="17">
        <v>45810.0</v>
      </c>
      <c r="Y173" s="30" t="s">
        <v>46</v>
      </c>
      <c r="Z173" s="17">
        <v>45810.0</v>
      </c>
      <c r="AA173" s="27" t="s">
        <v>932</v>
      </c>
      <c r="AB173" s="27" t="s">
        <v>56</v>
      </c>
      <c r="AC173" s="27" t="str">
        <f>VLOOKUP(C173,Sheet1!$C$2:$X$1242,15,0)</f>
        <v/>
      </c>
      <c r="AD173" s="25"/>
      <c r="AE173" s="19" t="str">
        <f t="shared" si="1"/>
        <v/>
      </c>
      <c r="AF173" s="19" t="str">
        <f>VLOOKUP(C173,Sheet1!$C$2:$AE$400,24,0)</f>
        <v>CHUYÊN ĐỀ</v>
      </c>
      <c r="AG173" s="19" t="s">
        <v>139</v>
      </c>
      <c r="AH173" s="31" t="str">
        <f>VLOOKUP(AG173,gvhd!$D$3:$P$17,11,0)</f>
        <v>0975718029</v>
      </c>
      <c r="AI173" s="32" t="str">
        <f>VLOOKUP(AG173,gvhd!$D$3:$P$17,12,0)</f>
        <v>trantmylinh5@duytan.edu.vn</v>
      </c>
    </row>
    <row r="174" ht="47.25" customHeight="1">
      <c r="A174" s="22">
        <v>45693.920818645835</v>
      </c>
      <c r="B174" s="23" t="s">
        <v>934</v>
      </c>
      <c r="C174" s="23">
        <v>2.721712368E10</v>
      </c>
      <c r="D174" s="23" t="s">
        <v>935</v>
      </c>
      <c r="E174" s="24">
        <v>37971.0</v>
      </c>
      <c r="F174" s="23" t="s">
        <v>936</v>
      </c>
      <c r="G174" s="25" t="s">
        <v>63</v>
      </c>
      <c r="H174" s="25">
        <v>27.0</v>
      </c>
      <c r="I174" s="26" t="s">
        <v>937</v>
      </c>
      <c r="J174" s="25" t="s">
        <v>39</v>
      </c>
      <c r="K174" s="27" t="s">
        <v>938</v>
      </c>
      <c r="L174" s="27" t="s">
        <v>938</v>
      </c>
      <c r="M174" s="25" t="s">
        <v>933</v>
      </c>
      <c r="N174" s="25" t="s">
        <v>68</v>
      </c>
      <c r="O174" s="27" t="s">
        <v>56</v>
      </c>
      <c r="P174" s="27"/>
      <c r="Q174" s="26" t="s">
        <v>898</v>
      </c>
      <c r="R174" s="25" t="s">
        <v>45</v>
      </c>
      <c r="S174" s="25" t="s">
        <v>39</v>
      </c>
      <c r="T174" s="27"/>
      <c r="U174" s="34">
        <v>45698.0</v>
      </c>
      <c r="V174" s="34">
        <v>45787.0</v>
      </c>
      <c r="W174" s="29">
        <v>173.0</v>
      </c>
      <c r="X174" s="17">
        <v>45810.0</v>
      </c>
      <c r="Y174" s="30" t="s">
        <v>46</v>
      </c>
      <c r="Z174" s="17">
        <v>45810.0</v>
      </c>
      <c r="AA174" s="27" t="s">
        <v>938</v>
      </c>
      <c r="AB174" s="27" t="s">
        <v>56</v>
      </c>
      <c r="AC174" s="27" t="str">
        <f>VLOOKUP(C174,Sheet1!$C$2:$X$1242,15,0)</f>
        <v/>
      </c>
      <c r="AD174" s="25"/>
      <c r="AE174" s="19" t="str">
        <f t="shared" si="1"/>
        <v/>
      </c>
      <c r="AF174" s="19" t="str">
        <f>VLOOKUP(C174,Sheet1!$C$2:$AE$400,24,0)</f>
        <v>CHUYÊN ĐỀ</v>
      </c>
      <c r="AG174" s="19" t="s">
        <v>139</v>
      </c>
      <c r="AH174" s="20" t="str">
        <f>VLOOKUP(AG174,gvhd!$D$3:$P$17,11,0)</f>
        <v>0975718029</v>
      </c>
      <c r="AI174" s="21" t="str">
        <f>VLOOKUP(AG174,gvhd!$D$3:$P$17,12,0)</f>
        <v>trantmylinh5@duytan.edu.vn</v>
      </c>
    </row>
    <row r="175" ht="51.75" customHeight="1">
      <c r="A175" s="22">
        <v>45696.46164357639</v>
      </c>
      <c r="B175" s="23" t="s">
        <v>939</v>
      </c>
      <c r="C175" s="23">
        <v>2.4207108486E10</v>
      </c>
      <c r="D175" s="23" t="s">
        <v>940</v>
      </c>
      <c r="E175" s="24">
        <v>36627.0</v>
      </c>
      <c r="F175" s="23" t="s">
        <v>941</v>
      </c>
      <c r="G175" s="25" t="s">
        <v>37</v>
      </c>
      <c r="H175" s="25">
        <v>25.0</v>
      </c>
      <c r="I175" s="26" t="s">
        <v>942</v>
      </c>
      <c r="J175" s="25" t="s">
        <v>39</v>
      </c>
      <c r="K175" s="27" t="s">
        <v>53</v>
      </c>
      <c r="L175" s="27"/>
      <c r="M175" s="25" t="s">
        <v>943</v>
      </c>
      <c r="N175" s="25" t="s">
        <v>170</v>
      </c>
      <c r="O175" s="25" t="s">
        <v>92</v>
      </c>
      <c r="P175" s="25" t="s">
        <v>944</v>
      </c>
      <c r="Q175" s="26" t="s">
        <v>945</v>
      </c>
      <c r="R175" s="25" t="s">
        <v>45</v>
      </c>
      <c r="S175" s="25" t="s">
        <v>39</v>
      </c>
      <c r="T175" s="27" t="s">
        <v>58</v>
      </c>
      <c r="U175" s="34">
        <v>45672.0</v>
      </c>
      <c r="V175" s="34">
        <v>45762.0</v>
      </c>
      <c r="W175" s="29">
        <v>174.0</v>
      </c>
      <c r="X175" s="17"/>
      <c r="Y175" s="30" t="s">
        <v>252</v>
      </c>
      <c r="Z175" s="17">
        <v>45810.0</v>
      </c>
      <c r="AA175" s="27" t="s">
        <v>53</v>
      </c>
      <c r="AB175" s="27" t="s">
        <v>946</v>
      </c>
      <c r="AC175" s="27" t="str">
        <f>VLOOKUP(C175,Sheet1!$C$2:$X$1242,15,0)</f>
        <v>ĐÃ NỘP</v>
      </c>
      <c r="AD175" s="25" t="s">
        <v>947</v>
      </c>
      <c r="AE175" s="19" t="str">
        <f t="shared" si="1"/>
        <v>cần kiểm tra lại</v>
      </c>
      <c r="AF175" s="19" t="str">
        <f>VLOOKUP(C175,Sheet1!$C$2:$AE$400,24,0)</f>
        <v>CHUYÊN ĐỀ</v>
      </c>
      <c r="AG175" s="19" t="s">
        <v>59</v>
      </c>
      <c r="AH175" s="31" t="str">
        <f>VLOOKUP(AG175,gvhd!$D$3:$P$17,11,0)</f>
        <v>0355072844</v>
      </c>
      <c r="AI175" s="32" t="str">
        <f>VLOOKUP(AG175,gvhd!$D$3:$P$17,12,0)</f>
        <v>Ngotthanhnga@dtu-hti.edu.vn</v>
      </c>
    </row>
    <row r="176" ht="47.25" customHeight="1">
      <c r="A176" s="22">
        <v>45694.379120682876</v>
      </c>
      <c r="B176" s="23" t="s">
        <v>948</v>
      </c>
      <c r="C176" s="23">
        <v>2.6211031383E10</v>
      </c>
      <c r="D176" s="23" t="s">
        <v>949</v>
      </c>
      <c r="E176" s="24">
        <v>37152.0</v>
      </c>
      <c r="F176" s="23" t="s">
        <v>950</v>
      </c>
      <c r="G176" s="25" t="s">
        <v>63</v>
      </c>
      <c r="H176" s="25">
        <v>26.0</v>
      </c>
      <c r="I176" s="26" t="s">
        <v>951</v>
      </c>
      <c r="J176" s="25" t="s">
        <v>39</v>
      </c>
      <c r="K176" s="27" t="s">
        <v>952</v>
      </c>
      <c r="L176" s="27"/>
      <c r="M176" s="25" t="s">
        <v>953</v>
      </c>
      <c r="N176" s="25" t="s">
        <v>170</v>
      </c>
      <c r="O176" s="27" t="s">
        <v>56</v>
      </c>
      <c r="P176" s="27"/>
      <c r="Q176" s="26" t="s">
        <v>954</v>
      </c>
      <c r="R176" s="25" t="s">
        <v>45</v>
      </c>
      <c r="S176" s="25" t="s">
        <v>39</v>
      </c>
      <c r="T176" s="27"/>
      <c r="U176" s="34">
        <v>45677.0</v>
      </c>
      <c r="V176" s="34">
        <v>45753.0</v>
      </c>
      <c r="W176" s="29">
        <v>175.0</v>
      </c>
      <c r="X176" s="17">
        <v>45840.0</v>
      </c>
      <c r="Y176" s="30" t="s">
        <v>46</v>
      </c>
      <c r="Z176" s="17">
        <v>45810.0</v>
      </c>
      <c r="AA176" s="27" t="s">
        <v>952</v>
      </c>
      <c r="AB176" s="27" t="s">
        <v>56</v>
      </c>
      <c r="AC176" s="27" t="str">
        <f>VLOOKUP(C176,Sheet1!$C$2:$X$1242,15,0)</f>
        <v>ĐÃ NỘP</v>
      </c>
      <c r="AD176" s="25"/>
      <c r="AE176" s="19" t="str">
        <f t="shared" si="1"/>
        <v/>
      </c>
      <c r="AF176" s="19" t="str">
        <f>VLOOKUP(C176,Sheet1!$C$2:$AE$400,24,0)</f>
        <v>CHUYÊN ĐỀ</v>
      </c>
      <c r="AG176" s="19" t="s">
        <v>70</v>
      </c>
      <c r="AH176" s="20" t="str">
        <f>VLOOKUP(AG176,gvhd!$D$3:$P$17,11,0)</f>
        <v>0938290678</v>
      </c>
      <c r="AI176" s="21" t="str">
        <f>VLOOKUP(AG176,gvhd!$D$3:$P$17,12,0)</f>
        <v>phamtthuthuy2@dtu-hti.edu.vn</v>
      </c>
    </row>
    <row r="177" ht="47.25" customHeight="1">
      <c r="A177" s="22">
        <v>45694.47568979167</v>
      </c>
      <c r="B177" s="23" t="s">
        <v>955</v>
      </c>
      <c r="C177" s="23">
        <v>2.6207142679E10</v>
      </c>
      <c r="D177" s="23" t="s">
        <v>956</v>
      </c>
      <c r="E177" s="24">
        <v>37487.0</v>
      </c>
      <c r="F177" s="23" t="s">
        <v>920</v>
      </c>
      <c r="G177" s="25" t="s">
        <v>63</v>
      </c>
      <c r="H177" s="25">
        <v>26.0</v>
      </c>
      <c r="I177" s="26" t="s">
        <v>957</v>
      </c>
      <c r="J177" s="25" t="s">
        <v>39</v>
      </c>
      <c r="K177" s="27" t="s">
        <v>958</v>
      </c>
      <c r="L177" s="27" t="s">
        <v>958</v>
      </c>
      <c r="M177" s="25" t="s">
        <v>959</v>
      </c>
      <c r="N177" s="25" t="s">
        <v>960</v>
      </c>
      <c r="O177" s="27" t="s">
        <v>56</v>
      </c>
      <c r="P177" s="27"/>
      <c r="Q177" s="26" t="s">
        <v>880</v>
      </c>
      <c r="R177" s="25" t="s">
        <v>45</v>
      </c>
      <c r="S177" s="25" t="s">
        <v>39</v>
      </c>
      <c r="T177" s="27"/>
      <c r="U177" s="34">
        <v>45698.0</v>
      </c>
      <c r="V177" s="34">
        <v>45787.0</v>
      </c>
      <c r="W177" s="29">
        <v>176.0</v>
      </c>
      <c r="X177" s="17">
        <v>45963.0</v>
      </c>
      <c r="Y177" s="30" t="s">
        <v>46</v>
      </c>
      <c r="Z177" s="17">
        <v>45810.0</v>
      </c>
      <c r="AA177" s="27" t="s">
        <v>958</v>
      </c>
      <c r="AB177" s="27" t="s">
        <v>56</v>
      </c>
      <c r="AC177" s="27" t="str">
        <f>VLOOKUP(C177,Sheet1!$C$2:$X$1242,15,0)</f>
        <v>ĐÃ NỘP</v>
      </c>
      <c r="AD177" s="25" t="s">
        <v>961</v>
      </c>
      <c r="AE177" s="19" t="str">
        <f t="shared" si="1"/>
        <v/>
      </c>
      <c r="AF177" s="19" t="str">
        <f>VLOOKUP(C177,Sheet1!$C$2:$AE$400,24,0)</f>
        <v>CHUYÊN ĐỀ</v>
      </c>
      <c r="AG177" s="19" t="s">
        <v>71</v>
      </c>
      <c r="AH177" s="31" t="str">
        <f>VLOOKUP(AG177,gvhd!$D$3:$P$17,11,0)</f>
        <v>0702605664</v>
      </c>
      <c r="AI177" s="32" t="str">
        <f>VLOOKUP(AG177,gvhd!$D$3:$P$17,12,0)</f>
        <v>huynhlthuylinh@dtu-hti.edu.vn</v>
      </c>
    </row>
    <row r="178" ht="47.25" customHeight="1">
      <c r="A178" s="22">
        <v>45694.54987335648</v>
      </c>
      <c r="B178" s="23" t="s">
        <v>962</v>
      </c>
      <c r="C178" s="23">
        <v>2.7217100378E10</v>
      </c>
      <c r="D178" s="23" t="s">
        <v>963</v>
      </c>
      <c r="E178" s="24">
        <v>37903.0</v>
      </c>
      <c r="F178" s="23" t="s">
        <v>108</v>
      </c>
      <c r="G178" s="25" t="s">
        <v>63</v>
      </c>
      <c r="H178" s="25">
        <v>27.0</v>
      </c>
      <c r="I178" s="26" t="s">
        <v>964</v>
      </c>
      <c r="J178" s="25" t="s">
        <v>39</v>
      </c>
      <c r="K178" s="27" t="s">
        <v>524</v>
      </c>
      <c r="L178" s="27"/>
      <c r="M178" s="25" t="s">
        <v>965</v>
      </c>
      <c r="N178" s="25" t="s">
        <v>68</v>
      </c>
      <c r="O178" s="27" t="s">
        <v>56</v>
      </c>
      <c r="P178" s="27"/>
      <c r="Q178" s="26" t="s">
        <v>880</v>
      </c>
      <c r="R178" s="25" t="s">
        <v>45</v>
      </c>
      <c r="S178" s="25" t="s">
        <v>39</v>
      </c>
      <c r="T178" s="27"/>
      <c r="U178" s="34">
        <v>45698.0</v>
      </c>
      <c r="V178" s="34">
        <v>45787.0</v>
      </c>
      <c r="W178" s="29">
        <v>177.0</v>
      </c>
      <c r="X178" s="17">
        <v>45840.0</v>
      </c>
      <c r="Y178" s="30" t="s">
        <v>46</v>
      </c>
      <c r="Z178" s="17">
        <v>45810.0</v>
      </c>
      <c r="AA178" s="27" t="s">
        <v>524</v>
      </c>
      <c r="AB178" s="27" t="s">
        <v>56</v>
      </c>
      <c r="AC178" s="27" t="str">
        <f>VLOOKUP(C178,Sheet1!$C$2:$X$1242,15,0)</f>
        <v/>
      </c>
      <c r="AD178" s="25"/>
      <c r="AE178" s="19" t="str">
        <f t="shared" si="1"/>
        <v/>
      </c>
      <c r="AF178" s="19" t="str">
        <f>VLOOKUP(C178,Sheet1!$C$2:$AE$400,24,0)</f>
        <v>CHUYÊN ĐỀ</v>
      </c>
      <c r="AG178" s="19" t="s">
        <v>85</v>
      </c>
      <c r="AH178" s="20" t="str">
        <f>VLOOKUP(AG178,gvhd!$D$3:$P$17,11,0)</f>
        <v>0396.153.687</v>
      </c>
      <c r="AI178" s="21" t="str">
        <f>VLOOKUP(AG178,gvhd!$D$3:$P$17,12,0)</f>
        <v>nguyentminhthu@dtu-hti.edu.vn</v>
      </c>
    </row>
    <row r="179" ht="47.25" customHeight="1">
      <c r="A179" s="22">
        <v>45694.605534594906</v>
      </c>
      <c r="B179" s="23" t="s">
        <v>966</v>
      </c>
      <c r="C179" s="23">
        <v>2.6217131257E10</v>
      </c>
      <c r="D179" s="23" t="s">
        <v>967</v>
      </c>
      <c r="E179" s="24">
        <v>36596.0</v>
      </c>
      <c r="F179" s="23" t="s">
        <v>668</v>
      </c>
      <c r="G179" s="25" t="s">
        <v>37</v>
      </c>
      <c r="H179" s="25">
        <v>26.0</v>
      </c>
      <c r="I179" s="26" t="s">
        <v>968</v>
      </c>
      <c r="J179" s="25" t="s">
        <v>39</v>
      </c>
      <c r="K179" s="27" t="s">
        <v>325</v>
      </c>
      <c r="L179" s="27" t="s">
        <v>325</v>
      </c>
      <c r="M179" s="25" t="s">
        <v>414</v>
      </c>
      <c r="N179" s="25" t="s">
        <v>68</v>
      </c>
      <c r="O179" s="27" t="s">
        <v>56</v>
      </c>
      <c r="P179" s="27"/>
      <c r="Q179" s="26" t="s">
        <v>880</v>
      </c>
      <c r="R179" s="25" t="s">
        <v>45</v>
      </c>
      <c r="S179" s="25" t="s">
        <v>39</v>
      </c>
      <c r="T179" s="27" t="s">
        <v>58</v>
      </c>
      <c r="U179" s="34">
        <v>45702.0</v>
      </c>
      <c r="V179" s="34">
        <v>45791.0</v>
      </c>
      <c r="W179" s="29">
        <v>178.0</v>
      </c>
      <c r="X179" s="17">
        <v>45810.0</v>
      </c>
      <c r="Y179" s="30" t="s">
        <v>46</v>
      </c>
      <c r="Z179" s="17">
        <v>45810.0</v>
      </c>
      <c r="AA179" s="27" t="s">
        <v>325</v>
      </c>
      <c r="AB179" s="27" t="s">
        <v>56</v>
      </c>
      <c r="AC179" s="27" t="str">
        <f>VLOOKUP(C179,Sheet1!$C$2:$X$1242,15,0)</f>
        <v>ĐÃ NỘP</v>
      </c>
      <c r="AD179" s="25"/>
      <c r="AE179" s="19" t="str">
        <f t="shared" si="1"/>
        <v/>
      </c>
      <c r="AF179" s="19" t="str">
        <f>VLOOKUP(C179,Sheet1!$C$2:$AE$400,24,0)</f>
        <v>không đủ điều kiện</v>
      </c>
      <c r="AG179" s="19"/>
      <c r="AH179" s="31"/>
      <c r="AI179" s="32"/>
    </row>
    <row r="180" ht="47.25" customHeight="1">
      <c r="A180" s="22">
        <v>45694.60565302083</v>
      </c>
      <c r="B180" s="23" t="s">
        <v>969</v>
      </c>
      <c r="C180" s="23">
        <v>2.6217125586E10</v>
      </c>
      <c r="D180" s="23" t="s">
        <v>970</v>
      </c>
      <c r="E180" s="24">
        <v>37462.0</v>
      </c>
      <c r="F180" s="23" t="s">
        <v>668</v>
      </c>
      <c r="G180" s="25" t="s">
        <v>37</v>
      </c>
      <c r="H180" s="25">
        <v>26.0</v>
      </c>
      <c r="I180" s="26" t="s">
        <v>971</v>
      </c>
      <c r="J180" s="25" t="s">
        <v>288</v>
      </c>
      <c r="K180" s="27" t="s">
        <v>741</v>
      </c>
      <c r="L180" s="27"/>
      <c r="M180" s="25" t="s">
        <v>972</v>
      </c>
      <c r="N180" s="25" t="s">
        <v>170</v>
      </c>
      <c r="O180" s="27" t="s">
        <v>56</v>
      </c>
      <c r="P180" s="27"/>
      <c r="Q180" s="26" t="s">
        <v>880</v>
      </c>
      <c r="R180" s="25" t="s">
        <v>45</v>
      </c>
      <c r="S180" s="25" t="s">
        <v>288</v>
      </c>
      <c r="T180" s="27" t="s">
        <v>215</v>
      </c>
      <c r="U180" s="34">
        <v>45698.0</v>
      </c>
      <c r="V180" s="34">
        <v>45787.0</v>
      </c>
      <c r="W180" s="29">
        <v>179.0</v>
      </c>
      <c r="X180" s="29" t="s">
        <v>253</v>
      </c>
      <c r="Y180" s="30" t="s">
        <v>46</v>
      </c>
      <c r="Z180" s="29" t="s">
        <v>253</v>
      </c>
      <c r="AA180" s="27" t="s">
        <v>741</v>
      </c>
      <c r="AB180" s="27" t="s">
        <v>56</v>
      </c>
      <c r="AC180" s="27" t="str">
        <f>VLOOKUP(C180,Sheet1!$C$2:$X$1242,15,0)</f>
        <v>ĐÃ NỘP</v>
      </c>
      <c r="AD180" s="25"/>
      <c r="AE180" s="19" t="str">
        <f t="shared" si="1"/>
        <v/>
      </c>
      <c r="AF180" s="19" t="str">
        <f>VLOOKUP(C180,Sheet1!$C$2:$AE$400,24,0)</f>
        <v>KHÓA LUẬN</v>
      </c>
      <c r="AG180" s="19" t="s">
        <v>215</v>
      </c>
      <c r="AH180" s="20" t="str">
        <f>VLOOKUP(AG180,gvhd!$D$3:$P$17,11,0)</f>
        <v>0905938748</v>
      </c>
      <c r="AI180" s="21" t="str">
        <f>VLOOKUP(AG180,gvhd!$D$3:$P$17,12,0)</f>
        <v>duongtxuandieu@dtu-hti.edu.vn</v>
      </c>
    </row>
    <row r="181" ht="47.25" customHeight="1">
      <c r="A181" s="22">
        <v>45694.730050185186</v>
      </c>
      <c r="B181" s="23" t="s">
        <v>973</v>
      </c>
      <c r="C181" s="23">
        <v>2.7207132631E10</v>
      </c>
      <c r="D181" s="23" t="s">
        <v>974</v>
      </c>
      <c r="E181" s="24">
        <v>37828.0</v>
      </c>
      <c r="F181" s="23" t="s">
        <v>975</v>
      </c>
      <c r="G181" s="25" t="s">
        <v>63</v>
      </c>
      <c r="H181" s="25">
        <v>27.0</v>
      </c>
      <c r="I181" s="26" t="s">
        <v>976</v>
      </c>
      <c r="J181" s="25" t="s">
        <v>39</v>
      </c>
      <c r="K181" s="27" t="s">
        <v>977</v>
      </c>
      <c r="L181" s="27"/>
      <c r="M181" s="25" t="s">
        <v>978</v>
      </c>
      <c r="N181" s="25" t="s">
        <v>116</v>
      </c>
      <c r="O181" s="27" t="s">
        <v>56</v>
      </c>
      <c r="P181" s="27"/>
      <c r="Q181" s="26" t="s">
        <v>979</v>
      </c>
      <c r="R181" s="25" t="s">
        <v>45</v>
      </c>
      <c r="S181" s="25" t="s">
        <v>39</v>
      </c>
      <c r="T181" s="27"/>
      <c r="U181" s="34">
        <v>45698.0</v>
      </c>
      <c r="V181" s="34">
        <v>45787.0</v>
      </c>
      <c r="W181" s="29">
        <v>180.0</v>
      </c>
      <c r="X181" s="17">
        <v>45963.0</v>
      </c>
      <c r="Y181" s="30" t="s">
        <v>46</v>
      </c>
      <c r="Z181" s="17">
        <v>45932.0</v>
      </c>
      <c r="AA181" s="27" t="s">
        <v>977</v>
      </c>
      <c r="AB181" s="27" t="s">
        <v>56</v>
      </c>
      <c r="AC181" s="27" t="str">
        <f>VLOOKUP(C181,Sheet1!$C$2:$X$1242,15,0)</f>
        <v/>
      </c>
      <c r="AD181" s="25"/>
      <c r="AE181" s="19" t="str">
        <f t="shared" si="1"/>
        <v/>
      </c>
      <c r="AF181" s="19" t="str">
        <f>VLOOKUP(C181,Sheet1!$C$2:$AE$400,24,0)</f>
        <v>CHUYÊN ĐỀ</v>
      </c>
      <c r="AG181" s="19" t="s">
        <v>58</v>
      </c>
      <c r="AH181" s="31" t="str">
        <f>VLOOKUP(AG181,gvhd!$D$3:$P$17,11,0)</f>
        <v>0905 874 626</v>
      </c>
      <c r="AI181" s="32" t="str">
        <f>VLOOKUP(AG181,gvhd!$D$3:$P$17,12,0)</f>
        <v>hosminhtai@dtu-hti.edu.vn</v>
      </c>
    </row>
    <row r="182" ht="47.25" customHeight="1">
      <c r="A182" s="22">
        <v>45694.75437072916</v>
      </c>
      <c r="B182" s="23" t="s">
        <v>980</v>
      </c>
      <c r="C182" s="23">
        <v>2.6207125172E10</v>
      </c>
      <c r="D182" s="23" t="s">
        <v>981</v>
      </c>
      <c r="E182" s="24">
        <v>37270.0</v>
      </c>
      <c r="F182" s="23" t="s">
        <v>616</v>
      </c>
      <c r="G182" s="25" t="s">
        <v>63</v>
      </c>
      <c r="H182" s="25">
        <v>26.0</v>
      </c>
      <c r="I182" s="26" t="s">
        <v>982</v>
      </c>
      <c r="J182" s="25" t="s">
        <v>39</v>
      </c>
      <c r="K182" s="27" t="s">
        <v>235</v>
      </c>
      <c r="L182" s="27"/>
      <c r="M182" s="25" t="s">
        <v>983</v>
      </c>
      <c r="N182" s="25" t="s">
        <v>68</v>
      </c>
      <c r="O182" s="27" t="s">
        <v>56</v>
      </c>
      <c r="P182" s="27"/>
      <c r="Q182" s="26" t="s">
        <v>880</v>
      </c>
      <c r="R182" s="25" t="s">
        <v>45</v>
      </c>
      <c r="S182" s="25" t="s">
        <v>39</v>
      </c>
      <c r="T182" s="27"/>
      <c r="U182" s="34">
        <v>45694.0</v>
      </c>
      <c r="V182" s="34">
        <v>45783.0</v>
      </c>
      <c r="W182" s="29">
        <v>181.0</v>
      </c>
      <c r="X182" s="17">
        <v>45840.0</v>
      </c>
      <c r="Y182" s="30" t="s">
        <v>46</v>
      </c>
      <c r="Z182" s="17">
        <v>45932.0</v>
      </c>
      <c r="AA182" s="27" t="s">
        <v>235</v>
      </c>
      <c r="AB182" s="27" t="s">
        <v>56</v>
      </c>
      <c r="AC182" s="27" t="str">
        <f>VLOOKUP(C182,Sheet1!$C$2:$X$1242,15,0)</f>
        <v>ĐÃ NỘP</v>
      </c>
      <c r="AD182" s="25"/>
      <c r="AE182" s="19" t="str">
        <f t="shared" si="1"/>
        <v/>
      </c>
      <c r="AF182" s="19" t="str">
        <f>VLOOKUP(C182,Sheet1!$C$2:$AE$400,24,0)</f>
        <v>CHUYÊN ĐỀ</v>
      </c>
      <c r="AG182" s="19" t="s">
        <v>120</v>
      </c>
      <c r="AH182" s="20" t="str">
        <f>VLOOKUP(AG182,gvhd!$D$3:$P$17,11,0)</f>
        <v>0375658728</v>
      </c>
      <c r="AI182" s="21" t="str">
        <f>VLOOKUP(AG182,gvhd!$D$3:$P$17,12,0)</f>
        <v>trinhtkimchung@dtu-hti.edu.vn</v>
      </c>
    </row>
    <row r="183" ht="47.25" customHeight="1">
      <c r="A183" s="22">
        <v>45694.83905998843</v>
      </c>
      <c r="B183" s="23" t="s">
        <v>984</v>
      </c>
      <c r="C183" s="23">
        <v>2.620713014E10</v>
      </c>
      <c r="D183" s="23" t="s">
        <v>985</v>
      </c>
      <c r="E183" s="24">
        <v>37582.0</v>
      </c>
      <c r="F183" s="23" t="s">
        <v>616</v>
      </c>
      <c r="G183" s="25" t="s">
        <v>63</v>
      </c>
      <c r="H183" s="25">
        <v>26.0</v>
      </c>
      <c r="I183" s="26" t="s">
        <v>986</v>
      </c>
      <c r="J183" s="25" t="s">
        <v>39</v>
      </c>
      <c r="K183" s="27" t="s">
        <v>380</v>
      </c>
      <c r="L183" s="27"/>
      <c r="M183" s="25" t="s">
        <v>987</v>
      </c>
      <c r="N183" s="25" t="s">
        <v>68</v>
      </c>
      <c r="O183" s="27" t="s">
        <v>56</v>
      </c>
      <c r="P183" s="27"/>
      <c r="Q183" s="26" t="s">
        <v>988</v>
      </c>
      <c r="R183" s="25" t="s">
        <v>45</v>
      </c>
      <c r="S183" s="25" t="s">
        <v>39</v>
      </c>
      <c r="T183" s="27" t="s">
        <v>70</v>
      </c>
      <c r="U183" s="34">
        <v>45698.0</v>
      </c>
      <c r="V183" s="34">
        <v>45787.0</v>
      </c>
      <c r="W183" s="29">
        <v>182.0</v>
      </c>
      <c r="X183" s="17">
        <v>45963.0</v>
      </c>
      <c r="Y183" s="30" t="s">
        <v>46</v>
      </c>
      <c r="Z183" s="17">
        <v>45932.0</v>
      </c>
      <c r="AA183" s="27" t="s">
        <v>380</v>
      </c>
      <c r="AB183" s="27" t="s">
        <v>56</v>
      </c>
      <c r="AC183" s="27" t="str">
        <f>VLOOKUP(C183,Sheet1!$C$2:$X$1242,15,0)</f>
        <v>ĐÃ NỘP</v>
      </c>
      <c r="AD183" s="25"/>
      <c r="AE183" s="19" t="str">
        <f t="shared" si="1"/>
        <v/>
      </c>
      <c r="AF183" s="19" t="str">
        <f>VLOOKUP(C183,Sheet1!$C$2:$AE$400,24,0)</f>
        <v>CHUYÊN ĐỀ</v>
      </c>
      <c r="AG183" s="19" t="s">
        <v>71</v>
      </c>
      <c r="AH183" s="31" t="str">
        <f>VLOOKUP(AG183,gvhd!$D$3:$P$17,11,0)</f>
        <v>0702605664</v>
      </c>
      <c r="AI183" s="32" t="str">
        <f>VLOOKUP(AG183,gvhd!$D$3:$P$17,12,0)</f>
        <v>huynhlthuylinh@dtu-hti.edu.vn</v>
      </c>
    </row>
    <row r="184" ht="47.25" customHeight="1">
      <c r="A184" s="22">
        <v>45695.36796688657</v>
      </c>
      <c r="B184" s="23" t="s">
        <v>989</v>
      </c>
      <c r="C184" s="23">
        <v>2.5207203604E10</v>
      </c>
      <c r="D184" s="23" t="s">
        <v>990</v>
      </c>
      <c r="E184" s="24">
        <v>37068.0</v>
      </c>
      <c r="F184" s="23" t="s">
        <v>991</v>
      </c>
      <c r="G184" s="25" t="s">
        <v>63</v>
      </c>
      <c r="H184" s="25">
        <v>25.0</v>
      </c>
      <c r="I184" s="26" t="s">
        <v>992</v>
      </c>
      <c r="J184" s="25" t="s">
        <v>288</v>
      </c>
      <c r="K184" s="25" t="s">
        <v>435</v>
      </c>
      <c r="L184" s="27" t="s">
        <v>993</v>
      </c>
      <c r="M184" s="25" t="s">
        <v>994</v>
      </c>
      <c r="N184" s="25" t="s">
        <v>68</v>
      </c>
      <c r="O184" s="27" t="s">
        <v>56</v>
      </c>
      <c r="P184" s="27"/>
      <c r="Q184" s="25" t="s">
        <v>995</v>
      </c>
      <c r="R184" s="25" t="s">
        <v>45</v>
      </c>
      <c r="S184" s="25" t="s">
        <v>288</v>
      </c>
      <c r="T184" s="27"/>
      <c r="U184" s="34">
        <v>45726.0</v>
      </c>
      <c r="V184" s="34">
        <v>45787.0</v>
      </c>
      <c r="W184" s="29">
        <v>183.0</v>
      </c>
      <c r="X184" s="17">
        <v>45932.0</v>
      </c>
      <c r="Y184" s="30" t="s">
        <v>46</v>
      </c>
      <c r="Z184" s="17">
        <v>45932.0</v>
      </c>
      <c r="AA184" s="25" t="s">
        <v>435</v>
      </c>
      <c r="AB184" s="27" t="s">
        <v>56</v>
      </c>
      <c r="AC184" s="27" t="str">
        <f>VLOOKUP(C184,Sheet1!$C$2:$X$1242,15,0)</f>
        <v>ĐÃ NỘP</v>
      </c>
      <c r="AD184" s="25"/>
      <c r="AE184" s="19" t="str">
        <f t="shared" si="1"/>
        <v/>
      </c>
      <c r="AF184" s="19" t="str">
        <f>VLOOKUP(C184,Sheet1!$C$2:$AE$400,24,0)</f>
        <v>CHUYÊN ĐỀ</v>
      </c>
      <c r="AG184" s="19" t="s">
        <v>71</v>
      </c>
      <c r="AH184" s="20" t="str">
        <f>VLOOKUP(AG184,gvhd!$D$3:$P$17,11,0)</f>
        <v>0702605664</v>
      </c>
      <c r="AI184" s="21" t="str">
        <f>VLOOKUP(AG184,gvhd!$D$3:$P$17,12,0)</f>
        <v>huynhlthuylinh@dtu-hti.edu.vn</v>
      </c>
    </row>
    <row r="185" ht="47.25" customHeight="1">
      <c r="A185" s="22">
        <v>45695.429047453705</v>
      </c>
      <c r="B185" s="23" t="s">
        <v>996</v>
      </c>
      <c r="C185" s="23">
        <v>2.720714043E10</v>
      </c>
      <c r="D185" s="23" t="s">
        <v>997</v>
      </c>
      <c r="E185" s="24">
        <v>37763.0</v>
      </c>
      <c r="F185" s="23" t="s">
        <v>872</v>
      </c>
      <c r="G185" s="25" t="s">
        <v>37</v>
      </c>
      <c r="H185" s="25">
        <v>27.0</v>
      </c>
      <c r="I185" s="26" t="s">
        <v>998</v>
      </c>
      <c r="J185" s="25" t="s">
        <v>39</v>
      </c>
      <c r="K185" s="27" t="s">
        <v>741</v>
      </c>
      <c r="L185" s="27"/>
      <c r="M185" s="25" t="s">
        <v>972</v>
      </c>
      <c r="N185" s="25" t="s">
        <v>170</v>
      </c>
      <c r="O185" s="27" t="s">
        <v>56</v>
      </c>
      <c r="P185" s="27"/>
      <c r="Q185" s="26" t="s">
        <v>395</v>
      </c>
      <c r="R185" s="25" t="s">
        <v>45</v>
      </c>
      <c r="S185" s="25" t="s">
        <v>39</v>
      </c>
      <c r="T185" s="27" t="s">
        <v>58</v>
      </c>
      <c r="U185" s="34">
        <v>45698.0</v>
      </c>
      <c r="V185" s="34">
        <v>45787.0</v>
      </c>
      <c r="W185" s="29">
        <v>184.0</v>
      </c>
      <c r="X185" s="17">
        <v>45840.0</v>
      </c>
      <c r="Y185" s="30" t="s">
        <v>46</v>
      </c>
      <c r="Z185" s="17">
        <v>45932.0</v>
      </c>
      <c r="AA185" s="27" t="s">
        <v>741</v>
      </c>
      <c r="AB185" s="27" t="s">
        <v>56</v>
      </c>
      <c r="AC185" s="27" t="str">
        <f>VLOOKUP(C185,Sheet1!$C$2:$X$1242,15,0)</f>
        <v/>
      </c>
      <c r="AD185" s="25" t="s">
        <v>875</v>
      </c>
      <c r="AE185" s="19" t="str">
        <f t="shared" si="1"/>
        <v/>
      </c>
      <c r="AF185" s="19" t="str">
        <f>VLOOKUP(C185,Sheet1!$C$2:$AE$400,24,0)</f>
        <v>CHUYÊN ĐỀ</v>
      </c>
      <c r="AG185" s="19" t="s">
        <v>77</v>
      </c>
      <c r="AH185" s="31" t="str">
        <f>VLOOKUP(AG185,gvhd!$D$3:$P$17,11,0)</f>
        <v>0906 029 602</v>
      </c>
      <c r="AI185" s="32" t="str">
        <f>VLOOKUP(AG185,gvhd!$D$3:$P$17,12,0)</f>
        <v>tranhoanganh@dtu-hti.edu.vn</v>
      </c>
    </row>
    <row r="186" ht="47.25" customHeight="1">
      <c r="A186" s="22">
        <v>45695.4302321412</v>
      </c>
      <c r="B186" s="23" t="s">
        <v>999</v>
      </c>
      <c r="C186" s="23">
        <v>2.7217132174E10</v>
      </c>
      <c r="D186" s="23" t="s">
        <v>1000</v>
      </c>
      <c r="E186" s="24">
        <v>37573.0</v>
      </c>
      <c r="F186" s="23" t="s">
        <v>872</v>
      </c>
      <c r="G186" s="25" t="s">
        <v>37</v>
      </c>
      <c r="H186" s="25">
        <v>27.0</v>
      </c>
      <c r="I186" s="26" t="s">
        <v>1001</v>
      </c>
      <c r="J186" s="25" t="s">
        <v>39</v>
      </c>
      <c r="K186" s="27" t="s">
        <v>741</v>
      </c>
      <c r="L186" s="27"/>
      <c r="M186" s="25" t="s">
        <v>747</v>
      </c>
      <c r="N186" s="25" t="s">
        <v>68</v>
      </c>
      <c r="O186" s="27" t="s">
        <v>117</v>
      </c>
      <c r="P186" s="27"/>
      <c r="Q186" s="26" t="s">
        <v>551</v>
      </c>
      <c r="R186" s="25" t="s">
        <v>45</v>
      </c>
      <c r="S186" s="25" t="s">
        <v>39</v>
      </c>
      <c r="T186" s="27"/>
      <c r="U186" s="34">
        <v>45698.0</v>
      </c>
      <c r="V186" s="34">
        <v>45787.0</v>
      </c>
      <c r="W186" s="29">
        <v>185.0</v>
      </c>
      <c r="X186" s="17">
        <v>45840.0</v>
      </c>
      <c r="Y186" s="30" t="s">
        <v>46</v>
      </c>
      <c r="Z186" s="17">
        <v>45932.0</v>
      </c>
      <c r="AA186" s="27" t="s">
        <v>741</v>
      </c>
      <c r="AB186" s="27" t="s">
        <v>117</v>
      </c>
      <c r="AC186" s="27" t="str">
        <f>VLOOKUP(C186,Sheet1!$C$2:$X$1242,15,0)</f>
        <v/>
      </c>
      <c r="AD186" s="25" t="s">
        <v>1002</v>
      </c>
      <c r="AE186" s="19" t="str">
        <f t="shared" si="1"/>
        <v/>
      </c>
      <c r="AF186" s="19" t="str">
        <f>VLOOKUP(C186,Sheet1!$C$2:$AE$400,24,0)</f>
        <v>CHUYÊN ĐỀ</v>
      </c>
      <c r="AG186" s="19" t="s">
        <v>58</v>
      </c>
      <c r="AH186" s="20" t="str">
        <f>VLOOKUP(AG186,gvhd!$D$3:$P$17,11,0)</f>
        <v>0905 874 626</v>
      </c>
      <c r="AI186" s="21" t="str">
        <f>VLOOKUP(AG186,gvhd!$D$3:$P$17,12,0)</f>
        <v>hosminhtai@dtu-hti.edu.vn</v>
      </c>
    </row>
    <row r="187" ht="47.25" customHeight="1">
      <c r="A187" s="22">
        <v>45695.752884236106</v>
      </c>
      <c r="B187" s="23" t="s">
        <v>1003</v>
      </c>
      <c r="C187" s="23">
        <v>2.7207140954E10</v>
      </c>
      <c r="D187" s="23" t="s">
        <v>1004</v>
      </c>
      <c r="E187" s="24">
        <v>37937.0</v>
      </c>
      <c r="F187" s="23" t="s">
        <v>609</v>
      </c>
      <c r="G187" s="25" t="s">
        <v>37</v>
      </c>
      <c r="H187" s="25">
        <v>27.0</v>
      </c>
      <c r="I187" s="26" t="s">
        <v>1005</v>
      </c>
      <c r="J187" s="25" t="s">
        <v>39</v>
      </c>
      <c r="K187" s="27" t="s">
        <v>741</v>
      </c>
      <c r="L187" s="27"/>
      <c r="M187" s="25" t="s">
        <v>1006</v>
      </c>
      <c r="N187" s="25" t="s">
        <v>68</v>
      </c>
      <c r="O187" s="27" t="s">
        <v>117</v>
      </c>
      <c r="P187" s="27"/>
      <c r="Q187" s="26" t="s">
        <v>551</v>
      </c>
      <c r="R187" s="25" t="s">
        <v>45</v>
      </c>
      <c r="S187" s="25" t="s">
        <v>39</v>
      </c>
      <c r="T187" s="27" t="s">
        <v>58</v>
      </c>
      <c r="U187" s="34">
        <v>45698.0</v>
      </c>
      <c r="V187" s="34">
        <v>45787.0</v>
      </c>
      <c r="W187" s="29">
        <v>186.0</v>
      </c>
      <c r="X187" s="17">
        <v>45840.0</v>
      </c>
      <c r="Y187" s="30" t="s">
        <v>46</v>
      </c>
      <c r="Z187" s="17">
        <v>45932.0</v>
      </c>
      <c r="AA187" s="27" t="s">
        <v>741</v>
      </c>
      <c r="AB187" s="27" t="s">
        <v>117</v>
      </c>
      <c r="AC187" s="27" t="str">
        <f>VLOOKUP(C187,Sheet1!$C$2:$X$1242,15,0)</f>
        <v/>
      </c>
      <c r="AD187" s="25" t="s">
        <v>1002</v>
      </c>
      <c r="AE187" s="19" t="str">
        <f t="shared" si="1"/>
        <v/>
      </c>
      <c r="AF187" s="19" t="str">
        <f>VLOOKUP(C187,Sheet1!$C$2:$AE$400,24,0)</f>
        <v>CHUYÊN ĐỀ</v>
      </c>
      <c r="AG187" s="19" t="s">
        <v>58</v>
      </c>
      <c r="AH187" s="31" t="str">
        <f>VLOOKUP(AG187,gvhd!$D$3:$P$17,11,0)</f>
        <v>0905 874 626</v>
      </c>
      <c r="AI187" s="32" t="str">
        <f>VLOOKUP(AG187,gvhd!$D$3:$P$17,12,0)</f>
        <v>hosminhtai@dtu-hti.edu.vn</v>
      </c>
    </row>
    <row r="188" ht="47.25" customHeight="1">
      <c r="A188" s="22">
        <v>45695.4320640625</v>
      </c>
      <c r="B188" s="23" t="s">
        <v>1007</v>
      </c>
      <c r="C188" s="23">
        <v>2.7207128646E10</v>
      </c>
      <c r="D188" s="23" t="s">
        <v>1008</v>
      </c>
      <c r="E188" s="24">
        <v>37968.0</v>
      </c>
      <c r="F188" s="23" t="s">
        <v>1009</v>
      </c>
      <c r="G188" s="25" t="s">
        <v>37</v>
      </c>
      <c r="H188" s="25">
        <v>27.0</v>
      </c>
      <c r="I188" s="26" t="s">
        <v>1010</v>
      </c>
      <c r="J188" s="25" t="s">
        <v>39</v>
      </c>
      <c r="K188" s="27" t="s">
        <v>741</v>
      </c>
      <c r="L188" s="27" t="s">
        <v>1011</v>
      </c>
      <c r="M188" s="25" t="s">
        <v>747</v>
      </c>
      <c r="N188" s="25" t="s">
        <v>68</v>
      </c>
      <c r="O188" s="27" t="s">
        <v>56</v>
      </c>
      <c r="P188" s="27" t="s">
        <v>1011</v>
      </c>
      <c r="Q188" s="25" t="s">
        <v>1012</v>
      </c>
      <c r="R188" s="25" t="s">
        <v>45</v>
      </c>
      <c r="S188" s="25" t="s">
        <v>39</v>
      </c>
      <c r="T188" s="27"/>
      <c r="U188" s="34">
        <v>45698.0</v>
      </c>
      <c r="V188" s="34">
        <v>45786.0</v>
      </c>
      <c r="W188" s="29">
        <v>187.0</v>
      </c>
      <c r="X188" s="17">
        <v>45840.0</v>
      </c>
      <c r="Y188" s="30" t="s">
        <v>46</v>
      </c>
      <c r="Z188" s="17">
        <v>45932.0</v>
      </c>
      <c r="AA188" s="27" t="s">
        <v>741</v>
      </c>
      <c r="AB188" s="27" t="s">
        <v>56</v>
      </c>
      <c r="AC188" s="27" t="str">
        <f>VLOOKUP(C188,Sheet1!$C$2:$X$1242,15,0)</f>
        <v/>
      </c>
      <c r="AD188" s="25" t="s">
        <v>875</v>
      </c>
      <c r="AE188" s="19" t="str">
        <f t="shared" si="1"/>
        <v/>
      </c>
      <c r="AF188" s="19" t="str">
        <f>VLOOKUP(C188,Sheet1!$C$2:$AE$400,24,0)</f>
        <v>CHUYÊN ĐỀ</v>
      </c>
      <c r="AG188" s="19" t="s">
        <v>77</v>
      </c>
      <c r="AH188" s="20" t="str">
        <f>VLOOKUP(AG188,gvhd!$D$3:$P$17,11,0)</f>
        <v>0906 029 602</v>
      </c>
      <c r="AI188" s="21" t="str">
        <f>VLOOKUP(AG188,gvhd!$D$3:$P$17,12,0)</f>
        <v>tranhoanganh@dtu-hti.edu.vn</v>
      </c>
    </row>
    <row r="189" ht="47.25" customHeight="1">
      <c r="A189" s="22">
        <v>45695.43209195602</v>
      </c>
      <c r="B189" s="23" t="s">
        <v>1013</v>
      </c>
      <c r="C189" s="23">
        <v>2.7207128427E10</v>
      </c>
      <c r="D189" s="23" t="s">
        <v>1014</v>
      </c>
      <c r="E189" s="24">
        <v>37724.0</v>
      </c>
      <c r="F189" s="23" t="s">
        <v>745</v>
      </c>
      <c r="G189" s="25" t="s">
        <v>37</v>
      </c>
      <c r="H189" s="25">
        <v>27.0</v>
      </c>
      <c r="I189" s="26" t="s">
        <v>1015</v>
      </c>
      <c r="J189" s="25" t="s">
        <v>39</v>
      </c>
      <c r="K189" s="27" t="s">
        <v>741</v>
      </c>
      <c r="L189" s="27" t="s">
        <v>1016</v>
      </c>
      <c r="M189" s="25" t="s">
        <v>1017</v>
      </c>
      <c r="N189" s="25" t="s">
        <v>68</v>
      </c>
      <c r="O189" s="27" t="s">
        <v>56</v>
      </c>
      <c r="P189" s="27" t="s">
        <v>1016</v>
      </c>
      <c r="Q189" s="25" t="s">
        <v>1018</v>
      </c>
      <c r="R189" s="25" t="s">
        <v>45</v>
      </c>
      <c r="S189" s="25" t="s">
        <v>39</v>
      </c>
      <c r="T189" s="27"/>
      <c r="U189" s="34">
        <v>45698.0</v>
      </c>
      <c r="V189" s="34">
        <v>45786.0</v>
      </c>
      <c r="W189" s="29">
        <v>188.0</v>
      </c>
      <c r="X189" s="17">
        <v>45840.0</v>
      </c>
      <c r="Y189" s="30" t="s">
        <v>46</v>
      </c>
      <c r="Z189" s="17">
        <v>45932.0</v>
      </c>
      <c r="AA189" s="27" t="s">
        <v>741</v>
      </c>
      <c r="AB189" s="27" t="s">
        <v>56</v>
      </c>
      <c r="AC189" s="27" t="str">
        <f>VLOOKUP(C189,Sheet1!$C$2:$X$1242,15,0)</f>
        <v/>
      </c>
      <c r="AD189" s="25" t="s">
        <v>875</v>
      </c>
      <c r="AE189" s="19" t="str">
        <f t="shared" si="1"/>
        <v/>
      </c>
      <c r="AF189" s="19" t="str">
        <f>VLOOKUP(C189,Sheet1!$C$2:$AE$400,24,0)</f>
        <v>CHUYÊN ĐỀ</v>
      </c>
      <c r="AG189" s="19" t="s">
        <v>77</v>
      </c>
      <c r="AH189" s="31" t="str">
        <f>VLOOKUP(AG189,gvhd!$D$3:$P$17,11,0)</f>
        <v>0906 029 602</v>
      </c>
      <c r="AI189" s="32" t="str">
        <f>VLOOKUP(AG189,gvhd!$D$3:$P$17,12,0)</f>
        <v>tranhoanganh@dtu-hti.edu.vn</v>
      </c>
    </row>
    <row r="190" ht="47.25" customHeight="1">
      <c r="A190" s="22">
        <v>45695.43245521991</v>
      </c>
      <c r="B190" s="23" t="s">
        <v>1019</v>
      </c>
      <c r="C190" s="23">
        <v>2.7207101932E10</v>
      </c>
      <c r="D190" s="23" t="s">
        <v>1020</v>
      </c>
      <c r="E190" s="24">
        <v>37215.0</v>
      </c>
      <c r="F190" s="23" t="s">
        <v>1021</v>
      </c>
      <c r="G190" s="25" t="s">
        <v>37</v>
      </c>
      <c r="H190" s="25">
        <v>27.0</v>
      </c>
      <c r="I190" s="26" t="s">
        <v>1022</v>
      </c>
      <c r="J190" s="25" t="s">
        <v>39</v>
      </c>
      <c r="K190" s="27" t="s">
        <v>741</v>
      </c>
      <c r="L190" s="27"/>
      <c r="M190" s="25" t="s">
        <v>747</v>
      </c>
      <c r="N190" s="25" t="s">
        <v>68</v>
      </c>
      <c r="O190" s="27" t="s">
        <v>117</v>
      </c>
      <c r="P190" s="27"/>
      <c r="Q190" s="26" t="s">
        <v>551</v>
      </c>
      <c r="R190" s="25" t="s">
        <v>45</v>
      </c>
      <c r="S190" s="25" t="s">
        <v>39</v>
      </c>
      <c r="T190" s="27" t="s">
        <v>58</v>
      </c>
      <c r="U190" s="34">
        <v>45698.0</v>
      </c>
      <c r="V190" s="34">
        <v>45786.0</v>
      </c>
      <c r="W190" s="29">
        <v>189.0</v>
      </c>
      <c r="X190" s="17">
        <v>45840.0</v>
      </c>
      <c r="Y190" s="30" t="s">
        <v>46</v>
      </c>
      <c r="Z190" s="17">
        <v>45932.0</v>
      </c>
      <c r="AA190" s="27" t="s">
        <v>741</v>
      </c>
      <c r="AB190" s="27" t="s">
        <v>117</v>
      </c>
      <c r="AC190" s="27" t="str">
        <f>VLOOKUP(C190,Sheet1!$C$2:$X$1242,15,0)</f>
        <v/>
      </c>
      <c r="AD190" s="25" t="s">
        <v>1023</v>
      </c>
      <c r="AE190" s="19" t="str">
        <f t="shared" si="1"/>
        <v/>
      </c>
      <c r="AF190" s="19" t="str">
        <f>VLOOKUP(C190,Sheet1!$C$2:$AE$400,24,0)</f>
        <v>CHUYÊN ĐỀ</v>
      </c>
      <c r="AG190" s="19" t="s">
        <v>58</v>
      </c>
      <c r="AH190" s="20" t="str">
        <f>VLOOKUP(AG190,gvhd!$D$3:$P$17,11,0)</f>
        <v>0905 874 626</v>
      </c>
      <c r="AI190" s="21" t="str">
        <f>VLOOKUP(AG190,gvhd!$D$3:$P$17,12,0)</f>
        <v>hosminhtai@dtu-hti.edu.vn</v>
      </c>
    </row>
    <row r="191" ht="47.25" customHeight="1">
      <c r="A191" s="22">
        <v>45695.433161678244</v>
      </c>
      <c r="B191" s="23" t="s">
        <v>1024</v>
      </c>
      <c r="C191" s="23">
        <v>2.7217102897E10</v>
      </c>
      <c r="D191" s="23" t="s">
        <v>1025</v>
      </c>
      <c r="E191" s="24">
        <v>37689.0</v>
      </c>
      <c r="F191" s="23" t="s">
        <v>1021</v>
      </c>
      <c r="G191" s="25" t="s">
        <v>37</v>
      </c>
      <c r="H191" s="25">
        <v>27.0</v>
      </c>
      <c r="I191" s="26" t="s">
        <v>1026</v>
      </c>
      <c r="J191" s="25" t="s">
        <v>288</v>
      </c>
      <c r="K191" s="27" t="s">
        <v>741</v>
      </c>
      <c r="L191" s="27"/>
      <c r="M191" s="25" t="s">
        <v>747</v>
      </c>
      <c r="N191" s="25" t="s">
        <v>68</v>
      </c>
      <c r="O191" s="27" t="s">
        <v>56</v>
      </c>
      <c r="P191" s="27"/>
      <c r="Q191" s="26" t="s">
        <v>551</v>
      </c>
      <c r="R191" s="25" t="s">
        <v>45</v>
      </c>
      <c r="S191" s="25" t="s">
        <v>288</v>
      </c>
      <c r="T191" s="27" t="s">
        <v>58</v>
      </c>
      <c r="U191" s="34">
        <v>45698.0</v>
      </c>
      <c r="V191" s="34">
        <v>45786.0</v>
      </c>
      <c r="W191" s="29">
        <v>190.0</v>
      </c>
      <c r="X191" s="17">
        <v>45840.0</v>
      </c>
      <c r="Y191" s="30" t="s">
        <v>46</v>
      </c>
      <c r="Z191" s="17">
        <v>45932.0</v>
      </c>
      <c r="AA191" s="27" t="s">
        <v>741</v>
      </c>
      <c r="AB191" s="27" t="s">
        <v>56</v>
      </c>
      <c r="AC191" s="27" t="str">
        <f>VLOOKUP(C191,Sheet1!$C$2:$X$1242,15,0)</f>
        <v/>
      </c>
      <c r="AD191" s="25" t="s">
        <v>875</v>
      </c>
      <c r="AE191" s="19" t="str">
        <f t="shared" si="1"/>
        <v/>
      </c>
      <c r="AF191" s="19" t="str">
        <f>VLOOKUP(C191,Sheet1!$C$2:$AE$400,24,0)</f>
        <v>KHÓA LUẬN</v>
      </c>
      <c r="AG191" s="19" t="s">
        <v>58</v>
      </c>
      <c r="AH191" s="31" t="str">
        <f>VLOOKUP(AG191,gvhd!$D$3:$P$17,11,0)</f>
        <v>0905 874 626</v>
      </c>
      <c r="AI191" s="32" t="str">
        <f>VLOOKUP(AG191,gvhd!$D$3:$P$17,12,0)</f>
        <v>hosminhtai@dtu-hti.edu.vn</v>
      </c>
    </row>
    <row r="192" ht="47.25" customHeight="1">
      <c r="A192" s="22">
        <v>45695.434063356486</v>
      </c>
      <c r="B192" s="23" t="s">
        <v>1027</v>
      </c>
      <c r="C192" s="23">
        <v>2.720710043E10</v>
      </c>
      <c r="D192" s="23" t="s">
        <v>1028</v>
      </c>
      <c r="E192" s="24">
        <v>37935.0</v>
      </c>
      <c r="F192" s="23" t="s">
        <v>1021</v>
      </c>
      <c r="G192" s="25" t="s">
        <v>37</v>
      </c>
      <c r="H192" s="25">
        <v>27.0</v>
      </c>
      <c r="I192" s="26" t="s">
        <v>1029</v>
      </c>
      <c r="J192" s="25" t="s">
        <v>39</v>
      </c>
      <c r="K192" s="27" t="s">
        <v>741</v>
      </c>
      <c r="L192" s="27"/>
      <c r="M192" s="25" t="s">
        <v>1030</v>
      </c>
      <c r="N192" s="25" t="s">
        <v>116</v>
      </c>
      <c r="O192" s="27" t="s">
        <v>117</v>
      </c>
      <c r="P192" s="27"/>
      <c r="Q192" s="26" t="s">
        <v>551</v>
      </c>
      <c r="R192" s="25" t="s">
        <v>45</v>
      </c>
      <c r="S192" s="25" t="s">
        <v>39</v>
      </c>
      <c r="T192" s="27" t="s">
        <v>58</v>
      </c>
      <c r="U192" s="34">
        <v>45698.0</v>
      </c>
      <c r="V192" s="34">
        <v>45786.0</v>
      </c>
      <c r="W192" s="29">
        <v>191.0</v>
      </c>
      <c r="X192" s="17">
        <v>45840.0</v>
      </c>
      <c r="Y192" s="30" t="s">
        <v>46</v>
      </c>
      <c r="Z192" s="17">
        <v>45932.0</v>
      </c>
      <c r="AA192" s="27" t="s">
        <v>741</v>
      </c>
      <c r="AB192" s="27" t="s">
        <v>117</v>
      </c>
      <c r="AC192" s="27" t="str">
        <f>VLOOKUP(C192,Sheet1!$C$2:$X$1242,15,0)</f>
        <v/>
      </c>
      <c r="AD192" s="25" t="s">
        <v>1002</v>
      </c>
      <c r="AE192" s="19" t="str">
        <f t="shared" si="1"/>
        <v/>
      </c>
      <c r="AF192" s="19" t="str">
        <f>VLOOKUP(C192,Sheet1!$C$2:$AE$400,24,0)</f>
        <v>CHUYÊN ĐỀ</v>
      </c>
      <c r="AG192" s="19" t="s">
        <v>58</v>
      </c>
      <c r="AH192" s="20" t="str">
        <f>VLOOKUP(AG192,gvhd!$D$3:$P$17,11,0)</f>
        <v>0905 874 626</v>
      </c>
      <c r="AI192" s="21" t="str">
        <f>VLOOKUP(AG192,gvhd!$D$3:$P$17,12,0)</f>
        <v>hosminhtai@dtu-hti.edu.vn</v>
      </c>
    </row>
    <row r="193" ht="47.25" customHeight="1">
      <c r="A193" s="22">
        <v>45695.45001480324</v>
      </c>
      <c r="B193" s="23" t="s">
        <v>1031</v>
      </c>
      <c r="C193" s="23">
        <v>2.5202108563E10</v>
      </c>
      <c r="D193" s="23" t="s">
        <v>1032</v>
      </c>
      <c r="E193" s="24">
        <v>37021.0</v>
      </c>
      <c r="F193" s="23" t="s">
        <v>872</v>
      </c>
      <c r="G193" s="25" t="s">
        <v>37</v>
      </c>
      <c r="H193" s="25">
        <v>27.0</v>
      </c>
      <c r="I193" s="26" t="s">
        <v>1033</v>
      </c>
      <c r="J193" s="25" t="s">
        <v>39</v>
      </c>
      <c r="K193" s="27" t="s">
        <v>741</v>
      </c>
      <c r="L193" s="27"/>
      <c r="M193" s="25" t="s">
        <v>225</v>
      </c>
      <c r="N193" s="25" t="s">
        <v>68</v>
      </c>
      <c r="O193" s="27" t="s">
        <v>56</v>
      </c>
      <c r="P193" s="27"/>
      <c r="Q193" s="26" t="s">
        <v>395</v>
      </c>
      <c r="R193" s="25" t="s">
        <v>45</v>
      </c>
      <c r="S193" s="25" t="s">
        <v>39</v>
      </c>
      <c r="T193" s="27"/>
      <c r="U193" s="34">
        <v>45932.0</v>
      </c>
      <c r="V193" s="34">
        <v>45905.0</v>
      </c>
      <c r="W193" s="29">
        <v>192.0</v>
      </c>
      <c r="X193" s="17">
        <v>45840.0</v>
      </c>
      <c r="Y193" s="30" t="s">
        <v>46</v>
      </c>
      <c r="Z193" s="17">
        <v>45932.0</v>
      </c>
      <c r="AA193" s="27" t="s">
        <v>741</v>
      </c>
      <c r="AB193" s="27" t="s">
        <v>56</v>
      </c>
      <c r="AC193" s="27" t="str">
        <f>VLOOKUP(C193,Sheet1!$C$2:$X$1242,15,0)</f>
        <v>ĐÃ NỘP</v>
      </c>
      <c r="AD193" s="25" t="s">
        <v>875</v>
      </c>
      <c r="AE193" s="19" t="str">
        <f t="shared" si="1"/>
        <v/>
      </c>
      <c r="AF193" s="19" t="str">
        <f>VLOOKUP(C193,Sheet1!$C$2:$AE$400,24,0)</f>
        <v>CHUYÊN ĐỀ</v>
      </c>
      <c r="AG193" s="19" t="s">
        <v>77</v>
      </c>
      <c r="AH193" s="31" t="str">
        <f>VLOOKUP(AG193,gvhd!$D$3:$P$17,11,0)</f>
        <v>0906 029 602</v>
      </c>
      <c r="AI193" s="32" t="str">
        <f>VLOOKUP(AG193,gvhd!$D$3:$P$17,12,0)</f>
        <v>tranhoanganh@dtu-hti.edu.vn</v>
      </c>
    </row>
    <row r="194" ht="47.25" customHeight="1">
      <c r="A194" s="22">
        <v>45695.45035122686</v>
      </c>
      <c r="B194" s="23" t="s">
        <v>1034</v>
      </c>
      <c r="C194" s="23">
        <v>2.5217207909E10</v>
      </c>
      <c r="D194" s="23" t="s">
        <v>1035</v>
      </c>
      <c r="E194" s="24">
        <v>37227.0</v>
      </c>
      <c r="F194" s="23" t="s">
        <v>1036</v>
      </c>
      <c r="G194" s="25" t="s">
        <v>37</v>
      </c>
      <c r="H194" s="25">
        <v>25.0</v>
      </c>
      <c r="I194" s="26" t="s">
        <v>1037</v>
      </c>
      <c r="J194" s="25" t="s">
        <v>39</v>
      </c>
      <c r="K194" s="27" t="s">
        <v>741</v>
      </c>
      <c r="L194" s="27"/>
      <c r="M194" s="25" t="s">
        <v>225</v>
      </c>
      <c r="N194" s="25" t="s">
        <v>68</v>
      </c>
      <c r="O194" s="27" t="s">
        <v>56</v>
      </c>
      <c r="P194" s="27"/>
      <c r="Q194" s="26" t="s">
        <v>395</v>
      </c>
      <c r="R194" s="25" t="s">
        <v>45</v>
      </c>
      <c r="S194" s="25" t="s">
        <v>39</v>
      </c>
      <c r="T194" s="27"/>
      <c r="U194" s="34">
        <v>45698.0</v>
      </c>
      <c r="V194" s="34">
        <v>45787.0</v>
      </c>
      <c r="W194" s="29">
        <v>193.0</v>
      </c>
      <c r="X194" s="17">
        <v>45840.0</v>
      </c>
      <c r="Y194" s="30" t="s">
        <v>46</v>
      </c>
      <c r="Z194" s="17">
        <v>45932.0</v>
      </c>
      <c r="AA194" s="27" t="s">
        <v>741</v>
      </c>
      <c r="AB194" s="27" t="s">
        <v>56</v>
      </c>
      <c r="AC194" s="27" t="str">
        <f>VLOOKUP(C194,Sheet1!$C$2:$X$1242,15,0)</f>
        <v>ĐÃ NỘP</v>
      </c>
      <c r="AD194" s="25" t="s">
        <v>875</v>
      </c>
      <c r="AE194" s="19" t="str">
        <f t="shared" si="1"/>
        <v/>
      </c>
      <c r="AF194" s="19" t="str">
        <f>VLOOKUP(C194,Sheet1!$C$2:$AE$400,24,0)</f>
        <v>CHUYÊN ĐỀ</v>
      </c>
      <c r="AG194" s="19" t="s">
        <v>77</v>
      </c>
      <c r="AH194" s="20" t="str">
        <f>VLOOKUP(AG194,gvhd!$D$3:$P$17,11,0)</f>
        <v>0906 029 602</v>
      </c>
      <c r="AI194" s="21" t="str">
        <f>VLOOKUP(AG194,gvhd!$D$3:$P$17,12,0)</f>
        <v>tranhoanganh@dtu-hti.edu.vn</v>
      </c>
    </row>
    <row r="195" ht="47.25" customHeight="1">
      <c r="A195" s="22">
        <v>45695.616295011576</v>
      </c>
      <c r="B195" s="23" t="s">
        <v>1038</v>
      </c>
      <c r="C195" s="23">
        <v>2.7207100676E10</v>
      </c>
      <c r="D195" s="23" t="s">
        <v>1039</v>
      </c>
      <c r="E195" s="24">
        <v>37907.0</v>
      </c>
      <c r="F195" s="23" t="s">
        <v>276</v>
      </c>
      <c r="G195" s="25" t="s">
        <v>63</v>
      </c>
      <c r="H195" s="25">
        <v>27.0</v>
      </c>
      <c r="I195" s="26" t="s">
        <v>1040</v>
      </c>
      <c r="J195" s="25" t="s">
        <v>39</v>
      </c>
      <c r="K195" s="27" t="s">
        <v>643</v>
      </c>
      <c r="L195" s="27"/>
      <c r="M195" s="25" t="s">
        <v>1041</v>
      </c>
      <c r="N195" s="25" t="s">
        <v>68</v>
      </c>
      <c r="O195" s="27" t="s">
        <v>56</v>
      </c>
      <c r="P195" s="27"/>
      <c r="Q195" s="26" t="s">
        <v>1042</v>
      </c>
      <c r="R195" s="25" t="s">
        <v>45</v>
      </c>
      <c r="S195" s="25" t="s">
        <v>39</v>
      </c>
      <c r="T195" s="27"/>
      <c r="U195" s="34">
        <v>45698.0</v>
      </c>
      <c r="V195" s="34">
        <v>45787.0</v>
      </c>
      <c r="W195" s="29">
        <v>194.0</v>
      </c>
      <c r="X195" s="17">
        <v>45840.0</v>
      </c>
      <c r="Y195" s="30" t="s">
        <v>46</v>
      </c>
      <c r="Z195" s="17">
        <v>45932.0</v>
      </c>
      <c r="AA195" s="27" t="s">
        <v>643</v>
      </c>
      <c r="AB195" s="27" t="s">
        <v>56</v>
      </c>
      <c r="AC195" s="27" t="str">
        <f>VLOOKUP(C195,Sheet1!$C$2:$X$1242,15,0)</f>
        <v/>
      </c>
      <c r="AD195" s="25"/>
      <c r="AE195" s="19" t="str">
        <f t="shared" si="1"/>
        <v/>
      </c>
      <c r="AF195" s="19" t="str">
        <f>VLOOKUP(C195,Sheet1!$C$2:$AE$400,24,0)</f>
        <v>CHUYÊN ĐỀ</v>
      </c>
      <c r="AG195" s="19" t="s">
        <v>71</v>
      </c>
      <c r="AH195" s="31" t="str">
        <f>VLOOKUP(AG195,gvhd!$D$3:$P$17,11,0)</f>
        <v>0702605664</v>
      </c>
      <c r="AI195" s="32" t="str">
        <f>VLOOKUP(AG195,gvhd!$D$3:$P$17,12,0)</f>
        <v>huynhlthuylinh@dtu-hti.edu.vn</v>
      </c>
    </row>
    <row r="196" ht="47.25" customHeight="1">
      <c r="A196" s="22">
        <v>45695.67240614584</v>
      </c>
      <c r="B196" s="23" t="s">
        <v>1043</v>
      </c>
      <c r="C196" s="23">
        <v>2.7207141751E10</v>
      </c>
      <c r="D196" s="23" t="s">
        <v>1044</v>
      </c>
      <c r="E196" s="24">
        <v>37774.0</v>
      </c>
      <c r="F196" s="23" t="s">
        <v>178</v>
      </c>
      <c r="G196" s="25" t="s">
        <v>63</v>
      </c>
      <c r="H196" s="25">
        <v>27.0</v>
      </c>
      <c r="I196" s="26" t="s">
        <v>1045</v>
      </c>
      <c r="J196" s="25" t="s">
        <v>39</v>
      </c>
      <c r="K196" s="27" t="s">
        <v>168</v>
      </c>
      <c r="L196" s="27"/>
      <c r="M196" s="25" t="s">
        <v>1046</v>
      </c>
      <c r="N196" s="25" t="s">
        <v>704</v>
      </c>
      <c r="O196" s="27" t="s">
        <v>56</v>
      </c>
      <c r="P196" s="27"/>
      <c r="Q196" s="26" t="s">
        <v>395</v>
      </c>
      <c r="R196" s="25" t="s">
        <v>45</v>
      </c>
      <c r="S196" s="25" t="s">
        <v>39</v>
      </c>
      <c r="T196" s="27"/>
      <c r="U196" s="34">
        <v>45698.0</v>
      </c>
      <c r="V196" s="34">
        <v>45787.0</v>
      </c>
      <c r="W196" s="29">
        <v>195.0</v>
      </c>
      <c r="X196" s="17">
        <v>45871.0</v>
      </c>
      <c r="Y196" s="30" t="s">
        <v>46</v>
      </c>
      <c r="Z196" s="17">
        <v>45932.0</v>
      </c>
      <c r="AA196" s="27" t="s">
        <v>168</v>
      </c>
      <c r="AB196" s="27" t="s">
        <v>56</v>
      </c>
      <c r="AC196" s="27" t="str">
        <f>VLOOKUP(C196,Sheet1!$C$2:$X$1242,15,0)</f>
        <v/>
      </c>
      <c r="AD196" s="25" t="s">
        <v>1047</v>
      </c>
      <c r="AE196" s="19" t="str">
        <f t="shared" si="1"/>
        <v/>
      </c>
      <c r="AF196" s="19" t="str">
        <f>VLOOKUP(C196,Sheet1!$C$2:$AE$400,24,0)</f>
        <v>CHUYÊN ĐỀ</v>
      </c>
      <c r="AG196" s="19" t="s">
        <v>59</v>
      </c>
      <c r="AH196" s="20" t="str">
        <f>VLOOKUP(AG196,gvhd!$D$3:$P$17,11,0)</f>
        <v>0355072844</v>
      </c>
      <c r="AI196" s="21" t="str">
        <f>VLOOKUP(AG196,gvhd!$D$3:$P$17,12,0)</f>
        <v>Ngotthanhnga@dtu-hti.edu.vn</v>
      </c>
    </row>
    <row r="197" ht="47.25" customHeight="1">
      <c r="A197" s="22">
        <v>45696.47372144676</v>
      </c>
      <c r="B197" s="23" t="s">
        <v>1048</v>
      </c>
      <c r="C197" s="23">
        <v>2.720712272E10</v>
      </c>
      <c r="D197" s="23" t="s">
        <v>1049</v>
      </c>
      <c r="E197" s="24">
        <v>37984.0</v>
      </c>
      <c r="F197" s="23" t="s">
        <v>129</v>
      </c>
      <c r="G197" s="25" t="s">
        <v>63</v>
      </c>
      <c r="H197" s="25">
        <v>27.0</v>
      </c>
      <c r="I197" s="26" t="s">
        <v>1050</v>
      </c>
      <c r="J197" s="25" t="s">
        <v>39</v>
      </c>
      <c r="K197" s="27" t="s">
        <v>600</v>
      </c>
      <c r="L197" s="27"/>
      <c r="M197" s="25" t="s">
        <v>1051</v>
      </c>
      <c r="N197" s="25" t="s">
        <v>68</v>
      </c>
      <c r="O197" s="27" t="s">
        <v>56</v>
      </c>
      <c r="P197" s="27"/>
      <c r="Q197" s="26" t="s">
        <v>156</v>
      </c>
      <c r="R197" s="25" t="s">
        <v>45</v>
      </c>
      <c r="S197" s="25" t="s">
        <v>39</v>
      </c>
      <c r="T197" s="27"/>
      <c r="U197" s="34">
        <v>45698.0</v>
      </c>
      <c r="V197" s="34">
        <v>45787.0</v>
      </c>
      <c r="W197" s="29">
        <v>196.0</v>
      </c>
      <c r="X197" s="17"/>
      <c r="Y197" s="30" t="s">
        <v>46</v>
      </c>
      <c r="Z197" s="17">
        <v>45932.0</v>
      </c>
      <c r="AA197" s="27" t="s">
        <v>600</v>
      </c>
      <c r="AB197" s="27" t="s">
        <v>56</v>
      </c>
      <c r="AC197" s="27" t="str">
        <f>VLOOKUP(C197,Sheet1!$C$2:$X$1242,15,0)</f>
        <v/>
      </c>
      <c r="AD197" s="25"/>
      <c r="AE197" s="19" t="str">
        <f t="shared" si="1"/>
        <v/>
      </c>
      <c r="AF197" s="19" t="str">
        <f>VLOOKUP(C197,Sheet1!$C$2:$AE$400,24,0)</f>
        <v>CHUYÊN ĐỀ</v>
      </c>
      <c r="AG197" s="19" t="s">
        <v>139</v>
      </c>
      <c r="AH197" s="31" t="str">
        <f>VLOOKUP(AG197,gvhd!$D$3:$P$17,11,0)</f>
        <v>0975718029</v>
      </c>
      <c r="AI197" s="32" t="str">
        <f>VLOOKUP(AG197,gvhd!$D$3:$P$17,12,0)</f>
        <v>trantmylinh5@duytan.edu.vn</v>
      </c>
    </row>
    <row r="198" ht="47.25" customHeight="1">
      <c r="A198" s="22">
        <v>45695.67568423611</v>
      </c>
      <c r="B198" s="23" t="s">
        <v>1052</v>
      </c>
      <c r="C198" s="23">
        <v>2.720710065E10</v>
      </c>
      <c r="D198" s="23" t="s">
        <v>1053</v>
      </c>
      <c r="E198" s="24">
        <v>37178.0</v>
      </c>
      <c r="F198" s="23" t="s">
        <v>276</v>
      </c>
      <c r="G198" s="25" t="s">
        <v>63</v>
      </c>
      <c r="H198" s="25">
        <v>27.0</v>
      </c>
      <c r="I198" s="26" t="s">
        <v>1054</v>
      </c>
      <c r="J198" s="25" t="s">
        <v>39</v>
      </c>
      <c r="K198" s="27" t="s">
        <v>892</v>
      </c>
      <c r="L198" s="27"/>
      <c r="M198" s="25" t="s">
        <v>1055</v>
      </c>
      <c r="N198" s="25" t="s">
        <v>68</v>
      </c>
      <c r="O198" s="27" t="s">
        <v>117</v>
      </c>
      <c r="P198" s="27"/>
      <c r="Q198" s="26" t="s">
        <v>395</v>
      </c>
      <c r="R198" s="25" t="s">
        <v>45</v>
      </c>
      <c r="S198" s="25" t="s">
        <v>39</v>
      </c>
      <c r="T198" s="27" t="s">
        <v>215</v>
      </c>
      <c r="U198" s="34">
        <v>45698.0</v>
      </c>
      <c r="V198" s="34">
        <v>45787.0</v>
      </c>
      <c r="W198" s="29">
        <v>197.0</v>
      </c>
      <c r="X198" s="17">
        <v>45932.0</v>
      </c>
      <c r="Y198" s="30" t="s">
        <v>46</v>
      </c>
      <c r="Z198" s="17">
        <v>45932.0</v>
      </c>
      <c r="AA198" s="27" t="s">
        <v>892</v>
      </c>
      <c r="AB198" s="27" t="s">
        <v>117</v>
      </c>
      <c r="AC198" s="27" t="str">
        <f>VLOOKUP(C198,Sheet1!$C$2:$X$1242,15,0)</f>
        <v/>
      </c>
      <c r="AD198" s="25"/>
      <c r="AE198" s="19" t="str">
        <f t="shared" si="1"/>
        <v/>
      </c>
      <c r="AF198" s="19" t="str">
        <f>VLOOKUP(C198,Sheet1!$C$2:$AE$400,24,0)</f>
        <v>CHUYÊN ĐỀ</v>
      </c>
      <c r="AG198" s="19" t="s">
        <v>70</v>
      </c>
      <c r="AH198" s="20" t="str">
        <f>VLOOKUP(AG198,gvhd!$D$3:$P$17,11,0)</f>
        <v>0938290678</v>
      </c>
      <c r="AI198" s="21" t="str">
        <f>VLOOKUP(AG198,gvhd!$D$3:$P$17,12,0)</f>
        <v>phamtthuthuy2@dtu-hti.edu.vn</v>
      </c>
    </row>
    <row r="199" ht="47.25" customHeight="1">
      <c r="A199" s="22">
        <v>45696.423484375</v>
      </c>
      <c r="B199" s="23" t="s">
        <v>1056</v>
      </c>
      <c r="C199" s="23">
        <v>2.7207120879E10</v>
      </c>
      <c r="D199" s="23" t="s">
        <v>1057</v>
      </c>
      <c r="E199" s="24">
        <v>37883.0</v>
      </c>
      <c r="F199" s="23" t="s">
        <v>96</v>
      </c>
      <c r="G199" s="25" t="s">
        <v>63</v>
      </c>
      <c r="H199" s="25">
        <v>27.0</v>
      </c>
      <c r="I199" s="26" t="s">
        <v>1058</v>
      </c>
      <c r="J199" s="25" t="s">
        <v>39</v>
      </c>
      <c r="K199" s="27" t="s">
        <v>168</v>
      </c>
      <c r="L199" s="27"/>
      <c r="M199" s="25" t="s">
        <v>169</v>
      </c>
      <c r="N199" s="25" t="s">
        <v>196</v>
      </c>
      <c r="O199" s="27" t="s">
        <v>56</v>
      </c>
      <c r="P199" s="27"/>
      <c r="Q199" s="26" t="s">
        <v>395</v>
      </c>
      <c r="R199" s="25" t="s">
        <v>45</v>
      </c>
      <c r="S199" s="25" t="s">
        <v>39</v>
      </c>
      <c r="T199" s="27"/>
      <c r="U199" s="34">
        <v>45698.0</v>
      </c>
      <c r="V199" s="34">
        <v>45787.0</v>
      </c>
      <c r="W199" s="29">
        <v>198.0</v>
      </c>
      <c r="X199" s="17">
        <v>45932.0</v>
      </c>
      <c r="Y199" s="30" t="s">
        <v>46</v>
      </c>
      <c r="Z199" s="17">
        <v>45932.0</v>
      </c>
      <c r="AA199" s="27" t="s">
        <v>168</v>
      </c>
      <c r="AB199" s="27" t="s">
        <v>56</v>
      </c>
      <c r="AC199" s="27" t="str">
        <f>VLOOKUP(C199,Sheet1!$C$2:$X$1242,15,0)</f>
        <v/>
      </c>
      <c r="AD199" s="25" t="s">
        <v>1047</v>
      </c>
      <c r="AE199" s="19" t="str">
        <f t="shared" si="1"/>
        <v/>
      </c>
      <c r="AF199" s="19" t="str">
        <f>VLOOKUP(C199,Sheet1!$C$2:$AE$400,24,0)</f>
        <v>CHUYÊN ĐỀ</v>
      </c>
      <c r="AG199" s="19" t="s">
        <v>59</v>
      </c>
      <c r="AH199" s="31" t="str">
        <f>VLOOKUP(AG199,gvhd!$D$3:$P$17,11,0)</f>
        <v>0355072844</v>
      </c>
      <c r="AI199" s="32" t="str">
        <f>VLOOKUP(AG199,gvhd!$D$3:$P$17,12,0)</f>
        <v>Ngotthanhnga@dtu-hti.edu.vn</v>
      </c>
    </row>
    <row r="200" ht="47.25" customHeight="1">
      <c r="A200" s="22">
        <v>45695.673345856485</v>
      </c>
      <c r="B200" s="23" t="s">
        <v>1059</v>
      </c>
      <c r="C200" s="23">
        <v>2.7207128195E10</v>
      </c>
      <c r="D200" s="23" t="s">
        <v>1060</v>
      </c>
      <c r="E200" s="24">
        <v>37876.0</v>
      </c>
      <c r="F200" s="23" t="s">
        <v>276</v>
      </c>
      <c r="G200" s="25" t="s">
        <v>63</v>
      </c>
      <c r="H200" s="25">
        <v>27.0</v>
      </c>
      <c r="I200" s="26" t="s">
        <v>1061</v>
      </c>
      <c r="J200" s="25" t="s">
        <v>39</v>
      </c>
      <c r="K200" s="27" t="s">
        <v>393</v>
      </c>
      <c r="L200" s="27"/>
      <c r="M200" s="25" t="s">
        <v>1062</v>
      </c>
      <c r="N200" s="25" t="s">
        <v>68</v>
      </c>
      <c r="O200" s="27" t="s">
        <v>92</v>
      </c>
      <c r="P200" s="27"/>
      <c r="Q200" s="26" t="s">
        <v>395</v>
      </c>
      <c r="R200" s="25" t="s">
        <v>45</v>
      </c>
      <c r="S200" s="25" t="s">
        <v>39</v>
      </c>
      <c r="T200" s="27" t="s">
        <v>215</v>
      </c>
      <c r="U200" s="34">
        <v>45698.0</v>
      </c>
      <c r="V200" s="34">
        <v>45787.0</v>
      </c>
      <c r="W200" s="29">
        <v>199.0</v>
      </c>
      <c r="X200" s="17"/>
      <c r="Y200" s="30" t="s">
        <v>46</v>
      </c>
      <c r="Z200" s="17">
        <v>45932.0</v>
      </c>
      <c r="AA200" s="27" t="s">
        <v>393</v>
      </c>
      <c r="AB200" s="27" t="s">
        <v>92</v>
      </c>
      <c r="AC200" s="27" t="str">
        <f>VLOOKUP(C200,Sheet1!$C$2:$X$1242,15,0)</f>
        <v/>
      </c>
      <c r="AD200" s="25"/>
      <c r="AE200" s="19" t="str">
        <f t="shared" si="1"/>
        <v/>
      </c>
      <c r="AF200" s="19" t="str">
        <f>VLOOKUP(C200,Sheet1!$C$2:$AE$400,24,0)</f>
        <v>CHUYÊN ĐỀ</v>
      </c>
      <c r="AG200" s="19" t="s">
        <v>59</v>
      </c>
      <c r="AH200" s="20" t="str">
        <f>VLOOKUP(AG200,gvhd!$D$3:$P$17,11,0)</f>
        <v>0355072844</v>
      </c>
      <c r="AI200" s="21" t="str">
        <f>VLOOKUP(AG200,gvhd!$D$3:$P$17,12,0)</f>
        <v>Ngotthanhnga@dtu-hti.edu.vn</v>
      </c>
    </row>
    <row r="201" ht="47.25" customHeight="1">
      <c r="A201" s="22">
        <v>45695.6922629051</v>
      </c>
      <c r="B201" s="23" t="s">
        <v>1063</v>
      </c>
      <c r="C201" s="23">
        <v>2.7207122888E10</v>
      </c>
      <c r="D201" s="23" t="s">
        <v>1064</v>
      </c>
      <c r="E201" s="24">
        <v>37861.0</v>
      </c>
      <c r="F201" s="23" t="s">
        <v>433</v>
      </c>
      <c r="G201" s="25" t="s">
        <v>63</v>
      </c>
      <c r="H201" s="25">
        <v>27.0</v>
      </c>
      <c r="I201" s="26" t="s">
        <v>1065</v>
      </c>
      <c r="J201" s="25" t="s">
        <v>39</v>
      </c>
      <c r="K201" s="27" t="s">
        <v>82</v>
      </c>
      <c r="L201" s="27"/>
      <c r="M201" s="25" t="s">
        <v>1066</v>
      </c>
      <c r="N201" s="25" t="s">
        <v>1067</v>
      </c>
      <c r="O201" s="27" t="s">
        <v>56</v>
      </c>
      <c r="P201" s="27"/>
      <c r="Q201" s="26" t="s">
        <v>551</v>
      </c>
      <c r="R201" s="25" t="s">
        <v>45</v>
      </c>
      <c r="S201" s="25" t="s">
        <v>39</v>
      </c>
      <c r="T201" s="27"/>
      <c r="U201" s="34">
        <v>45698.0</v>
      </c>
      <c r="V201" s="34">
        <v>45787.0</v>
      </c>
      <c r="W201" s="29">
        <v>200.0</v>
      </c>
      <c r="X201" s="17">
        <v>45871.0</v>
      </c>
      <c r="Y201" s="30" t="s">
        <v>46</v>
      </c>
      <c r="Z201" s="17">
        <v>45932.0</v>
      </c>
      <c r="AA201" s="27" t="s">
        <v>82</v>
      </c>
      <c r="AB201" s="27" t="s">
        <v>56</v>
      </c>
      <c r="AC201" s="27" t="str">
        <f>VLOOKUP(C201,Sheet1!$C$2:$X$1242,15,0)</f>
        <v/>
      </c>
      <c r="AD201" s="25"/>
      <c r="AE201" s="19" t="str">
        <f t="shared" si="1"/>
        <v/>
      </c>
      <c r="AF201" s="19" t="str">
        <f>VLOOKUP(C201,Sheet1!$C$2:$AE$400,24,0)</f>
        <v>CHUYÊN ĐỀ</v>
      </c>
      <c r="AG201" s="19" t="s">
        <v>85</v>
      </c>
      <c r="AH201" s="31" t="str">
        <f>VLOOKUP(AG201,gvhd!$D$3:$P$17,11,0)</f>
        <v>0396.153.687</v>
      </c>
      <c r="AI201" s="32" t="str">
        <f>VLOOKUP(AG201,gvhd!$D$3:$P$17,12,0)</f>
        <v>nguyentminhthu@dtu-hti.edu.vn</v>
      </c>
    </row>
    <row r="202" ht="47.25" customHeight="1">
      <c r="A202" s="22">
        <v>45695.692447361114</v>
      </c>
      <c r="B202" s="23" t="s">
        <v>1068</v>
      </c>
      <c r="C202" s="23">
        <v>2.7217100922E10</v>
      </c>
      <c r="D202" s="23" t="s">
        <v>1069</v>
      </c>
      <c r="E202" s="24">
        <v>37841.0</v>
      </c>
      <c r="F202" s="23" t="s">
        <v>129</v>
      </c>
      <c r="G202" s="25" t="s">
        <v>63</v>
      </c>
      <c r="H202" s="25">
        <v>27.0</v>
      </c>
      <c r="I202" s="26" t="s">
        <v>1070</v>
      </c>
      <c r="J202" s="25" t="s">
        <v>39</v>
      </c>
      <c r="K202" s="27" t="s">
        <v>82</v>
      </c>
      <c r="L202" s="27"/>
      <c r="M202" s="25" t="s">
        <v>1071</v>
      </c>
      <c r="N202" s="25" t="s">
        <v>170</v>
      </c>
      <c r="O202" s="27" t="s">
        <v>56</v>
      </c>
      <c r="P202" s="27"/>
      <c r="Q202" s="26" t="s">
        <v>551</v>
      </c>
      <c r="R202" s="25" t="s">
        <v>45</v>
      </c>
      <c r="S202" s="25" t="s">
        <v>39</v>
      </c>
      <c r="T202" s="27"/>
      <c r="U202" s="34">
        <v>45698.0</v>
      </c>
      <c r="V202" s="34">
        <v>45787.0</v>
      </c>
      <c r="W202" s="29">
        <v>201.0</v>
      </c>
      <c r="X202" s="17">
        <v>45871.0</v>
      </c>
      <c r="Y202" s="30" t="s">
        <v>46</v>
      </c>
      <c r="Z202" s="17">
        <v>45932.0</v>
      </c>
      <c r="AA202" s="27" t="s">
        <v>82</v>
      </c>
      <c r="AB202" s="27" t="s">
        <v>56</v>
      </c>
      <c r="AC202" s="27" t="str">
        <f>VLOOKUP(C202,Sheet1!$C$2:$X$1242,15,0)</f>
        <v/>
      </c>
      <c r="AD202" s="25"/>
      <c r="AE202" s="19" t="str">
        <f t="shared" si="1"/>
        <v/>
      </c>
      <c r="AF202" s="19" t="str">
        <f>VLOOKUP(C202,Sheet1!$C$2:$AE$400,24,0)</f>
        <v>không đủ điều kiện</v>
      </c>
      <c r="AG202" s="19"/>
      <c r="AH202" s="20"/>
      <c r="AI202" s="21"/>
    </row>
    <row r="203" ht="47.25" customHeight="1">
      <c r="A203" s="22">
        <v>45695.702293194445</v>
      </c>
      <c r="B203" s="23" t="s">
        <v>1072</v>
      </c>
      <c r="C203" s="23">
        <v>2.7207146875E10</v>
      </c>
      <c r="D203" s="23" t="s">
        <v>1073</v>
      </c>
      <c r="E203" s="24">
        <v>37731.0</v>
      </c>
      <c r="F203" s="23" t="s">
        <v>145</v>
      </c>
      <c r="G203" s="25" t="s">
        <v>63</v>
      </c>
      <c r="H203" s="25">
        <v>27.0</v>
      </c>
      <c r="I203" s="26" t="s">
        <v>1074</v>
      </c>
      <c r="J203" s="25" t="s">
        <v>39</v>
      </c>
      <c r="K203" s="27" t="s">
        <v>168</v>
      </c>
      <c r="L203" s="27"/>
      <c r="M203" s="25" t="s">
        <v>1075</v>
      </c>
      <c r="N203" s="25" t="s">
        <v>68</v>
      </c>
      <c r="O203" s="27" t="s">
        <v>92</v>
      </c>
      <c r="P203" s="27"/>
      <c r="Q203" s="26" t="s">
        <v>395</v>
      </c>
      <c r="R203" s="25" t="s">
        <v>45</v>
      </c>
      <c r="S203" s="25" t="s">
        <v>39</v>
      </c>
      <c r="T203" s="27"/>
      <c r="U203" s="34">
        <v>45691.0</v>
      </c>
      <c r="V203" s="34">
        <v>45780.0</v>
      </c>
      <c r="W203" s="29">
        <v>202.0</v>
      </c>
      <c r="X203" s="17">
        <v>45932.0</v>
      </c>
      <c r="Y203" s="30" t="s">
        <v>46</v>
      </c>
      <c r="Z203" s="17">
        <v>45932.0</v>
      </c>
      <c r="AA203" s="27" t="s">
        <v>168</v>
      </c>
      <c r="AB203" s="27" t="s">
        <v>92</v>
      </c>
      <c r="AC203" s="27" t="str">
        <f>VLOOKUP(C203,Sheet1!$C$2:$X$1242,15,0)</f>
        <v/>
      </c>
      <c r="AD203" s="25"/>
      <c r="AE203" s="19" t="str">
        <f t="shared" si="1"/>
        <v/>
      </c>
      <c r="AF203" s="19" t="str">
        <f>VLOOKUP(C203,Sheet1!$C$2:$AE$400,24,0)</f>
        <v>CHUYÊN ĐỀ</v>
      </c>
      <c r="AG203" s="19" t="s">
        <v>59</v>
      </c>
      <c r="AH203" s="31" t="str">
        <f>VLOOKUP(AG203,gvhd!$D$3:$P$17,11,0)</f>
        <v>0355072844</v>
      </c>
      <c r="AI203" s="32" t="str">
        <f>VLOOKUP(AG203,gvhd!$D$3:$P$17,12,0)</f>
        <v>Ngotthanhnga@dtu-hti.edu.vn</v>
      </c>
    </row>
    <row r="204" ht="47.25" customHeight="1">
      <c r="A204" s="22">
        <v>45695.70259075232</v>
      </c>
      <c r="B204" s="23" t="s">
        <v>1076</v>
      </c>
      <c r="C204" s="23">
        <v>2.7207147747E10</v>
      </c>
      <c r="D204" s="23" t="s">
        <v>1077</v>
      </c>
      <c r="E204" s="24">
        <v>37879.0</v>
      </c>
      <c r="F204" s="23" t="s">
        <v>145</v>
      </c>
      <c r="G204" s="25" t="s">
        <v>63</v>
      </c>
      <c r="H204" s="25">
        <v>27.0</v>
      </c>
      <c r="I204" s="26" t="s">
        <v>1078</v>
      </c>
      <c r="J204" s="25" t="s">
        <v>39</v>
      </c>
      <c r="K204" s="27" t="s">
        <v>168</v>
      </c>
      <c r="L204" s="27"/>
      <c r="M204" s="25" t="s">
        <v>1079</v>
      </c>
      <c r="N204" s="25" t="s">
        <v>170</v>
      </c>
      <c r="O204" s="27" t="s">
        <v>92</v>
      </c>
      <c r="P204" s="27"/>
      <c r="Q204" s="26" t="s">
        <v>551</v>
      </c>
      <c r="R204" s="25" t="s">
        <v>45</v>
      </c>
      <c r="S204" s="25" t="s">
        <v>39</v>
      </c>
      <c r="T204" s="27"/>
      <c r="U204" s="34">
        <v>45698.0</v>
      </c>
      <c r="V204" s="34">
        <v>45787.0</v>
      </c>
      <c r="W204" s="29">
        <v>203.0</v>
      </c>
      <c r="X204" s="17">
        <v>45932.0</v>
      </c>
      <c r="Y204" s="30" t="s">
        <v>46</v>
      </c>
      <c r="Z204" s="17">
        <v>45932.0</v>
      </c>
      <c r="AA204" s="27" t="s">
        <v>168</v>
      </c>
      <c r="AB204" s="27" t="s">
        <v>92</v>
      </c>
      <c r="AC204" s="27" t="str">
        <f>VLOOKUP(C204,Sheet1!$C$2:$X$1242,15,0)</f>
        <v/>
      </c>
      <c r="AD204" s="25"/>
      <c r="AE204" s="19" t="str">
        <f t="shared" si="1"/>
        <v/>
      </c>
      <c r="AF204" s="19" t="str">
        <f>VLOOKUP(C204,Sheet1!$C$2:$AE$400,24,0)</f>
        <v>CHUYÊN ĐỀ</v>
      </c>
      <c r="AG204" s="19" t="s">
        <v>59</v>
      </c>
      <c r="AH204" s="20" t="str">
        <f>VLOOKUP(AG204,gvhd!$D$3:$P$17,11,0)</f>
        <v>0355072844</v>
      </c>
      <c r="AI204" s="21" t="str">
        <f>VLOOKUP(AG204,gvhd!$D$3:$P$17,12,0)</f>
        <v>Ngotthanhnga@dtu-hti.edu.vn</v>
      </c>
    </row>
    <row r="205" ht="47.25" customHeight="1">
      <c r="A205" s="22">
        <v>45695.736966689816</v>
      </c>
      <c r="B205" s="23" t="s">
        <v>1080</v>
      </c>
      <c r="C205" s="23">
        <v>2.7217129069E10</v>
      </c>
      <c r="D205" s="23" t="s">
        <v>1081</v>
      </c>
      <c r="E205" s="24">
        <v>37676.0</v>
      </c>
      <c r="F205" s="23" t="s">
        <v>88</v>
      </c>
      <c r="G205" s="25" t="s">
        <v>63</v>
      </c>
      <c r="H205" s="25">
        <v>27.0</v>
      </c>
      <c r="I205" s="26" t="s">
        <v>1082</v>
      </c>
      <c r="J205" s="25" t="s">
        <v>39</v>
      </c>
      <c r="K205" s="27" t="s">
        <v>154</v>
      </c>
      <c r="L205" s="27"/>
      <c r="M205" s="25" t="s">
        <v>483</v>
      </c>
      <c r="N205" s="25" t="s">
        <v>68</v>
      </c>
      <c r="O205" s="27" t="s">
        <v>117</v>
      </c>
      <c r="P205" s="27"/>
      <c r="Q205" s="26" t="s">
        <v>551</v>
      </c>
      <c r="R205" s="25" t="s">
        <v>45</v>
      </c>
      <c r="S205" s="25" t="s">
        <v>39</v>
      </c>
      <c r="T205" s="27"/>
      <c r="U205" s="34">
        <v>45698.0</v>
      </c>
      <c r="V205" s="34">
        <v>45781.0</v>
      </c>
      <c r="W205" s="29">
        <v>204.0</v>
      </c>
      <c r="X205" s="17">
        <v>45871.0</v>
      </c>
      <c r="Y205" s="30" t="s">
        <v>46</v>
      </c>
      <c r="Z205" s="17">
        <v>45932.0</v>
      </c>
      <c r="AA205" s="27" t="s">
        <v>154</v>
      </c>
      <c r="AB205" s="27" t="s">
        <v>117</v>
      </c>
      <c r="AC205" s="27" t="str">
        <f>VLOOKUP(C205,Sheet1!$C$2:$X$1242,15,0)</f>
        <v/>
      </c>
      <c r="AD205" s="25"/>
      <c r="AE205" s="19" t="str">
        <f t="shared" si="1"/>
        <v/>
      </c>
      <c r="AF205" s="19" t="str">
        <f>VLOOKUP(C205,Sheet1!$C$2:$AE$400,24,0)</f>
        <v>CHUYÊN ĐỀ</v>
      </c>
      <c r="AG205" s="19" t="s">
        <v>215</v>
      </c>
      <c r="AH205" s="31" t="str">
        <f>VLOOKUP(AG205,gvhd!$D$3:$P$17,11,0)</f>
        <v>0905938748</v>
      </c>
      <c r="AI205" s="32" t="str">
        <f>VLOOKUP(AG205,gvhd!$D$3:$P$17,12,0)</f>
        <v>duongtxuandieu@dtu-hti.edu.vn</v>
      </c>
    </row>
    <row r="206" ht="47.25" customHeight="1">
      <c r="A206" s="22">
        <v>45695.75218034722</v>
      </c>
      <c r="B206" s="23" t="s">
        <v>1083</v>
      </c>
      <c r="C206" s="23">
        <v>2.6207231869E10</v>
      </c>
      <c r="D206" s="23" t="s">
        <v>1084</v>
      </c>
      <c r="E206" s="24">
        <v>37620.0</v>
      </c>
      <c r="F206" s="23" t="s">
        <v>1085</v>
      </c>
      <c r="G206" s="25" t="s">
        <v>63</v>
      </c>
      <c r="H206" s="25">
        <v>26.0</v>
      </c>
      <c r="I206" s="26" t="s">
        <v>1086</v>
      </c>
      <c r="J206" s="25" t="s">
        <v>39</v>
      </c>
      <c r="K206" s="27" t="s">
        <v>1087</v>
      </c>
      <c r="L206" s="27" t="s">
        <v>1087</v>
      </c>
      <c r="M206" s="25" t="s">
        <v>1088</v>
      </c>
      <c r="N206" s="25" t="s">
        <v>1089</v>
      </c>
      <c r="O206" s="27" t="s">
        <v>56</v>
      </c>
      <c r="P206" s="27"/>
      <c r="Q206" s="26" t="s">
        <v>395</v>
      </c>
      <c r="R206" s="25" t="s">
        <v>45</v>
      </c>
      <c r="S206" s="25" t="s">
        <v>39</v>
      </c>
      <c r="T206" s="27" t="s">
        <v>137</v>
      </c>
      <c r="U206" s="34">
        <v>45695.0</v>
      </c>
      <c r="V206" s="34">
        <v>45784.0</v>
      </c>
      <c r="W206" s="29">
        <v>205.0</v>
      </c>
      <c r="X206" s="17">
        <v>45963.0</v>
      </c>
      <c r="Y206" s="30" t="s">
        <v>46</v>
      </c>
      <c r="Z206" s="17">
        <v>45932.0</v>
      </c>
      <c r="AA206" s="27" t="s">
        <v>1087</v>
      </c>
      <c r="AB206" s="27" t="s">
        <v>56</v>
      </c>
      <c r="AC206" s="27" t="str">
        <f>VLOOKUP(C206,Sheet1!$C$2:$X$1242,15,0)</f>
        <v>ĐÃ NỘP</v>
      </c>
      <c r="AD206" s="25"/>
      <c r="AE206" s="19" t="str">
        <f t="shared" si="1"/>
        <v/>
      </c>
      <c r="AF206" s="19" t="str">
        <f>VLOOKUP(C206,Sheet1!$C$2:$AE$400,24,0)</f>
        <v>CHUYÊN ĐỀ</v>
      </c>
      <c r="AG206" s="19" t="s">
        <v>71</v>
      </c>
      <c r="AH206" s="20" t="str">
        <f>VLOOKUP(AG206,gvhd!$D$3:$P$17,11,0)</f>
        <v>0702605664</v>
      </c>
      <c r="AI206" s="21" t="str">
        <f>VLOOKUP(AG206,gvhd!$D$3:$P$17,12,0)</f>
        <v>huynhlthuylinh@dtu-hti.edu.vn</v>
      </c>
    </row>
    <row r="207" ht="47.25" customHeight="1">
      <c r="A207" s="22">
        <v>45695.750389837965</v>
      </c>
      <c r="B207" s="23" t="s">
        <v>1090</v>
      </c>
      <c r="C207" s="23">
        <v>2.7207120791E10</v>
      </c>
      <c r="D207" s="23" t="s">
        <v>1091</v>
      </c>
      <c r="E207" s="24">
        <v>37702.0</v>
      </c>
      <c r="F207" s="23" t="s">
        <v>433</v>
      </c>
      <c r="G207" s="25" t="s">
        <v>63</v>
      </c>
      <c r="H207" s="25">
        <v>27.0</v>
      </c>
      <c r="I207" s="26" t="s">
        <v>1092</v>
      </c>
      <c r="J207" s="25" t="s">
        <v>39</v>
      </c>
      <c r="K207" s="25" t="s">
        <v>90</v>
      </c>
      <c r="L207" s="27"/>
      <c r="M207" s="25" t="s">
        <v>1093</v>
      </c>
      <c r="N207" s="25" t="s">
        <v>68</v>
      </c>
      <c r="O207" s="27" t="s">
        <v>92</v>
      </c>
      <c r="P207" s="27"/>
      <c r="Q207" s="26" t="s">
        <v>551</v>
      </c>
      <c r="R207" s="25" t="s">
        <v>45</v>
      </c>
      <c r="S207" s="25" t="s">
        <v>39</v>
      </c>
      <c r="T207" s="27"/>
      <c r="U207" s="34">
        <v>45698.0</v>
      </c>
      <c r="V207" s="34">
        <v>45787.0</v>
      </c>
      <c r="W207" s="29">
        <v>206.0</v>
      </c>
      <c r="X207" s="17">
        <v>45963.0</v>
      </c>
      <c r="Y207" s="30" t="s">
        <v>46</v>
      </c>
      <c r="Z207" s="17">
        <v>45963.0</v>
      </c>
      <c r="AA207" s="27" t="s">
        <v>90</v>
      </c>
      <c r="AB207" s="27" t="s">
        <v>92</v>
      </c>
      <c r="AC207" s="27" t="str">
        <f>VLOOKUP(C207,Sheet1!$C$2:$X$1242,15,0)</f>
        <v/>
      </c>
      <c r="AD207" s="25"/>
      <c r="AE207" s="19" t="str">
        <f t="shared" si="1"/>
        <v/>
      </c>
      <c r="AF207" s="19" t="str">
        <f>VLOOKUP(C207,Sheet1!$C$2:$AE$400,24,0)</f>
        <v>CHUYÊN ĐỀ</v>
      </c>
      <c r="AG207" s="19" t="s">
        <v>93</v>
      </c>
      <c r="AH207" s="31" t="str">
        <f>VLOOKUP(AG207,gvhd!$D$3:$P$17,11,0)</f>
        <v>0904464092</v>
      </c>
      <c r="AI207" s="32" t="str">
        <f>VLOOKUP(AG207,gvhd!$D$3:$P$17,12,0)</f>
        <v>anhphuong@duytan.edu.vn</v>
      </c>
    </row>
    <row r="208" ht="47.25" customHeight="1">
      <c r="A208" s="22">
        <v>45695.84946896991</v>
      </c>
      <c r="B208" s="23" t="s">
        <v>1094</v>
      </c>
      <c r="C208" s="23">
        <v>2.7207100837E10</v>
      </c>
      <c r="D208" s="23" t="s">
        <v>1095</v>
      </c>
      <c r="E208" s="24">
        <v>37749.0</v>
      </c>
      <c r="F208" s="23" t="s">
        <v>129</v>
      </c>
      <c r="G208" s="25" t="s">
        <v>63</v>
      </c>
      <c r="H208" s="25">
        <v>27.0</v>
      </c>
      <c r="I208" s="26" t="s">
        <v>1096</v>
      </c>
      <c r="J208" s="25" t="s">
        <v>39</v>
      </c>
      <c r="K208" s="27" t="s">
        <v>1097</v>
      </c>
      <c r="L208" s="27" t="s">
        <v>1097</v>
      </c>
      <c r="M208" s="25" t="s">
        <v>1098</v>
      </c>
      <c r="N208" s="25" t="s">
        <v>68</v>
      </c>
      <c r="O208" s="27" t="s">
        <v>56</v>
      </c>
      <c r="P208" s="27"/>
      <c r="Q208" s="26" t="s">
        <v>1099</v>
      </c>
      <c r="R208" s="25" t="s">
        <v>45</v>
      </c>
      <c r="S208" s="25" t="s">
        <v>39</v>
      </c>
      <c r="T208" s="27"/>
      <c r="U208" s="34">
        <v>45698.0</v>
      </c>
      <c r="V208" s="34">
        <v>45787.0</v>
      </c>
      <c r="W208" s="29">
        <v>207.0</v>
      </c>
      <c r="X208" s="17"/>
      <c r="Y208" s="30" t="s">
        <v>252</v>
      </c>
      <c r="Z208" s="17">
        <v>45932.0</v>
      </c>
      <c r="AA208" s="27" t="s">
        <v>1097</v>
      </c>
      <c r="AB208" s="27" t="s">
        <v>56</v>
      </c>
      <c r="AC208" s="27" t="str">
        <f>VLOOKUP(C208,Sheet1!$C$2:$X$1242,15,0)</f>
        <v/>
      </c>
      <c r="AD208" s="25" t="s">
        <v>1100</v>
      </c>
      <c r="AE208" s="19" t="str">
        <f t="shared" si="1"/>
        <v/>
      </c>
      <c r="AF208" s="19" t="str">
        <f>VLOOKUP(C208,Sheet1!$C$2:$AE$400,24,0)</f>
        <v>CHUYÊN ĐỀ</v>
      </c>
      <c r="AG208" s="19" t="s">
        <v>71</v>
      </c>
      <c r="AH208" s="20" t="str">
        <f>VLOOKUP(AG208,gvhd!$D$3:$P$17,11,0)</f>
        <v>0702605664</v>
      </c>
      <c r="AI208" s="21" t="str">
        <f>VLOOKUP(AG208,gvhd!$D$3:$P$17,12,0)</f>
        <v>huynhlthuylinh@dtu-hti.edu.vn</v>
      </c>
    </row>
    <row r="209" ht="47.25" customHeight="1">
      <c r="A209" s="22">
        <v>45695.916113680556</v>
      </c>
      <c r="B209" s="23" t="s">
        <v>1101</v>
      </c>
      <c r="C209" s="23">
        <v>2.7207142512E10</v>
      </c>
      <c r="D209" s="23" t="s">
        <v>1102</v>
      </c>
      <c r="E209" s="24">
        <v>37749.0</v>
      </c>
      <c r="F209" s="23" t="s">
        <v>1103</v>
      </c>
      <c r="G209" s="25" t="s">
        <v>63</v>
      </c>
      <c r="H209" s="25">
        <v>27.0</v>
      </c>
      <c r="I209" s="26" t="s">
        <v>1104</v>
      </c>
      <c r="J209" s="25" t="s">
        <v>39</v>
      </c>
      <c r="K209" s="27" t="s">
        <v>1105</v>
      </c>
      <c r="L209" s="27"/>
      <c r="M209" s="25" t="s">
        <v>1106</v>
      </c>
      <c r="N209" s="25" t="s">
        <v>68</v>
      </c>
      <c r="O209" s="27" t="s">
        <v>117</v>
      </c>
      <c r="P209" s="27"/>
      <c r="Q209" s="26" t="s">
        <v>1107</v>
      </c>
      <c r="R209" s="25" t="s">
        <v>45</v>
      </c>
      <c r="S209" s="25" t="s">
        <v>39</v>
      </c>
      <c r="T209" s="27"/>
      <c r="U209" s="34">
        <v>45698.0</v>
      </c>
      <c r="V209" s="34">
        <v>45787.0</v>
      </c>
      <c r="W209" s="29">
        <v>208.0</v>
      </c>
      <c r="X209" s="17">
        <v>45963.0</v>
      </c>
      <c r="Y209" s="30" t="s">
        <v>46</v>
      </c>
      <c r="Z209" s="17">
        <v>45932.0</v>
      </c>
      <c r="AA209" s="27" t="s">
        <v>1105</v>
      </c>
      <c r="AB209" s="27" t="s">
        <v>117</v>
      </c>
      <c r="AC209" s="27" t="str">
        <f>VLOOKUP(C209,Sheet1!$C$2:$X$1242,15,0)</f>
        <v/>
      </c>
      <c r="AD209" s="25"/>
      <c r="AE209" s="19" t="str">
        <f t="shared" si="1"/>
        <v/>
      </c>
      <c r="AF209" s="19" t="str">
        <f>VLOOKUP(C209,Sheet1!$C$2:$AE$400,24,0)</f>
        <v>CHUYÊN ĐỀ</v>
      </c>
      <c r="AG209" s="19" t="s">
        <v>137</v>
      </c>
      <c r="AH209" s="31" t="str">
        <f>VLOOKUP(AG209,gvhd!$D$3:$P$17,11,0)</f>
        <v>0905767050</v>
      </c>
      <c r="AI209" s="32" t="str">
        <f>VLOOKUP(AG209,gvhd!$D$3:$P$17,12,0)</f>
        <v>maithithuong@dtu-hti.edu.vn</v>
      </c>
    </row>
    <row r="210" ht="47.25" customHeight="1">
      <c r="A210" s="22">
        <v>45695.951673738426</v>
      </c>
      <c r="B210" s="23" t="s">
        <v>1108</v>
      </c>
      <c r="C210" s="23">
        <v>2.7207121852E10</v>
      </c>
      <c r="D210" s="23" t="s">
        <v>1109</v>
      </c>
      <c r="E210" s="24">
        <v>37683.0</v>
      </c>
      <c r="F210" s="23" t="s">
        <v>88</v>
      </c>
      <c r="G210" s="25" t="s">
        <v>63</v>
      </c>
      <c r="H210" s="25">
        <v>27.0</v>
      </c>
      <c r="I210" s="26" t="s">
        <v>1110</v>
      </c>
      <c r="J210" s="25" t="s">
        <v>39</v>
      </c>
      <c r="K210" s="27" t="s">
        <v>475</v>
      </c>
      <c r="L210" s="27"/>
      <c r="M210" s="25" t="s">
        <v>1111</v>
      </c>
      <c r="N210" s="25" t="s">
        <v>170</v>
      </c>
      <c r="O210" s="27" t="s">
        <v>56</v>
      </c>
      <c r="P210" s="27"/>
      <c r="Q210" s="26" t="s">
        <v>1107</v>
      </c>
      <c r="R210" s="25" t="s">
        <v>45</v>
      </c>
      <c r="S210" s="25" t="s">
        <v>39</v>
      </c>
      <c r="T210" s="27" t="s">
        <v>77</v>
      </c>
      <c r="U210" s="34">
        <v>45694.0</v>
      </c>
      <c r="V210" s="34">
        <v>45787.0</v>
      </c>
      <c r="W210" s="29">
        <v>209.0</v>
      </c>
      <c r="X210" s="17">
        <v>45963.0</v>
      </c>
      <c r="Y210" s="30" t="s">
        <v>46</v>
      </c>
      <c r="Z210" s="17">
        <v>45932.0</v>
      </c>
      <c r="AA210" s="27" t="s">
        <v>475</v>
      </c>
      <c r="AB210" s="27" t="s">
        <v>56</v>
      </c>
      <c r="AC210" s="27" t="str">
        <f>VLOOKUP(C210,Sheet1!$C$2:$X$1242,15,0)</f>
        <v/>
      </c>
      <c r="AD210" s="25"/>
      <c r="AE210" s="19" t="str">
        <f t="shared" si="1"/>
        <v/>
      </c>
      <c r="AF210" s="19" t="str">
        <f>VLOOKUP(C210,Sheet1!$C$2:$AE$400,24,0)</f>
        <v>CHUYÊN ĐỀ</v>
      </c>
      <c r="AG210" s="19" t="s">
        <v>71</v>
      </c>
      <c r="AH210" s="20" t="str">
        <f>VLOOKUP(AG210,gvhd!$D$3:$P$17,11,0)</f>
        <v>0702605664</v>
      </c>
      <c r="AI210" s="21" t="str">
        <f>VLOOKUP(AG210,gvhd!$D$3:$P$17,12,0)</f>
        <v>huynhlthuylinh@dtu-hti.edu.vn</v>
      </c>
    </row>
    <row r="211" ht="47.25" customHeight="1">
      <c r="A211" s="35">
        <v>45696.326321898145</v>
      </c>
      <c r="B211" s="36" t="s">
        <v>1112</v>
      </c>
      <c r="C211" s="36">
        <v>2.5212715759E10</v>
      </c>
      <c r="D211" s="36" t="s">
        <v>1113</v>
      </c>
      <c r="E211" s="37">
        <v>36919.0</v>
      </c>
      <c r="F211" s="36" t="s">
        <v>805</v>
      </c>
      <c r="G211" s="38" t="s">
        <v>63</v>
      </c>
      <c r="H211" s="38">
        <v>26.0</v>
      </c>
      <c r="I211" s="39" t="s">
        <v>1114</v>
      </c>
      <c r="J211" s="38" t="s">
        <v>39</v>
      </c>
      <c r="K211" s="40" t="s">
        <v>1115</v>
      </c>
      <c r="L211" s="40" t="s">
        <v>1115</v>
      </c>
      <c r="M211" s="38" t="s">
        <v>1116</v>
      </c>
      <c r="N211" s="38" t="s">
        <v>1117</v>
      </c>
      <c r="O211" s="40" t="s">
        <v>117</v>
      </c>
      <c r="P211" s="40"/>
      <c r="Q211" s="38" t="s">
        <v>1118</v>
      </c>
      <c r="R211" s="38" t="s">
        <v>45</v>
      </c>
      <c r="S211" s="38" t="s">
        <v>39</v>
      </c>
      <c r="T211" s="40" t="s">
        <v>70</v>
      </c>
      <c r="U211" s="41">
        <v>45553.0</v>
      </c>
      <c r="V211" s="41">
        <v>45644.0</v>
      </c>
      <c r="W211" s="29">
        <v>210.0</v>
      </c>
      <c r="X211" s="43"/>
      <c r="Y211" s="44" t="s">
        <v>252</v>
      </c>
      <c r="Z211" s="43">
        <v>45932.0</v>
      </c>
      <c r="AA211" s="40" t="s">
        <v>1115</v>
      </c>
      <c r="AB211" s="40" t="s">
        <v>117</v>
      </c>
      <c r="AC211" s="40" t="str">
        <f>VLOOKUP(C211,Sheet1!$C$2:$X$1242,15,0)</f>
        <v>#N/A</v>
      </c>
      <c r="AD211" s="38" t="s">
        <v>1119</v>
      </c>
      <c r="AE211" s="60" t="str">
        <f t="shared" si="1"/>
        <v/>
      </c>
      <c r="AF211" s="19" t="str">
        <f>VLOOKUP(C211,Sheet1!$C$2:$AE$400,24,0)</f>
        <v>#N/A</v>
      </c>
      <c r="AG211" s="19"/>
      <c r="AH211" s="31"/>
      <c r="AI211" s="32"/>
    </row>
    <row r="212" ht="47.25" customHeight="1">
      <c r="A212" s="22">
        <v>45696.426728148144</v>
      </c>
      <c r="B212" s="23" t="s">
        <v>1120</v>
      </c>
      <c r="C212" s="23">
        <v>2.7207103184E10</v>
      </c>
      <c r="D212" s="23" t="s">
        <v>1121</v>
      </c>
      <c r="E212" s="24">
        <v>37902.0</v>
      </c>
      <c r="F212" s="23" t="s">
        <v>145</v>
      </c>
      <c r="G212" s="25" t="s">
        <v>63</v>
      </c>
      <c r="H212" s="25">
        <v>27.0</v>
      </c>
      <c r="I212" s="26" t="s">
        <v>1122</v>
      </c>
      <c r="J212" s="25" t="s">
        <v>39</v>
      </c>
      <c r="K212" s="27" t="s">
        <v>1123</v>
      </c>
      <c r="L212" s="27" t="s">
        <v>1123</v>
      </c>
      <c r="M212" s="25" t="s">
        <v>1124</v>
      </c>
      <c r="N212" s="25" t="s">
        <v>1125</v>
      </c>
      <c r="O212" s="27" t="s">
        <v>92</v>
      </c>
      <c r="P212" s="27"/>
      <c r="Q212" s="26" t="s">
        <v>415</v>
      </c>
      <c r="R212" s="25" t="s">
        <v>45</v>
      </c>
      <c r="S212" s="25" t="s">
        <v>39</v>
      </c>
      <c r="T212" s="27"/>
      <c r="U212" s="34">
        <v>45684.0</v>
      </c>
      <c r="V212" s="34">
        <v>45774.0</v>
      </c>
      <c r="W212" s="29">
        <v>211.0</v>
      </c>
      <c r="X212" s="17">
        <v>45963.0</v>
      </c>
      <c r="Y212" s="30" t="s">
        <v>46</v>
      </c>
      <c r="Z212" s="17">
        <v>45932.0</v>
      </c>
      <c r="AA212" s="27" t="s">
        <v>1123</v>
      </c>
      <c r="AB212" s="27" t="s">
        <v>92</v>
      </c>
      <c r="AC212" s="27" t="str">
        <f>VLOOKUP(C212,Sheet1!$C$2:$X$1242,15,0)</f>
        <v/>
      </c>
      <c r="AD212" s="25"/>
      <c r="AE212" s="19" t="str">
        <f t="shared" si="1"/>
        <v/>
      </c>
      <c r="AF212" s="19" t="str">
        <f>VLOOKUP(C212,Sheet1!$C$2:$AE$400,24,0)</f>
        <v>CHUYÊN ĐỀ</v>
      </c>
      <c r="AG212" s="19" t="s">
        <v>71</v>
      </c>
      <c r="AH212" s="20" t="str">
        <f>VLOOKUP(AG212,gvhd!$D$3:$P$17,11,0)</f>
        <v>0702605664</v>
      </c>
      <c r="AI212" s="21" t="str">
        <f>VLOOKUP(AG212,gvhd!$D$3:$P$17,12,0)</f>
        <v>huynhlthuylinh@dtu-hti.edu.vn</v>
      </c>
    </row>
    <row r="213" ht="47.25" customHeight="1">
      <c r="A213" s="22">
        <v>45696.428330069444</v>
      </c>
      <c r="B213" s="23" t="s">
        <v>1126</v>
      </c>
      <c r="C213" s="23">
        <v>2.7207152769E10</v>
      </c>
      <c r="D213" s="23" t="s">
        <v>1127</v>
      </c>
      <c r="E213" s="24">
        <v>37732.0</v>
      </c>
      <c r="F213" s="23" t="s">
        <v>145</v>
      </c>
      <c r="G213" s="25" t="s">
        <v>63</v>
      </c>
      <c r="H213" s="25">
        <v>27.0</v>
      </c>
      <c r="I213" s="26" t="s">
        <v>1128</v>
      </c>
      <c r="J213" s="25" t="s">
        <v>39</v>
      </c>
      <c r="K213" s="27" t="s">
        <v>1105</v>
      </c>
      <c r="L213" s="27"/>
      <c r="M213" s="25" t="s">
        <v>1129</v>
      </c>
      <c r="N213" s="25" t="s">
        <v>170</v>
      </c>
      <c r="O213" s="27" t="s">
        <v>92</v>
      </c>
      <c r="P213" s="27"/>
      <c r="Q213" s="26" t="s">
        <v>415</v>
      </c>
      <c r="R213" s="25" t="s">
        <v>45</v>
      </c>
      <c r="S213" s="25" t="s">
        <v>39</v>
      </c>
      <c r="T213" s="27"/>
      <c r="U213" s="34">
        <v>45698.0</v>
      </c>
      <c r="V213" s="34">
        <v>45787.0</v>
      </c>
      <c r="W213" s="29">
        <v>212.0</v>
      </c>
      <c r="X213" s="17">
        <v>45932.0</v>
      </c>
      <c r="Y213" s="30" t="s">
        <v>46</v>
      </c>
      <c r="Z213" s="17">
        <v>45932.0</v>
      </c>
      <c r="AA213" s="27" t="s">
        <v>1105</v>
      </c>
      <c r="AB213" s="27" t="s">
        <v>92</v>
      </c>
      <c r="AC213" s="27" t="str">
        <f>VLOOKUP(C213,Sheet1!$C$2:$X$1242,15,0)</f>
        <v/>
      </c>
      <c r="AD213" s="25"/>
      <c r="AE213" s="19" t="str">
        <f t="shared" si="1"/>
        <v/>
      </c>
      <c r="AF213" s="19" t="str">
        <f>VLOOKUP(C213,Sheet1!$C$2:$AE$400,24,0)</f>
        <v>CHUYÊN ĐỀ</v>
      </c>
      <c r="AG213" s="19" t="s">
        <v>137</v>
      </c>
      <c r="AH213" s="31" t="str">
        <f>VLOOKUP(AG213,gvhd!$D$3:$P$17,11,0)</f>
        <v>0905767050</v>
      </c>
      <c r="AI213" s="32" t="str">
        <f>VLOOKUP(AG213,gvhd!$D$3:$P$17,12,0)</f>
        <v>maithithuong@dtu-hti.edu.vn</v>
      </c>
    </row>
    <row r="214" ht="47.25" customHeight="1">
      <c r="A214" s="22">
        <v>45696.42878417824</v>
      </c>
      <c r="B214" s="23" t="s">
        <v>1130</v>
      </c>
      <c r="C214" s="23">
        <v>2.7207147439E10</v>
      </c>
      <c r="D214" s="23" t="s">
        <v>1131</v>
      </c>
      <c r="E214" s="24">
        <v>37872.0</v>
      </c>
      <c r="F214" s="23" t="s">
        <v>129</v>
      </c>
      <c r="G214" s="25" t="s">
        <v>63</v>
      </c>
      <c r="H214" s="25">
        <v>27.0</v>
      </c>
      <c r="I214" s="26" t="s">
        <v>1132</v>
      </c>
      <c r="J214" s="25" t="s">
        <v>288</v>
      </c>
      <c r="K214" s="25" t="s">
        <v>90</v>
      </c>
      <c r="L214" s="27"/>
      <c r="M214" s="25"/>
      <c r="N214" s="25" t="s">
        <v>68</v>
      </c>
      <c r="O214" s="27" t="s">
        <v>56</v>
      </c>
      <c r="P214" s="27"/>
      <c r="Q214" s="26" t="s">
        <v>551</v>
      </c>
      <c r="R214" s="25" t="s">
        <v>45</v>
      </c>
      <c r="S214" s="25" t="s">
        <v>288</v>
      </c>
      <c r="T214" s="27" t="s">
        <v>215</v>
      </c>
      <c r="U214" s="34">
        <v>45698.0</v>
      </c>
      <c r="V214" s="34">
        <v>45787.0</v>
      </c>
      <c r="W214" s="29">
        <v>213.0</v>
      </c>
      <c r="X214" s="17">
        <v>45963.0</v>
      </c>
      <c r="Y214" s="30" t="s">
        <v>46</v>
      </c>
      <c r="Z214" s="17">
        <v>45963.0</v>
      </c>
      <c r="AA214" s="25" t="s">
        <v>90</v>
      </c>
      <c r="AB214" s="27" t="s">
        <v>56</v>
      </c>
      <c r="AC214" s="27" t="str">
        <f>VLOOKUP(C214,Sheet1!$C$2:$X$1242,15,0)</f>
        <v/>
      </c>
      <c r="AD214" s="25"/>
      <c r="AE214" s="19" t="str">
        <f t="shared" si="1"/>
        <v/>
      </c>
      <c r="AF214" s="19" t="str">
        <f>VLOOKUP(C214,Sheet1!$C$2:$AE$400,24,0)</f>
        <v>không đủ điều kiện</v>
      </c>
      <c r="AG214" s="19"/>
      <c r="AH214" s="20"/>
      <c r="AI214" s="21"/>
    </row>
    <row r="215" ht="47.25" customHeight="1">
      <c r="A215" s="22">
        <v>45696.43558311343</v>
      </c>
      <c r="B215" s="23" t="s">
        <v>1133</v>
      </c>
      <c r="C215" s="23">
        <v>2.5217102808E10</v>
      </c>
      <c r="D215" s="23" t="s">
        <v>1134</v>
      </c>
      <c r="E215" s="24">
        <v>37134.0</v>
      </c>
      <c r="F215" s="23" t="s">
        <v>1135</v>
      </c>
      <c r="G215" s="25" t="s">
        <v>63</v>
      </c>
      <c r="H215" s="25">
        <v>26.0</v>
      </c>
      <c r="I215" s="26" t="s">
        <v>1136</v>
      </c>
      <c r="J215" s="25" t="s">
        <v>39</v>
      </c>
      <c r="K215" s="27" t="s">
        <v>892</v>
      </c>
      <c r="L215" s="27"/>
      <c r="M215" s="25" t="s">
        <v>1137</v>
      </c>
      <c r="N215" s="25" t="s">
        <v>68</v>
      </c>
      <c r="O215" s="27" t="s">
        <v>117</v>
      </c>
      <c r="P215" s="27"/>
      <c r="Q215" s="26" t="s">
        <v>1107</v>
      </c>
      <c r="R215" s="25" t="s">
        <v>45</v>
      </c>
      <c r="S215" s="25" t="s">
        <v>39</v>
      </c>
      <c r="T215" s="27"/>
      <c r="U215" s="34">
        <v>45698.0</v>
      </c>
      <c r="V215" s="34">
        <v>45787.0</v>
      </c>
      <c r="W215" s="29">
        <v>214.0</v>
      </c>
      <c r="X215" s="17">
        <v>45963.0</v>
      </c>
      <c r="Y215" s="30" t="s">
        <v>46</v>
      </c>
      <c r="Z215" s="17">
        <v>45932.0</v>
      </c>
      <c r="AA215" s="27" t="s">
        <v>892</v>
      </c>
      <c r="AB215" s="27" t="s">
        <v>117</v>
      </c>
      <c r="AC215" s="27" t="str">
        <f>VLOOKUP(C215,Sheet1!$C$2:$X$1242,15,0)</f>
        <v>ĐÃ NỘP</v>
      </c>
      <c r="AD215" s="25"/>
      <c r="AE215" s="19" t="str">
        <f t="shared" si="1"/>
        <v/>
      </c>
      <c r="AF215" s="19" t="str">
        <f>VLOOKUP(C215,Sheet1!$C$2:$AE$400,24,0)</f>
        <v>không đủ điều kiện</v>
      </c>
      <c r="AG215" s="19"/>
      <c r="AH215" s="31"/>
      <c r="AI215" s="32"/>
    </row>
    <row r="216" ht="47.25" customHeight="1">
      <c r="A216" s="22">
        <v>45696.53006605324</v>
      </c>
      <c r="B216" s="23" t="s">
        <v>1138</v>
      </c>
      <c r="C216" s="23">
        <v>2.7217133018E10</v>
      </c>
      <c r="D216" s="23" t="s">
        <v>1139</v>
      </c>
      <c r="E216" s="24">
        <v>37899.0</v>
      </c>
      <c r="F216" s="23" t="s">
        <v>975</v>
      </c>
      <c r="G216" s="25" t="s">
        <v>63</v>
      </c>
      <c r="H216" s="25">
        <v>27.0</v>
      </c>
      <c r="I216" s="26" t="s">
        <v>1140</v>
      </c>
      <c r="J216" s="25" t="s">
        <v>39</v>
      </c>
      <c r="K216" s="27" t="s">
        <v>475</v>
      </c>
      <c r="L216" s="27"/>
      <c r="M216" s="25" t="s">
        <v>1141</v>
      </c>
      <c r="N216" s="25" t="s">
        <v>68</v>
      </c>
      <c r="O216" s="27" t="s">
        <v>117</v>
      </c>
      <c r="P216" s="27"/>
      <c r="Q216" s="26" t="s">
        <v>415</v>
      </c>
      <c r="R216" s="25" t="s">
        <v>45</v>
      </c>
      <c r="S216" s="25" t="s">
        <v>39</v>
      </c>
      <c r="T216" s="27"/>
      <c r="U216" s="34">
        <v>45698.0</v>
      </c>
      <c r="V216" s="34">
        <v>45787.0</v>
      </c>
      <c r="W216" s="29">
        <v>215.0</v>
      </c>
      <c r="X216" s="17">
        <v>45963.0</v>
      </c>
      <c r="Y216" s="30" t="s">
        <v>46</v>
      </c>
      <c r="Z216" s="17">
        <v>45932.0</v>
      </c>
      <c r="AA216" s="27" t="s">
        <v>475</v>
      </c>
      <c r="AB216" s="27" t="s">
        <v>117</v>
      </c>
      <c r="AC216" s="27" t="str">
        <f>VLOOKUP(C216,Sheet1!$C$2:$X$1242,15,0)</f>
        <v/>
      </c>
      <c r="AD216" s="25"/>
      <c r="AE216" s="19" t="str">
        <f t="shared" si="1"/>
        <v/>
      </c>
      <c r="AF216" s="19" t="str">
        <f>VLOOKUP(C216,Sheet1!$C$2:$AE$400,24,0)</f>
        <v>CHUYÊN ĐỀ</v>
      </c>
      <c r="AG216" s="19" t="s">
        <v>71</v>
      </c>
      <c r="AH216" s="20" t="str">
        <f>VLOOKUP(AG216,gvhd!$D$3:$P$17,11,0)</f>
        <v>0702605664</v>
      </c>
      <c r="AI216" s="21" t="str">
        <f>VLOOKUP(AG216,gvhd!$D$3:$P$17,12,0)</f>
        <v>huynhlthuylinh@dtu-hti.edu.vn</v>
      </c>
    </row>
    <row r="217" ht="47.25" customHeight="1">
      <c r="A217" s="22">
        <v>45696.973069976855</v>
      </c>
      <c r="B217" s="23" t="s">
        <v>1142</v>
      </c>
      <c r="C217" s="23">
        <v>2.5207103269E10</v>
      </c>
      <c r="D217" s="23" t="s">
        <v>1143</v>
      </c>
      <c r="E217" s="24">
        <v>36967.0</v>
      </c>
      <c r="F217" s="23" t="s">
        <v>936</v>
      </c>
      <c r="G217" s="25" t="s">
        <v>63</v>
      </c>
      <c r="H217" s="25">
        <v>27.0</v>
      </c>
      <c r="I217" s="26" t="s">
        <v>1144</v>
      </c>
      <c r="J217" s="25" t="s">
        <v>39</v>
      </c>
      <c r="K217" s="27" t="s">
        <v>1145</v>
      </c>
      <c r="L217" s="27" t="s">
        <v>1145</v>
      </c>
      <c r="M217" s="25" t="s">
        <v>1146</v>
      </c>
      <c r="N217" s="25" t="s">
        <v>1125</v>
      </c>
      <c r="O217" s="27" t="s">
        <v>92</v>
      </c>
      <c r="P217" s="27"/>
      <c r="Q217" s="26" t="s">
        <v>551</v>
      </c>
      <c r="R217" s="25" t="s">
        <v>45</v>
      </c>
      <c r="S217" s="25" t="s">
        <v>39</v>
      </c>
      <c r="T217" s="27"/>
      <c r="U217" s="34">
        <v>45698.0</v>
      </c>
      <c r="V217" s="34">
        <v>45787.0</v>
      </c>
      <c r="W217" s="29">
        <v>216.0</v>
      </c>
      <c r="X217" s="17">
        <v>45932.0</v>
      </c>
      <c r="Y217" s="30" t="s">
        <v>252</v>
      </c>
      <c r="Z217" s="17">
        <v>45932.0</v>
      </c>
      <c r="AA217" s="27" t="s">
        <v>1145</v>
      </c>
      <c r="AB217" s="27" t="s">
        <v>92</v>
      </c>
      <c r="AC217" s="27" t="str">
        <f>VLOOKUP(C217,Sheet1!$C$2:$X$1242,15,0)</f>
        <v/>
      </c>
      <c r="AD217" s="25" t="s">
        <v>1147</v>
      </c>
      <c r="AE217" s="19" t="str">
        <f t="shared" si="1"/>
        <v/>
      </c>
      <c r="AF217" s="19" t="str">
        <f>VLOOKUP(C217,Sheet1!$C$2:$AE$400,24,0)</f>
        <v>CHUYÊN ĐỀ</v>
      </c>
      <c r="AG217" s="19" t="s">
        <v>71</v>
      </c>
      <c r="AH217" s="31" t="str">
        <f>VLOOKUP(AG217,gvhd!$D$3:$P$17,11,0)</f>
        <v>0702605664</v>
      </c>
      <c r="AI217" s="32" t="str">
        <f>VLOOKUP(AG217,gvhd!$D$3:$P$17,12,0)</f>
        <v>huynhlthuylinh@dtu-hti.edu.vn</v>
      </c>
    </row>
    <row r="218" ht="47.25" customHeight="1">
      <c r="A218" s="22">
        <v>45697.97493258102</v>
      </c>
      <c r="B218" s="23" t="s">
        <v>1148</v>
      </c>
      <c r="C218" s="23">
        <v>2.7207128316E10</v>
      </c>
      <c r="D218" s="23" t="s">
        <v>1149</v>
      </c>
      <c r="E218" s="24">
        <v>37823.0</v>
      </c>
      <c r="F218" s="23" t="s">
        <v>152</v>
      </c>
      <c r="G218" s="25" t="s">
        <v>63</v>
      </c>
      <c r="H218" s="25">
        <v>27.0</v>
      </c>
      <c r="I218" s="26" t="s">
        <v>1150</v>
      </c>
      <c r="J218" s="25" t="s">
        <v>39</v>
      </c>
      <c r="K218" s="27" t="s">
        <v>1151</v>
      </c>
      <c r="L218" s="27" t="s">
        <v>1151</v>
      </c>
      <c r="M218" s="25" t="s">
        <v>1152</v>
      </c>
      <c r="N218" s="25" t="s">
        <v>68</v>
      </c>
      <c r="O218" s="25" t="s">
        <v>56</v>
      </c>
      <c r="P218" s="27" t="s">
        <v>1153</v>
      </c>
      <c r="Q218" s="25" t="s">
        <v>563</v>
      </c>
      <c r="R218" s="25" t="s">
        <v>45</v>
      </c>
      <c r="S218" s="25" t="s">
        <v>39</v>
      </c>
      <c r="T218" s="27" t="s">
        <v>101</v>
      </c>
      <c r="U218" s="34">
        <v>45663.0</v>
      </c>
      <c r="V218" s="34">
        <v>45753.0</v>
      </c>
      <c r="W218" s="29">
        <v>217.0</v>
      </c>
      <c r="X218" s="17">
        <v>45932.0</v>
      </c>
      <c r="Y218" s="30" t="s">
        <v>46</v>
      </c>
      <c r="Z218" s="17">
        <v>45932.0</v>
      </c>
      <c r="AA218" s="27" t="s">
        <v>1151</v>
      </c>
      <c r="AB218" s="27" t="s">
        <v>56</v>
      </c>
      <c r="AC218" s="27" t="str">
        <f>VLOOKUP(C218,Sheet1!$C$2:$X$1242,15,0)</f>
        <v/>
      </c>
      <c r="AD218" s="25"/>
      <c r="AE218" s="19" t="str">
        <f t="shared" si="1"/>
        <v/>
      </c>
      <c r="AF218" s="19" t="str">
        <f>VLOOKUP(C218,Sheet1!$C$2:$AE$400,24,0)</f>
        <v>CHUYÊN ĐỀ</v>
      </c>
      <c r="AG218" s="19" t="s">
        <v>70</v>
      </c>
      <c r="AH218" s="20" t="str">
        <f>VLOOKUP(AG218,gvhd!$D$3:$P$17,11,0)</f>
        <v>0938290678</v>
      </c>
      <c r="AI218" s="21" t="str">
        <f>VLOOKUP(AG218,gvhd!$D$3:$P$17,12,0)</f>
        <v>phamtthuthuy2@dtu-hti.edu.vn</v>
      </c>
    </row>
    <row r="219" ht="47.25" customHeight="1">
      <c r="A219" s="22">
        <v>45697.977546724534</v>
      </c>
      <c r="B219" s="23" t="s">
        <v>1154</v>
      </c>
      <c r="C219" s="23">
        <v>2.7207138757E10</v>
      </c>
      <c r="D219" s="23" t="s">
        <v>1155</v>
      </c>
      <c r="E219" s="24">
        <v>37657.0</v>
      </c>
      <c r="F219" s="23" t="s">
        <v>145</v>
      </c>
      <c r="G219" s="25" t="s">
        <v>63</v>
      </c>
      <c r="H219" s="25">
        <v>27.0</v>
      </c>
      <c r="I219" s="26" t="s">
        <v>1156</v>
      </c>
      <c r="J219" s="25" t="s">
        <v>39</v>
      </c>
      <c r="K219" s="27" t="s">
        <v>1151</v>
      </c>
      <c r="L219" s="27" t="s">
        <v>1151</v>
      </c>
      <c r="M219" s="25" t="s">
        <v>1157</v>
      </c>
      <c r="N219" s="25" t="s">
        <v>170</v>
      </c>
      <c r="O219" s="25" t="s">
        <v>56</v>
      </c>
      <c r="P219" s="27" t="s">
        <v>1158</v>
      </c>
      <c r="Q219" s="25" t="s">
        <v>715</v>
      </c>
      <c r="R219" s="25" t="s">
        <v>45</v>
      </c>
      <c r="S219" s="25" t="s">
        <v>39</v>
      </c>
      <c r="T219" s="27" t="s">
        <v>101</v>
      </c>
      <c r="U219" s="34">
        <v>45663.0</v>
      </c>
      <c r="V219" s="34">
        <v>45753.0</v>
      </c>
      <c r="W219" s="29">
        <v>218.0</v>
      </c>
      <c r="X219" s="17">
        <v>45932.0</v>
      </c>
      <c r="Y219" s="30" t="s">
        <v>46</v>
      </c>
      <c r="Z219" s="17">
        <v>45932.0</v>
      </c>
      <c r="AA219" s="27" t="s">
        <v>1151</v>
      </c>
      <c r="AB219" s="27" t="s">
        <v>56</v>
      </c>
      <c r="AC219" s="27" t="str">
        <f>VLOOKUP(C219,Sheet1!$C$2:$X$1242,15,0)</f>
        <v/>
      </c>
      <c r="AD219" s="25"/>
      <c r="AE219" s="19" t="str">
        <f t="shared" si="1"/>
        <v/>
      </c>
      <c r="AF219" s="19" t="str">
        <f>VLOOKUP(C219,Sheet1!$C$2:$AE$400,24,0)</f>
        <v>CHUYÊN ĐỀ</v>
      </c>
      <c r="AG219" s="19" t="s">
        <v>70</v>
      </c>
      <c r="AH219" s="31" t="str">
        <f>VLOOKUP(AG219,gvhd!$D$3:$P$17,11,0)</f>
        <v>0938290678</v>
      </c>
      <c r="AI219" s="32" t="str">
        <f>VLOOKUP(AG219,gvhd!$D$3:$P$17,12,0)</f>
        <v>phamtthuthuy2@dtu-hti.edu.vn</v>
      </c>
    </row>
    <row r="220" ht="47.25" customHeight="1">
      <c r="A220" s="22">
        <v>45698.26129956018</v>
      </c>
      <c r="B220" s="23" t="s">
        <v>1159</v>
      </c>
      <c r="C220" s="23">
        <v>2.620712583E10</v>
      </c>
      <c r="D220" s="23" t="s">
        <v>1160</v>
      </c>
      <c r="E220" s="24">
        <v>37576.0</v>
      </c>
      <c r="F220" s="23" t="s">
        <v>1161</v>
      </c>
      <c r="G220" s="25" t="s">
        <v>63</v>
      </c>
      <c r="H220" s="25">
        <v>26.0</v>
      </c>
      <c r="I220" s="26" t="s">
        <v>1162</v>
      </c>
      <c r="J220" s="25" t="s">
        <v>39</v>
      </c>
      <c r="K220" s="27" t="s">
        <v>741</v>
      </c>
      <c r="L220" s="27"/>
      <c r="M220" s="25" t="s">
        <v>1163</v>
      </c>
      <c r="N220" s="25" t="s">
        <v>68</v>
      </c>
      <c r="O220" s="27" t="s">
        <v>117</v>
      </c>
      <c r="P220" s="27"/>
      <c r="Q220" s="26" t="s">
        <v>1164</v>
      </c>
      <c r="R220" s="25" t="s">
        <v>45</v>
      </c>
      <c r="S220" s="25" t="s">
        <v>39</v>
      </c>
      <c r="T220" s="27" t="s">
        <v>215</v>
      </c>
      <c r="U220" s="34">
        <v>45698.0</v>
      </c>
      <c r="V220" s="34">
        <v>45787.0</v>
      </c>
      <c r="W220" s="29">
        <v>219.0</v>
      </c>
      <c r="X220" s="17">
        <v>45963.0</v>
      </c>
      <c r="Y220" s="30" t="s">
        <v>46</v>
      </c>
      <c r="Z220" s="17">
        <v>45932.0</v>
      </c>
      <c r="AA220" s="27" t="s">
        <v>741</v>
      </c>
      <c r="AB220" s="27" t="s">
        <v>117</v>
      </c>
      <c r="AC220" s="27" t="str">
        <f>VLOOKUP(C220,Sheet1!$C$2:$X$1242,15,0)</f>
        <v>ĐÃ NỘP</v>
      </c>
      <c r="AD220" s="25"/>
      <c r="AE220" s="19" t="str">
        <f t="shared" si="1"/>
        <v/>
      </c>
      <c r="AF220" s="19" t="str">
        <f>VLOOKUP(C220,Sheet1!$C$2:$AE$400,24,0)</f>
        <v>CHUYÊN ĐỀ</v>
      </c>
      <c r="AG220" s="19" t="s">
        <v>58</v>
      </c>
      <c r="AH220" s="20" t="str">
        <f>VLOOKUP(AG220,gvhd!$D$3:$P$17,11,0)</f>
        <v>0905 874 626</v>
      </c>
      <c r="AI220" s="21" t="str">
        <f>VLOOKUP(AG220,gvhd!$D$3:$P$17,12,0)</f>
        <v>hosminhtai@dtu-hti.edu.vn</v>
      </c>
    </row>
    <row r="221" ht="47.25" customHeight="1">
      <c r="A221" s="22">
        <v>45698.42573141203</v>
      </c>
      <c r="B221" s="23" t="s">
        <v>1165</v>
      </c>
      <c r="C221" s="23">
        <v>2.321714451E9</v>
      </c>
      <c r="D221" s="23" t="s">
        <v>1166</v>
      </c>
      <c r="E221" s="24">
        <v>36301.0</v>
      </c>
      <c r="F221" s="23" t="s">
        <v>1167</v>
      </c>
      <c r="G221" s="25" t="s">
        <v>63</v>
      </c>
      <c r="H221" s="25">
        <v>25.0</v>
      </c>
      <c r="I221" s="26" t="s">
        <v>1168</v>
      </c>
      <c r="J221" s="25" t="s">
        <v>39</v>
      </c>
      <c r="K221" s="27" t="s">
        <v>1105</v>
      </c>
      <c r="L221" s="27"/>
      <c r="M221" s="25" t="s">
        <v>1169</v>
      </c>
      <c r="N221" s="25" t="s">
        <v>68</v>
      </c>
      <c r="O221" s="27" t="s">
        <v>92</v>
      </c>
      <c r="P221" s="27" t="s">
        <v>191</v>
      </c>
      <c r="Q221" s="26" t="s">
        <v>405</v>
      </c>
      <c r="R221" s="25" t="s">
        <v>45</v>
      </c>
      <c r="S221" s="25" t="s">
        <v>39</v>
      </c>
      <c r="T221" s="27" t="s">
        <v>215</v>
      </c>
      <c r="U221" s="34">
        <v>45726.0</v>
      </c>
      <c r="V221" s="34">
        <v>45787.0</v>
      </c>
      <c r="W221" s="29">
        <v>220.0</v>
      </c>
      <c r="X221" s="17">
        <v>45932.0</v>
      </c>
      <c r="Y221" s="30" t="s">
        <v>46</v>
      </c>
      <c r="Z221" s="17">
        <v>45932.0</v>
      </c>
      <c r="AA221" s="27" t="s">
        <v>1105</v>
      </c>
      <c r="AB221" s="27" t="s">
        <v>92</v>
      </c>
      <c r="AC221" s="27" t="str">
        <f>VLOOKUP(C221,Sheet1!$C$2:$X$1242,15,0)</f>
        <v>ĐÃ NỘP</v>
      </c>
      <c r="AD221" s="25"/>
      <c r="AE221" s="19" t="str">
        <f t="shared" si="1"/>
        <v/>
      </c>
      <c r="AF221" s="19" t="str">
        <f>VLOOKUP(C221,Sheet1!$C$2:$AE$400,24,0)</f>
        <v>CHUYÊN ĐỀ</v>
      </c>
      <c r="AG221" s="19" t="s">
        <v>137</v>
      </c>
      <c r="AH221" s="31" t="str">
        <f>VLOOKUP(AG221,gvhd!$D$3:$P$17,11,0)</f>
        <v>0905767050</v>
      </c>
      <c r="AI221" s="32" t="str">
        <f>VLOOKUP(AG221,gvhd!$D$3:$P$17,12,0)</f>
        <v>maithithuong@dtu-hti.edu.vn</v>
      </c>
    </row>
    <row r="222" ht="47.25" customHeight="1">
      <c r="A222" s="22">
        <v>45698.45430878473</v>
      </c>
      <c r="B222" s="23" t="s">
        <v>1170</v>
      </c>
      <c r="C222" s="23">
        <v>2.4207107852E10</v>
      </c>
      <c r="D222" s="23" t="s">
        <v>1171</v>
      </c>
      <c r="E222" s="24">
        <v>36801.0</v>
      </c>
      <c r="F222" s="23" t="s">
        <v>1172</v>
      </c>
      <c r="G222" s="25" t="s">
        <v>37</v>
      </c>
      <c r="H222" s="25">
        <v>24.0</v>
      </c>
      <c r="I222" s="26" t="s">
        <v>1173</v>
      </c>
      <c r="J222" s="25" t="s">
        <v>39</v>
      </c>
      <c r="K222" s="27" t="s">
        <v>621</v>
      </c>
      <c r="L222" s="27"/>
      <c r="M222" s="25" t="s">
        <v>1174</v>
      </c>
      <c r="N222" s="25" t="s">
        <v>1175</v>
      </c>
      <c r="O222" s="27" t="s">
        <v>56</v>
      </c>
      <c r="P222" s="27"/>
      <c r="Q222" s="26" t="s">
        <v>156</v>
      </c>
      <c r="R222" s="25" t="s">
        <v>45</v>
      </c>
      <c r="S222" s="25" t="s">
        <v>39</v>
      </c>
      <c r="T222" s="27"/>
      <c r="U222" s="34">
        <v>45553.0</v>
      </c>
      <c r="V222" s="34">
        <v>45657.0</v>
      </c>
      <c r="W222" s="29">
        <v>221.0</v>
      </c>
      <c r="X222" s="17">
        <v>45932.0</v>
      </c>
      <c r="Y222" s="30" t="s">
        <v>46</v>
      </c>
      <c r="Z222" s="17">
        <v>45932.0</v>
      </c>
      <c r="AA222" s="27" t="s">
        <v>621</v>
      </c>
      <c r="AB222" s="27" t="s">
        <v>56</v>
      </c>
      <c r="AC222" s="27" t="str">
        <f>VLOOKUP(C222,Sheet1!$C$2:$X$1242,15,0)</f>
        <v>ĐÃ NỘP</v>
      </c>
      <c r="AD222" s="25" t="s">
        <v>1176</v>
      </c>
      <c r="AE222" s="19" t="str">
        <f t="shared" si="1"/>
        <v/>
      </c>
      <c r="AF222" s="19" t="str">
        <f>VLOOKUP(C222,Sheet1!$C$2:$AE$400,24,0)</f>
        <v>CHUYÊN ĐỀ</v>
      </c>
      <c r="AG222" s="19" t="s">
        <v>48</v>
      </c>
      <c r="AH222" s="20" t="str">
        <f>VLOOKUP(AG222,gvhd!$D$3:$P$17,11,0)</f>
        <v>0327892117</v>
      </c>
      <c r="AI222" s="21" t="str">
        <f>VLOOKUP(AG222,gvhd!$D$3:$P$17,12,0)</f>
        <v>dangtthuytrang3@dtu-hti.edu.vn</v>
      </c>
    </row>
    <row r="223" ht="47.25" customHeight="1">
      <c r="A223" s="22">
        <v>45698.59394460648</v>
      </c>
      <c r="B223" s="23" t="s">
        <v>1177</v>
      </c>
      <c r="C223" s="23">
        <v>2.7207121356E10</v>
      </c>
      <c r="D223" s="23" t="s">
        <v>1178</v>
      </c>
      <c r="E223" s="24">
        <v>37800.0</v>
      </c>
      <c r="F223" s="23" t="s">
        <v>1179</v>
      </c>
      <c r="G223" s="25" t="s">
        <v>63</v>
      </c>
      <c r="H223" s="25">
        <v>27.0</v>
      </c>
      <c r="I223" s="26" t="s">
        <v>1180</v>
      </c>
      <c r="J223" s="25" t="s">
        <v>39</v>
      </c>
      <c r="K223" s="27" t="s">
        <v>98</v>
      </c>
      <c r="L223" s="27"/>
      <c r="M223" s="25" t="s">
        <v>1181</v>
      </c>
      <c r="N223" s="25" t="s">
        <v>68</v>
      </c>
      <c r="O223" s="27" t="s">
        <v>56</v>
      </c>
      <c r="P223" s="27"/>
      <c r="Q223" s="26" t="s">
        <v>156</v>
      </c>
      <c r="R223" s="25" t="s">
        <v>45</v>
      </c>
      <c r="S223" s="25" t="s">
        <v>39</v>
      </c>
      <c r="T223" s="27" t="s">
        <v>215</v>
      </c>
      <c r="U223" s="34">
        <v>45697.0</v>
      </c>
      <c r="V223" s="34">
        <v>45786.0</v>
      </c>
      <c r="W223" s="29">
        <v>222.0</v>
      </c>
      <c r="X223" s="17">
        <v>45963.0</v>
      </c>
      <c r="Y223" s="30" t="s">
        <v>46</v>
      </c>
      <c r="Z223" s="17">
        <v>45932.0</v>
      </c>
      <c r="AA223" s="27" t="s">
        <v>98</v>
      </c>
      <c r="AB223" s="27" t="s">
        <v>56</v>
      </c>
      <c r="AC223" s="27" t="str">
        <f>VLOOKUP(C223,Sheet1!$C$2:$X$1242,15,0)</f>
        <v/>
      </c>
      <c r="AD223" s="25"/>
      <c r="AE223" s="19" t="str">
        <f t="shared" si="1"/>
        <v/>
      </c>
      <c r="AF223" s="19" t="str">
        <f>VLOOKUP(C223,Sheet1!$C$2:$AE$400,24,0)</f>
        <v>CHUYÊN ĐỀ</v>
      </c>
      <c r="AG223" s="19" t="s">
        <v>101</v>
      </c>
      <c r="AH223" s="31" t="str">
        <f>VLOOKUP(AG223,gvhd!$D$3:$P$17,11,0)</f>
        <v>0935 141614</v>
      </c>
      <c r="AI223" s="32" t="str">
        <f>VLOOKUP(AG223,gvhd!$D$3:$P$17,12,0)</f>
        <v>phamthoangdung@duytan.edu.vn</v>
      </c>
    </row>
    <row r="224" ht="47.25" customHeight="1">
      <c r="A224" s="22">
        <v>45698.598619004624</v>
      </c>
      <c r="B224" s="23" t="s">
        <v>1182</v>
      </c>
      <c r="C224" s="23">
        <v>2.4212102088E10</v>
      </c>
      <c r="D224" s="23" t="s">
        <v>1183</v>
      </c>
      <c r="E224" s="24">
        <v>36817.0</v>
      </c>
      <c r="F224" s="23" t="s">
        <v>1184</v>
      </c>
      <c r="G224" s="25" t="s">
        <v>63</v>
      </c>
      <c r="H224" s="25">
        <v>24.0</v>
      </c>
      <c r="I224" s="25">
        <v>3.37449773E8</v>
      </c>
      <c r="J224" s="25" t="s">
        <v>39</v>
      </c>
      <c r="K224" s="27" t="s">
        <v>892</v>
      </c>
      <c r="L224" s="27"/>
      <c r="M224" s="25" t="s">
        <v>1185</v>
      </c>
      <c r="N224" s="25" t="s">
        <v>68</v>
      </c>
      <c r="O224" s="27" t="s">
        <v>56</v>
      </c>
      <c r="P224" s="27"/>
      <c r="Q224" s="26" t="s">
        <v>156</v>
      </c>
      <c r="R224" s="25" t="s">
        <v>45</v>
      </c>
      <c r="S224" s="25" t="s">
        <v>39</v>
      </c>
      <c r="T224" s="27"/>
      <c r="U224" s="34">
        <v>45699.0</v>
      </c>
      <c r="V224" s="34">
        <v>45788.0</v>
      </c>
      <c r="W224" s="29">
        <v>223.0</v>
      </c>
      <c r="X224" s="17">
        <v>45963.0</v>
      </c>
      <c r="Y224" s="30" t="s">
        <v>46</v>
      </c>
      <c r="Z224" s="17">
        <v>45932.0</v>
      </c>
      <c r="AA224" s="27" t="s">
        <v>892</v>
      </c>
      <c r="AB224" s="27" t="s">
        <v>56</v>
      </c>
      <c r="AC224" s="27" t="str">
        <f>VLOOKUP(C224,Sheet1!$C$2:$X$1242,15,0)</f>
        <v>ĐÃ NỘP</v>
      </c>
      <c r="AD224" s="25"/>
      <c r="AE224" s="19" t="str">
        <f t="shared" si="1"/>
        <v/>
      </c>
      <c r="AF224" s="19" t="str">
        <f>VLOOKUP(C224,Sheet1!$C$2:$AE$400,24,0)</f>
        <v>CHUYÊN ĐỀ</v>
      </c>
      <c r="AG224" s="19" t="s">
        <v>70</v>
      </c>
      <c r="AH224" s="20" t="str">
        <f>VLOOKUP(AG224,gvhd!$D$3:$P$17,11,0)</f>
        <v>0938290678</v>
      </c>
      <c r="AI224" s="21" t="str">
        <f>VLOOKUP(AG224,gvhd!$D$3:$P$17,12,0)</f>
        <v>phamtthuthuy2@dtu-hti.edu.vn</v>
      </c>
    </row>
    <row r="225" ht="47.25" customHeight="1">
      <c r="A225" s="22">
        <v>45698.63095644676</v>
      </c>
      <c r="B225" s="23" t="s">
        <v>1186</v>
      </c>
      <c r="C225" s="23">
        <v>2.7217200882E10</v>
      </c>
      <c r="D225" s="23" t="s">
        <v>1187</v>
      </c>
      <c r="E225" s="24">
        <v>37765.0</v>
      </c>
      <c r="F225" s="23" t="s">
        <v>129</v>
      </c>
      <c r="G225" s="25" t="s">
        <v>63</v>
      </c>
      <c r="H225" s="25">
        <v>27.0</v>
      </c>
      <c r="I225" s="26" t="s">
        <v>1188</v>
      </c>
      <c r="J225" s="25" t="s">
        <v>39</v>
      </c>
      <c r="K225" s="27" t="s">
        <v>124</v>
      </c>
      <c r="L225" s="27"/>
      <c r="M225" s="25" t="s">
        <v>125</v>
      </c>
      <c r="N225" s="25" t="s">
        <v>68</v>
      </c>
      <c r="O225" s="27" t="s">
        <v>448</v>
      </c>
      <c r="P225" s="27"/>
      <c r="Q225" s="26" t="s">
        <v>156</v>
      </c>
      <c r="R225" s="25" t="s">
        <v>45</v>
      </c>
      <c r="S225" s="25" t="s">
        <v>39</v>
      </c>
      <c r="T225" s="27" t="s">
        <v>77</v>
      </c>
      <c r="U225" s="34">
        <v>45698.0</v>
      </c>
      <c r="V225" s="34">
        <v>45787.0</v>
      </c>
      <c r="W225" s="29">
        <v>224.0</v>
      </c>
      <c r="X225" s="17">
        <v>45963.0</v>
      </c>
      <c r="Y225" s="30" t="s">
        <v>46</v>
      </c>
      <c r="Z225" s="17">
        <v>45932.0</v>
      </c>
      <c r="AA225" s="27" t="s">
        <v>124</v>
      </c>
      <c r="AB225" s="27" t="s">
        <v>448</v>
      </c>
      <c r="AC225" s="27" t="str">
        <f>VLOOKUP(C225,Sheet1!$C$2:$X$1242,15,0)</f>
        <v/>
      </c>
      <c r="AD225" s="25"/>
      <c r="AE225" s="19" t="str">
        <f t="shared" si="1"/>
        <v/>
      </c>
      <c r="AF225" s="19" t="str">
        <f>VLOOKUP(C225,Sheet1!$C$2:$AE$400,24,0)</f>
        <v>CHUYÊN ĐỀ</v>
      </c>
      <c r="AG225" s="19" t="s">
        <v>120</v>
      </c>
      <c r="AH225" s="31" t="str">
        <f>VLOOKUP(AG225,gvhd!$D$3:$P$17,11,0)</f>
        <v>0375658728</v>
      </c>
      <c r="AI225" s="32" t="str">
        <f>VLOOKUP(AG225,gvhd!$D$3:$P$17,12,0)</f>
        <v>trinhtkimchung@dtu-hti.edu.vn</v>
      </c>
    </row>
    <row r="226" ht="47.25" customHeight="1">
      <c r="A226" s="22">
        <v>45701.40950297454</v>
      </c>
      <c r="B226" s="23" t="s">
        <v>1189</v>
      </c>
      <c r="C226" s="23">
        <v>2.6217135049E10</v>
      </c>
      <c r="D226" s="23" t="s">
        <v>1190</v>
      </c>
      <c r="E226" s="24">
        <v>37459.0</v>
      </c>
      <c r="F226" s="23" t="s">
        <v>1191</v>
      </c>
      <c r="G226" s="25" t="s">
        <v>63</v>
      </c>
      <c r="H226" s="25">
        <v>26.0</v>
      </c>
      <c r="I226" s="26" t="s">
        <v>1192</v>
      </c>
      <c r="J226" s="25" t="s">
        <v>39</v>
      </c>
      <c r="K226" s="25" t="s">
        <v>424</v>
      </c>
      <c r="L226" s="27"/>
      <c r="M226" s="25" t="s">
        <v>1193</v>
      </c>
      <c r="N226" s="25" t="s">
        <v>170</v>
      </c>
      <c r="O226" s="27" t="s">
        <v>56</v>
      </c>
      <c r="P226" s="27"/>
      <c r="Q226" s="26" t="s">
        <v>405</v>
      </c>
      <c r="R226" s="25" t="s">
        <v>45</v>
      </c>
      <c r="S226" s="25" t="s">
        <v>39</v>
      </c>
      <c r="T226" s="27"/>
      <c r="U226" s="34">
        <v>45698.0</v>
      </c>
      <c r="V226" s="34">
        <v>45787.0</v>
      </c>
      <c r="W226" s="29">
        <v>225.0</v>
      </c>
      <c r="X226" s="17"/>
      <c r="Y226" s="30" t="s">
        <v>46</v>
      </c>
      <c r="Z226" s="29" t="s">
        <v>253</v>
      </c>
      <c r="AA226" s="27" t="s">
        <v>424</v>
      </c>
      <c r="AB226" s="27" t="s">
        <v>56</v>
      </c>
      <c r="AC226" s="27" t="str">
        <f>VLOOKUP(C226,Sheet1!$C$2:$X$1242,15,0)</f>
        <v>ĐÃ NỘP</v>
      </c>
      <c r="AD226" s="25"/>
      <c r="AE226" s="19" t="str">
        <f t="shared" si="1"/>
        <v/>
      </c>
      <c r="AF226" s="19" t="str">
        <f>VLOOKUP(C226,Sheet1!$C$2:$AE$400,24,0)</f>
        <v>CHUYÊN ĐỀ</v>
      </c>
      <c r="AG226" s="19" t="s">
        <v>71</v>
      </c>
      <c r="AH226" s="20" t="str">
        <f>VLOOKUP(AG226,gvhd!$D$3:$P$17,11,0)</f>
        <v>0702605664</v>
      </c>
      <c r="AI226" s="21" t="str">
        <f>VLOOKUP(AG226,gvhd!$D$3:$P$17,12,0)</f>
        <v>huynhlthuylinh@dtu-hti.edu.vn</v>
      </c>
    </row>
    <row r="227" ht="47.25" customHeight="1">
      <c r="A227" s="22">
        <v>45698.65589</v>
      </c>
      <c r="B227" s="23" t="s">
        <v>1194</v>
      </c>
      <c r="C227" s="23">
        <v>2.7207125326E10</v>
      </c>
      <c r="D227" s="23" t="s">
        <v>1195</v>
      </c>
      <c r="E227" s="24">
        <v>37718.0</v>
      </c>
      <c r="F227" s="23" t="s">
        <v>129</v>
      </c>
      <c r="G227" s="25" t="s">
        <v>63</v>
      </c>
      <c r="H227" s="25">
        <v>27.0</v>
      </c>
      <c r="I227" s="26" t="s">
        <v>1196</v>
      </c>
      <c r="J227" s="25" t="s">
        <v>39</v>
      </c>
      <c r="K227" s="27" t="s">
        <v>977</v>
      </c>
      <c r="L227" s="27"/>
      <c r="M227" s="25" t="s">
        <v>1197</v>
      </c>
      <c r="N227" s="25" t="s">
        <v>68</v>
      </c>
      <c r="O227" s="27" t="s">
        <v>1198</v>
      </c>
      <c r="P227" s="27"/>
      <c r="Q227" s="26" t="s">
        <v>156</v>
      </c>
      <c r="R227" s="25" t="s">
        <v>45</v>
      </c>
      <c r="S227" s="25" t="s">
        <v>39</v>
      </c>
      <c r="T227" s="27"/>
      <c r="U227" s="34">
        <v>45694.0</v>
      </c>
      <c r="V227" s="34">
        <v>45787.0</v>
      </c>
      <c r="W227" s="29">
        <v>226.0</v>
      </c>
      <c r="X227" s="17">
        <v>45932.0</v>
      </c>
      <c r="Y227" s="30" t="s">
        <v>46</v>
      </c>
      <c r="Z227" s="17">
        <v>45932.0</v>
      </c>
      <c r="AA227" s="27" t="s">
        <v>977</v>
      </c>
      <c r="AB227" s="27" t="s">
        <v>1198</v>
      </c>
      <c r="AC227" s="27" t="str">
        <f>VLOOKUP(C227,Sheet1!$C$2:$X$1242,15,0)</f>
        <v/>
      </c>
      <c r="AD227" s="25"/>
      <c r="AE227" s="19" t="str">
        <f t="shared" si="1"/>
        <v/>
      </c>
      <c r="AF227" s="19" t="str">
        <f>VLOOKUP(C227,Sheet1!$C$2:$AE$400,24,0)</f>
        <v>CHUYÊN ĐỀ</v>
      </c>
      <c r="AG227" s="19" t="s">
        <v>58</v>
      </c>
      <c r="AH227" s="31" t="str">
        <f>VLOOKUP(AG227,gvhd!$D$3:$P$17,11,0)</f>
        <v>0905 874 626</v>
      </c>
      <c r="AI227" s="32" t="str">
        <f>VLOOKUP(AG227,gvhd!$D$3:$P$17,12,0)</f>
        <v>hosminhtai@dtu-hti.edu.vn</v>
      </c>
    </row>
    <row r="228" ht="47.25" customHeight="1">
      <c r="A228" s="22">
        <v>45698.69315</v>
      </c>
      <c r="B228" s="23" t="s">
        <v>1199</v>
      </c>
      <c r="C228" s="23">
        <v>2.4207201291E10</v>
      </c>
      <c r="D228" s="23" t="s">
        <v>1200</v>
      </c>
      <c r="E228" s="24">
        <v>36715.0</v>
      </c>
      <c r="F228" s="23" t="s">
        <v>1201</v>
      </c>
      <c r="G228" s="25" t="s">
        <v>355</v>
      </c>
      <c r="H228" s="25">
        <v>24.0</v>
      </c>
      <c r="I228" s="26" t="s">
        <v>1202</v>
      </c>
      <c r="J228" s="25" t="s">
        <v>288</v>
      </c>
      <c r="K228" s="27" t="s">
        <v>892</v>
      </c>
      <c r="L228" s="27"/>
      <c r="M228" s="25" t="s">
        <v>1203</v>
      </c>
      <c r="N228" s="25" t="s">
        <v>196</v>
      </c>
      <c r="O228" s="27" t="s">
        <v>56</v>
      </c>
      <c r="P228" s="27"/>
      <c r="Q228" s="25" t="s">
        <v>1204</v>
      </c>
      <c r="R228" s="25" t="s">
        <v>45</v>
      </c>
      <c r="S228" s="25" t="s">
        <v>288</v>
      </c>
      <c r="T228" s="27"/>
      <c r="U228" s="34">
        <v>45699.0</v>
      </c>
      <c r="V228" s="34">
        <v>45787.0</v>
      </c>
      <c r="W228" s="29">
        <v>227.0</v>
      </c>
      <c r="X228" s="17"/>
      <c r="Y228" s="30" t="s">
        <v>252</v>
      </c>
      <c r="Z228" s="17">
        <v>45932.0</v>
      </c>
      <c r="AA228" s="27" t="s">
        <v>892</v>
      </c>
      <c r="AB228" s="27" t="s">
        <v>56</v>
      </c>
      <c r="AC228" s="27" t="str">
        <f>VLOOKUP(C228,Sheet1!$C$2:$X$1242,15,0)</f>
        <v>ĐÃ NỘP</v>
      </c>
      <c r="AD228" s="25"/>
      <c r="AE228" s="19" t="str">
        <f t="shared" si="1"/>
        <v/>
      </c>
      <c r="AF228" s="19" t="str">
        <f>VLOOKUP(C228,Sheet1!$C$2:$AE$400,24,0)</f>
        <v>KHÓA LUẬN</v>
      </c>
      <c r="AG228" s="19" t="s">
        <v>215</v>
      </c>
      <c r="AH228" s="20" t="str">
        <f>VLOOKUP(AG228,gvhd!$D$3:$P$17,11,0)</f>
        <v>0905938748</v>
      </c>
      <c r="AI228" s="21" t="str">
        <f>VLOOKUP(AG228,gvhd!$D$3:$P$17,12,0)</f>
        <v>duongtxuandieu@dtu-hti.edu.vn</v>
      </c>
    </row>
    <row r="229" ht="47.25" customHeight="1">
      <c r="A229" s="22">
        <v>45698.6936950463</v>
      </c>
      <c r="B229" s="23" t="s">
        <v>1205</v>
      </c>
      <c r="C229" s="23">
        <v>2.7207140437E10</v>
      </c>
      <c r="D229" s="23" t="s">
        <v>1206</v>
      </c>
      <c r="E229" s="24">
        <v>37790.0</v>
      </c>
      <c r="F229" s="23" t="s">
        <v>108</v>
      </c>
      <c r="G229" s="25" t="s">
        <v>63</v>
      </c>
      <c r="H229" s="25">
        <v>27.0</v>
      </c>
      <c r="I229" s="26" t="s">
        <v>1207</v>
      </c>
      <c r="J229" s="25" t="s">
        <v>39</v>
      </c>
      <c r="K229" s="27" t="s">
        <v>892</v>
      </c>
      <c r="L229" s="27"/>
      <c r="M229" s="25" t="s">
        <v>1208</v>
      </c>
      <c r="N229" s="25" t="s">
        <v>68</v>
      </c>
      <c r="O229" s="27" t="s">
        <v>56</v>
      </c>
      <c r="P229" s="27"/>
      <c r="Q229" s="26" t="s">
        <v>156</v>
      </c>
      <c r="R229" s="25" t="s">
        <v>45</v>
      </c>
      <c r="S229" s="25" t="s">
        <v>39</v>
      </c>
      <c r="T229" s="27"/>
      <c r="U229" s="34">
        <v>45698.0</v>
      </c>
      <c r="V229" s="34">
        <v>45787.0</v>
      </c>
      <c r="W229" s="29">
        <v>228.0</v>
      </c>
      <c r="X229" s="17">
        <v>45963.0</v>
      </c>
      <c r="Y229" s="30" t="s">
        <v>46</v>
      </c>
      <c r="Z229" s="17">
        <v>45932.0</v>
      </c>
      <c r="AA229" s="27" t="s">
        <v>892</v>
      </c>
      <c r="AB229" s="15" t="s">
        <v>56</v>
      </c>
      <c r="AC229" s="27" t="str">
        <f>VLOOKUP(C229,Sheet1!$C$2:$X$1242,15,0)</f>
        <v/>
      </c>
      <c r="AD229" s="25"/>
      <c r="AE229" s="19" t="str">
        <f t="shared" si="1"/>
        <v/>
      </c>
      <c r="AF229" s="19" t="str">
        <f>VLOOKUP(C229,Sheet1!$C$2:$AE$400,24,0)</f>
        <v>CHUYÊN ĐỀ</v>
      </c>
      <c r="AG229" s="19" t="s">
        <v>70</v>
      </c>
      <c r="AH229" s="31" t="str">
        <f>VLOOKUP(AG229,gvhd!$D$3:$P$17,11,0)</f>
        <v>0938290678</v>
      </c>
      <c r="AI229" s="32" t="str">
        <f>VLOOKUP(AG229,gvhd!$D$3:$P$17,12,0)</f>
        <v>phamtthuthuy2@dtu-hti.edu.vn</v>
      </c>
    </row>
    <row r="230" ht="47.25" customHeight="1">
      <c r="A230" s="22">
        <v>45698.740578020836</v>
      </c>
      <c r="B230" s="23" t="s">
        <v>1209</v>
      </c>
      <c r="C230" s="23">
        <v>2.6217125462E10</v>
      </c>
      <c r="D230" s="23" t="s">
        <v>1210</v>
      </c>
      <c r="E230" s="24">
        <v>37380.0</v>
      </c>
      <c r="F230" s="23" t="s">
        <v>1211</v>
      </c>
      <c r="G230" s="25" t="s">
        <v>37</v>
      </c>
      <c r="H230" s="25">
        <v>26.0</v>
      </c>
      <c r="I230" s="26" t="s">
        <v>1212</v>
      </c>
      <c r="J230" s="25" t="s">
        <v>39</v>
      </c>
      <c r="K230" s="27" t="s">
        <v>325</v>
      </c>
      <c r="L230" s="27" t="s">
        <v>325</v>
      </c>
      <c r="M230" s="25" t="s">
        <v>414</v>
      </c>
      <c r="N230" s="25" t="s">
        <v>68</v>
      </c>
      <c r="O230" s="27" t="s">
        <v>92</v>
      </c>
      <c r="P230" s="27"/>
      <c r="Q230" s="26" t="s">
        <v>156</v>
      </c>
      <c r="R230" s="25" t="s">
        <v>45</v>
      </c>
      <c r="S230" s="25" t="s">
        <v>39</v>
      </c>
      <c r="T230" s="27"/>
      <c r="U230" s="34">
        <v>45698.0</v>
      </c>
      <c r="V230" s="34">
        <v>45787.0</v>
      </c>
      <c r="W230" s="29">
        <v>229.0</v>
      </c>
      <c r="X230" s="17">
        <v>45963.0</v>
      </c>
      <c r="Y230" s="30" t="s">
        <v>46</v>
      </c>
      <c r="Z230" s="17">
        <v>45963.0</v>
      </c>
      <c r="AA230" s="27" t="s">
        <v>325</v>
      </c>
      <c r="AB230" s="15" t="s">
        <v>92</v>
      </c>
      <c r="AC230" s="27" t="str">
        <f>VLOOKUP(C230,Sheet1!$C$2:$X$1242,15,0)</f>
        <v>ĐÃ NỘP</v>
      </c>
      <c r="AD230" s="25"/>
      <c r="AE230" s="19" t="str">
        <f t="shared" si="1"/>
        <v/>
      </c>
      <c r="AF230" s="19" t="str">
        <f>VLOOKUP(C230,Sheet1!$C$2:$AE$400,24,0)</f>
        <v>CHUYÊN ĐỀ</v>
      </c>
      <c r="AG230" s="19" t="s">
        <v>93</v>
      </c>
      <c r="AH230" s="20" t="str">
        <f>VLOOKUP(AG230,gvhd!$D$3:$P$17,11,0)</f>
        <v>0904464092</v>
      </c>
      <c r="AI230" s="21" t="str">
        <f>VLOOKUP(AG230,gvhd!$D$3:$P$17,12,0)</f>
        <v>anhphuong@duytan.edu.vn</v>
      </c>
    </row>
    <row r="231" ht="47.25" customHeight="1">
      <c r="A231" s="22">
        <v>45698.75279115741</v>
      </c>
      <c r="B231" s="23" t="s">
        <v>1213</v>
      </c>
      <c r="C231" s="23">
        <v>2.6207142039E10</v>
      </c>
      <c r="D231" s="23" t="s">
        <v>1214</v>
      </c>
      <c r="E231" s="24">
        <v>37291.0</v>
      </c>
      <c r="F231" s="23" t="s">
        <v>1215</v>
      </c>
      <c r="G231" s="25" t="s">
        <v>63</v>
      </c>
      <c r="H231" s="25">
        <v>26.0</v>
      </c>
      <c r="I231" s="26" t="s">
        <v>1216</v>
      </c>
      <c r="J231" s="25" t="s">
        <v>39</v>
      </c>
      <c r="K231" s="27" t="s">
        <v>1217</v>
      </c>
      <c r="L231" s="27" t="s">
        <v>1217</v>
      </c>
      <c r="M231" s="25" t="s">
        <v>1218</v>
      </c>
      <c r="N231" s="25" t="s">
        <v>924</v>
      </c>
      <c r="O231" s="27" t="s">
        <v>117</v>
      </c>
      <c r="P231" s="27"/>
      <c r="Q231" s="26" t="s">
        <v>156</v>
      </c>
      <c r="R231" s="25" t="s">
        <v>45</v>
      </c>
      <c r="S231" s="25" t="s">
        <v>39</v>
      </c>
      <c r="T231" s="27"/>
      <c r="U231" s="34">
        <v>45698.0</v>
      </c>
      <c r="V231" s="34">
        <v>45787.0</v>
      </c>
      <c r="W231" s="29">
        <v>230.0</v>
      </c>
      <c r="X231" s="17">
        <v>45963.0</v>
      </c>
      <c r="Y231" s="30" t="s">
        <v>252</v>
      </c>
      <c r="Z231" s="17">
        <v>45963.0</v>
      </c>
      <c r="AA231" s="27" t="s">
        <v>1217</v>
      </c>
      <c r="AB231" s="15" t="s">
        <v>117</v>
      </c>
      <c r="AC231" s="27" t="str">
        <f>VLOOKUP(C231,Sheet1!$C$2:$X$1242,15,0)</f>
        <v>ĐÃ NỘP</v>
      </c>
      <c r="AD231" s="25" t="s">
        <v>1219</v>
      </c>
      <c r="AE231" s="19" t="str">
        <f t="shared" si="1"/>
        <v/>
      </c>
      <c r="AF231" s="19" t="str">
        <f>VLOOKUP(C231,Sheet1!$C$2:$AE$400,24,0)</f>
        <v>CHUYÊN ĐỀ</v>
      </c>
      <c r="AG231" s="19" t="s">
        <v>120</v>
      </c>
      <c r="AH231" s="31" t="str">
        <f>VLOOKUP(AG231,gvhd!$D$3:$P$17,11,0)</f>
        <v>0375658728</v>
      </c>
      <c r="AI231" s="32" t="str">
        <f>VLOOKUP(AG231,gvhd!$D$3:$P$17,12,0)</f>
        <v>trinhtkimchung@dtu-hti.edu.vn</v>
      </c>
    </row>
    <row r="232" ht="47.25" customHeight="1">
      <c r="A232" s="22">
        <v>45698.909285497684</v>
      </c>
      <c r="B232" s="23" t="s">
        <v>1220</v>
      </c>
      <c r="C232" s="23">
        <v>2.7207146213E10</v>
      </c>
      <c r="D232" s="23" t="s">
        <v>1221</v>
      </c>
      <c r="E232" s="24">
        <v>37707.0</v>
      </c>
      <c r="F232" s="23" t="s">
        <v>1222</v>
      </c>
      <c r="G232" s="25" t="s">
        <v>63</v>
      </c>
      <c r="H232" s="25">
        <v>27.0</v>
      </c>
      <c r="I232" s="26" t="s">
        <v>1223</v>
      </c>
      <c r="J232" s="25" t="s">
        <v>39</v>
      </c>
      <c r="K232" s="27" t="s">
        <v>1224</v>
      </c>
      <c r="L232" s="27" t="s">
        <v>1224</v>
      </c>
      <c r="M232" s="25" t="s">
        <v>1225</v>
      </c>
      <c r="N232" s="25" t="s">
        <v>924</v>
      </c>
      <c r="O232" s="27" t="s">
        <v>56</v>
      </c>
      <c r="P232" s="27"/>
      <c r="Q232" s="26" t="s">
        <v>395</v>
      </c>
      <c r="R232" s="25" t="s">
        <v>45</v>
      </c>
      <c r="S232" s="25" t="s">
        <v>39</v>
      </c>
      <c r="T232" s="27" t="s">
        <v>137</v>
      </c>
      <c r="U232" s="34">
        <v>45698.0</v>
      </c>
      <c r="V232" s="34">
        <v>45787.0</v>
      </c>
      <c r="W232" s="29">
        <v>231.0</v>
      </c>
      <c r="X232" s="17">
        <v>45963.0</v>
      </c>
      <c r="Y232" s="30" t="s">
        <v>46</v>
      </c>
      <c r="Z232" s="17">
        <v>45963.0</v>
      </c>
      <c r="AA232" s="27" t="s">
        <v>1224</v>
      </c>
      <c r="AB232" s="15" t="s">
        <v>56</v>
      </c>
      <c r="AC232" s="27" t="str">
        <f>VLOOKUP(C232,Sheet1!$C$2:$X$1242,15,0)</f>
        <v/>
      </c>
      <c r="AD232" s="25"/>
      <c r="AE232" s="19" t="str">
        <f t="shared" si="1"/>
        <v/>
      </c>
      <c r="AF232" s="19" t="str">
        <f>VLOOKUP(C232,Sheet1!$C$2:$AE$400,24,0)</f>
        <v>không đủ điều kiện</v>
      </c>
      <c r="AG232" s="19"/>
      <c r="AH232" s="20"/>
      <c r="AI232" s="21"/>
    </row>
    <row r="233" ht="47.25" customHeight="1">
      <c r="A233" s="22">
        <v>45698.92394390046</v>
      </c>
      <c r="B233" s="23" t="s">
        <v>1226</v>
      </c>
      <c r="C233" s="23">
        <v>2.7207127705E10</v>
      </c>
      <c r="D233" s="23" t="s">
        <v>1227</v>
      </c>
      <c r="E233" s="24">
        <v>37814.0</v>
      </c>
      <c r="F233" s="23" t="s">
        <v>1228</v>
      </c>
      <c r="G233" s="25" t="s">
        <v>63</v>
      </c>
      <c r="H233" s="25">
        <v>27.0</v>
      </c>
      <c r="I233" s="26" t="s">
        <v>1229</v>
      </c>
      <c r="J233" s="25" t="s">
        <v>39</v>
      </c>
      <c r="K233" s="27" t="s">
        <v>393</v>
      </c>
      <c r="L233" s="27"/>
      <c r="M233" s="25" t="s">
        <v>1230</v>
      </c>
      <c r="N233" s="25" t="s">
        <v>170</v>
      </c>
      <c r="O233" s="27" t="s">
        <v>56</v>
      </c>
      <c r="P233" s="27"/>
      <c r="Q233" s="26" t="s">
        <v>156</v>
      </c>
      <c r="R233" s="25" t="s">
        <v>45</v>
      </c>
      <c r="S233" s="25" t="s">
        <v>39</v>
      </c>
      <c r="T233" s="27" t="s">
        <v>77</v>
      </c>
      <c r="U233" s="34">
        <v>45698.0</v>
      </c>
      <c r="V233" s="34">
        <v>45787.0</v>
      </c>
      <c r="W233" s="29">
        <v>232.0</v>
      </c>
      <c r="X233" s="17">
        <v>45963.0</v>
      </c>
      <c r="Y233" s="30" t="s">
        <v>46</v>
      </c>
      <c r="Z233" s="17">
        <v>45963.0</v>
      </c>
      <c r="AA233" s="27" t="s">
        <v>393</v>
      </c>
      <c r="AB233" s="15" t="s">
        <v>56</v>
      </c>
      <c r="AC233" s="27" t="str">
        <f>VLOOKUP(C233,Sheet1!$C$2:$X$1242,15,0)</f>
        <v/>
      </c>
      <c r="AD233" s="25"/>
      <c r="AE233" s="19" t="str">
        <f t="shared" si="1"/>
        <v/>
      </c>
      <c r="AF233" s="19" t="str">
        <f>VLOOKUP(C233,Sheet1!$C$2:$AE$400,24,0)</f>
        <v>không đủ điều kiện</v>
      </c>
      <c r="AG233" s="19"/>
      <c r="AH233" s="31"/>
      <c r="AI233" s="32"/>
    </row>
    <row r="234" ht="47.25" customHeight="1">
      <c r="A234" s="22">
        <v>45698.95501138888</v>
      </c>
      <c r="B234" s="23" t="s">
        <v>1231</v>
      </c>
      <c r="C234" s="23">
        <v>2.5217104376E10</v>
      </c>
      <c r="D234" s="23" t="s">
        <v>1232</v>
      </c>
      <c r="E234" s="24">
        <v>37152.0</v>
      </c>
      <c r="F234" s="23" t="s">
        <v>1233</v>
      </c>
      <c r="G234" s="25" t="s">
        <v>37</v>
      </c>
      <c r="H234" s="25">
        <v>25.0</v>
      </c>
      <c r="I234" s="26" t="s">
        <v>1234</v>
      </c>
      <c r="J234" s="25" t="s">
        <v>39</v>
      </c>
      <c r="K234" s="27" t="s">
        <v>741</v>
      </c>
      <c r="L234" s="27"/>
      <c r="M234" s="25" t="s">
        <v>1235</v>
      </c>
      <c r="N234" s="25" t="s">
        <v>68</v>
      </c>
      <c r="O234" s="27" t="s">
        <v>56</v>
      </c>
      <c r="P234" s="27"/>
      <c r="Q234" s="26" t="s">
        <v>405</v>
      </c>
      <c r="R234" s="25" t="s">
        <v>45</v>
      </c>
      <c r="S234" s="25" t="s">
        <v>39</v>
      </c>
      <c r="T234" s="27"/>
      <c r="U234" s="34">
        <v>45698.0</v>
      </c>
      <c r="V234" s="34">
        <v>45787.0</v>
      </c>
      <c r="W234" s="29">
        <v>233.0</v>
      </c>
      <c r="X234" s="17">
        <v>45963.0</v>
      </c>
      <c r="Y234" s="30" t="s">
        <v>46</v>
      </c>
      <c r="Z234" s="17">
        <v>45963.0</v>
      </c>
      <c r="AA234" s="27" t="s">
        <v>741</v>
      </c>
      <c r="AB234" s="27" t="s">
        <v>56</v>
      </c>
      <c r="AC234" s="27" t="str">
        <f>VLOOKUP(C234,Sheet1!$C$2:$X$1242,15,0)</f>
        <v>ĐÃ NỘP</v>
      </c>
      <c r="AD234" s="25"/>
      <c r="AE234" s="19" t="str">
        <f t="shared" si="1"/>
        <v/>
      </c>
      <c r="AF234" s="19" t="str">
        <f>VLOOKUP(C234,Sheet1!$C$2:$AE$400,24,0)</f>
        <v>CHUYÊN ĐỀ</v>
      </c>
      <c r="AG234" s="19" t="s">
        <v>77</v>
      </c>
      <c r="AH234" s="20" t="str">
        <f>VLOOKUP(AG234,gvhd!$D$3:$P$17,11,0)</f>
        <v>0906 029 602</v>
      </c>
      <c r="AI234" s="21" t="str">
        <f>VLOOKUP(AG234,gvhd!$D$3:$P$17,12,0)</f>
        <v>tranhoanganh@dtu-hti.edu.vn</v>
      </c>
    </row>
    <row r="235" ht="47.25" customHeight="1">
      <c r="A235" s="22">
        <v>45699.47489787037</v>
      </c>
      <c r="B235" s="23" t="s">
        <v>1236</v>
      </c>
      <c r="C235" s="23">
        <v>2.7207138525E10</v>
      </c>
      <c r="D235" s="23" t="s">
        <v>1237</v>
      </c>
      <c r="E235" s="24">
        <v>37685.0</v>
      </c>
      <c r="F235" s="23" t="s">
        <v>108</v>
      </c>
      <c r="G235" s="25" t="s">
        <v>63</v>
      </c>
      <c r="H235" s="25">
        <v>27.0</v>
      </c>
      <c r="I235" s="26" t="s">
        <v>1238</v>
      </c>
      <c r="J235" s="25" t="s">
        <v>39</v>
      </c>
      <c r="K235" s="27" t="s">
        <v>212</v>
      </c>
      <c r="L235" s="27"/>
      <c r="M235" s="25" t="s">
        <v>1239</v>
      </c>
      <c r="N235" s="25" t="s">
        <v>68</v>
      </c>
      <c r="O235" s="27" t="s">
        <v>56</v>
      </c>
      <c r="P235" s="27"/>
      <c r="Q235" s="26" t="s">
        <v>1240</v>
      </c>
      <c r="R235" s="25" t="s">
        <v>45</v>
      </c>
      <c r="S235" s="25" t="s">
        <v>39</v>
      </c>
      <c r="T235" s="27" t="s">
        <v>70</v>
      </c>
      <c r="U235" s="34">
        <v>45698.0</v>
      </c>
      <c r="V235" s="34">
        <v>45807.0</v>
      </c>
      <c r="W235" s="29">
        <v>234.0</v>
      </c>
      <c r="X235" s="17">
        <v>45963.0</v>
      </c>
      <c r="Y235" s="30" t="s">
        <v>46</v>
      </c>
      <c r="Z235" s="17">
        <v>45963.0</v>
      </c>
      <c r="AA235" s="27" t="s">
        <v>212</v>
      </c>
      <c r="AB235" s="27" t="s">
        <v>56</v>
      </c>
      <c r="AC235" s="27" t="str">
        <f>VLOOKUP(C235,Sheet1!$C$2:$X$1242,15,0)</f>
        <v/>
      </c>
      <c r="AD235" s="25"/>
      <c r="AE235" s="19" t="str">
        <f t="shared" si="1"/>
        <v/>
      </c>
      <c r="AF235" s="19" t="str">
        <f>VLOOKUP(C235,Sheet1!$C$2:$AE$400,24,0)</f>
        <v>CHUYÊN ĐỀ</v>
      </c>
      <c r="AG235" s="19" t="s">
        <v>406</v>
      </c>
      <c r="AH235" s="31" t="str">
        <f>VLOOKUP(AG235,gvhd!$D$3:$P$17,11,0)</f>
        <v>0905767997</v>
      </c>
      <c r="AI235" s="32" t="str">
        <f>VLOOKUP(AG235,gvhd!$D$3:$P$17,12,0)</f>
        <v>voduchieu@dtu-hti.edu.vn</v>
      </c>
    </row>
    <row r="236" ht="47.25" customHeight="1">
      <c r="A236" s="22">
        <v>45699.58861229167</v>
      </c>
      <c r="B236" s="23" t="s">
        <v>1241</v>
      </c>
      <c r="C236" s="23">
        <v>2.7207143916E10</v>
      </c>
      <c r="D236" s="23" t="s">
        <v>1242</v>
      </c>
      <c r="E236" s="24">
        <v>37851.0</v>
      </c>
      <c r="F236" s="23" t="s">
        <v>1243</v>
      </c>
      <c r="G236" s="25" t="s">
        <v>63</v>
      </c>
      <c r="H236" s="25">
        <v>27.0</v>
      </c>
      <c r="I236" s="26" t="s">
        <v>1244</v>
      </c>
      <c r="J236" s="25" t="s">
        <v>39</v>
      </c>
      <c r="K236" s="27" t="s">
        <v>1245</v>
      </c>
      <c r="L236" s="27" t="s">
        <v>1245</v>
      </c>
      <c r="M236" s="25" t="s">
        <v>1246</v>
      </c>
      <c r="N236" s="25" t="s">
        <v>1247</v>
      </c>
      <c r="O236" s="27" t="s">
        <v>117</v>
      </c>
      <c r="P236" s="27"/>
      <c r="Q236" s="25" t="s">
        <v>1248</v>
      </c>
      <c r="R236" s="25" t="s">
        <v>45</v>
      </c>
      <c r="S236" s="25" t="s">
        <v>39</v>
      </c>
      <c r="T236" s="27"/>
      <c r="U236" s="34">
        <v>45663.0</v>
      </c>
      <c r="V236" s="34">
        <v>45753.0</v>
      </c>
      <c r="W236" s="29">
        <v>235.0</v>
      </c>
      <c r="X236" s="17">
        <v>45963.0</v>
      </c>
      <c r="Y236" s="30" t="s">
        <v>46</v>
      </c>
      <c r="Z236" s="17">
        <v>45963.0</v>
      </c>
      <c r="AA236" s="27" t="s">
        <v>1245</v>
      </c>
      <c r="AB236" s="27" t="s">
        <v>117</v>
      </c>
      <c r="AC236" s="27" t="str">
        <f>VLOOKUP(C236,Sheet1!$C$2:$X$1242,15,0)</f>
        <v/>
      </c>
      <c r="AD236" s="25"/>
      <c r="AE236" s="19" t="str">
        <f t="shared" si="1"/>
        <v/>
      </c>
      <c r="AF236" s="19" t="str">
        <f>VLOOKUP(C236,Sheet1!$C$2:$AE$400,24,0)</f>
        <v>CHUYÊN ĐỀ</v>
      </c>
      <c r="AG236" s="19" t="s">
        <v>70</v>
      </c>
      <c r="AH236" s="20" t="str">
        <f>VLOOKUP(AG236,gvhd!$D$3:$P$17,11,0)</f>
        <v>0938290678</v>
      </c>
      <c r="AI236" s="21" t="str">
        <f>VLOOKUP(AG236,gvhd!$D$3:$P$17,12,0)</f>
        <v>phamtthuthuy2@dtu-hti.edu.vn</v>
      </c>
    </row>
    <row r="237" ht="47.25" customHeight="1">
      <c r="A237" s="22">
        <v>45699.643252951384</v>
      </c>
      <c r="B237" s="23" t="s">
        <v>1249</v>
      </c>
      <c r="C237" s="23">
        <v>2.6217122489E10</v>
      </c>
      <c r="D237" s="23" t="s">
        <v>1250</v>
      </c>
      <c r="E237" s="24">
        <v>36787.0</v>
      </c>
      <c r="F237" s="23" t="s">
        <v>1251</v>
      </c>
      <c r="G237" s="25" t="s">
        <v>63</v>
      </c>
      <c r="H237" s="25">
        <v>26.0</v>
      </c>
      <c r="I237" s="26" t="s">
        <v>1252</v>
      </c>
      <c r="J237" s="25" t="s">
        <v>39</v>
      </c>
      <c r="K237" s="27" t="s">
        <v>600</v>
      </c>
      <c r="L237" s="27"/>
      <c r="M237" s="25" t="s">
        <v>1253</v>
      </c>
      <c r="N237" s="25" t="s">
        <v>68</v>
      </c>
      <c r="O237" s="27" t="s">
        <v>56</v>
      </c>
      <c r="P237" s="27"/>
      <c r="Q237" s="25" t="s">
        <v>1254</v>
      </c>
      <c r="R237" s="25" t="s">
        <v>45</v>
      </c>
      <c r="S237" s="25" t="s">
        <v>39</v>
      </c>
      <c r="T237" s="27"/>
      <c r="U237" s="34">
        <v>36568.0</v>
      </c>
      <c r="V237" s="34">
        <v>36658.0</v>
      </c>
      <c r="W237" s="29">
        <v>236.0</v>
      </c>
      <c r="X237" s="17"/>
      <c r="Y237" s="30" t="s">
        <v>46</v>
      </c>
      <c r="Z237" s="17">
        <v>45963.0</v>
      </c>
      <c r="AA237" s="27" t="s">
        <v>600</v>
      </c>
      <c r="AB237" s="27" t="s">
        <v>56</v>
      </c>
      <c r="AC237" s="27" t="str">
        <f>VLOOKUP(C237,Sheet1!$C$2:$X$1242,15,0)</f>
        <v>ĐÃ NỘP</v>
      </c>
      <c r="AD237" s="25"/>
      <c r="AE237" s="19" t="str">
        <f t="shared" si="1"/>
        <v/>
      </c>
      <c r="AF237" s="19" t="str">
        <f>VLOOKUP(C237,Sheet1!$C$2:$AE$400,24,0)</f>
        <v>không đủ điều kiện</v>
      </c>
      <c r="AG237" s="19"/>
      <c r="AH237" s="31"/>
      <c r="AI237" s="32"/>
    </row>
    <row r="238" ht="47.25" customHeight="1">
      <c r="A238" s="22">
        <v>45699.75592815972</v>
      </c>
      <c r="B238" s="23" t="s">
        <v>1255</v>
      </c>
      <c r="C238" s="23">
        <v>2.6207126132E10</v>
      </c>
      <c r="D238" s="23" t="s">
        <v>1256</v>
      </c>
      <c r="E238" s="24">
        <v>37560.0</v>
      </c>
      <c r="F238" s="23" t="s">
        <v>1257</v>
      </c>
      <c r="G238" s="25" t="s">
        <v>63</v>
      </c>
      <c r="H238" s="25">
        <v>26.0</v>
      </c>
      <c r="I238" s="26" t="s">
        <v>1258</v>
      </c>
      <c r="J238" s="25" t="s">
        <v>39</v>
      </c>
      <c r="K238" s="27" t="s">
        <v>1259</v>
      </c>
      <c r="L238" s="27"/>
      <c r="M238" s="25" t="s">
        <v>1260</v>
      </c>
      <c r="N238" s="25" t="s">
        <v>1261</v>
      </c>
      <c r="O238" s="27" t="s">
        <v>92</v>
      </c>
      <c r="P238" s="27"/>
      <c r="Q238" s="25" t="s">
        <v>1262</v>
      </c>
      <c r="R238" s="25" t="s">
        <v>45</v>
      </c>
      <c r="S238" s="25" t="s">
        <v>39</v>
      </c>
      <c r="T238" s="27" t="s">
        <v>406</v>
      </c>
      <c r="U238" s="34">
        <v>45698.0</v>
      </c>
      <c r="V238" s="34">
        <v>45787.0</v>
      </c>
      <c r="W238" s="29">
        <v>237.0</v>
      </c>
      <c r="X238" s="17"/>
      <c r="Y238" s="30" t="s">
        <v>46</v>
      </c>
      <c r="Z238" s="17">
        <v>45993.0</v>
      </c>
      <c r="AA238" s="27" t="s">
        <v>1259</v>
      </c>
      <c r="AB238" s="27" t="s">
        <v>92</v>
      </c>
      <c r="AC238" s="27" t="str">
        <f>VLOOKUP(C238,Sheet1!$C$2:$X$1242,15,0)</f>
        <v>ĐÃ NỘP</v>
      </c>
      <c r="AD238" s="25"/>
      <c r="AE238" s="19" t="str">
        <f t="shared" si="1"/>
        <v/>
      </c>
      <c r="AF238" s="19" t="str">
        <f>VLOOKUP(C238,Sheet1!$C$2:$AE$400,24,0)</f>
        <v>CHUYÊN ĐỀ</v>
      </c>
      <c r="AG238" s="19" t="s">
        <v>120</v>
      </c>
      <c r="AH238" s="20" t="str">
        <f>VLOOKUP(AG238,gvhd!$D$3:$P$17,11,0)</f>
        <v>0375658728</v>
      </c>
      <c r="AI238" s="21" t="str">
        <f>VLOOKUP(AG238,gvhd!$D$3:$P$17,12,0)</f>
        <v>trinhtkimchung@dtu-hti.edu.vn</v>
      </c>
    </row>
    <row r="239" ht="47.25" customHeight="1">
      <c r="A239" s="22">
        <v>45699.76215155092</v>
      </c>
      <c r="B239" s="23" t="s">
        <v>1263</v>
      </c>
      <c r="C239" s="23">
        <v>2.6217123458E10</v>
      </c>
      <c r="D239" s="23" t="s">
        <v>1264</v>
      </c>
      <c r="E239" s="24">
        <v>37568.0</v>
      </c>
      <c r="F239" s="23" t="s">
        <v>1265</v>
      </c>
      <c r="G239" s="25" t="s">
        <v>63</v>
      </c>
      <c r="H239" s="25">
        <v>26.0</v>
      </c>
      <c r="I239" s="26" t="s">
        <v>1266</v>
      </c>
      <c r="J239" s="25" t="s">
        <v>39</v>
      </c>
      <c r="K239" s="27" t="s">
        <v>337</v>
      </c>
      <c r="L239" s="27"/>
      <c r="M239" s="25" t="s">
        <v>1267</v>
      </c>
      <c r="N239" s="25" t="s">
        <v>68</v>
      </c>
      <c r="O239" s="27" t="s">
        <v>92</v>
      </c>
      <c r="P239" s="27"/>
      <c r="Q239" s="26" t="s">
        <v>864</v>
      </c>
      <c r="R239" s="25" t="s">
        <v>45</v>
      </c>
      <c r="S239" s="25" t="s">
        <v>39</v>
      </c>
      <c r="T239" s="27" t="s">
        <v>70</v>
      </c>
      <c r="U239" s="34">
        <v>45679.0</v>
      </c>
      <c r="V239" s="34">
        <v>45830.0</v>
      </c>
      <c r="W239" s="29">
        <v>238.0</v>
      </c>
      <c r="X239" s="17"/>
      <c r="Y239" s="30" t="s">
        <v>46</v>
      </c>
      <c r="Z239" s="17">
        <v>45993.0</v>
      </c>
      <c r="AA239" s="27" t="s">
        <v>337</v>
      </c>
      <c r="AB239" s="27" t="s">
        <v>92</v>
      </c>
      <c r="AC239" s="27" t="str">
        <f>VLOOKUP(C239,Sheet1!$C$2:$X$1242,15,0)</f>
        <v>ĐÃ NỘP</v>
      </c>
      <c r="AD239" s="25"/>
      <c r="AE239" s="19" t="str">
        <f t="shared" si="1"/>
        <v/>
      </c>
      <c r="AF239" s="19" t="str">
        <f>VLOOKUP(C239,Sheet1!$C$2:$AE$400,24,0)</f>
        <v>CHUYÊN ĐỀ</v>
      </c>
      <c r="AG239" s="19" t="s">
        <v>120</v>
      </c>
      <c r="AH239" s="31" t="str">
        <f>VLOOKUP(AG239,gvhd!$D$3:$P$17,11,0)</f>
        <v>0375658728</v>
      </c>
      <c r="AI239" s="32" t="str">
        <f>VLOOKUP(AG239,gvhd!$D$3:$P$17,12,0)</f>
        <v>trinhtkimchung@dtu-hti.edu.vn</v>
      </c>
    </row>
    <row r="240" ht="47.25" customHeight="1">
      <c r="A240" s="22">
        <v>45699.767396875</v>
      </c>
      <c r="B240" s="23" t="s">
        <v>1268</v>
      </c>
      <c r="C240" s="23">
        <v>2.7217102336E10</v>
      </c>
      <c r="D240" s="23" t="s">
        <v>1269</v>
      </c>
      <c r="E240" s="24">
        <v>37887.0</v>
      </c>
      <c r="F240" s="23" t="s">
        <v>145</v>
      </c>
      <c r="G240" s="25" t="s">
        <v>63</v>
      </c>
      <c r="H240" s="25">
        <v>27.0</v>
      </c>
      <c r="I240" s="26" t="s">
        <v>1270</v>
      </c>
      <c r="J240" s="25" t="s">
        <v>39</v>
      </c>
      <c r="K240" s="27" t="s">
        <v>518</v>
      </c>
      <c r="L240" s="27" t="s">
        <v>1271</v>
      </c>
      <c r="M240" s="25" t="s">
        <v>1272</v>
      </c>
      <c r="N240" s="25" t="s">
        <v>1273</v>
      </c>
      <c r="O240" s="27" t="s">
        <v>117</v>
      </c>
      <c r="P240" s="27"/>
      <c r="Q240" s="26" t="s">
        <v>156</v>
      </c>
      <c r="R240" s="25" t="s">
        <v>45</v>
      </c>
      <c r="S240" s="25" t="s">
        <v>39</v>
      </c>
      <c r="T240" s="27" t="s">
        <v>70</v>
      </c>
      <c r="U240" s="34">
        <v>45726.0</v>
      </c>
      <c r="V240" s="34">
        <v>37782.0</v>
      </c>
      <c r="W240" s="29">
        <v>239.0</v>
      </c>
      <c r="X240" s="17"/>
      <c r="Y240" s="30" t="s">
        <v>46</v>
      </c>
      <c r="Z240" s="17">
        <v>45993.0</v>
      </c>
      <c r="AA240" s="27" t="s">
        <v>518</v>
      </c>
      <c r="AB240" s="27" t="s">
        <v>117</v>
      </c>
      <c r="AC240" s="27" t="str">
        <f>VLOOKUP(C240,Sheet1!$C$2:$X$1242,15,0)</f>
        <v/>
      </c>
      <c r="AD240" s="25"/>
      <c r="AE240" s="19" t="str">
        <f t="shared" si="1"/>
        <v/>
      </c>
      <c r="AF240" s="19" t="str">
        <f>VLOOKUP(C240,Sheet1!$C$2:$AE$400,24,0)</f>
        <v>CHUYÊN ĐỀ</v>
      </c>
      <c r="AG240" s="19" t="s">
        <v>85</v>
      </c>
      <c r="AH240" s="20" t="str">
        <f>VLOOKUP(AG240,gvhd!$D$3:$P$17,11,0)</f>
        <v>0396.153.687</v>
      </c>
      <c r="AI240" s="21" t="str">
        <f>VLOOKUP(AG240,gvhd!$D$3:$P$17,12,0)</f>
        <v>nguyentminhthu@dtu-hti.edu.vn</v>
      </c>
    </row>
    <row r="241" ht="47.25" customHeight="1">
      <c r="A241" s="22">
        <v>45700.487006979165</v>
      </c>
      <c r="B241" s="23" t="s">
        <v>1274</v>
      </c>
      <c r="C241" s="23">
        <v>2.7202821012E10</v>
      </c>
      <c r="D241" s="23" t="s">
        <v>1275</v>
      </c>
      <c r="E241" s="24">
        <v>37910.0</v>
      </c>
      <c r="F241" s="23" t="s">
        <v>152</v>
      </c>
      <c r="G241" s="25" t="s">
        <v>63</v>
      </c>
      <c r="H241" s="25">
        <v>27.0</v>
      </c>
      <c r="I241" s="26" t="s">
        <v>1276</v>
      </c>
      <c r="J241" s="25" t="s">
        <v>39</v>
      </c>
      <c r="K241" s="27" t="s">
        <v>518</v>
      </c>
      <c r="L241" s="27" t="s">
        <v>518</v>
      </c>
      <c r="M241" s="25" t="s">
        <v>1277</v>
      </c>
      <c r="N241" s="25" t="s">
        <v>1273</v>
      </c>
      <c r="O241" s="27" t="s">
        <v>117</v>
      </c>
      <c r="P241" s="27"/>
      <c r="Q241" s="25" t="s">
        <v>1278</v>
      </c>
      <c r="R241" s="25" t="s">
        <v>45</v>
      </c>
      <c r="S241" s="25" t="s">
        <v>39</v>
      </c>
      <c r="T241" s="27" t="s">
        <v>70</v>
      </c>
      <c r="U241" s="34">
        <v>45726.0</v>
      </c>
      <c r="V241" s="34">
        <v>45818.0</v>
      </c>
      <c r="W241" s="29"/>
      <c r="X241" s="17"/>
      <c r="Y241" s="30" t="s">
        <v>46</v>
      </c>
      <c r="Z241" s="17">
        <v>45993.0</v>
      </c>
      <c r="AA241" s="27" t="s">
        <v>518</v>
      </c>
      <c r="AB241" s="27" t="s">
        <v>117</v>
      </c>
      <c r="AC241" s="27" t="str">
        <f>VLOOKUP(C241,Sheet1!$C$2:$X$1242,15,0)</f>
        <v/>
      </c>
      <c r="AD241" s="25"/>
      <c r="AE241" s="19" t="str">
        <f t="shared" si="1"/>
        <v/>
      </c>
      <c r="AF241" s="19" t="str">
        <f>VLOOKUP(C241,Sheet1!$C$2:$AE$400,24,0)</f>
        <v>CHUYÊN ĐỀ</v>
      </c>
      <c r="AG241" s="19" t="s">
        <v>85</v>
      </c>
      <c r="AH241" s="31" t="str">
        <f>VLOOKUP(AG241,gvhd!$D$3:$P$17,11,0)</f>
        <v>0396.153.687</v>
      </c>
      <c r="AI241" s="32" t="str">
        <f>VLOOKUP(AG241,gvhd!$D$3:$P$17,12,0)</f>
        <v>nguyentminhthu@dtu-hti.edu.vn</v>
      </c>
    </row>
    <row r="242" ht="47.25" customHeight="1">
      <c r="A242" s="22">
        <v>45700.48961398148</v>
      </c>
      <c r="B242" s="23" t="s">
        <v>1279</v>
      </c>
      <c r="C242" s="23">
        <v>2.7207143177E10</v>
      </c>
      <c r="D242" s="23" t="s">
        <v>1280</v>
      </c>
      <c r="E242" s="24">
        <v>37937.0</v>
      </c>
      <c r="F242" s="23" t="s">
        <v>145</v>
      </c>
      <c r="G242" s="25" t="s">
        <v>63</v>
      </c>
      <c r="H242" s="25">
        <v>27.0</v>
      </c>
      <c r="I242" s="26" t="s">
        <v>1281</v>
      </c>
      <c r="J242" s="25" t="s">
        <v>39</v>
      </c>
      <c r="K242" s="27" t="s">
        <v>518</v>
      </c>
      <c r="L242" s="27" t="s">
        <v>518</v>
      </c>
      <c r="M242" s="25" t="s">
        <v>1117</v>
      </c>
      <c r="N242" s="25" t="s">
        <v>1282</v>
      </c>
      <c r="O242" s="27" t="s">
        <v>117</v>
      </c>
      <c r="P242" s="27"/>
      <c r="Q242" s="25" t="s">
        <v>1283</v>
      </c>
      <c r="R242" s="25" t="s">
        <v>45</v>
      </c>
      <c r="S242" s="25" t="s">
        <v>39</v>
      </c>
      <c r="T242" s="27" t="s">
        <v>70</v>
      </c>
      <c r="U242" s="34">
        <v>45726.0</v>
      </c>
      <c r="V242" s="34">
        <v>45818.0</v>
      </c>
      <c r="W242" s="29"/>
      <c r="X242" s="17"/>
      <c r="Y242" s="30" t="s">
        <v>46</v>
      </c>
      <c r="Z242" s="17">
        <v>45993.0</v>
      </c>
      <c r="AA242" s="27" t="s">
        <v>518</v>
      </c>
      <c r="AB242" s="27" t="s">
        <v>117</v>
      </c>
      <c r="AC242" s="27" t="str">
        <f>VLOOKUP(C242,Sheet1!$C$2:$X$1242,15,0)</f>
        <v/>
      </c>
      <c r="AD242" s="25"/>
      <c r="AE242" s="19" t="str">
        <f t="shared" si="1"/>
        <v/>
      </c>
      <c r="AF242" s="19" t="str">
        <f>VLOOKUP(C242,Sheet1!$C$2:$AE$400,24,0)</f>
        <v>CHUYÊN ĐỀ</v>
      </c>
      <c r="AG242" s="19" t="s">
        <v>85</v>
      </c>
      <c r="AH242" s="20" t="str">
        <f>VLOOKUP(AG242,gvhd!$D$3:$P$17,11,0)</f>
        <v>0396.153.687</v>
      </c>
      <c r="AI242" s="21" t="str">
        <f>VLOOKUP(AG242,gvhd!$D$3:$P$17,12,0)</f>
        <v>nguyentminhthu@dtu-hti.edu.vn</v>
      </c>
    </row>
    <row r="243" ht="47.25" customHeight="1">
      <c r="A243" s="22">
        <v>45700.49035414352</v>
      </c>
      <c r="B243" s="23" t="s">
        <v>1284</v>
      </c>
      <c r="C243" s="23">
        <v>2.7207225415E10</v>
      </c>
      <c r="D243" s="23" t="s">
        <v>1285</v>
      </c>
      <c r="E243" s="24">
        <v>37894.0</v>
      </c>
      <c r="F243" s="23" t="s">
        <v>145</v>
      </c>
      <c r="G243" s="25" t="s">
        <v>63</v>
      </c>
      <c r="H243" s="25">
        <v>27.0</v>
      </c>
      <c r="I243" s="26" t="s">
        <v>1286</v>
      </c>
      <c r="J243" s="25" t="s">
        <v>39</v>
      </c>
      <c r="K243" s="27" t="s">
        <v>518</v>
      </c>
      <c r="L243" s="27" t="s">
        <v>1287</v>
      </c>
      <c r="M243" s="25" t="s">
        <v>1288</v>
      </c>
      <c r="N243" s="25" t="s">
        <v>1282</v>
      </c>
      <c r="O243" s="27" t="s">
        <v>117</v>
      </c>
      <c r="P243" s="27"/>
      <c r="Q243" s="26" t="s">
        <v>1289</v>
      </c>
      <c r="R243" s="25" t="s">
        <v>45</v>
      </c>
      <c r="S243" s="25" t="s">
        <v>39</v>
      </c>
      <c r="T243" s="27" t="s">
        <v>70</v>
      </c>
      <c r="U243" s="34">
        <v>45726.0</v>
      </c>
      <c r="V243" s="34">
        <v>45818.0</v>
      </c>
      <c r="W243" s="29"/>
      <c r="X243" s="17"/>
      <c r="Y243" s="30" t="s">
        <v>46</v>
      </c>
      <c r="Z243" s="17">
        <v>45993.0</v>
      </c>
      <c r="AA243" s="27" t="s">
        <v>518</v>
      </c>
      <c r="AB243" s="27" t="s">
        <v>117</v>
      </c>
      <c r="AC243" s="27" t="str">
        <f>VLOOKUP(C243,Sheet1!$C$2:$X$1242,15,0)</f>
        <v/>
      </c>
      <c r="AD243" s="25"/>
      <c r="AE243" s="19" t="str">
        <f t="shared" si="1"/>
        <v/>
      </c>
      <c r="AF243" s="19" t="str">
        <f>VLOOKUP(C243,Sheet1!$C$2:$AE$400,24,0)</f>
        <v>không đủ điều kiện</v>
      </c>
      <c r="AG243" s="19"/>
      <c r="AH243" s="31"/>
      <c r="AI243" s="32"/>
    </row>
    <row r="244" ht="47.25" customHeight="1">
      <c r="A244" s="22">
        <v>45701.32826454861</v>
      </c>
      <c r="B244" s="23" t="s">
        <v>1290</v>
      </c>
      <c r="C244" s="23">
        <v>2.5207209274E10</v>
      </c>
      <c r="D244" s="23" t="s">
        <v>1291</v>
      </c>
      <c r="E244" s="24">
        <v>36848.0</v>
      </c>
      <c r="F244" s="23" t="s">
        <v>1292</v>
      </c>
      <c r="G244" s="25" t="s">
        <v>37</v>
      </c>
      <c r="H244" s="25">
        <v>25.0</v>
      </c>
      <c r="I244" s="26" t="s">
        <v>1293</v>
      </c>
      <c r="J244" s="25" t="s">
        <v>39</v>
      </c>
      <c r="K244" s="27" t="s">
        <v>811</v>
      </c>
      <c r="L244" s="27"/>
      <c r="M244" s="25" t="s">
        <v>1294</v>
      </c>
      <c r="N244" s="25" t="s">
        <v>170</v>
      </c>
      <c r="O244" s="27" t="s">
        <v>92</v>
      </c>
      <c r="P244" s="27"/>
      <c r="Q244" s="26" t="s">
        <v>988</v>
      </c>
      <c r="R244" s="25" t="s">
        <v>45</v>
      </c>
      <c r="S244" s="25" t="s">
        <v>39</v>
      </c>
      <c r="T244" s="27" t="s">
        <v>215</v>
      </c>
      <c r="U244" s="34">
        <v>45558.0</v>
      </c>
      <c r="V244" s="34">
        <v>45671.0</v>
      </c>
      <c r="W244" s="29"/>
      <c r="X244" s="17"/>
      <c r="Y244" s="30" t="s">
        <v>46</v>
      </c>
      <c r="Z244" s="29" t="s">
        <v>253</v>
      </c>
      <c r="AA244" s="27" t="s">
        <v>811</v>
      </c>
      <c r="AB244" s="27" t="s">
        <v>92</v>
      </c>
      <c r="AC244" s="27" t="str">
        <f>VLOOKUP(C244,Sheet1!$C$2:$X$1242,15,0)</f>
        <v>ĐÃ NỘP</v>
      </c>
      <c r="AD244" s="25"/>
      <c r="AE244" s="19" t="str">
        <f t="shared" si="1"/>
        <v/>
      </c>
      <c r="AF244" s="19" t="str">
        <f>VLOOKUP(C244,Sheet1!$C$2:$AE$400,24,0)</f>
        <v>CHUYÊN ĐỀ</v>
      </c>
      <c r="AG244" s="19" t="s">
        <v>406</v>
      </c>
      <c r="AH244" s="20" t="str">
        <f>VLOOKUP(AG244,gvhd!$D$3:$P$17,11,0)</f>
        <v>0905767997</v>
      </c>
      <c r="AI244" s="21" t="str">
        <f>VLOOKUP(AG244,gvhd!$D$3:$P$17,12,0)</f>
        <v>voduchieu@dtu-hti.edu.vn</v>
      </c>
    </row>
    <row r="245" ht="47.25" customHeight="1">
      <c r="A245" s="22">
        <v>45701.354984756945</v>
      </c>
      <c r="B245" s="23" t="s">
        <v>1295</v>
      </c>
      <c r="C245" s="23">
        <v>2.7217141068E10</v>
      </c>
      <c r="D245" s="23" t="s">
        <v>1296</v>
      </c>
      <c r="E245" s="24">
        <v>37688.0</v>
      </c>
      <c r="F245" s="23" t="s">
        <v>96</v>
      </c>
      <c r="G245" s="25" t="s">
        <v>63</v>
      </c>
      <c r="H245" s="25">
        <v>27.0</v>
      </c>
      <c r="I245" s="26" t="s">
        <v>1297</v>
      </c>
      <c r="J245" s="25" t="s">
        <v>39</v>
      </c>
      <c r="K245" s="27" t="s">
        <v>518</v>
      </c>
      <c r="L245" s="27" t="s">
        <v>518</v>
      </c>
      <c r="M245" s="25" t="s">
        <v>1298</v>
      </c>
      <c r="N245" s="25" t="s">
        <v>924</v>
      </c>
      <c r="O245" s="27" t="s">
        <v>92</v>
      </c>
      <c r="P245" s="27"/>
      <c r="Q245" s="25" t="s">
        <v>1299</v>
      </c>
      <c r="R245" s="25" t="s">
        <v>45</v>
      </c>
      <c r="S245" s="25" t="s">
        <v>39</v>
      </c>
      <c r="T245" s="27"/>
      <c r="U245" s="34">
        <v>46091.0</v>
      </c>
      <c r="V245" s="34">
        <v>45818.0</v>
      </c>
      <c r="W245" s="29"/>
      <c r="X245" s="17"/>
      <c r="Y245" s="30" t="s">
        <v>46</v>
      </c>
      <c r="Z245" s="29" t="s">
        <v>253</v>
      </c>
      <c r="AA245" s="27" t="s">
        <v>518</v>
      </c>
      <c r="AB245" s="27" t="s">
        <v>92</v>
      </c>
      <c r="AC245" s="27" t="str">
        <f>VLOOKUP(C245,Sheet1!$C$2:$X$1242,15,0)</f>
        <v/>
      </c>
      <c r="AD245" s="25"/>
      <c r="AE245" s="19" t="str">
        <f t="shared" si="1"/>
        <v/>
      </c>
      <c r="AF245" s="19" t="str">
        <f>VLOOKUP(C245,Sheet1!$C$2:$AE$400,24,0)</f>
        <v>CHUYÊN ĐỀ</v>
      </c>
      <c r="AG245" s="19" t="s">
        <v>120</v>
      </c>
      <c r="AH245" s="31" t="str">
        <f>VLOOKUP(AG245,gvhd!$D$3:$P$17,11,0)</f>
        <v>0375658728</v>
      </c>
      <c r="AI245" s="32" t="str">
        <f>VLOOKUP(AG245,gvhd!$D$3:$P$17,12,0)</f>
        <v>trinhtkimchung@dtu-hti.edu.vn</v>
      </c>
    </row>
    <row r="246" ht="47.25" customHeight="1">
      <c r="A246" s="22">
        <v>45702.38988126157</v>
      </c>
      <c r="B246" s="23" t="s">
        <v>1300</v>
      </c>
      <c r="C246" s="23">
        <v>2.7207103121E10</v>
      </c>
      <c r="D246" s="23" t="s">
        <v>1301</v>
      </c>
      <c r="E246" s="24">
        <v>37719.0</v>
      </c>
      <c r="F246" s="23" t="s">
        <v>178</v>
      </c>
      <c r="G246" s="25" t="s">
        <v>63</v>
      </c>
      <c r="H246" s="25">
        <v>27.0</v>
      </c>
      <c r="I246" s="26" t="s">
        <v>1302</v>
      </c>
      <c r="J246" s="25" t="s">
        <v>39</v>
      </c>
      <c r="K246" s="27" t="s">
        <v>518</v>
      </c>
      <c r="L246" s="27" t="s">
        <v>1303</v>
      </c>
      <c r="M246" s="25" t="s">
        <v>1304</v>
      </c>
      <c r="N246" s="25" t="s">
        <v>68</v>
      </c>
      <c r="O246" s="27" t="s">
        <v>92</v>
      </c>
      <c r="P246" s="27"/>
      <c r="Q246" s="25" t="s">
        <v>1305</v>
      </c>
      <c r="R246" s="25" t="s">
        <v>45</v>
      </c>
      <c r="S246" s="25" t="s">
        <v>39</v>
      </c>
      <c r="T246" s="27"/>
      <c r="U246" s="34">
        <v>45726.0</v>
      </c>
      <c r="V246" s="34">
        <v>45818.0</v>
      </c>
      <c r="W246" s="29"/>
      <c r="X246" s="17"/>
      <c r="Y246" s="30" t="s">
        <v>46</v>
      </c>
      <c r="Z246" s="29" t="s">
        <v>1306</v>
      </c>
      <c r="AA246" s="27" t="s">
        <v>518</v>
      </c>
      <c r="AB246" s="27" t="s">
        <v>92</v>
      </c>
      <c r="AC246" s="27" t="str">
        <f>VLOOKUP(C246,Sheet1!$C$2:$X$1242,15,0)</f>
        <v/>
      </c>
      <c r="AD246" s="25"/>
      <c r="AE246" s="19" t="str">
        <f t="shared" si="1"/>
        <v/>
      </c>
      <c r="AF246" s="19" t="str">
        <f>VLOOKUP(C246,Sheet1!$C$2:$AE$400,24,0)</f>
        <v>CHUYÊN ĐỀ</v>
      </c>
      <c r="AG246" s="19" t="s">
        <v>120</v>
      </c>
      <c r="AH246" s="20" t="str">
        <f>VLOOKUP(AG246,gvhd!$D$3:$P$17,11,0)</f>
        <v>0375658728</v>
      </c>
      <c r="AI246" s="21" t="str">
        <f>VLOOKUP(AG246,gvhd!$D$3:$P$17,12,0)</f>
        <v>trinhtkimchung@dtu-hti.edu.vn</v>
      </c>
    </row>
    <row r="247" ht="47.25" customHeight="1">
      <c r="A247" s="22">
        <v>45702.47774324074</v>
      </c>
      <c r="B247" s="23" t="s">
        <v>1307</v>
      </c>
      <c r="C247" s="23">
        <v>2.7203444311E10</v>
      </c>
      <c r="D247" s="23" t="s">
        <v>1308</v>
      </c>
      <c r="E247" s="24">
        <v>37857.0</v>
      </c>
      <c r="F247" s="23" t="s">
        <v>129</v>
      </c>
      <c r="G247" s="25" t="s">
        <v>63</v>
      </c>
      <c r="H247" s="25">
        <v>27.0</v>
      </c>
      <c r="I247" s="26" t="s">
        <v>1309</v>
      </c>
      <c r="J247" s="25" t="s">
        <v>39</v>
      </c>
      <c r="K247" s="27" t="s">
        <v>518</v>
      </c>
      <c r="L247" s="27" t="s">
        <v>1310</v>
      </c>
      <c r="M247" s="25" t="s">
        <v>1311</v>
      </c>
      <c r="N247" s="25" t="s">
        <v>924</v>
      </c>
      <c r="O247" s="27" t="s">
        <v>56</v>
      </c>
      <c r="P247" s="27"/>
      <c r="Q247" s="26" t="s">
        <v>1312</v>
      </c>
      <c r="R247" s="25" t="s">
        <v>45</v>
      </c>
      <c r="S247" s="25" t="s">
        <v>39</v>
      </c>
      <c r="T247" s="27"/>
      <c r="U247" s="34">
        <v>45726.0</v>
      </c>
      <c r="V247" s="34">
        <v>45818.0</v>
      </c>
      <c r="W247" s="29"/>
      <c r="X247" s="17"/>
      <c r="Y247" s="30" t="s">
        <v>46</v>
      </c>
      <c r="Z247" s="29" t="s">
        <v>1306</v>
      </c>
      <c r="AA247" s="27" t="s">
        <v>518</v>
      </c>
      <c r="AB247" s="27" t="s">
        <v>56</v>
      </c>
      <c r="AC247" s="27" t="str">
        <f>VLOOKUP(C247,Sheet1!$C$2:$X$1242,15,0)</f>
        <v/>
      </c>
      <c r="AD247" s="25"/>
      <c r="AE247" s="19" t="str">
        <f t="shared" si="1"/>
        <v/>
      </c>
      <c r="AF247" s="19" t="str">
        <f>VLOOKUP(C247,Sheet1!$C$2:$AE$400,24,0)</f>
        <v>CHUYÊN ĐỀ</v>
      </c>
      <c r="AG247" s="13" t="s">
        <v>85</v>
      </c>
      <c r="AH247" s="31" t="str">
        <f>VLOOKUP(AG247,gvhd!$D$3:$P$17,11,0)</f>
        <v>0396.153.687</v>
      </c>
      <c r="AI247" s="32" t="str">
        <f>VLOOKUP(AG247,gvhd!$D$3:$P$17,12,0)</f>
        <v>nguyentminhthu@dtu-hti.edu.vn</v>
      </c>
    </row>
    <row r="248">
      <c r="A248" s="22">
        <v>45702.62149626158</v>
      </c>
      <c r="B248" s="23" t="s">
        <v>1313</v>
      </c>
      <c r="C248" s="23">
        <v>2.7207140315E10</v>
      </c>
      <c r="D248" s="23" t="s">
        <v>1314</v>
      </c>
      <c r="E248" s="24">
        <v>37856.0</v>
      </c>
      <c r="F248" s="23" t="s">
        <v>108</v>
      </c>
      <c r="G248" s="25" t="s">
        <v>63</v>
      </c>
      <c r="H248" s="25">
        <v>27.0</v>
      </c>
      <c r="I248" s="26" t="s">
        <v>1315</v>
      </c>
      <c r="J248" s="25" t="s">
        <v>39</v>
      </c>
      <c r="K248" s="27" t="s">
        <v>518</v>
      </c>
      <c r="L248" s="27" t="s">
        <v>518</v>
      </c>
      <c r="M248" s="25" t="s">
        <v>1316</v>
      </c>
      <c r="N248" s="25" t="s">
        <v>924</v>
      </c>
      <c r="O248" s="27" t="s">
        <v>117</v>
      </c>
      <c r="P248" s="27"/>
      <c r="Q248" s="25" t="s">
        <v>1317</v>
      </c>
      <c r="R248" s="25" t="s">
        <v>45</v>
      </c>
      <c r="S248" s="25" t="s">
        <v>39</v>
      </c>
      <c r="T248" s="27" t="s">
        <v>70</v>
      </c>
      <c r="U248" s="34">
        <v>45726.0</v>
      </c>
      <c r="V248" s="34">
        <v>45818.0</v>
      </c>
      <c r="W248" s="29"/>
      <c r="X248" s="17"/>
      <c r="Y248" s="30" t="s">
        <v>252</v>
      </c>
      <c r="Z248" s="29" t="s">
        <v>1306</v>
      </c>
      <c r="AA248" s="27" t="s">
        <v>518</v>
      </c>
      <c r="AB248" s="27" t="s">
        <v>117</v>
      </c>
      <c r="AC248" s="27" t="str">
        <f>VLOOKUP(C248,Sheet1!$C$2:$X$1242,15,0)</f>
        <v>#N/A</v>
      </c>
      <c r="AD248" s="63" t="s">
        <v>1318</v>
      </c>
      <c r="AE248" s="19" t="str">
        <f t="shared" si="1"/>
        <v/>
      </c>
      <c r="AF248" s="19" t="str">
        <f>VLOOKUP(C248,Sheet1!$C$2:$AE$400,24,0)</f>
        <v>#N/A</v>
      </c>
      <c r="AG248" s="13"/>
      <c r="AH248" s="64"/>
      <c r="AI248" s="65"/>
    </row>
    <row r="249">
      <c r="A249" s="66"/>
      <c r="B249" s="67"/>
      <c r="C249" s="67"/>
      <c r="D249" s="67"/>
      <c r="E249" s="68"/>
      <c r="F249" s="67"/>
      <c r="G249" s="69"/>
      <c r="H249" s="69"/>
      <c r="I249" s="69"/>
      <c r="J249" s="69"/>
      <c r="K249" s="70"/>
      <c r="L249" s="70"/>
      <c r="M249" s="69"/>
      <c r="N249" s="69"/>
      <c r="O249" s="70"/>
      <c r="P249" s="70"/>
      <c r="Q249" s="69"/>
      <c r="R249" s="69"/>
      <c r="S249" s="69"/>
      <c r="T249" s="70"/>
      <c r="U249" s="71"/>
      <c r="V249" s="71"/>
      <c r="W249" s="72"/>
      <c r="X249" s="73"/>
      <c r="Y249" s="69"/>
      <c r="Z249" s="73"/>
      <c r="AA249" s="70"/>
      <c r="AB249" s="70"/>
      <c r="AC249" s="70"/>
      <c r="AD249" s="69"/>
      <c r="AE249" s="74"/>
    </row>
    <row r="250">
      <c r="W250" s="75"/>
      <c r="X250" s="75"/>
      <c r="Y250" s="76"/>
      <c r="Z250" s="75"/>
      <c r="AA250" s="77"/>
    </row>
    <row r="251">
      <c r="W251" s="75"/>
      <c r="X251" s="75"/>
      <c r="Y251" s="76"/>
      <c r="Z251" s="75"/>
      <c r="AA251" s="77"/>
    </row>
    <row r="252">
      <c r="W252" s="75"/>
      <c r="X252" s="75"/>
      <c r="Y252" s="76"/>
      <c r="Z252" s="75"/>
      <c r="AA252" s="77"/>
    </row>
    <row r="253">
      <c r="W253" s="75"/>
      <c r="X253" s="75"/>
      <c r="Y253" s="76"/>
      <c r="Z253" s="75"/>
      <c r="AA253" s="77"/>
    </row>
    <row r="254">
      <c r="W254" s="75"/>
      <c r="X254" s="75"/>
      <c r="Y254" s="76"/>
      <c r="Z254" s="75"/>
      <c r="AA254" s="77"/>
    </row>
    <row r="255">
      <c r="W255" s="75"/>
      <c r="X255" s="75"/>
      <c r="Y255" s="76"/>
      <c r="Z255" s="75"/>
      <c r="AA255" s="77"/>
    </row>
    <row r="256">
      <c r="W256" s="75"/>
      <c r="X256" s="75"/>
      <c r="Y256" s="76"/>
      <c r="Z256" s="75"/>
      <c r="AA256" s="77"/>
    </row>
    <row r="257">
      <c r="W257" s="75"/>
      <c r="X257" s="75"/>
      <c r="Y257" s="76"/>
      <c r="Z257" s="75"/>
      <c r="AA257" s="77"/>
    </row>
    <row r="258">
      <c r="W258" s="75"/>
      <c r="X258" s="75"/>
      <c r="Y258" s="76"/>
      <c r="Z258" s="75"/>
      <c r="AA258" s="77"/>
    </row>
    <row r="259">
      <c r="W259" s="75"/>
      <c r="X259" s="75"/>
      <c r="Y259" s="76"/>
      <c r="Z259" s="75"/>
      <c r="AA259" s="77"/>
    </row>
    <row r="260">
      <c r="W260" s="75"/>
      <c r="X260" s="75"/>
      <c r="Y260" s="76"/>
      <c r="Z260" s="75"/>
      <c r="AA260" s="77"/>
    </row>
    <row r="261">
      <c r="W261" s="75"/>
      <c r="X261" s="75"/>
      <c r="Y261" s="76"/>
      <c r="Z261" s="75"/>
      <c r="AA261" s="77"/>
    </row>
    <row r="262">
      <c r="W262" s="75"/>
      <c r="X262" s="75"/>
      <c r="Y262" s="76"/>
      <c r="Z262" s="75"/>
      <c r="AA262" s="77"/>
    </row>
    <row r="263">
      <c r="W263" s="75"/>
      <c r="X263" s="75"/>
      <c r="Y263" s="76"/>
      <c r="Z263" s="75"/>
      <c r="AA263" s="77"/>
    </row>
    <row r="264">
      <c r="W264" s="75"/>
      <c r="X264" s="75"/>
      <c r="Y264" s="76"/>
      <c r="Z264" s="75"/>
      <c r="AA264" s="77"/>
    </row>
    <row r="265">
      <c r="W265" s="75"/>
      <c r="X265" s="75"/>
      <c r="Y265" s="76"/>
      <c r="Z265" s="75"/>
      <c r="AA265" s="77"/>
    </row>
    <row r="266">
      <c r="W266" s="75"/>
      <c r="X266" s="75"/>
      <c r="Y266" s="76"/>
      <c r="Z266" s="75"/>
      <c r="AA266" s="77"/>
    </row>
    <row r="267">
      <c r="W267" s="75"/>
      <c r="X267" s="75"/>
      <c r="Y267" s="76"/>
      <c r="Z267" s="75"/>
      <c r="AA267" s="77"/>
    </row>
    <row r="268">
      <c r="W268" s="75"/>
      <c r="X268" s="75"/>
      <c r="Y268" s="76"/>
      <c r="Z268" s="75"/>
      <c r="AA268" s="77"/>
    </row>
    <row r="269">
      <c r="W269" s="75"/>
      <c r="X269" s="75"/>
      <c r="Y269" s="76"/>
      <c r="Z269" s="75"/>
      <c r="AA269" s="77"/>
    </row>
    <row r="270">
      <c r="W270" s="75"/>
      <c r="X270" s="75"/>
      <c r="Y270" s="76"/>
      <c r="Z270" s="75"/>
      <c r="AA270" s="77"/>
    </row>
    <row r="271">
      <c r="W271" s="75"/>
      <c r="X271" s="75"/>
      <c r="Y271" s="76"/>
      <c r="Z271" s="75"/>
      <c r="AA271" s="77"/>
    </row>
    <row r="272">
      <c r="W272" s="75"/>
      <c r="X272" s="75"/>
      <c r="Y272" s="76"/>
      <c r="Z272" s="75"/>
      <c r="AA272" s="77"/>
    </row>
    <row r="273">
      <c r="W273" s="75"/>
      <c r="X273" s="75"/>
      <c r="Y273" s="76"/>
      <c r="Z273" s="75"/>
      <c r="AA273" s="77"/>
    </row>
    <row r="274">
      <c r="W274" s="75"/>
      <c r="X274" s="75"/>
      <c r="Y274" s="76"/>
      <c r="Z274" s="75"/>
      <c r="AA274" s="77"/>
    </row>
    <row r="275">
      <c r="W275" s="75"/>
      <c r="X275" s="75"/>
      <c r="Y275" s="76"/>
      <c r="Z275" s="75"/>
      <c r="AA275" s="77"/>
    </row>
    <row r="276">
      <c r="W276" s="75"/>
      <c r="X276" s="75"/>
      <c r="Y276" s="76"/>
      <c r="Z276" s="75"/>
      <c r="AA276" s="77"/>
    </row>
    <row r="277">
      <c r="W277" s="75"/>
      <c r="X277" s="75"/>
      <c r="Y277" s="76"/>
      <c r="Z277" s="75"/>
      <c r="AA277" s="77"/>
    </row>
    <row r="278">
      <c r="W278" s="75"/>
      <c r="X278" s="75"/>
      <c r="Y278" s="76"/>
      <c r="Z278" s="75"/>
      <c r="AA278" s="77"/>
    </row>
    <row r="279">
      <c r="W279" s="75"/>
      <c r="X279" s="75"/>
      <c r="Y279" s="76"/>
      <c r="Z279" s="75"/>
      <c r="AA279" s="77"/>
    </row>
    <row r="280">
      <c r="W280" s="75"/>
      <c r="X280" s="75"/>
      <c r="Y280" s="76"/>
      <c r="Z280" s="75"/>
      <c r="AA280" s="77"/>
    </row>
    <row r="281">
      <c r="W281" s="75"/>
      <c r="X281" s="75"/>
      <c r="Y281" s="76"/>
      <c r="Z281" s="75"/>
      <c r="AA281" s="77"/>
    </row>
    <row r="282">
      <c r="W282" s="75"/>
      <c r="X282" s="75"/>
      <c r="Y282" s="76"/>
      <c r="Z282" s="75"/>
      <c r="AA282" s="77"/>
    </row>
    <row r="283">
      <c r="W283" s="75"/>
      <c r="X283" s="75"/>
      <c r="Y283" s="76"/>
      <c r="Z283" s="75"/>
      <c r="AA283" s="77"/>
    </row>
    <row r="284">
      <c r="W284" s="75"/>
      <c r="X284" s="75"/>
      <c r="Y284" s="76"/>
      <c r="Z284" s="75"/>
      <c r="AA284" s="77"/>
    </row>
    <row r="285">
      <c r="W285" s="75"/>
      <c r="X285" s="75"/>
      <c r="Y285" s="76"/>
      <c r="Z285" s="75"/>
      <c r="AA285" s="77"/>
    </row>
    <row r="286">
      <c r="W286" s="75"/>
      <c r="X286" s="75"/>
      <c r="Y286" s="76"/>
      <c r="Z286" s="75"/>
      <c r="AA286" s="77"/>
    </row>
    <row r="287">
      <c r="W287" s="75"/>
      <c r="X287" s="75"/>
      <c r="Y287" s="76"/>
      <c r="Z287" s="75"/>
      <c r="AA287" s="77"/>
    </row>
    <row r="288">
      <c r="W288" s="75"/>
      <c r="X288" s="75"/>
      <c r="Y288" s="76"/>
      <c r="Z288" s="75"/>
      <c r="AA288" s="77"/>
    </row>
    <row r="289">
      <c r="W289" s="75"/>
      <c r="X289" s="75"/>
      <c r="Y289" s="76"/>
      <c r="Z289" s="75"/>
      <c r="AA289" s="77"/>
    </row>
    <row r="290">
      <c r="W290" s="75"/>
      <c r="X290" s="75"/>
      <c r="Y290" s="76"/>
      <c r="Z290" s="75"/>
      <c r="AA290" s="77"/>
    </row>
    <row r="291">
      <c r="W291" s="75"/>
      <c r="X291" s="75"/>
      <c r="Y291" s="76"/>
      <c r="Z291" s="75"/>
      <c r="AA291" s="77"/>
    </row>
    <row r="292">
      <c r="W292" s="75"/>
      <c r="X292" s="75"/>
      <c r="Y292" s="76"/>
      <c r="Z292" s="75"/>
      <c r="AA292" s="77"/>
    </row>
    <row r="293">
      <c r="W293" s="75"/>
      <c r="X293" s="75"/>
      <c r="Y293" s="76"/>
      <c r="Z293" s="75"/>
      <c r="AA293" s="77"/>
    </row>
    <row r="294">
      <c r="W294" s="75"/>
      <c r="X294" s="75"/>
      <c r="Y294" s="76"/>
      <c r="Z294" s="75"/>
      <c r="AA294" s="77"/>
    </row>
    <row r="295">
      <c r="W295" s="75"/>
      <c r="X295" s="75"/>
      <c r="Y295" s="76"/>
      <c r="Z295" s="75"/>
      <c r="AA295" s="77"/>
    </row>
    <row r="296">
      <c r="W296" s="75"/>
      <c r="X296" s="75"/>
      <c r="Y296" s="76"/>
      <c r="Z296" s="75"/>
      <c r="AA296" s="77"/>
    </row>
    <row r="297">
      <c r="W297" s="75"/>
      <c r="X297" s="75"/>
      <c r="Y297" s="76"/>
      <c r="Z297" s="75"/>
      <c r="AA297" s="77"/>
    </row>
    <row r="298">
      <c r="W298" s="75"/>
      <c r="X298" s="75"/>
      <c r="Y298" s="76"/>
      <c r="Z298" s="75"/>
      <c r="AA298" s="77"/>
    </row>
    <row r="299">
      <c r="W299" s="75"/>
      <c r="X299" s="75"/>
      <c r="Y299" s="76"/>
      <c r="Z299" s="75"/>
      <c r="AA299" s="77"/>
    </row>
    <row r="300">
      <c r="W300" s="75"/>
      <c r="X300" s="75"/>
      <c r="Y300" s="76"/>
      <c r="Z300" s="75"/>
      <c r="AA300" s="77"/>
    </row>
    <row r="301">
      <c r="W301" s="75"/>
      <c r="X301" s="75"/>
      <c r="Y301" s="76"/>
      <c r="Z301" s="75"/>
      <c r="AA301" s="77"/>
    </row>
    <row r="302">
      <c r="W302" s="75"/>
      <c r="X302" s="75"/>
      <c r="Y302" s="76"/>
      <c r="Z302" s="75"/>
      <c r="AA302" s="77"/>
    </row>
    <row r="303">
      <c r="W303" s="75"/>
      <c r="X303" s="75"/>
      <c r="Y303" s="76"/>
      <c r="Z303" s="75"/>
      <c r="AA303" s="77"/>
    </row>
    <row r="304">
      <c r="W304" s="75"/>
      <c r="X304" s="75"/>
      <c r="Y304" s="76"/>
      <c r="Z304" s="75"/>
      <c r="AA304" s="77"/>
    </row>
    <row r="305">
      <c r="W305" s="75"/>
      <c r="X305" s="75"/>
      <c r="Y305" s="76"/>
      <c r="Z305" s="75"/>
      <c r="AA305" s="77"/>
    </row>
    <row r="306">
      <c r="W306" s="75"/>
      <c r="X306" s="75"/>
      <c r="Y306" s="76"/>
      <c r="Z306" s="75"/>
      <c r="AA306" s="77"/>
    </row>
    <row r="307">
      <c r="W307" s="75"/>
      <c r="X307" s="75"/>
      <c r="Y307" s="76"/>
      <c r="Z307" s="75"/>
      <c r="AA307" s="77"/>
    </row>
    <row r="308">
      <c r="W308" s="75"/>
      <c r="X308" s="75"/>
      <c r="Y308" s="76"/>
      <c r="Z308" s="75"/>
      <c r="AA308" s="77"/>
    </row>
    <row r="309">
      <c r="W309" s="75"/>
      <c r="X309" s="75"/>
      <c r="Y309" s="76"/>
      <c r="Z309" s="75"/>
      <c r="AA309" s="77"/>
    </row>
    <row r="310">
      <c r="W310" s="75"/>
      <c r="X310" s="75"/>
      <c r="Y310" s="76"/>
      <c r="Z310" s="75"/>
      <c r="AA310" s="77"/>
    </row>
    <row r="311">
      <c r="W311" s="75"/>
      <c r="X311" s="75"/>
      <c r="Y311" s="76"/>
      <c r="Z311" s="75"/>
      <c r="AA311" s="77"/>
    </row>
    <row r="312">
      <c r="W312" s="75"/>
      <c r="X312" s="75"/>
      <c r="Y312" s="76"/>
      <c r="Z312" s="75"/>
      <c r="AA312" s="77"/>
    </row>
    <row r="313">
      <c r="W313" s="75"/>
      <c r="X313" s="75"/>
      <c r="Y313" s="76"/>
      <c r="Z313" s="75"/>
      <c r="AA313" s="77"/>
    </row>
    <row r="314">
      <c r="W314" s="75"/>
      <c r="X314" s="75"/>
      <c r="Y314" s="76"/>
      <c r="Z314" s="75"/>
      <c r="AA314" s="77"/>
    </row>
    <row r="315">
      <c r="W315" s="75"/>
      <c r="X315" s="75"/>
      <c r="Y315" s="76"/>
      <c r="Z315" s="75"/>
      <c r="AA315" s="77"/>
    </row>
    <row r="316">
      <c r="W316" s="75"/>
      <c r="X316" s="75"/>
      <c r="Y316" s="76"/>
      <c r="Z316" s="75"/>
      <c r="AA316" s="77"/>
    </row>
    <row r="317">
      <c r="W317" s="75"/>
      <c r="X317" s="75"/>
      <c r="Y317" s="76"/>
      <c r="Z317" s="75"/>
      <c r="AA317" s="77"/>
    </row>
    <row r="318">
      <c r="W318" s="75"/>
      <c r="X318" s="75"/>
      <c r="Y318" s="76"/>
      <c r="Z318" s="75"/>
      <c r="AA318" s="77"/>
    </row>
    <row r="319">
      <c r="W319" s="75"/>
      <c r="X319" s="75"/>
      <c r="Y319" s="76"/>
      <c r="Z319" s="75"/>
      <c r="AA319" s="77"/>
    </row>
    <row r="320">
      <c r="W320" s="75"/>
      <c r="X320" s="75"/>
      <c r="Y320" s="76"/>
      <c r="Z320" s="75"/>
      <c r="AA320" s="77"/>
    </row>
    <row r="321">
      <c r="W321" s="75"/>
      <c r="X321" s="75"/>
      <c r="Y321" s="76"/>
      <c r="Z321" s="75"/>
      <c r="AA321" s="77"/>
    </row>
    <row r="322">
      <c r="W322" s="75"/>
      <c r="X322" s="75"/>
      <c r="Y322" s="76"/>
      <c r="Z322" s="75"/>
      <c r="AA322" s="77"/>
    </row>
    <row r="323">
      <c r="W323" s="75"/>
      <c r="X323" s="75"/>
      <c r="Y323" s="76"/>
      <c r="Z323" s="75"/>
      <c r="AA323" s="77"/>
    </row>
    <row r="324">
      <c r="W324" s="75"/>
      <c r="X324" s="75"/>
      <c r="Y324" s="76"/>
      <c r="Z324" s="75"/>
      <c r="AA324" s="77"/>
    </row>
    <row r="325">
      <c r="W325" s="75"/>
      <c r="X325" s="75"/>
      <c r="Y325" s="76"/>
      <c r="Z325" s="75"/>
      <c r="AA325" s="77"/>
    </row>
    <row r="326">
      <c r="W326" s="75"/>
      <c r="X326" s="75"/>
      <c r="Y326" s="76"/>
      <c r="Z326" s="75"/>
      <c r="AA326" s="77"/>
    </row>
    <row r="327">
      <c r="W327" s="75"/>
      <c r="X327" s="75"/>
      <c r="Y327" s="76"/>
      <c r="Z327" s="75"/>
      <c r="AA327" s="77"/>
    </row>
    <row r="328">
      <c r="W328" s="75"/>
      <c r="X328" s="75"/>
      <c r="Y328" s="76"/>
      <c r="Z328" s="75"/>
      <c r="AA328" s="77"/>
    </row>
    <row r="329">
      <c r="W329" s="75"/>
      <c r="X329" s="75"/>
      <c r="Y329" s="76"/>
      <c r="Z329" s="75"/>
      <c r="AA329" s="77"/>
    </row>
    <row r="330">
      <c r="W330" s="75"/>
      <c r="X330" s="75"/>
      <c r="Y330" s="76"/>
      <c r="Z330" s="75"/>
      <c r="AA330" s="77"/>
    </row>
    <row r="331">
      <c r="W331" s="75"/>
      <c r="X331" s="75"/>
      <c r="Y331" s="76"/>
      <c r="Z331" s="75"/>
      <c r="AA331" s="77"/>
    </row>
    <row r="332">
      <c r="W332" s="75"/>
      <c r="X332" s="75"/>
      <c r="Y332" s="76"/>
      <c r="Z332" s="75"/>
      <c r="AA332" s="77"/>
    </row>
    <row r="333">
      <c r="W333" s="75"/>
      <c r="X333" s="75"/>
      <c r="Y333" s="76"/>
      <c r="Z333" s="75"/>
      <c r="AA333" s="77"/>
    </row>
    <row r="334">
      <c r="W334" s="75"/>
      <c r="X334" s="75"/>
      <c r="Y334" s="76"/>
      <c r="Z334" s="75"/>
      <c r="AA334" s="77"/>
    </row>
    <row r="335">
      <c r="W335" s="75"/>
      <c r="X335" s="75"/>
      <c r="Y335" s="76"/>
      <c r="Z335" s="75"/>
      <c r="AA335" s="77"/>
    </row>
    <row r="336">
      <c r="W336" s="75"/>
      <c r="X336" s="75"/>
      <c r="Y336" s="76"/>
      <c r="Z336" s="75"/>
      <c r="AA336" s="77"/>
    </row>
    <row r="337">
      <c r="W337" s="75"/>
      <c r="X337" s="75"/>
      <c r="Y337" s="76"/>
      <c r="Z337" s="75"/>
      <c r="AA337" s="77"/>
    </row>
    <row r="338">
      <c r="W338" s="75"/>
      <c r="X338" s="75"/>
      <c r="Y338" s="76"/>
      <c r="Z338" s="75"/>
      <c r="AA338" s="77"/>
    </row>
    <row r="339">
      <c r="W339" s="75"/>
      <c r="X339" s="75"/>
      <c r="Y339" s="76"/>
      <c r="Z339" s="75"/>
      <c r="AA339" s="77"/>
    </row>
    <row r="340">
      <c r="W340" s="75"/>
      <c r="X340" s="75"/>
      <c r="Y340" s="76"/>
      <c r="Z340" s="75"/>
      <c r="AA340" s="77"/>
    </row>
    <row r="341">
      <c r="W341" s="75"/>
      <c r="X341" s="75"/>
      <c r="Y341" s="76"/>
      <c r="Z341" s="75"/>
      <c r="AA341" s="77"/>
    </row>
    <row r="342">
      <c r="W342" s="75"/>
      <c r="X342" s="75"/>
      <c r="Y342" s="76"/>
      <c r="Z342" s="75"/>
      <c r="AA342" s="77"/>
    </row>
    <row r="343">
      <c r="W343" s="75"/>
      <c r="X343" s="75"/>
      <c r="Y343" s="76"/>
      <c r="Z343" s="75"/>
      <c r="AA343" s="77"/>
    </row>
    <row r="344">
      <c r="W344" s="75"/>
      <c r="X344" s="75"/>
      <c r="Y344" s="76"/>
      <c r="Z344" s="75"/>
      <c r="AA344" s="77"/>
    </row>
    <row r="345">
      <c r="W345" s="75"/>
      <c r="X345" s="75"/>
      <c r="Y345" s="76"/>
      <c r="Z345" s="75"/>
      <c r="AA345" s="77"/>
    </row>
    <row r="346">
      <c r="W346" s="75"/>
      <c r="X346" s="75"/>
      <c r="Y346" s="76"/>
      <c r="Z346" s="75"/>
      <c r="AA346" s="77"/>
    </row>
    <row r="347">
      <c r="W347" s="75"/>
      <c r="X347" s="75"/>
      <c r="Y347" s="76"/>
      <c r="Z347" s="75"/>
      <c r="AA347" s="77"/>
    </row>
    <row r="348">
      <c r="W348" s="75"/>
      <c r="X348" s="75"/>
      <c r="Y348" s="76"/>
      <c r="Z348" s="75"/>
      <c r="AA348" s="77"/>
    </row>
  </sheetData>
  <conditionalFormatting sqref="C2:C273">
    <cfRule type="expression" dxfId="0" priority="1">
      <formula>Countif(C:C,C1)&gt;1</formula>
    </cfRule>
  </conditionalFormatting>
  <dataValidations>
    <dataValidation type="list" allowBlank="1" showErrorMessage="1" sqref="Y2:Y348">
      <formula1>"DUYỆT,KHÔNG DUYỆT"</formula1>
    </dataValidation>
  </dataValidations>
  <hyperlinks>
    <hyperlink r:id="rId2" ref="AD248"/>
  </hyperlinks>
  <drawing r:id="rId3"/>
  <legacyDrawing r:id="rId4"/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3.38"/>
    <col customWidth="1" min="2" max="3" width="17.25"/>
    <col customWidth="1" min="4" max="4" width="17.75"/>
    <col customWidth="1" min="5" max="5" width="22.0"/>
    <col customWidth="1" min="6" max="6" width="24.38"/>
    <col customWidth="1" min="8" max="8" width="31.0"/>
  </cols>
  <sheetData>
    <row r="1">
      <c r="A1" s="78"/>
      <c r="B1" s="78"/>
      <c r="C1" s="79">
        <f>sum(C2:C140)</f>
        <v>227</v>
      </c>
      <c r="G1" s="80"/>
    </row>
    <row r="2">
      <c r="A2" s="70" t="s">
        <v>688</v>
      </c>
      <c r="B2" s="69" t="s">
        <v>117</v>
      </c>
      <c r="C2" s="72">
        <f>countifs(Form_Responses1[DN khoa đã duyệt],A2,Form_Responses1[Bộ phận TT khoa đã duyệt],B2)</f>
        <v>1</v>
      </c>
      <c r="D2" s="81" t="s">
        <v>1319</v>
      </c>
      <c r="E2" s="82" t="s">
        <v>1320</v>
      </c>
      <c r="F2" s="81" t="s">
        <v>1321</v>
      </c>
      <c r="G2" s="83" t="s">
        <v>1322</v>
      </c>
      <c r="H2" s="82" t="s">
        <v>1323</v>
      </c>
    </row>
    <row r="3">
      <c r="A3" s="70" t="s">
        <v>688</v>
      </c>
      <c r="B3" s="70" t="s">
        <v>56</v>
      </c>
      <c r="C3" s="72">
        <f>countifs(Form_Responses1[DN khoa đã duyệt],A3,Form_Responses1[Bộ phận TT khoa đã duyệt],B3)</f>
        <v>1</v>
      </c>
      <c r="D3" s="81" t="s">
        <v>1319</v>
      </c>
      <c r="E3" s="81" t="s">
        <v>1324</v>
      </c>
      <c r="F3" s="81" t="s">
        <v>1325</v>
      </c>
      <c r="G3" s="84" t="s">
        <v>1322</v>
      </c>
      <c r="H3" s="85"/>
    </row>
    <row r="4">
      <c r="A4" s="69" t="s">
        <v>709</v>
      </c>
      <c r="B4" s="69" t="s">
        <v>56</v>
      </c>
      <c r="C4" s="72">
        <f>countifs(Form_Responses1[DN khoa đã duyệt],A4,Form_Responses1[Bộ phận TT khoa đã duyệt],B4)</f>
        <v>2</v>
      </c>
      <c r="D4" s="86"/>
      <c r="E4" s="81" t="s">
        <v>1326</v>
      </c>
      <c r="F4" s="81" t="s">
        <v>1327</v>
      </c>
      <c r="G4" s="84" t="s">
        <v>1328</v>
      </c>
      <c r="H4" s="81" t="s">
        <v>1329</v>
      </c>
    </row>
    <row r="5">
      <c r="A5" s="69" t="s">
        <v>266</v>
      </c>
      <c r="B5" s="69" t="s">
        <v>92</v>
      </c>
      <c r="C5" s="72">
        <f>countifs(Form_Responses1[DN khoa đã duyệt],A5,Form_Responses1[Bộ phận TT khoa đã duyệt],B5)</f>
        <v>2</v>
      </c>
      <c r="D5" s="86"/>
      <c r="E5" s="86"/>
      <c r="F5" s="86"/>
      <c r="G5" s="87"/>
      <c r="H5" s="86"/>
    </row>
    <row r="6">
      <c r="A6" s="69" t="s">
        <v>441</v>
      </c>
      <c r="B6" s="69" t="s">
        <v>92</v>
      </c>
      <c r="C6" s="72">
        <f>countifs(Form_Responses1[DN khoa đã duyệt],A6,Form_Responses1[Bộ phận TT khoa đã duyệt],B6)</f>
        <v>1</v>
      </c>
      <c r="D6" s="81" t="s">
        <v>1319</v>
      </c>
      <c r="E6" s="81" t="s">
        <v>1330</v>
      </c>
      <c r="F6" s="81" t="s">
        <v>1331</v>
      </c>
      <c r="G6" s="84" t="s">
        <v>1332</v>
      </c>
      <c r="H6" s="81" t="s">
        <v>1333</v>
      </c>
    </row>
    <row r="7">
      <c r="A7" s="70" t="s">
        <v>952</v>
      </c>
      <c r="B7" s="70" t="s">
        <v>56</v>
      </c>
      <c r="C7" s="72">
        <f>countifs(Form_Responses1[DN khoa đã duyệt],A7,Form_Responses1[Bộ phận TT khoa đã duyệt],B7)</f>
        <v>1</v>
      </c>
      <c r="D7" s="85"/>
      <c r="E7" s="85"/>
      <c r="F7" s="85"/>
      <c r="G7" s="88"/>
      <c r="H7" s="85"/>
    </row>
    <row r="8">
      <c r="A8" s="69" t="s">
        <v>53</v>
      </c>
      <c r="B8" s="69" t="s">
        <v>56</v>
      </c>
      <c r="C8" s="72">
        <f>countifs(Form_Responses1[DN khoa đã duyệt],A8,Form_Responses1[Bộ phận TT khoa đã duyệt],B8)</f>
        <v>2</v>
      </c>
      <c r="D8" s="81"/>
      <c r="E8" s="81" t="s">
        <v>1334</v>
      </c>
      <c r="F8" s="81" t="s">
        <v>1335</v>
      </c>
      <c r="G8" s="84" t="s">
        <v>1336</v>
      </c>
      <c r="H8" s="81" t="s">
        <v>1337</v>
      </c>
    </row>
    <row r="9">
      <c r="A9" s="69" t="s">
        <v>53</v>
      </c>
      <c r="B9" s="69" t="s">
        <v>117</v>
      </c>
      <c r="C9" s="72">
        <f>countifs(Form_Responses1[DN khoa đã duyệt],A9,Form_Responses1[Bộ phận TT khoa đã duyệt],B9)</f>
        <v>3</v>
      </c>
      <c r="D9" s="81" t="s">
        <v>1319</v>
      </c>
      <c r="E9" s="81" t="s">
        <v>1338</v>
      </c>
      <c r="F9" s="81" t="s">
        <v>1339</v>
      </c>
      <c r="G9" s="84" t="s">
        <v>1340</v>
      </c>
      <c r="H9" s="86"/>
    </row>
    <row r="10">
      <c r="A10" s="70" t="s">
        <v>53</v>
      </c>
      <c r="B10" s="70" t="s">
        <v>1341</v>
      </c>
      <c r="C10" s="72">
        <f>countifs(Form_Responses1[DN khoa đã duyệt],A10,Form_Responses1[Bộ phận TT khoa đã duyệt],B10)</f>
        <v>0</v>
      </c>
      <c r="D10" s="85"/>
      <c r="E10" s="85"/>
      <c r="F10" s="85"/>
      <c r="G10" s="88"/>
      <c r="H10" s="85"/>
    </row>
    <row r="11">
      <c r="A11" s="70" t="s">
        <v>1342</v>
      </c>
      <c r="B11" s="69" t="s">
        <v>56</v>
      </c>
      <c r="C11" s="72">
        <f>countifs(Form_Responses1[DN khoa đã duyệt],A11,Form_Responses1[Bộ phận TT khoa đã duyệt],B11)</f>
        <v>0</v>
      </c>
      <c r="D11" s="86"/>
      <c r="E11" s="86"/>
      <c r="F11" s="86"/>
      <c r="G11" s="87"/>
      <c r="H11" s="86"/>
    </row>
    <row r="12">
      <c r="A12" s="70" t="s">
        <v>755</v>
      </c>
      <c r="B12" s="69" t="s">
        <v>56</v>
      </c>
      <c r="C12" s="72">
        <f>countifs(Form_Responses1[DN khoa đã duyệt],A12,Form_Responses1[Bộ phận TT khoa đã duyệt],B12)</f>
        <v>4</v>
      </c>
      <c r="D12" s="81" t="s">
        <v>1343</v>
      </c>
      <c r="E12" s="81" t="s">
        <v>1344</v>
      </c>
      <c r="F12" s="81" t="s">
        <v>1345</v>
      </c>
      <c r="G12" s="84" t="s">
        <v>1346</v>
      </c>
      <c r="H12" s="81" t="s">
        <v>1347</v>
      </c>
    </row>
    <row r="13">
      <c r="A13" s="70" t="s">
        <v>781</v>
      </c>
      <c r="B13" s="69" t="s">
        <v>56</v>
      </c>
      <c r="C13" s="72">
        <f>countifs(Form_Responses1[DN khoa đã duyệt],A13,Form_Responses1[Bộ phận TT khoa đã duyệt],B13)</f>
        <v>0</v>
      </c>
      <c r="D13" s="86"/>
      <c r="E13" s="86"/>
      <c r="F13" s="86"/>
      <c r="G13" s="87"/>
      <c r="H13" s="86"/>
    </row>
    <row r="14">
      <c r="A14" s="69" t="s">
        <v>154</v>
      </c>
      <c r="B14" s="69" t="s">
        <v>56</v>
      </c>
      <c r="C14" s="72">
        <f>countifs(Form_Responses1[DN khoa đã duyệt],A14,Form_Responses1[Bộ phận TT khoa đã duyệt],B14)</f>
        <v>4</v>
      </c>
      <c r="D14" s="81" t="s">
        <v>1343</v>
      </c>
      <c r="E14" s="81" t="s">
        <v>1348</v>
      </c>
      <c r="F14" s="81" t="s">
        <v>1349</v>
      </c>
      <c r="G14" s="84" t="s">
        <v>1350</v>
      </c>
      <c r="H14" s="81" t="s">
        <v>1351</v>
      </c>
    </row>
    <row r="15">
      <c r="A15" s="69" t="s">
        <v>154</v>
      </c>
      <c r="B15" s="69" t="s">
        <v>117</v>
      </c>
      <c r="C15" s="72">
        <f>countifs(Form_Responses1[DN khoa đã duyệt],A15,Form_Responses1[Bộ phận TT khoa đã duyệt],B15)</f>
        <v>5</v>
      </c>
      <c r="D15" s="81" t="s">
        <v>1319</v>
      </c>
      <c r="E15" s="81" t="s">
        <v>1352</v>
      </c>
      <c r="F15" s="81" t="s">
        <v>1353</v>
      </c>
      <c r="G15" s="84" t="s">
        <v>1354</v>
      </c>
      <c r="H15" s="81" t="s">
        <v>1355</v>
      </c>
    </row>
    <row r="16">
      <c r="A16" s="70" t="s">
        <v>154</v>
      </c>
      <c r="B16" s="70" t="s">
        <v>92</v>
      </c>
      <c r="C16" s="72">
        <f>countifs(Form_Responses1[DN khoa đã duyệt],A16,Form_Responses1[Bộ phận TT khoa đã duyệt],B16)</f>
        <v>1</v>
      </c>
      <c r="D16" s="85"/>
      <c r="E16" s="85"/>
      <c r="F16" s="85"/>
      <c r="G16" s="88"/>
      <c r="H16" s="85"/>
    </row>
    <row r="17">
      <c r="A17" s="69" t="s">
        <v>230</v>
      </c>
      <c r="B17" s="69" t="s">
        <v>117</v>
      </c>
      <c r="C17" s="72">
        <f>countifs(Form_Responses1[DN khoa đã duyệt],A17,Form_Responses1[Bộ phận TT khoa đã duyệt],B17)</f>
        <v>3</v>
      </c>
      <c r="D17" s="86"/>
      <c r="E17" s="81" t="s">
        <v>1356</v>
      </c>
      <c r="F17" s="81" t="s">
        <v>1357</v>
      </c>
      <c r="G17" s="84" t="s">
        <v>1358</v>
      </c>
      <c r="H17" s="81" t="s">
        <v>1359</v>
      </c>
    </row>
    <row r="18">
      <c r="A18" s="69" t="s">
        <v>811</v>
      </c>
      <c r="B18" s="69" t="s">
        <v>117</v>
      </c>
      <c r="C18" s="72">
        <f>countifs(Form_Responses1[DN khoa đã duyệt],A18,Form_Responses1[Bộ phận TT khoa đã duyệt],B18)</f>
        <v>2</v>
      </c>
      <c r="D18" s="81" t="s">
        <v>1343</v>
      </c>
      <c r="E18" s="81" t="s">
        <v>1360</v>
      </c>
      <c r="F18" s="81" t="s">
        <v>1321</v>
      </c>
      <c r="G18" s="84" t="s">
        <v>1361</v>
      </c>
      <c r="H18" s="81" t="s">
        <v>1362</v>
      </c>
    </row>
    <row r="19">
      <c r="A19" s="69" t="s">
        <v>212</v>
      </c>
      <c r="B19" s="69" t="s">
        <v>56</v>
      </c>
      <c r="C19" s="72">
        <f>countifs(Form_Responses1[DN khoa đã duyệt],A19,Form_Responses1[Bộ phận TT khoa đã duyệt],B19)</f>
        <v>6</v>
      </c>
      <c r="D19" s="81" t="s">
        <v>1343</v>
      </c>
      <c r="E19" s="81" t="s">
        <v>1363</v>
      </c>
      <c r="F19" s="81" t="s">
        <v>1364</v>
      </c>
      <c r="G19" s="84" t="s">
        <v>1365</v>
      </c>
      <c r="H19" s="86"/>
    </row>
    <row r="20">
      <c r="A20" s="69" t="s">
        <v>212</v>
      </c>
      <c r="B20" s="69" t="s">
        <v>191</v>
      </c>
      <c r="C20" s="72">
        <f>countifs(Form_Responses1[DN khoa đã duyệt],A20,Form_Responses1[Bộ phận TT khoa đã duyệt],B20)</f>
        <v>1</v>
      </c>
      <c r="D20" s="81" t="s">
        <v>1319</v>
      </c>
      <c r="E20" s="81" t="s">
        <v>1366</v>
      </c>
      <c r="F20" s="81" t="s">
        <v>1367</v>
      </c>
      <c r="G20" s="84" t="s">
        <v>1368</v>
      </c>
      <c r="H20" s="81" t="s">
        <v>1369</v>
      </c>
    </row>
    <row r="21">
      <c r="A21" s="69" t="s">
        <v>212</v>
      </c>
      <c r="B21" s="69" t="s">
        <v>589</v>
      </c>
      <c r="C21" s="72">
        <f>countifs(Form_Responses1[DN khoa đã duyệt],A21,Form_Responses1[Bộ phận TT khoa đã duyệt],B21)</f>
        <v>1</v>
      </c>
      <c r="D21" s="81" t="s">
        <v>1319</v>
      </c>
      <c r="E21" s="81" t="s">
        <v>1370</v>
      </c>
      <c r="F21" s="81" t="s">
        <v>1371</v>
      </c>
      <c r="G21" s="84" t="s">
        <v>1372</v>
      </c>
      <c r="H21" s="86"/>
    </row>
    <row r="22">
      <c r="A22" s="69" t="s">
        <v>212</v>
      </c>
      <c r="B22" s="69" t="s">
        <v>117</v>
      </c>
      <c r="C22" s="72">
        <f>countifs(Form_Responses1[DN khoa đã duyệt],A22,Form_Responses1[Bộ phận TT khoa đã duyệt],B22)</f>
        <v>2</v>
      </c>
      <c r="D22" s="81" t="s">
        <v>1319</v>
      </c>
      <c r="E22" s="81" t="s">
        <v>1373</v>
      </c>
      <c r="F22" s="81" t="s">
        <v>1374</v>
      </c>
      <c r="G22" s="84" t="s">
        <v>1375</v>
      </c>
      <c r="H22" s="86"/>
    </row>
    <row r="23">
      <c r="A23" s="69" t="s">
        <v>600</v>
      </c>
      <c r="B23" s="69" t="s">
        <v>56</v>
      </c>
      <c r="C23" s="72">
        <f>countifs(Form_Responses1[DN khoa đã duyệt],A23,Form_Responses1[Bộ phận TT khoa đã duyệt],B23)</f>
        <v>5</v>
      </c>
      <c r="D23" s="81" t="s">
        <v>1343</v>
      </c>
      <c r="E23" s="81" t="s">
        <v>1376</v>
      </c>
      <c r="F23" s="81" t="s">
        <v>1325</v>
      </c>
      <c r="G23" s="84" t="s">
        <v>1377</v>
      </c>
      <c r="H23" s="86"/>
    </row>
    <row r="24">
      <c r="A24" s="69" t="s">
        <v>454</v>
      </c>
      <c r="B24" s="69" t="s">
        <v>117</v>
      </c>
      <c r="C24" s="72">
        <f>countifs(Form_Responses1[DN khoa đã duyệt],A24,Form_Responses1[Bộ phận TT khoa đã duyệt],B24)</f>
        <v>1</v>
      </c>
      <c r="D24" s="81" t="s">
        <v>1319</v>
      </c>
      <c r="E24" s="81" t="s">
        <v>1378</v>
      </c>
      <c r="F24" s="81" t="s">
        <v>1379</v>
      </c>
      <c r="G24" s="84" t="s">
        <v>1380</v>
      </c>
      <c r="H24" s="81" t="s">
        <v>1381</v>
      </c>
    </row>
    <row r="25">
      <c r="A25" s="69" t="s">
        <v>454</v>
      </c>
      <c r="B25" s="69" t="s">
        <v>56</v>
      </c>
      <c r="C25" s="72">
        <f>countifs(Form_Responses1[DN khoa đã duyệt],A25,Form_Responses1[Bộ phận TT khoa đã duyệt],B25)</f>
        <v>2</v>
      </c>
      <c r="D25" s="81" t="s">
        <v>1319</v>
      </c>
      <c r="E25" s="81" t="s">
        <v>1382</v>
      </c>
      <c r="F25" s="81" t="s">
        <v>1383</v>
      </c>
      <c r="G25" s="84" t="s">
        <v>1384</v>
      </c>
      <c r="H25" s="81" t="s">
        <v>1385</v>
      </c>
    </row>
    <row r="26">
      <c r="A26" s="70" t="s">
        <v>922</v>
      </c>
      <c r="B26" s="70" t="s">
        <v>117</v>
      </c>
      <c r="C26" s="72">
        <f>countifs(Form_Responses1[DN khoa đã duyệt],A26,Form_Responses1[Bộ phận TT khoa đã duyệt],B26)</f>
        <v>1</v>
      </c>
      <c r="D26" s="85"/>
      <c r="E26" s="85"/>
      <c r="F26" s="85"/>
      <c r="G26" s="88"/>
      <c r="H26" s="85"/>
    </row>
    <row r="27">
      <c r="A27" s="69" t="s">
        <v>160</v>
      </c>
      <c r="B27" s="69" t="s">
        <v>117</v>
      </c>
      <c r="C27" s="72">
        <f>countifs(Form_Responses1[DN khoa đã duyệt],A27,Form_Responses1[Bộ phận TT khoa đã duyệt],B27)</f>
        <v>3</v>
      </c>
      <c r="D27" s="86"/>
      <c r="E27" s="86"/>
      <c r="F27" s="86"/>
      <c r="G27" s="87"/>
      <c r="H27" s="86"/>
    </row>
    <row r="28">
      <c r="A28" s="69" t="s">
        <v>160</v>
      </c>
      <c r="B28" s="69" t="s">
        <v>56</v>
      </c>
      <c r="C28" s="72">
        <f>countifs(Form_Responses1[DN khoa đã duyệt],A28,Form_Responses1[Bộ phận TT khoa đã duyệt],B28)</f>
        <v>13</v>
      </c>
      <c r="D28" s="81" t="s">
        <v>1319</v>
      </c>
      <c r="E28" s="81" t="s">
        <v>1386</v>
      </c>
      <c r="F28" s="81" t="s">
        <v>1345</v>
      </c>
      <c r="G28" s="84" t="s">
        <v>1387</v>
      </c>
      <c r="H28" s="86"/>
    </row>
    <row r="29">
      <c r="A29" s="69" t="s">
        <v>160</v>
      </c>
      <c r="B29" s="69" t="s">
        <v>92</v>
      </c>
      <c r="C29" s="72">
        <f>countifs(Form_Responses1[DN khoa đã duyệt],A29,Form_Responses1[Bộ phận TT khoa đã duyệt],B29)</f>
        <v>2</v>
      </c>
      <c r="D29" s="86"/>
      <c r="E29" s="81" t="s">
        <v>1388</v>
      </c>
      <c r="F29" s="81" t="s">
        <v>1389</v>
      </c>
      <c r="G29" s="84" t="s">
        <v>1390</v>
      </c>
      <c r="H29" s="81" t="s">
        <v>1391</v>
      </c>
    </row>
    <row r="30">
      <c r="A30" s="70" t="s">
        <v>848</v>
      </c>
      <c r="B30" s="69" t="s">
        <v>117</v>
      </c>
      <c r="C30" s="72">
        <f>countifs(Form_Responses1[DN khoa đã duyệt],A30,Form_Responses1[Bộ phận TT khoa đã duyệt],B30)</f>
        <v>1</v>
      </c>
      <c r="D30" s="86"/>
      <c r="E30" s="86"/>
      <c r="F30" s="86"/>
      <c r="G30" s="87"/>
      <c r="H30" s="86"/>
    </row>
    <row r="31">
      <c r="A31" s="69" t="s">
        <v>200</v>
      </c>
      <c r="B31" s="69" t="s">
        <v>56</v>
      </c>
      <c r="C31" s="72">
        <f>countifs(Form_Responses1[DN khoa đã duyệt],A31,Form_Responses1[Bộ phận TT khoa đã duyệt],B31)</f>
        <v>1</v>
      </c>
      <c r="D31" s="81" t="s">
        <v>1319</v>
      </c>
      <c r="E31" s="81" t="s">
        <v>1324</v>
      </c>
      <c r="F31" s="81" t="s">
        <v>1392</v>
      </c>
      <c r="G31" s="84" t="s">
        <v>1393</v>
      </c>
      <c r="H31" s="86"/>
    </row>
    <row r="32">
      <c r="A32" s="69" t="s">
        <v>188</v>
      </c>
      <c r="B32" s="69" t="s">
        <v>191</v>
      </c>
      <c r="C32" s="72">
        <f>countifs(Form_Responses1[DN khoa đã duyệt],A32,Form_Responses1[Bộ phận TT khoa đã duyệt],B32)</f>
        <v>1</v>
      </c>
      <c r="D32" s="81" t="s">
        <v>1319</v>
      </c>
      <c r="E32" s="81" t="s">
        <v>1394</v>
      </c>
      <c r="F32" s="81" t="s">
        <v>1395</v>
      </c>
      <c r="G32" s="84" t="s">
        <v>1396</v>
      </c>
      <c r="H32" s="81" t="s">
        <v>1397</v>
      </c>
    </row>
    <row r="33">
      <c r="A33" s="69" t="s">
        <v>524</v>
      </c>
      <c r="B33" s="69" t="s">
        <v>56</v>
      </c>
      <c r="C33" s="72">
        <f>countifs(Form_Responses1[DN khoa đã duyệt],A33,Form_Responses1[Bộ phận TT khoa đã duyệt],B33)</f>
        <v>2</v>
      </c>
      <c r="D33" s="81" t="s">
        <v>1319</v>
      </c>
      <c r="E33" s="81" t="s">
        <v>1398</v>
      </c>
      <c r="F33" s="81" t="s">
        <v>1345</v>
      </c>
      <c r="G33" s="84" t="s">
        <v>1399</v>
      </c>
      <c r="H33" s="81" t="s">
        <v>1400</v>
      </c>
    </row>
    <row r="34">
      <c r="A34" s="69" t="s">
        <v>475</v>
      </c>
      <c r="B34" s="69" t="s">
        <v>56</v>
      </c>
      <c r="C34" s="72">
        <f>countifs(Form_Responses1[DN khoa đã duyệt],A34,Form_Responses1[Bộ phận TT khoa đã duyệt],B34)</f>
        <v>3</v>
      </c>
      <c r="D34" s="81" t="s">
        <v>1343</v>
      </c>
      <c r="E34" s="81" t="s">
        <v>1401</v>
      </c>
      <c r="F34" s="81" t="s">
        <v>1402</v>
      </c>
      <c r="G34" s="84" t="s">
        <v>1403</v>
      </c>
      <c r="H34" s="86"/>
    </row>
    <row r="35">
      <c r="A35" s="69" t="s">
        <v>475</v>
      </c>
      <c r="B35" s="69" t="s">
        <v>92</v>
      </c>
      <c r="C35" s="72">
        <f>countifs(Form_Responses1[DN khoa đã duyệt],A35,Form_Responses1[Bộ phận TT khoa đã duyệt],B35)</f>
        <v>1</v>
      </c>
      <c r="D35" s="86"/>
      <c r="E35" s="86"/>
      <c r="F35" s="86"/>
      <c r="G35" s="87"/>
      <c r="H35" s="86"/>
    </row>
    <row r="36">
      <c r="A36" s="69" t="s">
        <v>475</v>
      </c>
      <c r="B36" s="69" t="s">
        <v>117</v>
      </c>
      <c r="C36" s="72">
        <f>countifs(Form_Responses1[DN khoa đã duyệt],A36,Form_Responses1[Bộ phận TT khoa đã duyệt],B36)</f>
        <v>1</v>
      </c>
      <c r="D36" s="81" t="s">
        <v>1319</v>
      </c>
      <c r="E36" s="81" t="s">
        <v>1404</v>
      </c>
      <c r="F36" s="81" t="s">
        <v>1405</v>
      </c>
      <c r="G36" s="84" t="s">
        <v>1406</v>
      </c>
      <c r="H36" s="81" t="s">
        <v>1407</v>
      </c>
    </row>
    <row r="37">
      <c r="A37" s="69" t="s">
        <v>90</v>
      </c>
      <c r="B37" s="69" t="s">
        <v>92</v>
      </c>
      <c r="C37" s="72">
        <f>countifs(Form_Responses1[DN khoa đã duyệt],A37,Form_Responses1[Bộ phận TT khoa đã duyệt],B37)</f>
        <v>3</v>
      </c>
      <c r="D37" s="81"/>
      <c r="E37" s="81" t="s">
        <v>1408</v>
      </c>
      <c r="F37" s="81" t="s">
        <v>1409</v>
      </c>
      <c r="G37" s="84" t="s">
        <v>1410</v>
      </c>
      <c r="H37" s="86"/>
    </row>
    <row r="38">
      <c r="A38" s="69" t="s">
        <v>621</v>
      </c>
      <c r="B38" s="69" t="s">
        <v>56</v>
      </c>
      <c r="C38" s="72">
        <f>countifs(Form_Responses1[DN khoa đã duyệt],A38,Form_Responses1[Bộ phận TT khoa đã duyệt],B38)</f>
        <v>9</v>
      </c>
      <c r="D38" s="81" t="s">
        <v>1319</v>
      </c>
      <c r="E38" s="81" t="s">
        <v>1411</v>
      </c>
      <c r="F38" s="81" t="s">
        <v>1345</v>
      </c>
      <c r="G38" s="84" t="s">
        <v>1412</v>
      </c>
      <c r="H38" s="81" t="s">
        <v>1413</v>
      </c>
    </row>
    <row r="39">
      <c r="A39" s="70" t="s">
        <v>621</v>
      </c>
      <c r="B39" s="70" t="s">
        <v>92</v>
      </c>
      <c r="C39" s="72">
        <f>countifs(Form_Responses1[DN khoa đã duyệt],A39,Form_Responses1[Bộ phận TT khoa đã duyệt],B39)</f>
        <v>1</v>
      </c>
      <c r="D39" s="81" t="s">
        <v>1319</v>
      </c>
      <c r="E39" s="81" t="s">
        <v>1414</v>
      </c>
      <c r="F39" s="81" t="s">
        <v>1415</v>
      </c>
      <c r="G39" s="84" t="s">
        <v>1416</v>
      </c>
      <c r="H39" s="81" t="s">
        <v>1417</v>
      </c>
    </row>
    <row r="40">
      <c r="A40" s="70" t="s">
        <v>1418</v>
      </c>
      <c r="B40" s="70" t="s">
        <v>92</v>
      </c>
      <c r="C40" s="72">
        <f>countifs(Form_Responses1[DN khoa đã duyệt],A40,Form_Responses1[Bộ phận TT khoa đã duyệt],B40)</f>
        <v>0</v>
      </c>
      <c r="D40" s="85"/>
      <c r="E40" s="85"/>
      <c r="F40" s="85"/>
      <c r="G40" s="88"/>
      <c r="H40" s="85"/>
    </row>
    <row r="41">
      <c r="A41" s="69" t="s">
        <v>65</v>
      </c>
      <c r="B41" s="69" t="s">
        <v>56</v>
      </c>
      <c r="C41" s="72">
        <f>countifs(Form_Responses1[DN khoa đã duyệt],A41,Form_Responses1[Bộ phận TT khoa đã duyệt],B41)</f>
        <v>3</v>
      </c>
      <c r="D41" s="86"/>
      <c r="E41" s="81" t="s">
        <v>1419</v>
      </c>
      <c r="F41" s="81" t="s">
        <v>1327</v>
      </c>
      <c r="G41" s="84" t="s">
        <v>1420</v>
      </c>
      <c r="H41" s="81" t="s">
        <v>1421</v>
      </c>
    </row>
    <row r="42">
      <c r="A42" s="70" t="s">
        <v>796</v>
      </c>
      <c r="B42" s="69" t="s">
        <v>56</v>
      </c>
      <c r="C42" s="72">
        <f>countifs(Form_Responses1[DN khoa đã duyệt],A42,Form_Responses1[Bộ phận TT khoa đã duyệt],B42)</f>
        <v>0</v>
      </c>
      <c r="D42" s="86"/>
      <c r="E42" s="86"/>
      <c r="F42" s="86"/>
      <c r="G42" s="87"/>
      <c r="H42" s="86"/>
    </row>
    <row r="43">
      <c r="A43" s="69" t="s">
        <v>98</v>
      </c>
      <c r="B43" s="69" t="s">
        <v>92</v>
      </c>
      <c r="C43" s="72">
        <f>countifs(Form_Responses1[DN khoa đã duyệt],A43,Form_Responses1[Bộ phận TT khoa đã duyệt],B43)</f>
        <v>2</v>
      </c>
      <c r="D43" s="81" t="s">
        <v>1319</v>
      </c>
      <c r="E43" s="81" t="s">
        <v>1422</v>
      </c>
      <c r="F43" s="81" t="s">
        <v>1423</v>
      </c>
      <c r="G43" s="84" t="s">
        <v>1424</v>
      </c>
      <c r="H43" s="81" t="s">
        <v>1425</v>
      </c>
    </row>
    <row r="44">
      <c r="A44" s="69" t="s">
        <v>98</v>
      </c>
      <c r="B44" s="69" t="s">
        <v>56</v>
      </c>
      <c r="C44" s="72">
        <f>countifs(Form_Responses1[DN khoa đã duyệt],A44,Form_Responses1[Bộ phận TT khoa đã duyệt],B44)</f>
        <v>3</v>
      </c>
      <c r="D44" s="81" t="s">
        <v>1343</v>
      </c>
      <c r="E44" s="81" t="s">
        <v>1426</v>
      </c>
      <c r="F44" s="81" t="s">
        <v>1392</v>
      </c>
      <c r="G44" s="84" t="s">
        <v>1427</v>
      </c>
      <c r="H44" s="81" t="s">
        <v>1428</v>
      </c>
    </row>
    <row r="45">
      <c r="A45" s="69" t="s">
        <v>98</v>
      </c>
      <c r="B45" s="69" t="s">
        <v>117</v>
      </c>
      <c r="C45" s="72">
        <f>countifs(Form_Responses1[DN khoa đã duyệt],A45,Form_Responses1[Bộ phận TT khoa đã duyệt],B45)</f>
        <v>1</v>
      </c>
      <c r="D45" s="81" t="s">
        <v>1319</v>
      </c>
      <c r="E45" s="81" t="s">
        <v>1429</v>
      </c>
      <c r="F45" s="81" t="s">
        <v>1430</v>
      </c>
      <c r="G45" s="84" t="s">
        <v>1431</v>
      </c>
      <c r="H45" s="81" t="s">
        <v>1432</v>
      </c>
    </row>
    <row r="46">
      <c r="A46" s="89" t="s">
        <v>40</v>
      </c>
      <c r="B46" s="89" t="s">
        <v>43</v>
      </c>
      <c r="C46" s="72">
        <f>countifs(Form_Responses1[DN khoa đã duyệt],A46,Form_Responses1[Bộ phận TT khoa đã duyệt],B46)</f>
        <v>1</v>
      </c>
      <c r="D46" s="86"/>
      <c r="E46" s="86"/>
      <c r="F46" s="86"/>
      <c r="G46" s="87"/>
      <c r="H46" s="86"/>
    </row>
    <row r="47">
      <c r="A47" s="69" t="s">
        <v>325</v>
      </c>
      <c r="B47" s="69" t="s">
        <v>56</v>
      </c>
      <c r="C47" s="72">
        <f>countifs(Form_Responses1[DN khoa đã duyệt],A47,Form_Responses1[Bộ phận TT khoa đã duyệt],B47)</f>
        <v>3</v>
      </c>
      <c r="D47" s="81" t="s">
        <v>1319</v>
      </c>
      <c r="E47" s="81" t="s">
        <v>1433</v>
      </c>
      <c r="F47" s="81" t="s">
        <v>1434</v>
      </c>
      <c r="G47" s="84" t="s">
        <v>1435</v>
      </c>
      <c r="H47" s="86"/>
    </row>
    <row r="48">
      <c r="A48" s="69" t="s">
        <v>325</v>
      </c>
      <c r="B48" s="69" t="s">
        <v>448</v>
      </c>
      <c r="C48" s="72">
        <f>countifs(Form_Responses1[DN khoa đã duyệt],A48,Form_Responses1[Bộ phận TT khoa đã duyệt],B48)</f>
        <v>1</v>
      </c>
      <c r="D48" s="86"/>
      <c r="E48" s="86"/>
      <c r="F48" s="86"/>
      <c r="G48" s="87"/>
      <c r="H48" s="86"/>
    </row>
    <row r="49">
      <c r="A49" s="69" t="s">
        <v>325</v>
      </c>
      <c r="B49" s="69" t="s">
        <v>117</v>
      </c>
      <c r="C49" s="72">
        <f>countifs(Form_Responses1[DN khoa đã duyệt],A49,Form_Responses1[Bộ phận TT khoa đã duyệt],B49)</f>
        <v>1</v>
      </c>
      <c r="D49" s="81" t="s">
        <v>1319</v>
      </c>
      <c r="E49" s="81" t="s">
        <v>1436</v>
      </c>
      <c r="F49" s="81" t="s">
        <v>1437</v>
      </c>
      <c r="G49" s="87"/>
      <c r="H49" s="86"/>
    </row>
    <row r="50">
      <c r="A50" s="70" t="s">
        <v>325</v>
      </c>
      <c r="B50" s="69" t="s">
        <v>92</v>
      </c>
      <c r="C50" s="72">
        <f>countifs(Form_Responses1[DN khoa đã duyệt],A50,Form_Responses1[Bộ phận TT khoa đã duyệt],B50)</f>
        <v>4</v>
      </c>
      <c r="D50" s="86"/>
      <c r="E50" s="86"/>
      <c r="F50" s="86"/>
      <c r="G50" s="87"/>
      <c r="H50" s="86"/>
    </row>
    <row r="51">
      <c r="A51" s="69" t="s">
        <v>168</v>
      </c>
      <c r="B51" s="69" t="s">
        <v>117</v>
      </c>
      <c r="C51" s="72">
        <f>countifs(Form_Responses1[DN khoa đã duyệt],A51,Form_Responses1[Bộ phận TT khoa đã duyệt],B51)</f>
        <v>5</v>
      </c>
      <c r="D51" s="81" t="s">
        <v>1319</v>
      </c>
      <c r="E51" s="81" t="s">
        <v>1438</v>
      </c>
      <c r="F51" s="81" t="s">
        <v>1405</v>
      </c>
      <c r="G51" s="84" t="s">
        <v>1439</v>
      </c>
      <c r="H51" s="81" t="s">
        <v>1440</v>
      </c>
    </row>
    <row r="52">
      <c r="A52" s="69" t="s">
        <v>168</v>
      </c>
      <c r="B52" s="69" t="s">
        <v>92</v>
      </c>
      <c r="C52" s="72">
        <f>countifs(Form_Responses1[DN khoa đã duyệt],A52,Form_Responses1[Bộ phận TT khoa đã duyệt],B52)</f>
        <v>3</v>
      </c>
      <c r="D52" s="86"/>
      <c r="E52" s="86"/>
      <c r="F52" s="86"/>
      <c r="G52" s="87"/>
      <c r="H52" s="86"/>
    </row>
    <row r="53">
      <c r="A53" s="69" t="s">
        <v>168</v>
      </c>
      <c r="B53" s="69" t="s">
        <v>56</v>
      </c>
      <c r="C53" s="72">
        <f>countifs(Form_Responses1[DN khoa đã duyệt],A53,Form_Responses1[Bộ phận TT khoa đã duyệt],B53)</f>
        <v>3</v>
      </c>
      <c r="D53" s="81" t="s">
        <v>1319</v>
      </c>
      <c r="E53" s="81" t="s">
        <v>1441</v>
      </c>
      <c r="F53" s="81" t="s">
        <v>1442</v>
      </c>
      <c r="G53" s="84" t="s">
        <v>1435</v>
      </c>
      <c r="H53" s="86"/>
    </row>
    <row r="54">
      <c r="A54" s="90" t="s">
        <v>249</v>
      </c>
      <c r="B54" s="90" t="s">
        <v>92</v>
      </c>
      <c r="C54" s="72">
        <f>countifs(Form_Responses1[DN khoa đã duyệt],A54,Form_Responses1[Bộ phận TT khoa đã duyệt],B54)</f>
        <v>1</v>
      </c>
      <c r="D54" s="91"/>
      <c r="E54" s="91"/>
      <c r="F54" s="91"/>
      <c r="G54" s="92"/>
      <c r="H54" s="91"/>
    </row>
    <row r="55">
      <c r="A55" s="70" t="s">
        <v>249</v>
      </c>
      <c r="B55" s="69" t="s">
        <v>56</v>
      </c>
      <c r="C55" s="72">
        <f>countifs(Form_Responses1[DN khoa đã duyệt],A55,Form_Responses1[Bộ phận TT khoa đã duyệt],B55)</f>
        <v>0</v>
      </c>
      <c r="D55" s="86"/>
      <c r="E55" s="86"/>
      <c r="F55" s="86"/>
      <c r="G55" s="87"/>
      <c r="H55" s="86"/>
    </row>
    <row r="56">
      <c r="A56" s="69" t="s">
        <v>393</v>
      </c>
      <c r="B56" s="69" t="s">
        <v>92</v>
      </c>
      <c r="C56" s="72">
        <f>countifs(Form_Responses1[DN khoa đã duyệt],A56,Form_Responses1[Bộ phận TT khoa đã duyệt],B56)</f>
        <v>2</v>
      </c>
      <c r="D56" s="81" t="s">
        <v>1319</v>
      </c>
      <c r="E56" s="81" t="s">
        <v>1443</v>
      </c>
      <c r="F56" s="81" t="s">
        <v>1444</v>
      </c>
      <c r="G56" s="84" t="s">
        <v>1445</v>
      </c>
      <c r="H56" s="81" t="s">
        <v>1446</v>
      </c>
    </row>
    <row r="57">
      <c r="A57" s="69" t="s">
        <v>393</v>
      </c>
      <c r="B57" s="69" t="s">
        <v>117</v>
      </c>
      <c r="C57" s="72">
        <f>countifs(Form_Responses1[DN khoa đã duyệt],A57,Form_Responses1[Bộ phận TT khoa đã duyệt],B57)</f>
        <v>1</v>
      </c>
      <c r="D57" s="81" t="s">
        <v>1319</v>
      </c>
      <c r="E57" s="81" t="s">
        <v>1447</v>
      </c>
      <c r="F57" s="81" t="s">
        <v>1448</v>
      </c>
      <c r="G57" s="84" t="s">
        <v>1449</v>
      </c>
      <c r="H57" s="81" t="s">
        <v>1450</v>
      </c>
    </row>
    <row r="58">
      <c r="A58" s="69" t="s">
        <v>82</v>
      </c>
      <c r="B58" s="69" t="s">
        <v>56</v>
      </c>
      <c r="C58" s="72">
        <f>countifs(Form_Responses1[DN khoa đã duyệt],A58,Form_Responses1[Bộ phận TT khoa đã duyệt],B58)</f>
        <v>6</v>
      </c>
      <c r="D58" s="81" t="s">
        <v>1319</v>
      </c>
      <c r="E58" s="81" t="s">
        <v>1451</v>
      </c>
      <c r="F58" s="81" t="s">
        <v>1452</v>
      </c>
      <c r="G58" s="84" t="s">
        <v>1453</v>
      </c>
      <c r="H58" s="81" t="s">
        <v>1454</v>
      </c>
    </row>
    <row r="59">
      <c r="A59" s="69" t="s">
        <v>82</v>
      </c>
      <c r="B59" s="69" t="s">
        <v>92</v>
      </c>
      <c r="C59" s="72">
        <f>countifs(Form_Responses1[DN khoa đã duyệt],A59,Form_Responses1[Bộ phận TT khoa đã duyệt],B59)</f>
        <v>1</v>
      </c>
      <c r="D59" s="86"/>
      <c r="E59" s="81" t="s">
        <v>1455</v>
      </c>
      <c r="F59" s="81" t="s">
        <v>1423</v>
      </c>
      <c r="G59" s="84" t="s">
        <v>1456</v>
      </c>
      <c r="H59" s="81" t="s">
        <v>1457</v>
      </c>
    </row>
    <row r="60">
      <c r="A60" s="69" t="s">
        <v>82</v>
      </c>
      <c r="B60" s="69" t="s">
        <v>117</v>
      </c>
      <c r="C60" s="72">
        <f>countifs(Form_Responses1[DN khoa đã duyệt],A60,Form_Responses1[Bộ phận TT khoa đã duyệt],B60)</f>
        <v>3</v>
      </c>
      <c r="D60" s="81" t="s">
        <v>1319</v>
      </c>
      <c r="E60" s="81" t="s">
        <v>1458</v>
      </c>
      <c r="F60" s="81" t="s">
        <v>1448</v>
      </c>
      <c r="G60" s="84" t="s">
        <v>1459</v>
      </c>
      <c r="H60" s="86"/>
    </row>
    <row r="61">
      <c r="A61" s="69" t="s">
        <v>82</v>
      </c>
      <c r="B61" s="69" t="s">
        <v>507</v>
      </c>
      <c r="C61" s="72">
        <f>countifs(Form_Responses1[DN khoa đã duyệt],A61,Form_Responses1[Bộ phận TT khoa đã duyệt],B61)</f>
        <v>1</v>
      </c>
      <c r="D61" s="81" t="s">
        <v>1319</v>
      </c>
      <c r="E61" s="81" t="s">
        <v>1460</v>
      </c>
      <c r="F61" s="81" t="s">
        <v>1461</v>
      </c>
      <c r="G61" s="84" t="s">
        <v>1462</v>
      </c>
      <c r="H61" s="81" t="s">
        <v>1463</v>
      </c>
    </row>
    <row r="62">
      <c r="A62" s="69" t="s">
        <v>124</v>
      </c>
      <c r="B62" s="69" t="s">
        <v>56</v>
      </c>
      <c r="C62" s="72">
        <f>countifs(Form_Responses1[DN khoa đã duyệt],A62,Form_Responses1[Bộ phận TT khoa đã duyệt],B62)</f>
        <v>2</v>
      </c>
      <c r="D62" s="86" t="s">
        <v>1343</v>
      </c>
      <c r="E62" s="86" t="s">
        <v>1464</v>
      </c>
      <c r="F62" s="86" t="s">
        <v>1392</v>
      </c>
      <c r="G62" s="93" t="s">
        <v>1465</v>
      </c>
      <c r="H62" s="86"/>
    </row>
    <row r="63">
      <c r="A63" s="69" t="s">
        <v>770</v>
      </c>
      <c r="B63" s="69" t="s">
        <v>92</v>
      </c>
      <c r="C63" s="72">
        <f>countifs(Form_Responses1[DN khoa đã duyệt],A63,Form_Responses1[Bộ phận TT khoa đã duyệt],B63)</f>
        <v>1</v>
      </c>
      <c r="D63" s="86"/>
      <c r="E63" s="86"/>
      <c r="F63" s="86"/>
      <c r="G63" s="87"/>
      <c r="H63" s="86"/>
    </row>
    <row r="64">
      <c r="A64" s="69" t="s">
        <v>741</v>
      </c>
      <c r="B64" s="69" t="s">
        <v>56</v>
      </c>
      <c r="C64" s="72">
        <f>countifs(Form_Responses1[DN khoa đã duyệt],A64,Form_Responses1[Bộ phận TT khoa đã duyệt],B64)</f>
        <v>12</v>
      </c>
      <c r="D64" s="81" t="s">
        <v>1319</v>
      </c>
      <c r="E64" s="81" t="s">
        <v>1466</v>
      </c>
      <c r="F64" s="81" t="s">
        <v>1467</v>
      </c>
      <c r="G64" s="84" t="s">
        <v>1468</v>
      </c>
      <c r="H64" s="81" t="s">
        <v>1469</v>
      </c>
    </row>
    <row r="65">
      <c r="A65" s="69" t="s">
        <v>741</v>
      </c>
      <c r="B65" s="70" t="s">
        <v>117</v>
      </c>
      <c r="C65" s="72">
        <f>countifs(Form_Responses1[DN khoa đã duyệt],A65,Form_Responses1[Bộ phận TT khoa đã duyệt],B65)</f>
        <v>5</v>
      </c>
      <c r="D65" s="81" t="s">
        <v>1319</v>
      </c>
      <c r="E65" s="81" t="s">
        <v>1470</v>
      </c>
      <c r="F65" s="81" t="s">
        <v>1405</v>
      </c>
      <c r="G65" s="84" t="s">
        <v>1471</v>
      </c>
      <c r="H65" s="81" t="s">
        <v>1472</v>
      </c>
    </row>
    <row r="66">
      <c r="A66" s="69" t="s">
        <v>907</v>
      </c>
      <c r="B66" s="69" t="s">
        <v>56</v>
      </c>
      <c r="C66" s="72">
        <f>countifs(Form_Responses1[DN khoa đã duyệt],A66,Form_Responses1[Bộ phận TT khoa đã duyệt],B66)</f>
        <v>3</v>
      </c>
      <c r="D66" s="81" t="s">
        <v>1319</v>
      </c>
      <c r="E66" s="81" t="s">
        <v>1473</v>
      </c>
      <c r="F66" s="81" t="s">
        <v>1474</v>
      </c>
      <c r="G66" s="84" t="s">
        <v>1475</v>
      </c>
      <c r="H66" s="81" t="s">
        <v>1476</v>
      </c>
    </row>
    <row r="67">
      <c r="A67" s="69" t="s">
        <v>932</v>
      </c>
      <c r="B67" s="69" t="s">
        <v>56</v>
      </c>
      <c r="C67" s="72">
        <f>countifs(Form_Responses1[DN khoa đã duyệt],A67,Form_Responses1[Bộ phận TT khoa đã duyệt],B67)</f>
        <v>2</v>
      </c>
      <c r="D67" s="81" t="s">
        <v>1343</v>
      </c>
      <c r="E67" s="81" t="s">
        <v>1477</v>
      </c>
      <c r="F67" s="81" t="s">
        <v>1478</v>
      </c>
      <c r="G67" s="84" t="s">
        <v>1479</v>
      </c>
      <c r="H67" s="81" t="s">
        <v>1480</v>
      </c>
    </row>
    <row r="68">
      <c r="A68" s="69" t="s">
        <v>278</v>
      </c>
      <c r="B68" s="69" t="s">
        <v>117</v>
      </c>
      <c r="C68" s="72">
        <f>countifs(Form_Responses1[DN khoa đã duyệt],A68,Form_Responses1[Bộ phận TT khoa đã duyệt],B68)</f>
        <v>1</v>
      </c>
      <c r="D68" s="86" t="s">
        <v>1343</v>
      </c>
      <c r="E68" s="86" t="s">
        <v>1481</v>
      </c>
      <c r="F68" s="86" t="s">
        <v>1482</v>
      </c>
      <c r="G68" s="93" t="s">
        <v>1483</v>
      </c>
      <c r="H68" s="86" t="s">
        <v>1484</v>
      </c>
    </row>
    <row r="69">
      <c r="A69" s="69" t="s">
        <v>278</v>
      </c>
      <c r="B69" s="69" t="s">
        <v>541</v>
      </c>
      <c r="C69" s="72">
        <f>countifs(Form_Responses1[DN khoa đã duyệt],A69,Form_Responses1[Bộ phận TT khoa đã duyệt],B69)</f>
        <v>1</v>
      </c>
      <c r="D69" s="86"/>
      <c r="E69" s="86"/>
      <c r="F69" s="86"/>
      <c r="G69" s="87"/>
      <c r="H69" s="86"/>
    </row>
    <row r="70">
      <c r="A70" s="69" t="s">
        <v>278</v>
      </c>
      <c r="B70" s="69" t="s">
        <v>56</v>
      </c>
      <c r="C70" s="72">
        <f>countifs(Form_Responses1[DN khoa đã duyệt],A70,Form_Responses1[Bộ phận TT khoa đã duyệt],B70)</f>
        <v>1</v>
      </c>
      <c r="D70" s="86" t="s">
        <v>1343</v>
      </c>
      <c r="E70" s="81" t="s">
        <v>1485</v>
      </c>
      <c r="F70" s="81" t="s">
        <v>1486</v>
      </c>
      <c r="G70" s="84" t="s">
        <v>1487</v>
      </c>
      <c r="H70" s="86"/>
    </row>
    <row r="71">
      <c r="A71" s="69" t="s">
        <v>435</v>
      </c>
      <c r="B71" s="69" t="s">
        <v>117</v>
      </c>
      <c r="C71" s="72">
        <f>countifs(Form_Responses1[DN khoa đã duyệt],A71,Form_Responses1[Bộ phận TT khoa đã duyệt],B71)</f>
        <v>1</v>
      </c>
      <c r="D71" s="86"/>
      <c r="E71" s="86" t="s">
        <v>1488</v>
      </c>
      <c r="F71" s="86" t="s">
        <v>1321</v>
      </c>
      <c r="G71" s="93" t="s">
        <v>1489</v>
      </c>
      <c r="H71" s="86"/>
    </row>
    <row r="72">
      <c r="A72" s="69" t="s">
        <v>435</v>
      </c>
      <c r="B72" s="69" t="s">
        <v>507</v>
      </c>
      <c r="C72" s="72">
        <f>countifs(Form_Responses1[DN khoa đã duyệt],A72,Form_Responses1[Bộ phận TT khoa đã duyệt],B72)</f>
        <v>1</v>
      </c>
      <c r="D72" s="86" t="s">
        <v>1319</v>
      </c>
      <c r="E72" s="86" t="s">
        <v>1490</v>
      </c>
      <c r="F72" s="86" t="s">
        <v>1491</v>
      </c>
      <c r="G72" s="93" t="s">
        <v>1492</v>
      </c>
      <c r="H72" s="86"/>
    </row>
    <row r="73">
      <c r="A73" s="69" t="s">
        <v>435</v>
      </c>
      <c r="B73" s="70" t="s">
        <v>56</v>
      </c>
      <c r="C73" s="72">
        <f>countifs(Form_Responses1[DN khoa đã duyệt],A73,Form_Responses1[Bộ phận TT khoa đã duyệt],B73)</f>
        <v>1</v>
      </c>
      <c r="D73" s="86" t="s">
        <v>1343</v>
      </c>
      <c r="E73" s="81" t="s">
        <v>1493</v>
      </c>
      <c r="F73" s="86" t="s">
        <v>1327</v>
      </c>
      <c r="G73" s="84" t="s">
        <v>1494</v>
      </c>
      <c r="H73" s="86"/>
    </row>
    <row r="74">
      <c r="A74" s="69" t="s">
        <v>424</v>
      </c>
      <c r="B74" s="69" t="s">
        <v>92</v>
      </c>
      <c r="C74" s="72">
        <f>countifs(Form_Responses1[DN khoa đã duyệt],A74,Form_Responses1[Bộ phận TT khoa đã duyệt],B74)</f>
        <v>1</v>
      </c>
      <c r="D74" s="86" t="s">
        <v>1319</v>
      </c>
      <c r="E74" s="86" t="s">
        <v>1495</v>
      </c>
      <c r="F74" s="86" t="s">
        <v>1496</v>
      </c>
      <c r="G74" s="93" t="s">
        <v>1497</v>
      </c>
      <c r="H74" s="86"/>
    </row>
    <row r="75">
      <c r="A75" s="69" t="s">
        <v>728</v>
      </c>
      <c r="B75" s="69" t="s">
        <v>56</v>
      </c>
      <c r="C75" s="72">
        <f>countifs(Form_Responses1[DN khoa đã duyệt],A75,Form_Responses1[Bộ phận TT khoa đã duyệt],B75)</f>
        <v>2</v>
      </c>
      <c r="D75" s="86"/>
      <c r="E75" s="81" t="s">
        <v>1498</v>
      </c>
      <c r="F75" s="81" t="s">
        <v>1499</v>
      </c>
      <c r="G75" s="84" t="s">
        <v>1500</v>
      </c>
      <c r="H75" s="86"/>
    </row>
    <row r="76">
      <c r="A76" s="69" t="s">
        <v>380</v>
      </c>
      <c r="B76" s="69" t="s">
        <v>56</v>
      </c>
      <c r="C76" s="72">
        <f>countifs(Form_Responses1[DN khoa đã duyệt],A76,Form_Responses1[Bộ phận TT khoa đã duyệt],B76)</f>
        <v>4</v>
      </c>
      <c r="D76" s="86"/>
      <c r="E76" s="86"/>
      <c r="F76" s="86"/>
      <c r="G76" s="87"/>
      <c r="H76" s="86"/>
    </row>
    <row r="77">
      <c r="A77" s="69" t="s">
        <v>380</v>
      </c>
      <c r="B77" s="69" t="s">
        <v>117</v>
      </c>
      <c r="C77" s="72">
        <f>countifs(Form_Responses1[DN khoa đã duyệt],A77,Form_Responses1[Bộ phận TT khoa đã duyệt],B77)</f>
        <v>1</v>
      </c>
      <c r="D77" s="81" t="s">
        <v>1319</v>
      </c>
      <c r="E77" s="81" t="s">
        <v>1501</v>
      </c>
      <c r="F77" s="86" t="s">
        <v>1321</v>
      </c>
      <c r="G77" s="84" t="s">
        <v>1502</v>
      </c>
      <c r="H77" s="81" t="s">
        <v>1503</v>
      </c>
    </row>
    <row r="78">
      <c r="A78" s="69" t="s">
        <v>643</v>
      </c>
      <c r="B78" s="69" t="s">
        <v>56</v>
      </c>
      <c r="C78" s="72">
        <f>countifs(Form_Responses1[DN khoa đã duyệt],A78,Form_Responses1[Bộ phận TT khoa đã duyệt],B78)</f>
        <v>2</v>
      </c>
      <c r="D78" s="81" t="s">
        <v>1319</v>
      </c>
      <c r="E78" s="81" t="s">
        <v>1504</v>
      </c>
      <c r="F78" s="81" t="s">
        <v>1474</v>
      </c>
      <c r="G78" s="84" t="s">
        <v>1505</v>
      </c>
      <c r="H78" s="81" t="s">
        <v>1506</v>
      </c>
    </row>
    <row r="79">
      <c r="A79" s="69" t="s">
        <v>337</v>
      </c>
      <c r="B79" s="69" t="s">
        <v>56</v>
      </c>
      <c r="C79" s="72">
        <f>countifs(Form_Responses1[DN khoa đã duyệt],A79,Form_Responses1[Bộ phận TT khoa đã duyệt],B79)</f>
        <v>5</v>
      </c>
      <c r="D79" s="86" t="s">
        <v>1343</v>
      </c>
      <c r="E79" s="86" t="s">
        <v>1507</v>
      </c>
      <c r="F79" s="86" t="s">
        <v>1327</v>
      </c>
      <c r="G79" s="93" t="s">
        <v>1508</v>
      </c>
      <c r="H79" s="86" t="s">
        <v>1509</v>
      </c>
    </row>
    <row r="80">
      <c r="A80" s="69" t="s">
        <v>337</v>
      </c>
      <c r="B80" s="69" t="s">
        <v>117</v>
      </c>
      <c r="C80" s="72">
        <f>countifs(Form_Responses1[DN khoa đã duyệt],A80,Form_Responses1[Bộ phận TT khoa đã duyệt],B80)</f>
        <v>4</v>
      </c>
      <c r="D80" s="86" t="s">
        <v>1319</v>
      </c>
      <c r="E80" s="86" t="s">
        <v>1510</v>
      </c>
      <c r="F80" s="86" t="s">
        <v>1321</v>
      </c>
      <c r="G80" s="93" t="s">
        <v>1511</v>
      </c>
      <c r="H80" s="86" t="s">
        <v>1512</v>
      </c>
    </row>
    <row r="81">
      <c r="A81" s="69" t="s">
        <v>337</v>
      </c>
      <c r="B81" s="69" t="s">
        <v>92</v>
      </c>
      <c r="C81" s="72">
        <f>countifs(Form_Responses1[DN khoa đã duyệt],A81,Form_Responses1[Bộ phận TT khoa đã duyệt],B81)</f>
        <v>2</v>
      </c>
      <c r="D81" s="81" t="s">
        <v>1319</v>
      </c>
      <c r="E81" s="81" t="s">
        <v>1513</v>
      </c>
      <c r="F81" s="81" t="s">
        <v>1514</v>
      </c>
      <c r="G81" s="84" t="s">
        <v>1515</v>
      </c>
      <c r="H81" s="86"/>
    </row>
    <row r="82">
      <c r="A82" s="69" t="s">
        <v>1516</v>
      </c>
      <c r="B82" s="69" t="s">
        <v>1198</v>
      </c>
      <c r="C82" s="72">
        <f>countifs(Form_Responses1[DN khoa đã duyệt],A82,Form_Responses1[Bộ phận TT khoa đã duyệt],B82)</f>
        <v>0</v>
      </c>
      <c r="D82" s="86"/>
      <c r="E82" s="86"/>
      <c r="F82" s="86"/>
      <c r="G82" s="87"/>
      <c r="H82" s="86"/>
    </row>
    <row r="83">
      <c r="A83" s="69" t="s">
        <v>114</v>
      </c>
      <c r="B83" s="69" t="s">
        <v>117</v>
      </c>
      <c r="C83" s="72">
        <f>countifs(Form_Responses1[DN khoa đã duyệt],A83,Form_Responses1[Bộ phận TT khoa đã duyệt],B83)</f>
        <v>5</v>
      </c>
      <c r="D83" s="81" t="s">
        <v>1319</v>
      </c>
      <c r="E83" s="81" t="s">
        <v>1517</v>
      </c>
      <c r="F83" s="81" t="s">
        <v>1518</v>
      </c>
      <c r="G83" s="84" t="s">
        <v>1519</v>
      </c>
      <c r="H83" s="81" t="s">
        <v>1520</v>
      </c>
    </row>
    <row r="84">
      <c r="A84" s="69" t="s">
        <v>114</v>
      </c>
      <c r="B84" s="69" t="s">
        <v>56</v>
      </c>
      <c r="C84" s="72">
        <f>countifs(Form_Responses1[DN khoa đã duyệt],A84,Form_Responses1[Bộ phận TT khoa đã duyệt],B84)</f>
        <v>10</v>
      </c>
      <c r="D84" s="81" t="s">
        <v>1343</v>
      </c>
      <c r="E84" s="81" t="s">
        <v>1521</v>
      </c>
      <c r="F84" s="81" t="s">
        <v>1478</v>
      </c>
      <c r="G84" s="84" t="s">
        <v>1519</v>
      </c>
      <c r="H84" s="81" t="s">
        <v>1520</v>
      </c>
    </row>
    <row r="85">
      <c r="A85" s="69" t="s">
        <v>114</v>
      </c>
      <c r="B85" s="69" t="s">
        <v>92</v>
      </c>
      <c r="C85" s="72">
        <f>countifs(Form_Responses1[DN khoa đã duyệt],A85,Form_Responses1[Bộ phận TT khoa đã duyệt],B85)</f>
        <v>2</v>
      </c>
      <c r="D85" s="81" t="s">
        <v>1343</v>
      </c>
      <c r="E85" s="81" t="s">
        <v>1522</v>
      </c>
      <c r="F85" s="81" t="s">
        <v>1523</v>
      </c>
      <c r="G85" s="84" t="s">
        <v>1524</v>
      </c>
      <c r="H85" s="81" t="s">
        <v>1525</v>
      </c>
    </row>
    <row r="86">
      <c r="A86" s="69" t="s">
        <v>958</v>
      </c>
      <c r="B86" s="69" t="s">
        <v>56</v>
      </c>
      <c r="C86" s="72">
        <f>countifs(Form_Responses1[DN khoa đã duyệt],A86,Form_Responses1[Bộ phận TT khoa đã duyệt],B86)</f>
        <v>1</v>
      </c>
      <c r="D86" s="81"/>
      <c r="E86" s="81"/>
      <c r="F86" s="81"/>
      <c r="G86" s="94"/>
      <c r="H86" s="81"/>
    </row>
    <row r="87">
      <c r="A87" s="69" t="s">
        <v>688</v>
      </c>
      <c r="B87" s="69" t="s">
        <v>117</v>
      </c>
      <c r="C87" s="72">
        <f>countifs(Form_Responses1[DN khoa đã duyệt],A87,Form_Responses1[Bộ phận TT khoa đã duyệt],B87)</f>
        <v>1</v>
      </c>
      <c r="D87" s="81" t="s">
        <v>1319</v>
      </c>
      <c r="E87" s="81" t="s">
        <v>1320</v>
      </c>
      <c r="F87" s="81" t="s">
        <v>1321</v>
      </c>
      <c r="G87" s="84" t="s">
        <v>1526</v>
      </c>
      <c r="H87" s="81" t="s">
        <v>1323</v>
      </c>
    </row>
    <row r="88">
      <c r="A88" s="69" t="s">
        <v>1151</v>
      </c>
      <c r="B88" s="69" t="s">
        <v>56</v>
      </c>
      <c r="C88" s="72">
        <f>countifs(Form_Responses1[DN khoa đã duyệt],A88,Form_Responses1[Bộ phận TT khoa đã duyệt],B88)</f>
        <v>2</v>
      </c>
      <c r="D88" s="81" t="s">
        <v>1319</v>
      </c>
      <c r="E88" s="81" t="s">
        <v>1527</v>
      </c>
      <c r="F88" s="81" t="s">
        <v>1478</v>
      </c>
      <c r="G88" s="84" t="s">
        <v>1528</v>
      </c>
      <c r="H88" s="81" t="s">
        <v>1529</v>
      </c>
    </row>
    <row r="89">
      <c r="A89" s="70" t="s">
        <v>1105</v>
      </c>
      <c r="B89" s="70" t="s">
        <v>92</v>
      </c>
      <c r="C89" s="72">
        <f>countifs(Form_Responses1[DN khoa đã duyệt],A89,Form_Responses1[Bộ phận TT khoa đã duyệt],B89)</f>
        <v>2</v>
      </c>
      <c r="D89" s="81" t="s">
        <v>1343</v>
      </c>
      <c r="E89" s="81" t="s">
        <v>1530</v>
      </c>
      <c r="F89" s="81" t="s">
        <v>1331</v>
      </c>
      <c r="G89" s="84" t="s">
        <v>1531</v>
      </c>
      <c r="H89" s="81" t="s">
        <v>1532</v>
      </c>
    </row>
    <row r="90">
      <c r="A90" s="95" t="s">
        <v>235</v>
      </c>
      <c r="B90" s="69" t="s">
        <v>117</v>
      </c>
      <c r="C90" s="72">
        <f>countifs(Form_Responses1[DN khoa đã duyệt],A90,Form_Responses1[Bộ phận TT khoa đã duyệt],B90)</f>
        <v>0</v>
      </c>
      <c r="D90" s="81"/>
      <c r="E90" s="81"/>
      <c r="F90" s="81"/>
      <c r="G90" s="94"/>
      <c r="H90" s="81"/>
    </row>
    <row r="91">
      <c r="A91" s="70" t="s">
        <v>235</v>
      </c>
      <c r="B91" s="69" t="s">
        <v>92</v>
      </c>
      <c r="C91" s="72">
        <f>countifs(Form_Responses1[DN khoa đã duyệt],A91,Form_Responses1[Bộ phận TT khoa đã duyệt],B91)</f>
        <v>1</v>
      </c>
      <c r="D91" s="81" t="s">
        <v>1319</v>
      </c>
      <c r="E91" s="81" t="s">
        <v>1533</v>
      </c>
      <c r="F91" s="81" t="s">
        <v>1423</v>
      </c>
      <c r="G91" s="84" t="s">
        <v>1534</v>
      </c>
      <c r="H91" s="81" t="s">
        <v>1535</v>
      </c>
    </row>
    <row r="92">
      <c r="A92" s="70" t="s">
        <v>235</v>
      </c>
      <c r="B92" s="70" t="s">
        <v>56</v>
      </c>
      <c r="C92" s="72">
        <f>countifs(Form_Responses1[DN khoa đã duyệt],A92,Form_Responses1[Bộ phận TT khoa đã duyệt],B92)</f>
        <v>2</v>
      </c>
      <c r="D92" s="81" t="s">
        <v>1343</v>
      </c>
      <c r="E92" s="81" t="s">
        <v>1536</v>
      </c>
      <c r="F92" s="81" t="s">
        <v>1537</v>
      </c>
      <c r="G92" s="84" t="s">
        <v>1538</v>
      </c>
      <c r="H92" s="81" t="s">
        <v>1539</v>
      </c>
    </row>
    <row r="93">
      <c r="A93" s="95" t="s">
        <v>892</v>
      </c>
      <c r="B93" s="95" t="s">
        <v>56</v>
      </c>
      <c r="C93" s="72">
        <f>countifs(Form_Responses1[DN khoa đã duyệt],A93,Form_Responses1[Bộ phận TT khoa đã duyệt],B93)</f>
        <v>4</v>
      </c>
      <c r="D93" s="81" t="s">
        <v>1343</v>
      </c>
      <c r="E93" s="81" t="s">
        <v>1540</v>
      </c>
      <c r="F93" s="81" t="s">
        <v>1541</v>
      </c>
      <c r="G93" s="84" t="s">
        <v>1542</v>
      </c>
      <c r="H93" s="81" t="s">
        <v>1543</v>
      </c>
    </row>
    <row r="94">
      <c r="A94" s="95" t="s">
        <v>892</v>
      </c>
      <c r="B94" s="95" t="s">
        <v>117</v>
      </c>
      <c r="C94" s="72">
        <f>countifs(Form_Responses1[DN khoa đã duyệt],A94,Form_Responses1[Bộ phận TT khoa đã duyệt],B94)</f>
        <v>2</v>
      </c>
      <c r="D94" s="81" t="s">
        <v>1319</v>
      </c>
      <c r="E94" s="81" t="s">
        <v>1544</v>
      </c>
      <c r="F94" s="82" t="s">
        <v>1321</v>
      </c>
      <c r="G94" s="96" t="s">
        <v>1545</v>
      </c>
      <c r="H94" s="81" t="s">
        <v>1546</v>
      </c>
    </row>
    <row r="95">
      <c r="A95" s="70" t="s">
        <v>977</v>
      </c>
      <c r="B95" s="70" t="s">
        <v>56</v>
      </c>
      <c r="C95" s="72">
        <f>countifs(Form_Responses1[DN khoa đã duyệt],A95,Form_Responses1[Bộ phận TT khoa đã duyệt],B95)</f>
        <v>1</v>
      </c>
      <c r="D95" s="81" t="s">
        <v>1319</v>
      </c>
      <c r="E95" s="81" t="s">
        <v>1547</v>
      </c>
      <c r="F95" s="81" t="s">
        <v>1402</v>
      </c>
      <c r="G95" s="84" t="s">
        <v>1548</v>
      </c>
      <c r="H95" s="81" t="s">
        <v>1549</v>
      </c>
    </row>
    <row r="96">
      <c r="A96" s="70" t="s">
        <v>518</v>
      </c>
      <c r="B96" s="70" t="s">
        <v>117</v>
      </c>
      <c r="C96" s="72">
        <f>countifs(Form_Responses1[DN khoa đã duyệt],A96,Form_Responses1[Bộ phận TT khoa đã duyệt],B96)</f>
        <v>5</v>
      </c>
      <c r="D96" s="81"/>
      <c r="E96" s="81"/>
      <c r="F96" s="81"/>
      <c r="G96" s="94"/>
      <c r="H96" s="81"/>
    </row>
    <row r="97">
      <c r="C97" s="75"/>
      <c r="D97" s="97"/>
      <c r="E97" s="97"/>
      <c r="F97" s="97"/>
      <c r="G97" s="98"/>
      <c r="H97" s="97"/>
    </row>
    <row r="98">
      <c r="C98" s="75"/>
      <c r="D98" s="97"/>
      <c r="E98" s="97"/>
      <c r="F98" s="97"/>
      <c r="G98" s="98"/>
      <c r="H98" s="97"/>
    </row>
    <row r="99">
      <c r="C99" s="75"/>
      <c r="D99" s="97"/>
      <c r="E99" s="97"/>
      <c r="F99" s="97"/>
      <c r="G99" s="98"/>
      <c r="H99" s="97"/>
    </row>
    <row r="100">
      <c r="C100" s="75"/>
      <c r="D100" s="97"/>
      <c r="E100" s="97"/>
      <c r="F100" s="97"/>
      <c r="G100" s="98"/>
      <c r="H100" s="97"/>
    </row>
    <row r="101">
      <c r="C101" s="75"/>
      <c r="D101" s="97"/>
      <c r="E101" s="97"/>
      <c r="F101" s="97"/>
      <c r="G101" s="98"/>
      <c r="H101" s="97"/>
    </row>
    <row r="102">
      <c r="C102" s="75"/>
      <c r="D102" s="97"/>
      <c r="E102" s="97"/>
      <c r="F102" s="97"/>
      <c r="G102" s="98"/>
      <c r="H102" s="97"/>
    </row>
    <row r="103">
      <c r="C103" s="75"/>
      <c r="D103" s="97"/>
      <c r="E103" s="97"/>
      <c r="F103" s="97"/>
      <c r="G103" s="98"/>
      <c r="H103" s="97"/>
    </row>
    <row r="104">
      <c r="C104" s="75"/>
      <c r="D104" s="97"/>
      <c r="E104" s="97"/>
      <c r="F104" s="97"/>
      <c r="G104" s="98"/>
      <c r="H104" s="97"/>
    </row>
    <row r="105">
      <c r="C105" s="75"/>
      <c r="D105" s="97"/>
      <c r="E105" s="97"/>
      <c r="F105" s="97"/>
      <c r="G105" s="98"/>
      <c r="H105" s="97"/>
    </row>
    <row r="106">
      <c r="C106" s="75"/>
      <c r="D106" s="97"/>
      <c r="E106" s="97"/>
      <c r="F106" s="97"/>
      <c r="G106" s="98"/>
      <c r="H106" s="97"/>
    </row>
    <row r="107">
      <c r="C107" s="75"/>
      <c r="D107" s="97"/>
      <c r="E107" s="97"/>
      <c r="F107" s="97"/>
      <c r="G107" s="98"/>
      <c r="H107" s="97"/>
    </row>
    <row r="108">
      <c r="C108" s="75"/>
      <c r="D108" s="97"/>
      <c r="E108" s="97"/>
      <c r="F108" s="97"/>
      <c r="G108" s="98"/>
      <c r="H108" s="97"/>
    </row>
    <row r="109">
      <c r="C109" s="75"/>
      <c r="D109" s="97"/>
      <c r="E109" s="97"/>
      <c r="F109" s="97"/>
      <c r="G109" s="98"/>
      <c r="H109" s="97"/>
    </row>
    <row r="110">
      <c r="C110" s="75"/>
      <c r="D110" s="97"/>
      <c r="E110" s="97"/>
      <c r="F110" s="97"/>
      <c r="G110" s="98"/>
      <c r="H110" s="97"/>
    </row>
    <row r="111">
      <c r="C111" s="75"/>
      <c r="D111" s="97"/>
      <c r="E111" s="97"/>
      <c r="F111" s="97"/>
      <c r="G111" s="98"/>
      <c r="H111" s="97"/>
    </row>
    <row r="112">
      <c r="C112" s="75"/>
      <c r="D112" s="97"/>
      <c r="E112" s="97"/>
      <c r="F112" s="97"/>
      <c r="G112" s="98"/>
      <c r="H112" s="97"/>
    </row>
    <row r="113">
      <c r="C113" s="75"/>
      <c r="D113" s="97"/>
      <c r="E113" s="97"/>
      <c r="F113" s="97"/>
      <c r="G113" s="98"/>
      <c r="H113" s="97"/>
    </row>
    <row r="114">
      <c r="C114" s="75"/>
      <c r="D114" s="97"/>
      <c r="E114" s="97"/>
      <c r="F114" s="97"/>
      <c r="G114" s="98"/>
      <c r="H114" s="97"/>
    </row>
    <row r="115">
      <c r="C115" s="75"/>
      <c r="D115" s="97"/>
      <c r="E115" s="97"/>
      <c r="F115" s="97"/>
      <c r="G115" s="98"/>
      <c r="H115" s="97"/>
    </row>
    <row r="116">
      <c r="C116" s="75"/>
      <c r="D116" s="97"/>
      <c r="E116" s="97"/>
      <c r="F116" s="97"/>
      <c r="G116" s="98"/>
      <c r="H116" s="97"/>
    </row>
    <row r="117">
      <c r="C117" s="75"/>
      <c r="D117" s="97"/>
      <c r="E117" s="97"/>
      <c r="F117" s="97"/>
      <c r="G117" s="98"/>
      <c r="H117" s="97"/>
    </row>
    <row r="118">
      <c r="C118" s="75"/>
      <c r="D118" s="97"/>
      <c r="E118" s="97"/>
      <c r="F118" s="97"/>
      <c r="G118" s="98"/>
      <c r="H118" s="97"/>
    </row>
    <row r="119">
      <c r="C119" s="75"/>
      <c r="D119" s="97"/>
      <c r="E119" s="97"/>
      <c r="F119" s="97"/>
      <c r="G119" s="98"/>
      <c r="H119" s="97"/>
    </row>
    <row r="120">
      <c r="C120" s="75"/>
      <c r="D120" s="97"/>
      <c r="E120" s="97"/>
      <c r="F120" s="97"/>
      <c r="G120" s="98"/>
      <c r="H120" s="97"/>
    </row>
    <row r="121">
      <c r="C121" s="75"/>
      <c r="D121" s="97"/>
      <c r="E121" s="97"/>
      <c r="F121" s="97"/>
      <c r="G121" s="98"/>
      <c r="H121" s="97"/>
    </row>
    <row r="122">
      <c r="C122" s="75"/>
      <c r="D122" s="97"/>
      <c r="E122" s="97"/>
      <c r="F122" s="97"/>
      <c r="G122" s="98"/>
      <c r="H122" s="97"/>
    </row>
    <row r="123">
      <c r="C123" s="75"/>
      <c r="D123" s="97"/>
      <c r="E123" s="97"/>
      <c r="F123" s="97"/>
      <c r="G123" s="98"/>
      <c r="H123" s="97"/>
    </row>
    <row r="124">
      <c r="C124" s="75"/>
      <c r="D124" s="97"/>
      <c r="E124" s="97"/>
      <c r="F124" s="97"/>
      <c r="G124" s="98"/>
      <c r="H124" s="97"/>
    </row>
    <row r="125">
      <c r="C125" s="75"/>
      <c r="D125" s="97"/>
      <c r="E125" s="97"/>
      <c r="F125" s="97"/>
      <c r="G125" s="98"/>
      <c r="H125" s="97"/>
    </row>
    <row r="126">
      <c r="C126" s="75"/>
      <c r="D126" s="97"/>
      <c r="E126" s="97"/>
      <c r="F126" s="97"/>
      <c r="G126" s="98"/>
      <c r="H126" s="97"/>
    </row>
    <row r="127">
      <c r="C127" s="75"/>
      <c r="D127" s="97"/>
      <c r="E127" s="97"/>
      <c r="F127" s="97"/>
      <c r="G127" s="98"/>
      <c r="H127" s="97"/>
    </row>
    <row r="128">
      <c r="C128" s="75"/>
      <c r="D128" s="97"/>
      <c r="E128" s="97"/>
      <c r="F128" s="97"/>
      <c r="G128" s="98"/>
      <c r="H128" s="97"/>
    </row>
    <row r="129">
      <c r="C129" s="75"/>
      <c r="D129" s="97"/>
      <c r="E129" s="97"/>
      <c r="F129" s="97"/>
      <c r="G129" s="98"/>
      <c r="H129" s="97"/>
    </row>
    <row r="130">
      <c r="C130" s="75"/>
      <c r="G130" s="80"/>
    </row>
    <row r="131">
      <c r="C131" s="75"/>
      <c r="G131" s="80"/>
    </row>
    <row r="132">
      <c r="C132" s="75"/>
      <c r="G132" s="80"/>
    </row>
    <row r="133">
      <c r="C133" s="75"/>
      <c r="G133" s="80"/>
    </row>
    <row r="134">
      <c r="C134" s="75"/>
      <c r="G134" s="80"/>
    </row>
    <row r="135">
      <c r="C135" s="75"/>
      <c r="G135" s="80"/>
    </row>
    <row r="136">
      <c r="C136" s="75"/>
      <c r="G136" s="80"/>
    </row>
    <row r="137">
      <c r="C137" s="75"/>
      <c r="G137" s="80"/>
    </row>
    <row r="138">
      <c r="C138" s="75"/>
      <c r="G138" s="80"/>
    </row>
    <row r="139">
      <c r="C139" s="75"/>
      <c r="G139" s="80"/>
    </row>
    <row r="140">
      <c r="C140" s="75"/>
      <c r="G140" s="80"/>
    </row>
    <row r="141">
      <c r="C141" s="75"/>
      <c r="G141" s="80"/>
    </row>
    <row r="142">
      <c r="C142" s="75"/>
      <c r="G142" s="80"/>
    </row>
    <row r="143">
      <c r="C143" s="75"/>
      <c r="G143" s="80"/>
    </row>
    <row r="144">
      <c r="C144" s="75"/>
      <c r="G144" s="80"/>
    </row>
    <row r="145">
      <c r="C145" s="75"/>
      <c r="G145" s="80"/>
    </row>
    <row r="146">
      <c r="C146" s="75"/>
      <c r="G146" s="80"/>
    </row>
    <row r="147">
      <c r="C147" s="75"/>
      <c r="G147" s="80"/>
    </row>
    <row r="148">
      <c r="C148" s="75"/>
      <c r="G148" s="80"/>
    </row>
    <row r="149">
      <c r="C149" s="75"/>
      <c r="G149" s="80"/>
    </row>
    <row r="150">
      <c r="C150" s="75"/>
      <c r="G150" s="80"/>
    </row>
    <row r="151">
      <c r="C151" s="75"/>
      <c r="G151" s="80"/>
    </row>
    <row r="152">
      <c r="C152" s="75"/>
      <c r="G152" s="80"/>
    </row>
    <row r="153">
      <c r="C153" s="75"/>
      <c r="G153" s="80"/>
    </row>
    <row r="154">
      <c r="C154" s="75"/>
      <c r="G154" s="80"/>
    </row>
    <row r="155">
      <c r="C155" s="75"/>
      <c r="G155" s="80"/>
    </row>
    <row r="156">
      <c r="C156" s="75"/>
      <c r="G156" s="80"/>
    </row>
    <row r="157">
      <c r="C157" s="75"/>
      <c r="G157" s="80"/>
    </row>
    <row r="158">
      <c r="C158" s="75"/>
      <c r="G158" s="80"/>
    </row>
    <row r="159">
      <c r="C159" s="75"/>
      <c r="G159" s="80"/>
    </row>
    <row r="160">
      <c r="C160" s="75"/>
      <c r="G160" s="80"/>
    </row>
    <row r="161">
      <c r="C161" s="75"/>
      <c r="G161" s="80"/>
    </row>
    <row r="162">
      <c r="C162" s="75"/>
      <c r="G162" s="80"/>
    </row>
    <row r="163">
      <c r="C163" s="75"/>
      <c r="G163" s="80"/>
    </row>
    <row r="164">
      <c r="C164" s="75"/>
      <c r="G164" s="80"/>
    </row>
    <row r="165">
      <c r="C165" s="75"/>
      <c r="G165" s="80"/>
    </row>
    <row r="166">
      <c r="C166" s="75"/>
      <c r="G166" s="80"/>
    </row>
    <row r="167">
      <c r="C167" s="75"/>
      <c r="G167" s="80"/>
    </row>
    <row r="168">
      <c r="C168" s="75"/>
      <c r="G168" s="80"/>
    </row>
    <row r="169">
      <c r="C169" s="75"/>
      <c r="G169" s="80"/>
    </row>
    <row r="170">
      <c r="C170" s="75"/>
      <c r="G170" s="80"/>
    </row>
    <row r="171">
      <c r="C171" s="75"/>
      <c r="G171" s="80"/>
    </row>
    <row r="172">
      <c r="C172" s="75"/>
      <c r="G172" s="80"/>
    </row>
    <row r="173">
      <c r="C173" s="75"/>
      <c r="G173" s="80"/>
    </row>
    <row r="174">
      <c r="C174" s="75"/>
      <c r="G174" s="80"/>
    </row>
    <row r="175">
      <c r="C175" s="75"/>
      <c r="G175" s="80"/>
    </row>
    <row r="176">
      <c r="C176" s="75"/>
      <c r="G176" s="80"/>
    </row>
    <row r="177">
      <c r="C177" s="75"/>
      <c r="G177" s="80"/>
    </row>
    <row r="178">
      <c r="B178" s="75"/>
      <c r="C178" s="75"/>
      <c r="G178" s="80"/>
    </row>
    <row r="179">
      <c r="B179" s="75"/>
      <c r="C179" s="75"/>
      <c r="G179" s="80"/>
    </row>
    <row r="180">
      <c r="B180" s="75"/>
      <c r="C180" s="75"/>
      <c r="G180" s="80"/>
    </row>
    <row r="181">
      <c r="B181" s="75"/>
      <c r="C181" s="75"/>
      <c r="G181" s="80"/>
    </row>
    <row r="182">
      <c r="B182" s="75"/>
      <c r="C182" s="75"/>
      <c r="G182" s="80"/>
    </row>
    <row r="183">
      <c r="B183" s="75"/>
      <c r="C183" s="75"/>
      <c r="G183" s="80"/>
    </row>
    <row r="184">
      <c r="B184" s="75"/>
      <c r="C184" s="75"/>
      <c r="G184" s="80"/>
    </row>
    <row r="185">
      <c r="B185" s="75"/>
      <c r="C185" s="75"/>
      <c r="G185" s="80"/>
    </row>
    <row r="186">
      <c r="B186" s="75"/>
      <c r="C186" s="75"/>
      <c r="G186" s="80"/>
    </row>
    <row r="187">
      <c r="B187" s="75"/>
      <c r="C187" s="75"/>
      <c r="G187" s="80"/>
    </row>
    <row r="188">
      <c r="B188" s="75"/>
      <c r="C188" s="75"/>
      <c r="G188" s="80"/>
    </row>
    <row r="189">
      <c r="B189" s="75"/>
      <c r="C189" s="75"/>
      <c r="G189" s="80"/>
    </row>
    <row r="190">
      <c r="B190" s="75"/>
      <c r="C190" s="75"/>
      <c r="G190" s="80"/>
    </row>
    <row r="191">
      <c r="B191" s="75"/>
      <c r="C191" s="75"/>
      <c r="G191" s="80"/>
    </row>
    <row r="192">
      <c r="B192" s="75"/>
      <c r="C192" s="75"/>
      <c r="G192" s="80"/>
    </row>
    <row r="193">
      <c r="B193" s="75"/>
      <c r="C193" s="75"/>
      <c r="G193" s="80"/>
    </row>
    <row r="194">
      <c r="B194" s="75"/>
      <c r="C194" s="75"/>
      <c r="G194" s="80"/>
    </row>
    <row r="195">
      <c r="B195" s="75"/>
      <c r="C195" s="75"/>
      <c r="G195" s="80"/>
    </row>
    <row r="196">
      <c r="B196" s="75"/>
      <c r="C196" s="75"/>
      <c r="G196" s="80"/>
    </row>
    <row r="197">
      <c r="B197" s="75"/>
      <c r="C197" s="75"/>
      <c r="G197" s="80"/>
    </row>
    <row r="198">
      <c r="B198" s="75"/>
      <c r="C198" s="75"/>
      <c r="G198" s="80"/>
    </row>
    <row r="199">
      <c r="B199" s="75"/>
      <c r="C199" s="75"/>
      <c r="G199" s="80"/>
    </row>
    <row r="200">
      <c r="B200" s="75"/>
      <c r="C200" s="75"/>
      <c r="G200" s="80"/>
    </row>
    <row r="201">
      <c r="B201" s="75"/>
      <c r="C201" s="75"/>
      <c r="G201" s="80"/>
    </row>
    <row r="202">
      <c r="B202" s="75"/>
      <c r="C202" s="75"/>
      <c r="G202" s="80"/>
    </row>
    <row r="203">
      <c r="B203" s="75"/>
      <c r="C203" s="75"/>
      <c r="G203" s="80"/>
    </row>
    <row r="204">
      <c r="B204" s="75"/>
      <c r="C204" s="75"/>
      <c r="G204" s="80"/>
    </row>
    <row r="205">
      <c r="B205" s="75"/>
      <c r="C205" s="75"/>
      <c r="G205" s="80"/>
    </row>
    <row r="206">
      <c r="B206" s="75"/>
      <c r="C206" s="75"/>
      <c r="G206" s="80"/>
    </row>
    <row r="207">
      <c r="B207" s="75"/>
      <c r="C207" s="75"/>
      <c r="G207" s="80"/>
    </row>
    <row r="208">
      <c r="B208" s="75"/>
      <c r="C208" s="75"/>
      <c r="G208" s="80"/>
    </row>
    <row r="209">
      <c r="B209" s="75"/>
      <c r="C209" s="75"/>
      <c r="G209" s="80"/>
    </row>
    <row r="210">
      <c r="B210" s="75"/>
      <c r="C210" s="75"/>
      <c r="G210" s="80"/>
    </row>
    <row r="211">
      <c r="B211" s="75"/>
      <c r="C211" s="75"/>
      <c r="G211" s="80"/>
    </row>
    <row r="212">
      <c r="B212" s="75"/>
      <c r="C212" s="75"/>
      <c r="G212" s="80"/>
    </row>
    <row r="213">
      <c r="B213" s="75"/>
      <c r="C213" s="75"/>
      <c r="G213" s="80"/>
    </row>
    <row r="214">
      <c r="B214" s="75"/>
      <c r="C214" s="75"/>
      <c r="G214" s="80"/>
    </row>
    <row r="215">
      <c r="B215" s="75"/>
      <c r="C215" s="75"/>
      <c r="G215" s="80"/>
    </row>
    <row r="216">
      <c r="B216" s="75"/>
      <c r="C216" s="75"/>
      <c r="G216" s="80"/>
    </row>
    <row r="217">
      <c r="B217" s="75"/>
      <c r="C217" s="75"/>
      <c r="G217" s="80"/>
    </row>
    <row r="218">
      <c r="B218" s="75"/>
      <c r="C218" s="75"/>
      <c r="G218" s="80"/>
    </row>
    <row r="219">
      <c r="B219" s="75"/>
      <c r="C219" s="75"/>
      <c r="G219" s="80"/>
    </row>
    <row r="220">
      <c r="B220" s="75"/>
      <c r="C220" s="75"/>
      <c r="G220" s="80"/>
    </row>
    <row r="221">
      <c r="B221" s="75"/>
      <c r="C221" s="75"/>
      <c r="G221" s="80"/>
    </row>
    <row r="222">
      <c r="B222" s="75"/>
      <c r="C222" s="75"/>
      <c r="G222" s="80"/>
    </row>
    <row r="223">
      <c r="B223" s="75"/>
      <c r="C223" s="75"/>
      <c r="G223" s="80"/>
    </row>
    <row r="224">
      <c r="B224" s="75"/>
      <c r="C224" s="75"/>
      <c r="G224" s="80"/>
    </row>
    <row r="225">
      <c r="B225" s="75"/>
      <c r="C225" s="75"/>
      <c r="G225" s="80"/>
    </row>
    <row r="226">
      <c r="B226" s="75"/>
      <c r="C226" s="75"/>
      <c r="G226" s="80"/>
    </row>
    <row r="227">
      <c r="B227" s="75"/>
      <c r="C227" s="75"/>
      <c r="G227" s="80"/>
    </row>
    <row r="228">
      <c r="B228" s="75"/>
      <c r="C228" s="75"/>
      <c r="G228" s="80"/>
    </row>
    <row r="229">
      <c r="B229" s="75"/>
      <c r="C229" s="75"/>
      <c r="G229" s="80"/>
    </row>
    <row r="230">
      <c r="B230" s="75"/>
      <c r="C230" s="75"/>
      <c r="G230" s="80"/>
    </row>
    <row r="231">
      <c r="B231" s="75"/>
      <c r="C231" s="75"/>
      <c r="G231" s="80"/>
    </row>
    <row r="232">
      <c r="B232" s="75"/>
      <c r="C232" s="75"/>
      <c r="G232" s="80"/>
    </row>
    <row r="233">
      <c r="B233" s="75"/>
      <c r="C233" s="75"/>
      <c r="G233" s="80"/>
    </row>
    <row r="234">
      <c r="B234" s="75"/>
      <c r="C234" s="75"/>
      <c r="G234" s="80"/>
    </row>
    <row r="235">
      <c r="B235" s="75"/>
      <c r="C235" s="75"/>
      <c r="G235" s="80"/>
    </row>
    <row r="236">
      <c r="B236" s="75"/>
      <c r="C236" s="75"/>
      <c r="G236" s="80"/>
    </row>
    <row r="237">
      <c r="B237" s="75"/>
      <c r="C237" s="75"/>
      <c r="G237" s="80"/>
    </row>
    <row r="238">
      <c r="B238" s="75"/>
      <c r="C238" s="75"/>
      <c r="G238" s="80"/>
    </row>
    <row r="239">
      <c r="B239" s="75"/>
      <c r="C239" s="75"/>
      <c r="G239" s="80"/>
    </row>
    <row r="240">
      <c r="B240" s="75"/>
      <c r="C240" s="75"/>
      <c r="G240" s="80"/>
    </row>
    <row r="241">
      <c r="B241" s="75"/>
      <c r="C241" s="75"/>
      <c r="G241" s="80"/>
    </row>
    <row r="242">
      <c r="B242" s="75"/>
      <c r="C242" s="75"/>
      <c r="G242" s="80"/>
    </row>
    <row r="243">
      <c r="B243" s="75"/>
      <c r="C243" s="75"/>
      <c r="G243" s="80"/>
    </row>
    <row r="244">
      <c r="B244" s="75"/>
      <c r="C244" s="75"/>
      <c r="G244" s="80"/>
    </row>
    <row r="245">
      <c r="B245" s="75"/>
      <c r="C245" s="75"/>
      <c r="G245" s="80"/>
    </row>
    <row r="246">
      <c r="B246" s="75"/>
      <c r="C246" s="75"/>
      <c r="G246" s="80"/>
    </row>
    <row r="247">
      <c r="B247" s="75"/>
      <c r="C247" s="75"/>
      <c r="G247" s="80"/>
    </row>
    <row r="248">
      <c r="B248" s="75"/>
      <c r="C248" s="75"/>
      <c r="G248" s="80"/>
    </row>
    <row r="249">
      <c r="B249" s="75"/>
      <c r="C249" s="75"/>
      <c r="G249" s="80"/>
    </row>
    <row r="250">
      <c r="B250" s="75"/>
      <c r="C250" s="75"/>
      <c r="G250" s="80"/>
    </row>
    <row r="251">
      <c r="B251" s="75"/>
      <c r="C251" s="75"/>
      <c r="G251" s="80"/>
    </row>
    <row r="252">
      <c r="B252" s="75"/>
      <c r="C252" s="75"/>
      <c r="G252" s="80"/>
    </row>
    <row r="253">
      <c r="B253" s="75"/>
      <c r="C253" s="75"/>
      <c r="G253" s="80"/>
    </row>
    <row r="254">
      <c r="B254" s="75"/>
      <c r="C254" s="75"/>
      <c r="G254" s="80"/>
    </row>
    <row r="255">
      <c r="B255" s="75"/>
      <c r="C255" s="75"/>
      <c r="G255" s="80"/>
    </row>
    <row r="256">
      <c r="B256" s="75"/>
      <c r="C256" s="75"/>
      <c r="G256" s="80"/>
    </row>
    <row r="257">
      <c r="B257" s="75"/>
      <c r="C257" s="75"/>
      <c r="G257" s="80"/>
    </row>
    <row r="258">
      <c r="B258" s="75"/>
      <c r="C258" s="75"/>
      <c r="G258" s="80"/>
    </row>
    <row r="259">
      <c r="B259" s="75"/>
      <c r="C259" s="75"/>
      <c r="G259" s="80"/>
    </row>
    <row r="260">
      <c r="B260" s="75"/>
      <c r="C260" s="75"/>
      <c r="G260" s="80"/>
    </row>
    <row r="261">
      <c r="B261" s="75"/>
      <c r="C261" s="75"/>
      <c r="G261" s="80"/>
    </row>
    <row r="262">
      <c r="B262" s="75"/>
      <c r="C262" s="75"/>
      <c r="G262" s="80"/>
    </row>
    <row r="263">
      <c r="B263" s="75"/>
      <c r="C263" s="75"/>
      <c r="G263" s="80"/>
    </row>
    <row r="264">
      <c r="B264" s="75"/>
      <c r="C264" s="75"/>
      <c r="G264" s="80"/>
    </row>
    <row r="265">
      <c r="B265" s="75"/>
      <c r="C265" s="75"/>
      <c r="G265" s="80"/>
    </row>
    <row r="266">
      <c r="B266" s="75"/>
      <c r="C266" s="75"/>
      <c r="G266" s="80"/>
    </row>
    <row r="267">
      <c r="B267" s="75"/>
      <c r="C267" s="75"/>
      <c r="G267" s="80"/>
    </row>
    <row r="268">
      <c r="B268" s="75"/>
      <c r="C268" s="75"/>
      <c r="G268" s="80"/>
    </row>
    <row r="269">
      <c r="B269" s="75"/>
      <c r="C269" s="75"/>
      <c r="G269" s="80"/>
    </row>
    <row r="270">
      <c r="B270" s="75"/>
      <c r="C270" s="75"/>
      <c r="G270" s="80"/>
    </row>
    <row r="271">
      <c r="B271" s="75"/>
      <c r="C271" s="75"/>
      <c r="G271" s="80"/>
    </row>
    <row r="272">
      <c r="B272" s="75"/>
      <c r="C272" s="75"/>
      <c r="G272" s="80"/>
    </row>
    <row r="273">
      <c r="B273" s="75"/>
      <c r="C273" s="75"/>
      <c r="G273" s="80"/>
    </row>
    <row r="274">
      <c r="B274" s="75"/>
      <c r="C274" s="75"/>
      <c r="G274" s="80"/>
    </row>
    <row r="275">
      <c r="B275" s="75"/>
      <c r="C275" s="75"/>
      <c r="G275" s="80"/>
    </row>
    <row r="276">
      <c r="B276" s="75"/>
      <c r="C276" s="75"/>
      <c r="G276" s="80"/>
    </row>
    <row r="277">
      <c r="B277" s="75"/>
      <c r="C277" s="75"/>
      <c r="G277" s="80"/>
    </row>
    <row r="278">
      <c r="B278" s="75"/>
      <c r="C278" s="75"/>
      <c r="G278" s="80"/>
    </row>
    <row r="279">
      <c r="B279" s="75"/>
      <c r="C279" s="75"/>
      <c r="G279" s="80"/>
    </row>
    <row r="280">
      <c r="B280" s="75"/>
      <c r="C280" s="75"/>
      <c r="G280" s="80"/>
    </row>
    <row r="281">
      <c r="B281" s="75"/>
      <c r="C281" s="75"/>
      <c r="G281" s="80"/>
    </row>
    <row r="282">
      <c r="B282" s="75"/>
      <c r="C282" s="75"/>
      <c r="G282" s="80"/>
    </row>
    <row r="283">
      <c r="B283" s="75"/>
      <c r="C283" s="75"/>
      <c r="G283" s="80"/>
    </row>
    <row r="284">
      <c r="B284" s="75"/>
      <c r="C284" s="75"/>
      <c r="G284" s="80"/>
    </row>
    <row r="285">
      <c r="B285" s="75"/>
      <c r="C285" s="75"/>
      <c r="G285" s="80"/>
    </row>
    <row r="286">
      <c r="B286" s="75"/>
      <c r="C286" s="75"/>
      <c r="G286" s="80"/>
    </row>
    <row r="287">
      <c r="B287" s="75"/>
      <c r="C287" s="75"/>
      <c r="G287" s="80"/>
    </row>
    <row r="288">
      <c r="B288" s="75"/>
      <c r="C288" s="75"/>
      <c r="G288" s="80"/>
    </row>
    <row r="289">
      <c r="B289" s="75"/>
      <c r="C289" s="75"/>
      <c r="G289" s="80"/>
    </row>
    <row r="290">
      <c r="B290" s="75"/>
      <c r="C290" s="75"/>
      <c r="G290" s="80"/>
    </row>
    <row r="291">
      <c r="B291" s="75"/>
      <c r="C291" s="75"/>
      <c r="G291" s="80"/>
    </row>
    <row r="292">
      <c r="B292" s="75"/>
      <c r="C292" s="75"/>
      <c r="G292" s="80"/>
    </row>
    <row r="293">
      <c r="B293" s="75"/>
      <c r="C293" s="75"/>
      <c r="G293" s="80"/>
    </row>
    <row r="294">
      <c r="B294" s="75"/>
      <c r="C294" s="75"/>
      <c r="G294" s="80"/>
    </row>
    <row r="295">
      <c r="B295" s="75"/>
      <c r="C295" s="75"/>
      <c r="G295" s="80"/>
    </row>
    <row r="296">
      <c r="B296" s="75"/>
      <c r="C296" s="75"/>
      <c r="G296" s="80"/>
    </row>
    <row r="297">
      <c r="B297" s="75"/>
      <c r="C297" s="75"/>
      <c r="G297" s="80"/>
    </row>
    <row r="298">
      <c r="B298" s="75"/>
      <c r="C298" s="75"/>
      <c r="G298" s="80"/>
    </row>
    <row r="299">
      <c r="B299" s="75"/>
      <c r="C299" s="75"/>
      <c r="G299" s="80"/>
    </row>
    <row r="300">
      <c r="B300" s="75"/>
      <c r="C300" s="75"/>
      <c r="G300" s="80"/>
    </row>
    <row r="301">
      <c r="B301" s="75"/>
      <c r="C301" s="75"/>
      <c r="G301" s="80"/>
    </row>
    <row r="302">
      <c r="B302" s="75"/>
      <c r="C302" s="75"/>
      <c r="G302" s="80"/>
    </row>
    <row r="303">
      <c r="B303" s="75"/>
      <c r="C303" s="75"/>
      <c r="G303" s="80"/>
    </row>
    <row r="304">
      <c r="B304" s="75"/>
      <c r="C304" s="75"/>
      <c r="G304" s="80"/>
    </row>
    <row r="305">
      <c r="B305" s="75"/>
      <c r="C305" s="75"/>
      <c r="G305" s="80"/>
    </row>
    <row r="306">
      <c r="B306" s="75"/>
      <c r="C306" s="75"/>
      <c r="G306" s="80"/>
    </row>
    <row r="307">
      <c r="B307" s="75"/>
      <c r="C307" s="75"/>
      <c r="G307" s="80"/>
    </row>
    <row r="308">
      <c r="B308" s="75"/>
      <c r="C308" s="75"/>
      <c r="G308" s="80"/>
    </row>
    <row r="309">
      <c r="B309" s="75"/>
      <c r="C309" s="75"/>
      <c r="G309" s="80"/>
    </row>
    <row r="310">
      <c r="B310" s="75"/>
      <c r="C310" s="75"/>
      <c r="G310" s="80"/>
    </row>
    <row r="311">
      <c r="B311" s="75"/>
      <c r="C311" s="75"/>
      <c r="G311" s="80"/>
    </row>
    <row r="312">
      <c r="B312" s="75"/>
      <c r="C312" s="75"/>
      <c r="G312" s="80"/>
    </row>
    <row r="313">
      <c r="B313" s="75"/>
      <c r="C313" s="75"/>
      <c r="G313" s="80"/>
    </row>
    <row r="314">
      <c r="B314" s="75"/>
      <c r="C314" s="75"/>
      <c r="G314" s="80"/>
    </row>
    <row r="315">
      <c r="B315" s="75"/>
      <c r="C315" s="75"/>
      <c r="G315" s="80"/>
    </row>
    <row r="316">
      <c r="B316" s="75"/>
      <c r="C316" s="75"/>
      <c r="G316" s="80"/>
    </row>
    <row r="317">
      <c r="B317" s="75"/>
      <c r="C317" s="75"/>
      <c r="G317" s="80"/>
    </row>
    <row r="318">
      <c r="B318" s="75"/>
      <c r="C318" s="75"/>
      <c r="G318" s="80"/>
    </row>
    <row r="319">
      <c r="B319" s="75"/>
      <c r="C319" s="75"/>
      <c r="G319" s="80"/>
    </row>
    <row r="320">
      <c r="B320" s="75"/>
      <c r="C320" s="75"/>
      <c r="G320" s="80"/>
    </row>
    <row r="321">
      <c r="B321" s="75"/>
      <c r="C321" s="75"/>
      <c r="G321" s="80"/>
    </row>
    <row r="322">
      <c r="B322" s="75"/>
      <c r="C322" s="75"/>
      <c r="G322" s="80"/>
    </row>
    <row r="323">
      <c r="B323" s="75"/>
      <c r="C323" s="75"/>
      <c r="G323" s="80"/>
    </row>
    <row r="324">
      <c r="B324" s="75"/>
      <c r="C324" s="75"/>
      <c r="G324" s="80"/>
    </row>
    <row r="325">
      <c r="B325" s="75"/>
      <c r="C325" s="75"/>
      <c r="G325" s="80"/>
    </row>
    <row r="326">
      <c r="B326" s="75"/>
      <c r="C326" s="75"/>
      <c r="G326" s="80"/>
    </row>
    <row r="327">
      <c r="B327" s="75"/>
      <c r="C327" s="75"/>
      <c r="G327" s="80"/>
    </row>
    <row r="328">
      <c r="B328" s="75"/>
      <c r="C328" s="75"/>
      <c r="G328" s="80"/>
    </row>
    <row r="329">
      <c r="B329" s="75"/>
      <c r="C329" s="75"/>
      <c r="G329" s="80"/>
    </row>
    <row r="330">
      <c r="B330" s="75"/>
      <c r="C330" s="75"/>
      <c r="G330" s="80"/>
    </row>
    <row r="331">
      <c r="B331" s="75"/>
      <c r="C331" s="75"/>
      <c r="G331" s="80"/>
    </row>
    <row r="332">
      <c r="B332" s="75"/>
      <c r="C332" s="75"/>
      <c r="G332" s="80"/>
    </row>
    <row r="333">
      <c r="B333" s="75"/>
      <c r="C333" s="75"/>
      <c r="G333" s="80"/>
    </row>
    <row r="334">
      <c r="B334" s="75"/>
      <c r="C334" s="75"/>
      <c r="G334" s="80"/>
    </row>
    <row r="335">
      <c r="B335" s="75"/>
      <c r="C335" s="75"/>
      <c r="G335" s="80"/>
    </row>
    <row r="336">
      <c r="B336" s="75"/>
      <c r="C336" s="75"/>
      <c r="G336" s="80"/>
    </row>
    <row r="337">
      <c r="B337" s="75"/>
      <c r="C337" s="75"/>
      <c r="G337" s="80"/>
    </row>
    <row r="338">
      <c r="B338" s="75"/>
      <c r="C338" s="75"/>
      <c r="G338" s="80"/>
    </row>
    <row r="339">
      <c r="B339" s="75"/>
      <c r="C339" s="75"/>
      <c r="G339" s="80"/>
    </row>
    <row r="340">
      <c r="B340" s="75"/>
      <c r="C340" s="75"/>
      <c r="G340" s="80"/>
    </row>
    <row r="341">
      <c r="B341" s="75"/>
      <c r="C341" s="75"/>
      <c r="G341" s="80"/>
    </row>
    <row r="342">
      <c r="B342" s="75"/>
      <c r="C342" s="75"/>
      <c r="G342" s="80"/>
    </row>
    <row r="343">
      <c r="B343" s="75"/>
      <c r="C343" s="75"/>
      <c r="G343" s="80"/>
    </row>
    <row r="344">
      <c r="B344" s="75"/>
      <c r="C344" s="75"/>
      <c r="G344" s="80"/>
    </row>
    <row r="345">
      <c r="B345" s="75"/>
      <c r="C345" s="75"/>
      <c r="G345" s="80"/>
    </row>
    <row r="346">
      <c r="B346" s="75"/>
      <c r="C346" s="75"/>
      <c r="G346" s="80"/>
    </row>
    <row r="347">
      <c r="B347" s="75"/>
      <c r="C347" s="75"/>
      <c r="G347" s="80"/>
    </row>
    <row r="348">
      <c r="B348" s="75"/>
      <c r="C348" s="75"/>
      <c r="G348" s="80"/>
    </row>
    <row r="349">
      <c r="B349" s="75"/>
      <c r="C349" s="75"/>
      <c r="G349" s="80"/>
    </row>
    <row r="350">
      <c r="B350" s="75"/>
      <c r="C350" s="75"/>
      <c r="G350" s="80"/>
    </row>
    <row r="351">
      <c r="B351" s="75"/>
      <c r="C351" s="75"/>
      <c r="G351" s="80"/>
    </row>
    <row r="352">
      <c r="B352" s="75"/>
      <c r="C352" s="75"/>
      <c r="G352" s="80"/>
    </row>
    <row r="353">
      <c r="B353" s="75"/>
      <c r="C353" s="75"/>
      <c r="G353" s="80"/>
    </row>
    <row r="354">
      <c r="B354" s="75"/>
      <c r="C354" s="75"/>
      <c r="G354" s="80"/>
    </row>
    <row r="355">
      <c r="B355" s="75"/>
      <c r="C355" s="75"/>
      <c r="G355" s="80"/>
    </row>
    <row r="356">
      <c r="B356" s="75"/>
      <c r="C356" s="75"/>
      <c r="G356" s="80"/>
    </row>
    <row r="357">
      <c r="B357" s="75"/>
      <c r="C357" s="75"/>
      <c r="G357" s="80"/>
    </row>
    <row r="358">
      <c r="B358" s="75"/>
      <c r="C358" s="75"/>
      <c r="G358" s="80"/>
    </row>
    <row r="359">
      <c r="B359" s="75"/>
      <c r="C359" s="75"/>
      <c r="G359" s="80"/>
    </row>
    <row r="360">
      <c r="B360" s="75"/>
      <c r="C360" s="75"/>
      <c r="G360" s="80"/>
    </row>
    <row r="361">
      <c r="B361" s="75"/>
      <c r="C361" s="75"/>
      <c r="G361" s="80"/>
    </row>
    <row r="362">
      <c r="B362" s="75"/>
      <c r="C362" s="75"/>
      <c r="G362" s="80"/>
    </row>
    <row r="363">
      <c r="B363" s="75"/>
      <c r="C363" s="75"/>
      <c r="G363" s="80"/>
    </row>
    <row r="364">
      <c r="B364" s="75"/>
      <c r="C364" s="75"/>
      <c r="G364" s="80"/>
    </row>
    <row r="365">
      <c r="B365" s="75"/>
      <c r="C365" s="75"/>
      <c r="G365" s="80"/>
    </row>
    <row r="366">
      <c r="B366" s="75"/>
      <c r="C366" s="75"/>
      <c r="G366" s="80"/>
    </row>
    <row r="367">
      <c r="B367" s="75"/>
      <c r="C367" s="75"/>
      <c r="G367" s="80"/>
    </row>
    <row r="368">
      <c r="B368" s="75"/>
      <c r="C368" s="75"/>
      <c r="G368" s="80"/>
    </row>
    <row r="369">
      <c r="B369" s="75"/>
      <c r="C369" s="75"/>
      <c r="G369" s="80"/>
    </row>
    <row r="370">
      <c r="B370" s="75"/>
      <c r="C370" s="75"/>
      <c r="G370" s="80"/>
    </row>
    <row r="371">
      <c r="B371" s="75"/>
      <c r="C371" s="75"/>
      <c r="G371" s="80"/>
    </row>
    <row r="372">
      <c r="B372" s="75"/>
      <c r="C372" s="75"/>
      <c r="G372" s="80"/>
    </row>
    <row r="373">
      <c r="B373" s="75"/>
      <c r="C373" s="75"/>
      <c r="G373" s="80"/>
    </row>
    <row r="374">
      <c r="B374" s="75"/>
      <c r="C374" s="75"/>
      <c r="G374" s="80"/>
    </row>
    <row r="375">
      <c r="B375" s="75"/>
      <c r="C375" s="75"/>
      <c r="G375" s="80"/>
    </row>
    <row r="376">
      <c r="B376" s="75"/>
      <c r="C376" s="75"/>
      <c r="G376" s="80"/>
    </row>
    <row r="377">
      <c r="B377" s="75"/>
      <c r="C377" s="75"/>
      <c r="G377" s="80"/>
    </row>
    <row r="378">
      <c r="B378" s="75"/>
      <c r="C378" s="75"/>
      <c r="G378" s="80"/>
    </row>
    <row r="379">
      <c r="B379" s="75"/>
      <c r="C379" s="75"/>
      <c r="G379" s="80"/>
    </row>
    <row r="380">
      <c r="B380" s="75"/>
      <c r="C380" s="75"/>
      <c r="G380" s="80"/>
    </row>
    <row r="381">
      <c r="B381" s="75"/>
      <c r="C381" s="75"/>
      <c r="G381" s="80"/>
    </row>
    <row r="382">
      <c r="B382" s="75"/>
      <c r="C382" s="75"/>
      <c r="G382" s="80"/>
    </row>
    <row r="383">
      <c r="B383" s="75"/>
      <c r="C383" s="75"/>
      <c r="G383" s="80"/>
    </row>
    <row r="384">
      <c r="B384" s="75"/>
      <c r="C384" s="75"/>
      <c r="G384" s="80"/>
    </row>
    <row r="385">
      <c r="B385" s="75"/>
      <c r="C385" s="75"/>
      <c r="G385" s="80"/>
    </row>
    <row r="386">
      <c r="B386" s="75"/>
      <c r="C386" s="75"/>
      <c r="G386" s="80"/>
    </row>
    <row r="387">
      <c r="B387" s="75"/>
      <c r="C387" s="75"/>
      <c r="G387" s="80"/>
    </row>
    <row r="388">
      <c r="B388" s="75"/>
      <c r="C388" s="75"/>
      <c r="G388" s="80"/>
    </row>
    <row r="389">
      <c r="B389" s="75"/>
      <c r="C389" s="75"/>
      <c r="G389" s="80"/>
    </row>
    <row r="390">
      <c r="B390" s="75"/>
      <c r="C390" s="75"/>
      <c r="G390" s="80"/>
    </row>
    <row r="391">
      <c r="B391" s="75"/>
      <c r="C391" s="75"/>
      <c r="G391" s="80"/>
    </row>
    <row r="392">
      <c r="B392" s="75"/>
      <c r="C392" s="75"/>
      <c r="G392" s="80"/>
    </row>
    <row r="393">
      <c r="B393" s="75"/>
      <c r="C393" s="75"/>
      <c r="G393" s="80"/>
    </row>
    <row r="394">
      <c r="B394" s="75"/>
      <c r="C394" s="75"/>
      <c r="G394" s="80"/>
    </row>
    <row r="395">
      <c r="B395" s="75"/>
      <c r="C395" s="75"/>
      <c r="G395" s="80"/>
    </row>
    <row r="396">
      <c r="B396" s="75"/>
      <c r="C396" s="75"/>
      <c r="G396" s="80"/>
    </row>
    <row r="397">
      <c r="B397" s="75"/>
      <c r="C397" s="75"/>
      <c r="G397" s="80"/>
    </row>
    <row r="398">
      <c r="B398" s="75"/>
      <c r="C398" s="75"/>
      <c r="G398" s="80"/>
    </row>
    <row r="399">
      <c r="B399" s="75"/>
      <c r="C399" s="75"/>
      <c r="G399" s="80"/>
    </row>
    <row r="400">
      <c r="B400" s="75"/>
      <c r="C400" s="75"/>
      <c r="G400" s="80"/>
    </row>
    <row r="401">
      <c r="B401" s="75"/>
      <c r="C401" s="75"/>
      <c r="G401" s="80"/>
    </row>
    <row r="402">
      <c r="B402" s="75"/>
      <c r="C402" s="75"/>
      <c r="G402" s="80"/>
    </row>
    <row r="403">
      <c r="B403" s="75"/>
      <c r="C403" s="75"/>
      <c r="G403" s="80"/>
    </row>
    <row r="404">
      <c r="B404" s="75"/>
      <c r="C404" s="75"/>
      <c r="G404" s="80"/>
    </row>
    <row r="405">
      <c r="B405" s="75"/>
      <c r="C405" s="75"/>
      <c r="G405" s="80"/>
    </row>
    <row r="406">
      <c r="B406" s="75"/>
      <c r="C406" s="75"/>
      <c r="G406" s="80"/>
    </row>
    <row r="407">
      <c r="B407" s="75"/>
      <c r="C407" s="75"/>
      <c r="G407" s="80"/>
    </row>
    <row r="408">
      <c r="B408" s="75"/>
      <c r="C408" s="75"/>
      <c r="G408" s="80"/>
    </row>
    <row r="409">
      <c r="B409" s="75"/>
      <c r="C409" s="75"/>
      <c r="G409" s="80"/>
    </row>
    <row r="410">
      <c r="B410" s="75"/>
      <c r="C410" s="75"/>
      <c r="G410" s="80"/>
    </row>
    <row r="411">
      <c r="B411" s="75"/>
      <c r="C411" s="75"/>
      <c r="G411" s="80"/>
    </row>
    <row r="412">
      <c r="B412" s="75"/>
      <c r="C412" s="75"/>
      <c r="G412" s="80"/>
    </row>
    <row r="413">
      <c r="B413" s="75"/>
      <c r="C413" s="75"/>
      <c r="G413" s="80"/>
    </row>
    <row r="414">
      <c r="B414" s="75"/>
      <c r="C414" s="75"/>
      <c r="G414" s="80"/>
    </row>
    <row r="415">
      <c r="B415" s="75"/>
      <c r="C415" s="75"/>
      <c r="G415" s="80"/>
    </row>
    <row r="416">
      <c r="B416" s="75"/>
      <c r="C416" s="75"/>
      <c r="G416" s="80"/>
    </row>
    <row r="417">
      <c r="B417" s="75"/>
      <c r="C417" s="75"/>
      <c r="G417" s="80"/>
    </row>
    <row r="418">
      <c r="B418" s="75"/>
      <c r="C418" s="75"/>
      <c r="G418" s="80"/>
    </row>
    <row r="419">
      <c r="B419" s="75"/>
      <c r="C419" s="75"/>
      <c r="G419" s="80"/>
    </row>
    <row r="420">
      <c r="B420" s="75"/>
      <c r="C420" s="75"/>
      <c r="G420" s="80"/>
    </row>
    <row r="421">
      <c r="B421" s="75"/>
      <c r="C421" s="75"/>
      <c r="G421" s="80"/>
    </row>
    <row r="422">
      <c r="B422" s="75"/>
      <c r="C422" s="75"/>
      <c r="G422" s="80"/>
    </row>
    <row r="423">
      <c r="B423" s="75"/>
      <c r="C423" s="75"/>
      <c r="G423" s="80"/>
    </row>
    <row r="424">
      <c r="B424" s="75"/>
      <c r="C424" s="75"/>
      <c r="G424" s="80"/>
    </row>
    <row r="425">
      <c r="B425" s="75"/>
      <c r="C425" s="75"/>
      <c r="G425" s="80"/>
    </row>
    <row r="426">
      <c r="B426" s="75"/>
      <c r="C426" s="75"/>
      <c r="G426" s="80"/>
    </row>
    <row r="427">
      <c r="B427" s="75"/>
      <c r="C427" s="75"/>
      <c r="G427" s="80"/>
    </row>
    <row r="428">
      <c r="B428" s="75"/>
      <c r="C428" s="75"/>
      <c r="G428" s="80"/>
    </row>
    <row r="429">
      <c r="B429" s="75"/>
      <c r="C429" s="75"/>
      <c r="G429" s="80"/>
    </row>
    <row r="430">
      <c r="B430" s="75"/>
      <c r="C430" s="75"/>
      <c r="G430" s="80"/>
    </row>
    <row r="431">
      <c r="B431" s="75"/>
      <c r="C431" s="75"/>
      <c r="G431" s="80"/>
    </row>
    <row r="432">
      <c r="B432" s="75"/>
      <c r="C432" s="75"/>
      <c r="G432" s="80"/>
    </row>
    <row r="433">
      <c r="B433" s="75"/>
      <c r="C433" s="75"/>
      <c r="G433" s="80"/>
    </row>
    <row r="434">
      <c r="B434" s="75"/>
      <c r="C434" s="75"/>
      <c r="G434" s="80"/>
    </row>
    <row r="435">
      <c r="B435" s="75"/>
      <c r="C435" s="75"/>
      <c r="G435" s="80"/>
    </row>
    <row r="436">
      <c r="B436" s="75"/>
      <c r="C436" s="75"/>
      <c r="G436" s="80"/>
    </row>
    <row r="437">
      <c r="B437" s="75"/>
      <c r="C437" s="75"/>
      <c r="G437" s="80"/>
    </row>
    <row r="438">
      <c r="B438" s="75"/>
      <c r="C438" s="75"/>
      <c r="G438" s="80"/>
    </row>
    <row r="439">
      <c r="B439" s="75"/>
      <c r="C439" s="75"/>
      <c r="G439" s="80"/>
    </row>
    <row r="440">
      <c r="B440" s="75"/>
      <c r="C440" s="75"/>
      <c r="G440" s="80"/>
    </row>
    <row r="441">
      <c r="B441" s="75"/>
      <c r="C441" s="75"/>
      <c r="G441" s="80"/>
    </row>
    <row r="442">
      <c r="B442" s="75"/>
      <c r="C442" s="75"/>
      <c r="G442" s="80"/>
    </row>
    <row r="443">
      <c r="B443" s="75"/>
      <c r="C443" s="75"/>
      <c r="G443" s="80"/>
    </row>
    <row r="444">
      <c r="B444" s="75"/>
      <c r="C444" s="75"/>
      <c r="G444" s="80"/>
    </row>
    <row r="445">
      <c r="B445" s="75"/>
      <c r="C445" s="75"/>
      <c r="G445" s="80"/>
    </row>
    <row r="446">
      <c r="B446" s="75"/>
      <c r="C446" s="75"/>
      <c r="G446" s="80"/>
    </row>
    <row r="447">
      <c r="B447" s="75"/>
      <c r="C447" s="75"/>
      <c r="G447" s="80"/>
    </row>
    <row r="448">
      <c r="B448" s="75"/>
      <c r="C448" s="75"/>
      <c r="G448" s="80"/>
    </row>
    <row r="449">
      <c r="B449" s="75"/>
      <c r="C449" s="75"/>
      <c r="G449" s="80"/>
    </row>
    <row r="450">
      <c r="B450" s="75"/>
      <c r="C450" s="75"/>
      <c r="G450" s="80"/>
    </row>
    <row r="451">
      <c r="B451" s="75"/>
      <c r="C451" s="75"/>
      <c r="G451" s="80"/>
    </row>
    <row r="452">
      <c r="B452" s="75"/>
      <c r="C452" s="75"/>
      <c r="G452" s="80"/>
    </row>
    <row r="453">
      <c r="B453" s="75"/>
      <c r="C453" s="75"/>
      <c r="G453" s="80"/>
    </row>
    <row r="454">
      <c r="B454" s="75"/>
      <c r="C454" s="75"/>
      <c r="G454" s="80"/>
    </row>
    <row r="455">
      <c r="B455" s="75"/>
      <c r="C455" s="75"/>
      <c r="G455" s="80"/>
    </row>
    <row r="456">
      <c r="B456" s="75"/>
      <c r="C456" s="75"/>
      <c r="G456" s="80"/>
    </row>
    <row r="457">
      <c r="B457" s="75"/>
      <c r="C457" s="75"/>
      <c r="G457" s="80"/>
    </row>
    <row r="458">
      <c r="B458" s="75"/>
      <c r="C458" s="75"/>
      <c r="G458" s="80"/>
    </row>
    <row r="459">
      <c r="B459" s="75"/>
      <c r="C459" s="75"/>
      <c r="G459" s="80"/>
    </row>
    <row r="460">
      <c r="B460" s="75"/>
      <c r="C460" s="75"/>
      <c r="G460" s="80"/>
    </row>
    <row r="461">
      <c r="B461" s="75"/>
      <c r="C461" s="75"/>
      <c r="G461" s="80"/>
    </row>
    <row r="462">
      <c r="B462" s="75"/>
      <c r="C462" s="75"/>
      <c r="G462" s="80"/>
    </row>
    <row r="463">
      <c r="B463" s="75"/>
      <c r="C463" s="75"/>
      <c r="G463" s="80"/>
    </row>
    <row r="464">
      <c r="B464" s="75"/>
      <c r="C464" s="75"/>
      <c r="G464" s="80"/>
    </row>
    <row r="465">
      <c r="B465" s="75"/>
      <c r="C465" s="75"/>
      <c r="G465" s="80"/>
    </row>
    <row r="466">
      <c r="B466" s="75"/>
      <c r="C466" s="75"/>
      <c r="G466" s="80"/>
    </row>
    <row r="467">
      <c r="B467" s="75"/>
      <c r="C467" s="75"/>
      <c r="G467" s="80"/>
    </row>
    <row r="468">
      <c r="B468" s="75"/>
      <c r="C468" s="75"/>
      <c r="G468" s="80"/>
    </row>
    <row r="469">
      <c r="B469" s="75"/>
      <c r="C469" s="75"/>
      <c r="G469" s="80"/>
    </row>
    <row r="470">
      <c r="B470" s="75"/>
      <c r="C470" s="75"/>
      <c r="G470" s="80"/>
    </row>
    <row r="471">
      <c r="B471" s="75"/>
      <c r="C471" s="75"/>
      <c r="G471" s="80"/>
    </row>
    <row r="472">
      <c r="B472" s="75"/>
      <c r="C472" s="75"/>
      <c r="G472" s="80"/>
    </row>
    <row r="473">
      <c r="B473" s="75"/>
      <c r="C473" s="75"/>
      <c r="G473" s="80"/>
    </row>
    <row r="474">
      <c r="B474" s="75"/>
      <c r="C474" s="75"/>
      <c r="G474" s="80"/>
    </row>
    <row r="475">
      <c r="B475" s="75"/>
      <c r="C475" s="75"/>
      <c r="G475" s="80"/>
    </row>
    <row r="476">
      <c r="B476" s="75"/>
      <c r="C476" s="75"/>
      <c r="G476" s="80"/>
    </row>
    <row r="477">
      <c r="B477" s="75"/>
      <c r="C477" s="75"/>
      <c r="G477" s="80"/>
    </row>
    <row r="478">
      <c r="B478" s="75"/>
      <c r="C478" s="75"/>
      <c r="G478" s="80"/>
    </row>
    <row r="479">
      <c r="B479" s="75"/>
      <c r="C479" s="75"/>
      <c r="G479" s="80"/>
    </row>
    <row r="480">
      <c r="B480" s="75"/>
      <c r="C480" s="75"/>
      <c r="G480" s="80"/>
    </row>
    <row r="481">
      <c r="B481" s="75"/>
      <c r="C481" s="75"/>
      <c r="G481" s="80"/>
    </row>
    <row r="482">
      <c r="B482" s="75"/>
      <c r="C482" s="75"/>
      <c r="G482" s="80"/>
    </row>
    <row r="483">
      <c r="B483" s="75"/>
      <c r="C483" s="75"/>
      <c r="G483" s="80"/>
    </row>
    <row r="484">
      <c r="B484" s="75"/>
      <c r="C484" s="75"/>
      <c r="G484" s="80"/>
    </row>
    <row r="485">
      <c r="B485" s="75"/>
      <c r="C485" s="75"/>
      <c r="G485" s="80"/>
    </row>
    <row r="486">
      <c r="B486" s="75"/>
      <c r="C486" s="75"/>
      <c r="G486" s="80"/>
    </row>
    <row r="487">
      <c r="B487" s="75"/>
      <c r="C487" s="75"/>
      <c r="G487" s="80"/>
    </row>
    <row r="488">
      <c r="B488" s="75"/>
      <c r="C488" s="75"/>
      <c r="G488" s="80"/>
    </row>
    <row r="489">
      <c r="B489" s="75"/>
      <c r="C489" s="75"/>
      <c r="G489" s="80"/>
    </row>
    <row r="490">
      <c r="B490" s="75"/>
      <c r="C490" s="75"/>
      <c r="G490" s="80"/>
    </row>
    <row r="491">
      <c r="B491" s="75"/>
      <c r="C491" s="75"/>
      <c r="G491" s="80"/>
    </row>
    <row r="492">
      <c r="B492" s="75"/>
      <c r="C492" s="75"/>
      <c r="G492" s="80"/>
    </row>
    <row r="493">
      <c r="B493" s="75"/>
      <c r="C493" s="75"/>
      <c r="G493" s="80"/>
    </row>
    <row r="494">
      <c r="B494" s="75"/>
      <c r="C494" s="75"/>
      <c r="G494" s="80"/>
    </row>
    <row r="495">
      <c r="B495" s="75"/>
      <c r="C495" s="75"/>
      <c r="G495" s="80"/>
    </row>
    <row r="496">
      <c r="B496" s="75"/>
      <c r="C496" s="75"/>
      <c r="G496" s="80"/>
    </row>
    <row r="497">
      <c r="B497" s="75"/>
      <c r="C497" s="75"/>
      <c r="G497" s="80"/>
    </row>
    <row r="498">
      <c r="B498" s="75"/>
      <c r="C498" s="75"/>
      <c r="G498" s="80"/>
    </row>
    <row r="499">
      <c r="B499" s="75"/>
      <c r="C499" s="75"/>
      <c r="G499" s="80"/>
    </row>
    <row r="500">
      <c r="B500" s="75"/>
      <c r="C500" s="75"/>
      <c r="G500" s="80"/>
    </row>
    <row r="501">
      <c r="B501" s="75"/>
      <c r="C501" s="75"/>
      <c r="G501" s="80"/>
    </row>
    <row r="502">
      <c r="B502" s="75"/>
      <c r="C502" s="75"/>
      <c r="G502" s="80"/>
    </row>
    <row r="503">
      <c r="B503" s="75"/>
      <c r="C503" s="75"/>
      <c r="G503" s="80"/>
    </row>
    <row r="504">
      <c r="B504" s="75"/>
      <c r="C504" s="75"/>
      <c r="G504" s="80"/>
    </row>
    <row r="505">
      <c r="B505" s="75"/>
      <c r="C505" s="75"/>
      <c r="G505" s="80"/>
    </row>
    <row r="506">
      <c r="B506" s="75"/>
      <c r="C506" s="75"/>
      <c r="G506" s="80"/>
    </row>
    <row r="507">
      <c r="B507" s="75"/>
      <c r="C507" s="75"/>
      <c r="G507" s="80"/>
    </row>
    <row r="508">
      <c r="B508" s="75"/>
      <c r="C508" s="75"/>
      <c r="G508" s="80"/>
    </row>
    <row r="509">
      <c r="B509" s="75"/>
      <c r="C509" s="75"/>
      <c r="G509" s="80"/>
    </row>
    <row r="510">
      <c r="B510" s="75"/>
      <c r="C510" s="75"/>
      <c r="G510" s="80"/>
    </row>
    <row r="511">
      <c r="B511" s="75"/>
      <c r="C511" s="75"/>
      <c r="G511" s="80"/>
    </row>
    <row r="512">
      <c r="B512" s="75"/>
      <c r="C512" s="75"/>
      <c r="G512" s="80"/>
    </row>
    <row r="513">
      <c r="B513" s="75"/>
      <c r="C513" s="75"/>
      <c r="G513" s="80"/>
    </row>
    <row r="514">
      <c r="B514" s="75"/>
      <c r="C514" s="75"/>
      <c r="G514" s="80"/>
    </row>
    <row r="515">
      <c r="B515" s="75"/>
      <c r="C515" s="75"/>
      <c r="G515" s="80"/>
    </row>
    <row r="516">
      <c r="B516" s="75"/>
      <c r="C516" s="75"/>
      <c r="G516" s="80"/>
    </row>
    <row r="517">
      <c r="B517" s="75"/>
      <c r="C517" s="75"/>
      <c r="G517" s="80"/>
    </row>
    <row r="518">
      <c r="B518" s="75"/>
      <c r="C518" s="75"/>
      <c r="G518" s="80"/>
    </row>
    <row r="519">
      <c r="B519" s="75"/>
      <c r="C519" s="75"/>
      <c r="G519" s="80"/>
    </row>
    <row r="520">
      <c r="B520" s="75"/>
      <c r="C520" s="75"/>
      <c r="G520" s="80"/>
    </row>
    <row r="521">
      <c r="B521" s="75"/>
      <c r="C521" s="75"/>
      <c r="G521" s="80"/>
    </row>
    <row r="522">
      <c r="B522" s="75"/>
      <c r="C522" s="75"/>
      <c r="G522" s="80"/>
    </row>
    <row r="523">
      <c r="B523" s="75"/>
      <c r="C523" s="75"/>
      <c r="G523" s="80"/>
    </row>
    <row r="524">
      <c r="B524" s="75"/>
      <c r="C524" s="75"/>
      <c r="G524" s="80"/>
    </row>
    <row r="525">
      <c r="B525" s="75"/>
      <c r="C525" s="75"/>
      <c r="G525" s="80"/>
    </row>
    <row r="526">
      <c r="B526" s="75"/>
      <c r="C526" s="75"/>
      <c r="G526" s="80"/>
    </row>
    <row r="527">
      <c r="B527" s="75"/>
      <c r="C527" s="75"/>
      <c r="G527" s="80"/>
    </row>
    <row r="528">
      <c r="B528" s="75"/>
      <c r="C528" s="75"/>
      <c r="G528" s="80"/>
    </row>
    <row r="529">
      <c r="B529" s="75"/>
      <c r="C529" s="75"/>
      <c r="G529" s="80"/>
    </row>
    <row r="530">
      <c r="B530" s="75"/>
      <c r="C530" s="75"/>
      <c r="G530" s="80"/>
    </row>
    <row r="531">
      <c r="B531" s="75"/>
      <c r="C531" s="75"/>
      <c r="G531" s="80"/>
    </row>
    <row r="532">
      <c r="B532" s="75"/>
      <c r="C532" s="75"/>
      <c r="G532" s="80"/>
    </row>
    <row r="533">
      <c r="B533" s="75"/>
      <c r="C533" s="75"/>
      <c r="G533" s="80"/>
    </row>
    <row r="534">
      <c r="B534" s="75"/>
      <c r="C534" s="75"/>
      <c r="G534" s="80"/>
    </row>
    <row r="535">
      <c r="B535" s="75"/>
      <c r="C535" s="75"/>
      <c r="G535" s="80"/>
    </row>
    <row r="536">
      <c r="B536" s="75"/>
      <c r="C536" s="75"/>
      <c r="G536" s="80"/>
    </row>
    <row r="537">
      <c r="B537" s="75"/>
      <c r="C537" s="75"/>
      <c r="G537" s="80"/>
    </row>
    <row r="538">
      <c r="B538" s="75"/>
      <c r="C538" s="75"/>
      <c r="G538" s="80"/>
    </row>
    <row r="539">
      <c r="B539" s="75"/>
      <c r="C539" s="75"/>
      <c r="G539" s="80"/>
    </row>
    <row r="540">
      <c r="B540" s="75"/>
      <c r="C540" s="75"/>
      <c r="G540" s="80"/>
    </row>
    <row r="541">
      <c r="B541" s="75"/>
      <c r="C541" s="75"/>
      <c r="G541" s="80"/>
    </row>
    <row r="542">
      <c r="B542" s="75"/>
      <c r="C542" s="75"/>
      <c r="G542" s="80"/>
    </row>
    <row r="543">
      <c r="B543" s="75"/>
      <c r="C543" s="75"/>
      <c r="G543" s="80"/>
    </row>
    <row r="544">
      <c r="B544" s="75"/>
      <c r="C544" s="75"/>
      <c r="G544" s="80"/>
    </row>
    <row r="545">
      <c r="B545" s="75"/>
      <c r="C545" s="75"/>
      <c r="G545" s="80"/>
    </row>
    <row r="546">
      <c r="B546" s="75"/>
      <c r="C546" s="75"/>
      <c r="G546" s="80"/>
    </row>
    <row r="547">
      <c r="B547" s="75"/>
      <c r="C547" s="75"/>
      <c r="G547" s="80"/>
    </row>
    <row r="548">
      <c r="B548" s="75"/>
      <c r="C548" s="75"/>
      <c r="G548" s="80"/>
    </row>
    <row r="549">
      <c r="B549" s="75"/>
      <c r="C549" s="75"/>
      <c r="G549" s="80"/>
    </row>
    <row r="550">
      <c r="B550" s="75"/>
      <c r="C550" s="75"/>
      <c r="G550" s="80"/>
    </row>
    <row r="551">
      <c r="B551" s="75"/>
      <c r="C551" s="75"/>
      <c r="G551" s="80"/>
    </row>
    <row r="552">
      <c r="B552" s="75"/>
      <c r="C552" s="75"/>
      <c r="G552" s="80"/>
    </row>
    <row r="553">
      <c r="B553" s="75"/>
      <c r="C553" s="75"/>
      <c r="G553" s="80"/>
    </row>
    <row r="554">
      <c r="B554" s="75"/>
      <c r="C554" s="75"/>
      <c r="G554" s="80"/>
    </row>
    <row r="555">
      <c r="B555" s="75"/>
      <c r="C555" s="75"/>
      <c r="G555" s="80"/>
    </row>
    <row r="556">
      <c r="B556" s="75"/>
      <c r="C556" s="75"/>
      <c r="G556" s="80"/>
    </row>
    <row r="557">
      <c r="B557" s="75"/>
      <c r="C557" s="75"/>
      <c r="G557" s="80"/>
    </row>
    <row r="558">
      <c r="B558" s="75"/>
      <c r="C558" s="75"/>
      <c r="G558" s="80"/>
    </row>
    <row r="559">
      <c r="B559" s="75"/>
      <c r="C559" s="75"/>
      <c r="G559" s="80"/>
    </row>
    <row r="560">
      <c r="B560" s="75"/>
      <c r="C560" s="75"/>
      <c r="G560" s="80"/>
    </row>
    <row r="561">
      <c r="B561" s="75"/>
      <c r="C561" s="75"/>
      <c r="G561" s="80"/>
    </row>
    <row r="562">
      <c r="B562" s="75"/>
      <c r="C562" s="75"/>
      <c r="G562" s="80"/>
    </row>
    <row r="563">
      <c r="B563" s="75"/>
      <c r="C563" s="75"/>
      <c r="G563" s="80"/>
    </row>
    <row r="564">
      <c r="B564" s="75"/>
      <c r="C564" s="75"/>
      <c r="G564" s="80"/>
    </row>
    <row r="565">
      <c r="B565" s="75"/>
      <c r="C565" s="75"/>
      <c r="G565" s="80"/>
    </row>
    <row r="566">
      <c r="B566" s="75"/>
      <c r="C566" s="75"/>
      <c r="G566" s="80"/>
    </row>
    <row r="567">
      <c r="B567" s="75"/>
      <c r="C567" s="75"/>
      <c r="G567" s="80"/>
    </row>
    <row r="568">
      <c r="B568" s="75"/>
      <c r="C568" s="75"/>
      <c r="G568" s="80"/>
    </row>
    <row r="569">
      <c r="B569" s="75"/>
      <c r="C569" s="75"/>
      <c r="G569" s="80"/>
    </row>
    <row r="570">
      <c r="B570" s="75"/>
      <c r="C570" s="75"/>
      <c r="G570" s="80"/>
    </row>
    <row r="571">
      <c r="B571" s="75"/>
      <c r="C571" s="75"/>
      <c r="G571" s="80"/>
    </row>
    <row r="572">
      <c r="B572" s="75"/>
      <c r="C572" s="75"/>
      <c r="G572" s="80"/>
    </row>
    <row r="573">
      <c r="B573" s="75"/>
      <c r="C573" s="75"/>
      <c r="G573" s="80"/>
    </row>
    <row r="574">
      <c r="B574" s="75"/>
      <c r="C574" s="75"/>
      <c r="G574" s="80"/>
    </row>
    <row r="575">
      <c r="B575" s="75"/>
      <c r="C575" s="75"/>
      <c r="G575" s="80"/>
    </row>
    <row r="576">
      <c r="B576" s="75"/>
      <c r="C576" s="75"/>
      <c r="G576" s="80"/>
    </row>
    <row r="577">
      <c r="B577" s="75"/>
      <c r="C577" s="75"/>
      <c r="G577" s="80"/>
    </row>
    <row r="578">
      <c r="B578" s="75"/>
      <c r="C578" s="75"/>
      <c r="G578" s="80"/>
    </row>
    <row r="579">
      <c r="B579" s="75"/>
      <c r="C579" s="75"/>
      <c r="G579" s="80"/>
    </row>
    <row r="580">
      <c r="B580" s="75"/>
      <c r="C580" s="75"/>
      <c r="G580" s="80"/>
    </row>
    <row r="581">
      <c r="B581" s="75"/>
      <c r="C581" s="75"/>
      <c r="G581" s="80"/>
    </row>
    <row r="582">
      <c r="B582" s="75"/>
      <c r="C582" s="75"/>
      <c r="G582" s="80"/>
    </row>
    <row r="583">
      <c r="B583" s="75"/>
      <c r="C583" s="75"/>
      <c r="G583" s="80"/>
    </row>
    <row r="584">
      <c r="B584" s="75"/>
      <c r="C584" s="75"/>
      <c r="G584" s="80"/>
    </row>
    <row r="585">
      <c r="B585" s="75"/>
      <c r="C585" s="75"/>
      <c r="G585" s="80"/>
    </row>
    <row r="586">
      <c r="B586" s="75"/>
      <c r="C586" s="75"/>
      <c r="G586" s="80"/>
    </row>
    <row r="587">
      <c r="B587" s="75"/>
      <c r="C587" s="75"/>
      <c r="G587" s="80"/>
    </row>
    <row r="588">
      <c r="B588" s="75"/>
      <c r="C588" s="75"/>
      <c r="G588" s="80"/>
    </row>
    <row r="589">
      <c r="B589" s="75"/>
      <c r="C589" s="75"/>
      <c r="G589" s="80"/>
    </row>
    <row r="590">
      <c r="B590" s="75"/>
      <c r="C590" s="75"/>
      <c r="G590" s="80"/>
    </row>
    <row r="591">
      <c r="B591" s="75"/>
      <c r="C591" s="75"/>
      <c r="G591" s="80"/>
    </row>
    <row r="592">
      <c r="B592" s="75"/>
      <c r="C592" s="75"/>
      <c r="G592" s="80"/>
    </row>
    <row r="593">
      <c r="B593" s="75"/>
      <c r="C593" s="75"/>
      <c r="G593" s="80"/>
    </row>
    <row r="594">
      <c r="B594" s="75"/>
      <c r="C594" s="75"/>
      <c r="G594" s="80"/>
    </row>
    <row r="595">
      <c r="B595" s="75"/>
      <c r="C595" s="75"/>
      <c r="G595" s="80"/>
    </row>
    <row r="596">
      <c r="B596" s="75"/>
      <c r="C596" s="75"/>
      <c r="G596" s="80"/>
    </row>
    <row r="597">
      <c r="B597" s="75"/>
      <c r="C597" s="75"/>
      <c r="G597" s="80"/>
    </row>
    <row r="598">
      <c r="B598" s="75"/>
      <c r="C598" s="75"/>
      <c r="G598" s="80"/>
    </row>
    <row r="599">
      <c r="B599" s="75"/>
      <c r="C599" s="75"/>
      <c r="G599" s="80"/>
    </row>
    <row r="600">
      <c r="B600" s="75"/>
      <c r="C600" s="75"/>
      <c r="G600" s="80"/>
    </row>
    <row r="601">
      <c r="B601" s="75"/>
      <c r="C601" s="75"/>
      <c r="G601" s="80"/>
    </row>
    <row r="602">
      <c r="B602" s="75"/>
      <c r="C602" s="75"/>
      <c r="G602" s="80"/>
    </row>
    <row r="603">
      <c r="B603" s="75"/>
      <c r="C603" s="75"/>
      <c r="G603" s="80"/>
    </row>
    <row r="604">
      <c r="B604" s="75"/>
      <c r="C604" s="75"/>
      <c r="G604" s="80"/>
    </row>
    <row r="605">
      <c r="B605" s="75"/>
      <c r="C605" s="75"/>
      <c r="G605" s="80"/>
    </row>
    <row r="606">
      <c r="B606" s="75"/>
      <c r="C606" s="75"/>
      <c r="G606" s="80"/>
    </row>
    <row r="607">
      <c r="B607" s="75"/>
      <c r="C607" s="75"/>
      <c r="G607" s="80"/>
    </row>
    <row r="608">
      <c r="B608" s="75"/>
      <c r="C608" s="75"/>
      <c r="G608" s="80"/>
    </row>
    <row r="609">
      <c r="B609" s="75"/>
      <c r="C609" s="75"/>
      <c r="G609" s="80"/>
    </row>
    <row r="610">
      <c r="B610" s="75"/>
      <c r="C610" s="75"/>
      <c r="G610" s="80"/>
    </row>
    <row r="611">
      <c r="B611" s="75"/>
      <c r="C611" s="75"/>
      <c r="G611" s="80"/>
    </row>
    <row r="612">
      <c r="B612" s="75"/>
      <c r="C612" s="75"/>
      <c r="G612" s="80"/>
    </row>
    <row r="613">
      <c r="B613" s="75"/>
      <c r="C613" s="75"/>
      <c r="G613" s="80"/>
    </row>
    <row r="614">
      <c r="B614" s="75"/>
      <c r="C614" s="75"/>
      <c r="G614" s="80"/>
    </row>
    <row r="615">
      <c r="B615" s="75"/>
      <c r="C615" s="75"/>
      <c r="G615" s="80"/>
    </row>
    <row r="616">
      <c r="B616" s="75"/>
      <c r="C616" s="75"/>
      <c r="G616" s="80"/>
    </row>
    <row r="617">
      <c r="B617" s="75"/>
      <c r="C617" s="75"/>
      <c r="G617" s="80"/>
    </row>
    <row r="618">
      <c r="B618" s="75"/>
      <c r="C618" s="75"/>
      <c r="G618" s="80"/>
    </row>
    <row r="619">
      <c r="B619" s="75"/>
      <c r="C619" s="75"/>
      <c r="G619" s="80"/>
    </row>
    <row r="620">
      <c r="B620" s="75"/>
      <c r="C620" s="75"/>
      <c r="G620" s="80"/>
    </row>
    <row r="621">
      <c r="B621" s="75"/>
      <c r="C621" s="75"/>
      <c r="G621" s="80"/>
    </row>
    <row r="622">
      <c r="B622" s="75"/>
      <c r="C622" s="75"/>
      <c r="G622" s="80"/>
    </row>
    <row r="623">
      <c r="B623" s="75"/>
      <c r="C623" s="75"/>
      <c r="G623" s="80"/>
    </row>
    <row r="624">
      <c r="B624" s="75"/>
      <c r="C624" s="75"/>
      <c r="G624" s="80"/>
    </row>
    <row r="625">
      <c r="B625" s="75"/>
      <c r="C625" s="75"/>
      <c r="G625" s="80"/>
    </row>
    <row r="626">
      <c r="B626" s="75"/>
      <c r="C626" s="75"/>
      <c r="G626" s="80"/>
    </row>
    <row r="627">
      <c r="B627" s="75"/>
      <c r="C627" s="75"/>
      <c r="G627" s="80"/>
    </row>
    <row r="628">
      <c r="B628" s="75"/>
      <c r="C628" s="75"/>
      <c r="G628" s="80"/>
    </row>
    <row r="629">
      <c r="B629" s="75"/>
      <c r="C629" s="75"/>
      <c r="G629" s="80"/>
    </row>
    <row r="630">
      <c r="B630" s="75"/>
      <c r="C630" s="75"/>
      <c r="G630" s="80"/>
    </row>
    <row r="631">
      <c r="B631" s="75"/>
      <c r="C631" s="75"/>
      <c r="G631" s="80"/>
    </row>
    <row r="632">
      <c r="B632" s="75"/>
      <c r="C632" s="75"/>
      <c r="G632" s="80"/>
    </row>
    <row r="633">
      <c r="B633" s="75"/>
      <c r="C633" s="75"/>
      <c r="G633" s="80"/>
    </row>
    <row r="634">
      <c r="B634" s="75"/>
      <c r="C634" s="75"/>
      <c r="G634" s="80"/>
    </row>
    <row r="635">
      <c r="B635" s="75"/>
      <c r="C635" s="75"/>
      <c r="G635" s="80"/>
    </row>
    <row r="636">
      <c r="B636" s="75"/>
      <c r="C636" s="75"/>
      <c r="G636" s="80"/>
    </row>
    <row r="637">
      <c r="B637" s="75"/>
      <c r="C637" s="75"/>
      <c r="G637" s="80"/>
    </row>
    <row r="638">
      <c r="B638" s="75"/>
      <c r="C638" s="75"/>
      <c r="G638" s="80"/>
    </row>
    <row r="639">
      <c r="B639" s="75"/>
      <c r="C639" s="75"/>
      <c r="G639" s="80"/>
    </row>
    <row r="640">
      <c r="B640" s="75"/>
      <c r="C640" s="75"/>
      <c r="G640" s="80"/>
    </row>
    <row r="641">
      <c r="B641" s="75"/>
      <c r="C641" s="75"/>
      <c r="G641" s="80"/>
    </row>
    <row r="642">
      <c r="B642" s="75"/>
      <c r="C642" s="75"/>
      <c r="G642" s="80"/>
    </row>
    <row r="643">
      <c r="B643" s="75"/>
      <c r="C643" s="75"/>
      <c r="G643" s="80"/>
    </row>
    <row r="644">
      <c r="B644" s="75"/>
      <c r="C644" s="75"/>
      <c r="G644" s="80"/>
    </row>
    <row r="645">
      <c r="B645" s="75"/>
      <c r="C645" s="75"/>
      <c r="G645" s="80"/>
    </row>
    <row r="646">
      <c r="B646" s="75"/>
      <c r="C646" s="75"/>
      <c r="G646" s="80"/>
    </row>
    <row r="647">
      <c r="B647" s="75"/>
      <c r="C647" s="75"/>
      <c r="G647" s="80"/>
    </row>
    <row r="648">
      <c r="B648" s="75"/>
      <c r="C648" s="75"/>
      <c r="G648" s="80"/>
    </row>
    <row r="649">
      <c r="B649" s="75"/>
      <c r="C649" s="75"/>
      <c r="G649" s="80"/>
    </row>
    <row r="650">
      <c r="B650" s="75"/>
      <c r="C650" s="75"/>
      <c r="G650" s="80"/>
    </row>
    <row r="651">
      <c r="B651" s="75"/>
      <c r="C651" s="75"/>
      <c r="G651" s="80"/>
    </row>
    <row r="652">
      <c r="B652" s="75"/>
      <c r="C652" s="75"/>
      <c r="G652" s="80"/>
    </row>
    <row r="653">
      <c r="B653" s="75"/>
      <c r="C653" s="75"/>
      <c r="G653" s="80"/>
    </row>
    <row r="654">
      <c r="B654" s="75"/>
      <c r="C654" s="75"/>
      <c r="G654" s="80"/>
    </row>
    <row r="655">
      <c r="B655" s="75"/>
      <c r="C655" s="75"/>
      <c r="G655" s="80"/>
    </row>
    <row r="656">
      <c r="B656" s="75"/>
      <c r="C656" s="75"/>
      <c r="G656" s="80"/>
    </row>
    <row r="657">
      <c r="B657" s="75"/>
      <c r="C657" s="75"/>
      <c r="G657" s="80"/>
    </row>
    <row r="658">
      <c r="B658" s="75"/>
      <c r="C658" s="75"/>
      <c r="G658" s="80"/>
    </row>
    <row r="659">
      <c r="B659" s="75"/>
      <c r="C659" s="75"/>
      <c r="G659" s="80"/>
    </row>
    <row r="660">
      <c r="B660" s="75"/>
      <c r="C660" s="75"/>
      <c r="G660" s="80"/>
    </row>
    <row r="661">
      <c r="B661" s="75"/>
      <c r="C661" s="75"/>
      <c r="G661" s="80"/>
    </row>
    <row r="662">
      <c r="B662" s="75"/>
      <c r="C662" s="75"/>
      <c r="G662" s="80"/>
    </row>
    <row r="663">
      <c r="B663" s="75"/>
      <c r="C663" s="75"/>
      <c r="G663" s="80"/>
    </row>
    <row r="664">
      <c r="B664" s="75"/>
      <c r="C664" s="75"/>
      <c r="G664" s="80"/>
    </row>
    <row r="665">
      <c r="B665" s="75"/>
      <c r="C665" s="75"/>
      <c r="G665" s="80"/>
    </row>
    <row r="666">
      <c r="B666" s="75"/>
      <c r="C666" s="75"/>
      <c r="G666" s="80"/>
    </row>
    <row r="667">
      <c r="B667" s="75"/>
      <c r="C667" s="75"/>
      <c r="G667" s="80"/>
    </row>
    <row r="668">
      <c r="B668" s="75"/>
      <c r="C668" s="75"/>
      <c r="G668" s="80"/>
    </row>
    <row r="669">
      <c r="B669" s="75"/>
      <c r="C669" s="75"/>
      <c r="G669" s="80"/>
    </row>
    <row r="670">
      <c r="B670" s="75"/>
      <c r="C670" s="75"/>
      <c r="G670" s="80"/>
    </row>
    <row r="671">
      <c r="B671" s="75"/>
      <c r="C671" s="75"/>
      <c r="G671" s="80"/>
    </row>
    <row r="672">
      <c r="B672" s="75"/>
      <c r="C672" s="75"/>
      <c r="G672" s="80"/>
    </row>
    <row r="673">
      <c r="B673" s="75"/>
      <c r="C673" s="75"/>
      <c r="G673" s="80"/>
    </row>
    <row r="674">
      <c r="B674" s="75"/>
      <c r="C674" s="75"/>
      <c r="G674" s="80"/>
    </row>
    <row r="675">
      <c r="B675" s="75"/>
      <c r="C675" s="75"/>
      <c r="G675" s="80"/>
    </row>
    <row r="676">
      <c r="B676" s="75"/>
      <c r="C676" s="75"/>
      <c r="G676" s="80"/>
    </row>
    <row r="677">
      <c r="B677" s="75"/>
      <c r="C677" s="75"/>
      <c r="G677" s="80"/>
    </row>
    <row r="678">
      <c r="B678" s="75"/>
      <c r="C678" s="75"/>
      <c r="G678" s="80"/>
    </row>
    <row r="679">
      <c r="B679" s="75"/>
      <c r="C679" s="75"/>
      <c r="G679" s="80"/>
    </row>
    <row r="680">
      <c r="B680" s="75"/>
      <c r="C680" s="75"/>
      <c r="G680" s="80"/>
    </row>
    <row r="681">
      <c r="B681" s="75"/>
      <c r="C681" s="75"/>
      <c r="G681" s="80"/>
    </row>
    <row r="682">
      <c r="B682" s="75"/>
      <c r="C682" s="75"/>
      <c r="G682" s="80"/>
    </row>
    <row r="683">
      <c r="B683" s="75"/>
      <c r="C683" s="75"/>
      <c r="G683" s="80"/>
    </row>
    <row r="684">
      <c r="B684" s="75"/>
      <c r="C684" s="75"/>
      <c r="G684" s="80"/>
    </row>
    <row r="685">
      <c r="B685" s="75"/>
      <c r="C685" s="75"/>
      <c r="G685" s="80"/>
    </row>
    <row r="686">
      <c r="B686" s="75"/>
      <c r="C686" s="75"/>
      <c r="G686" s="80"/>
    </row>
    <row r="687">
      <c r="B687" s="75"/>
      <c r="C687" s="75"/>
      <c r="G687" s="80"/>
    </row>
    <row r="688">
      <c r="B688" s="75"/>
      <c r="C688" s="75"/>
      <c r="G688" s="80"/>
    </row>
    <row r="689">
      <c r="B689" s="75"/>
      <c r="C689" s="75"/>
      <c r="G689" s="80"/>
    </row>
    <row r="690">
      <c r="B690" s="75"/>
      <c r="C690" s="75"/>
      <c r="G690" s="80"/>
    </row>
    <row r="691">
      <c r="B691" s="75"/>
      <c r="C691" s="75"/>
      <c r="G691" s="80"/>
    </row>
    <row r="692">
      <c r="B692" s="75"/>
      <c r="C692" s="75"/>
      <c r="G692" s="80"/>
    </row>
    <row r="693">
      <c r="B693" s="75"/>
      <c r="C693" s="75"/>
      <c r="G693" s="80"/>
    </row>
    <row r="694">
      <c r="B694" s="75"/>
      <c r="C694" s="75"/>
      <c r="G694" s="80"/>
    </row>
    <row r="695">
      <c r="B695" s="75"/>
      <c r="C695" s="75"/>
      <c r="G695" s="80"/>
    </row>
    <row r="696">
      <c r="B696" s="75"/>
      <c r="C696" s="75"/>
      <c r="G696" s="80"/>
    </row>
    <row r="697">
      <c r="B697" s="75"/>
      <c r="C697" s="75"/>
      <c r="G697" s="80"/>
    </row>
    <row r="698">
      <c r="B698" s="75"/>
      <c r="C698" s="75"/>
      <c r="G698" s="80"/>
    </row>
    <row r="699">
      <c r="B699" s="75"/>
      <c r="C699" s="75"/>
      <c r="G699" s="80"/>
    </row>
    <row r="700">
      <c r="B700" s="75"/>
      <c r="C700" s="75"/>
      <c r="G700" s="80"/>
    </row>
    <row r="701">
      <c r="B701" s="75"/>
      <c r="C701" s="75"/>
      <c r="G701" s="80"/>
    </row>
    <row r="702">
      <c r="B702" s="75"/>
      <c r="C702" s="75"/>
      <c r="G702" s="80"/>
    </row>
    <row r="703">
      <c r="B703" s="75"/>
      <c r="C703" s="75"/>
      <c r="G703" s="80"/>
    </row>
    <row r="704">
      <c r="B704" s="75"/>
      <c r="C704" s="75"/>
      <c r="G704" s="80"/>
    </row>
    <row r="705">
      <c r="B705" s="75"/>
      <c r="C705" s="75"/>
      <c r="G705" s="80"/>
    </row>
    <row r="706">
      <c r="B706" s="75"/>
      <c r="C706" s="75"/>
      <c r="G706" s="80"/>
    </row>
    <row r="707">
      <c r="B707" s="75"/>
      <c r="C707" s="75"/>
      <c r="G707" s="80"/>
    </row>
    <row r="708">
      <c r="B708" s="75"/>
      <c r="C708" s="75"/>
      <c r="G708" s="80"/>
    </row>
    <row r="709">
      <c r="B709" s="75"/>
      <c r="C709" s="75"/>
      <c r="G709" s="80"/>
    </row>
    <row r="710">
      <c r="B710" s="75"/>
      <c r="C710" s="75"/>
      <c r="G710" s="80"/>
    </row>
    <row r="711">
      <c r="B711" s="75"/>
      <c r="C711" s="75"/>
      <c r="G711" s="80"/>
    </row>
    <row r="712">
      <c r="B712" s="75"/>
      <c r="C712" s="75"/>
      <c r="G712" s="80"/>
    </row>
    <row r="713">
      <c r="B713" s="75"/>
      <c r="C713" s="75"/>
      <c r="G713" s="80"/>
    </row>
    <row r="714">
      <c r="B714" s="75"/>
      <c r="C714" s="75"/>
      <c r="G714" s="80"/>
    </row>
    <row r="715">
      <c r="B715" s="75"/>
      <c r="C715" s="75"/>
      <c r="G715" s="80"/>
    </row>
    <row r="716">
      <c r="B716" s="75"/>
      <c r="C716" s="75"/>
      <c r="G716" s="80"/>
    </row>
    <row r="717">
      <c r="B717" s="75"/>
      <c r="C717" s="75"/>
      <c r="G717" s="80"/>
    </row>
    <row r="718">
      <c r="B718" s="75"/>
      <c r="C718" s="75"/>
      <c r="G718" s="80"/>
    </row>
    <row r="719">
      <c r="B719" s="75"/>
      <c r="C719" s="75"/>
      <c r="G719" s="80"/>
    </row>
    <row r="720">
      <c r="B720" s="75"/>
      <c r="C720" s="75"/>
      <c r="G720" s="80"/>
    </row>
    <row r="721">
      <c r="B721" s="75"/>
      <c r="C721" s="75"/>
      <c r="G721" s="80"/>
    </row>
    <row r="722">
      <c r="B722" s="75"/>
      <c r="C722" s="75"/>
      <c r="G722" s="80"/>
    </row>
    <row r="723">
      <c r="B723" s="75"/>
      <c r="C723" s="75"/>
      <c r="G723" s="80"/>
    </row>
    <row r="724">
      <c r="B724" s="75"/>
      <c r="C724" s="75"/>
      <c r="G724" s="80"/>
    </row>
    <row r="725">
      <c r="B725" s="75"/>
      <c r="C725" s="75"/>
      <c r="G725" s="80"/>
    </row>
    <row r="726">
      <c r="B726" s="75"/>
      <c r="C726" s="75"/>
      <c r="G726" s="80"/>
    </row>
    <row r="727">
      <c r="B727" s="75"/>
      <c r="C727" s="75"/>
      <c r="G727" s="80"/>
    </row>
    <row r="728">
      <c r="B728" s="75"/>
      <c r="C728" s="75"/>
      <c r="G728" s="80"/>
    </row>
    <row r="729">
      <c r="B729" s="75"/>
      <c r="C729" s="75"/>
      <c r="G729" s="80"/>
    </row>
    <row r="730">
      <c r="B730" s="75"/>
      <c r="C730" s="75"/>
      <c r="G730" s="80"/>
    </row>
    <row r="731">
      <c r="B731" s="75"/>
      <c r="C731" s="75"/>
      <c r="G731" s="80"/>
    </row>
    <row r="732">
      <c r="B732" s="75"/>
      <c r="C732" s="75"/>
      <c r="G732" s="80"/>
    </row>
    <row r="733">
      <c r="B733" s="75"/>
      <c r="C733" s="75"/>
      <c r="G733" s="80"/>
    </row>
    <row r="734">
      <c r="B734" s="75"/>
      <c r="C734" s="75"/>
      <c r="G734" s="80"/>
    </row>
    <row r="735">
      <c r="B735" s="75"/>
      <c r="C735" s="75"/>
      <c r="G735" s="80"/>
    </row>
    <row r="736">
      <c r="B736" s="75"/>
      <c r="C736" s="75"/>
      <c r="G736" s="80"/>
    </row>
    <row r="737">
      <c r="B737" s="75"/>
      <c r="C737" s="75"/>
      <c r="G737" s="80"/>
    </row>
    <row r="738">
      <c r="B738" s="75"/>
      <c r="C738" s="75"/>
      <c r="G738" s="80"/>
    </row>
    <row r="739">
      <c r="B739" s="75"/>
      <c r="C739" s="75"/>
      <c r="G739" s="80"/>
    </row>
    <row r="740">
      <c r="B740" s="75"/>
      <c r="C740" s="75"/>
      <c r="G740" s="80"/>
    </row>
    <row r="741">
      <c r="B741" s="75"/>
      <c r="C741" s="75"/>
      <c r="G741" s="80"/>
    </row>
    <row r="742">
      <c r="B742" s="75"/>
      <c r="C742" s="75"/>
      <c r="G742" s="80"/>
    </row>
    <row r="743">
      <c r="B743" s="75"/>
      <c r="C743" s="75"/>
      <c r="G743" s="80"/>
    </row>
    <row r="744">
      <c r="B744" s="75"/>
      <c r="C744" s="75"/>
      <c r="G744" s="80"/>
    </row>
    <row r="745">
      <c r="B745" s="75"/>
      <c r="C745" s="75"/>
      <c r="G745" s="80"/>
    </row>
    <row r="746">
      <c r="B746" s="75"/>
      <c r="C746" s="75"/>
      <c r="G746" s="80"/>
    </row>
    <row r="747">
      <c r="B747" s="75"/>
      <c r="C747" s="75"/>
      <c r="G747" s="80"/>
    </row>
    <row r="748">
      <c r="B748" s="75"/>
      <c r="C748" s="75"/>
      <c r="G748" s="80"/>
    </row>
    <row r="749">
      <c r="B749" s="75"/>
      <c r="C749" s="75"/>
      <c r="G749" s="80"/>
    </row>
    <row r="750">
      <c r="B750" s="75"/>
      <c r="C750" s="75"/>
      <c r="G750" s="80"/>
    </row>
    <row r="751">
      <c r="B751" s="75"/>
      <c r="C751" s="75"/>
      <c r="G751" s="80"/>
    </row>
    <row r="752">
      <c r="B752" s="75"/>
      <c r="C752" s="75"/>
      <c r="G752" s="80"/>
    </row>
    <row r="753">
      <c r="B753" s="75"/>
      <c r="C753" s="75"/>
      <c r="G753" s="80"/>
    </row>
    <row r="754">
      <c r="B754" s="75"/>
      <c r="C754" s="75"/>
      <c r="G754" s="80"/>
    </row>
    <row r="755">
      <c r="B755" s="75"/>
      <c r="C755" s="75"/>
      <c r="G755" s="80"/>
    </row>
    <row r="756">
      <c r="B756" s="75"/>
      <c r="C756" s="75"/>
      <c r="G756" s="80"/>
    </row>
    <row r="757">
      <c r="B757" s="75"/>
      <c r="C757" s="75"/>
      <c r="G757" s="80"/>
    </row>
    <row r="758">
      <c r="B758" s="75"/>
      <c r="C758" s="75"/>
      <c r="G758" s="80"/>
    </row>
    <row r="759">
      <c r="B759" s="75"/>
      <c r="C759" s="75"/>
      <c r="G759" s="80"/>
    </row>
    <row r="760">
      <c r="B760" s="75"/>
      <c r="C760" s="75"/>
      <c r="G760" s="80"/>
    </row>
    <row r="761">
      <c r="B761" s="75"/>
      <c r="C761" s="75"/>
      <c r="G761" s="80"/>
    </row>
    <row r="762">
      <c r="B762" s="75"/>
      <c r="C762" s="75"/>
      <c r="G762" s="80"/>
    </row>
    <row r="763">
      <c r="B763" s="75"/>
      <c r="C763" s="75"/>
      <c r="G763" s="80"/>
    </row>
    <row r="764">
      <c r="B764" s="75"/>
      <c r="C764" s="75"/>
      <c r="G764" s="80"/>
    </row>
    <row r="765">
      <c r="B765" s="75"/>
      <c r="C765" s="75"/>
      <c r="G765" s="80"/>
    </row>
    <row r="766">
      <c r="B766" s="75"/>
      <c r="C766" s="75"/>
      <c r="G766" s="80"/>
    </row>
    <row r="767">
      <c r="B767" s="75"/>
      <c r="C767" s="75"/>
      <c r="G767" s="80"/>
    </row>
    <row r="768">
      <c r="B768" s="75"/>
      <c r="C768" s="75"/>
      <c r="G768" s="80"/>
    </row>
    <row r="769">
      <c r="B769" s="75"/>
      <c r="C769" s="75"/>
      <c r="G769" s="80"/>
    </row>
    <row r="770">
      <c r="B770" s="75"/>
      <c r="C770" s="75"/>
      <c r="G770" s="80"/>
    </row>
    <row r="771">
      <c r="B771" s="75"/>
      <c r="C771" s="75"/>
      <c r="G771" s="80"/>
    </row>
    <row r="772">
      <c r="B772" s="75"/>
      <c r="C772" s="75"/>
      <c r="G772" s="80"/>
    </row>
    <row r="773">
      <c r="B773" s="75"/>
      <c r="C773" s="75"/>
      <c r="G773" s="80"/>
    </row>
    <row r="774">
      <c r="B774" s="75"/>
      <c r="C774" s="75"/>
      <c r="G774" s="80"/>
    </row>
    <row r="775">
      <c r="B775" s="75"/>
      <c r="C775" s="75"/>
      <c r="G775" s="80"/>
    </row>
    <row r="776">
      <c r="B776" s="75"/>
      <c r="C776" s="75"/>
      <c r="G776" s="80"/>
    </row>
    <row r="777">
      <c r="B777" s="75"/>
      <c r="C777" s="75"/>
      <c r="G777" s="80"/>
    </row>
    <row r="778">
      <c r="B778" s="75"/>
      <c r="C778" s="75"/>
      <c r="G778" s="80"/>
    </row>
    <row r="779">
      <c r="B779" s="75"/>
      <c r="C779" s="75"/>
      <c r="G779" s="80"/>
    </row>
    <row r="780">
      <c r="B780" s="75"/>
      <c r="C780" s="75"/>
      <c r="G780" s="80"/>
    </row>
    <row r="781">
      <c r="B781" s="75"/>
      <c r="C781" s="75"/>
      <c r="G781" s="80"/>
    </row>
    <row r="782">
      <c r="B782" s="75"/>
      <c r="C782" s="75"/>
      <c r="G782" s="80"/>
    </row>
    <row r="783">
      <c r="B783" s="75"/>
      <c r="C783" s="75"/>
      <c r="G783" s="80"/>
    </row>
    <row r="784">
      <c r="B784" s="75"/>
      <c r="C784" s="75"/>
      <c r="G784" s="80"/>
    </row>
    <row r="785">
      <c r="B785" s="75"/>
      <c r="C785" s="75"/>
      <c r="G785" s="80"/>
    </row>
    <row r="786">
      <c r="B786" s="75"/>
      <c r="C786" s="75"/>
      <c r="G786" s="80"/>
    </row>
    <row r="787">
      <c r="B787" s="75"/>
      <c r="C787" s="75"/>
      <c r="G787" s="80"/>
    </row>
    <row r="788">
      <c r="B788" s="75"/>
      <c r="C788" s="75"/>
      <c r="G788" s="80"/>
    </row>
    <row r="789">
      <c r="B789" s="75"/>
      <c r="C789" s="75"/>
      <c r="G789" s="80"/>
    </row>
    <row r="790">
      <c r="B790" s="75"/>
      <c r="C790" s="75"/>
      <c r="G790" s="80"/>
    </row>
    <row r="791">
      <c r="B791" s="75"/>
      <c r="C791" s="75"/>
      <c r="G791" s="80"/>
    </row>
    <row r="792">
      <c r="B792" s="75"/>
      <c r="C792" s="75"/>
      <c r="G792" s="80"/>
    </row>
    <row r="793">
      <c r="B793" s="75"/>
      <c r="C793" s="75"/>
      <c r="G793" s="80"/>
    </row>
    <row r="794">
      <c r="B794" s="75"/>
      <c r="C794" s="75"/>
      <c r="G794" s="80"/>
    </row>
    <row r="795">
      <c r="B795" s="75"/>
      <c r="C795" s="75"/>
      <c r="G795" s="80"/>
    </row>
    <row r="796">
      <c r="B796" s="75"/>
      <c r="C796" s="75"/>
      <c r="G796" s="80"/>
    </row>
    <row r="797">
      <c r="B797" s="75"/>
      <c r="C797" s="75"/>
      <c r="G797" s="80"/>
    </row>
    <row r="798">
      <c r="B798" s="75"/>
      <c r="C798" s="75"/>
      <c r="G798" s="80"/>
    </row>
    <row r="799">
      <c r="B799" s="75"/>
      <c r="C799" s="75"/>
      <c r="G799" s="80"/>
    </row>
    <row r="800">
      <c r="B800" s="75"/>
      <c r="C800" s="75"/>
      <c r="G800" s="80"/>
    </row>
    <row r="801">
      <c r="B801" s="75"/>
      <c r="C801" s="75"/>
      <c r="G801" s="80"/>
    </row>
    <row r="802">
      <c r="B802" s="75"/>
      <c r="C802" s="75"/>
      <c r="G802" s="80"/>
    </row>
    <row r="803">
      <c r="B803" s="75"/>
      <c r="C803" s="75"/>
      <c r="G803" s="80"/>
    </row>
    <row r="804">
      <c r="B804" s="75"/>
      <c r="C804" s="75"/>
      <c r="G804" s="80"/>
    </row>
    <row r="805">
      <c r="B805" s="75"/>
      <c r="C805" s="75"/>
      <c r="G805" s="80"/>
    </row>
    <row r="806">
      <c r="B806" s="75"/>
      <c r="C806" s="75"/>
      <c r="G806" s="80"/>
    </row>
    <row r="807">
      <c r="B807" s="75"/>
      <c r="C807" s="75"/>
      <c r="G807" s="80"/>
    </row>
    <row r="808">
      <c r="B808" s="75"/>
      <c r="C808" s="75"/>
      <c r="G808" s="80"/>
    </row>
    <row r="809">
      <c r="B809" s="75"/>
      <c r="C809" s="75"/>
      <c r="G809" s="80"/>
    </row>
    <row r="810">
      <c r="B810" s="75"/>
      <c r="C810" s="75"/>
      <c r="G810" s="80"/>
    </row>
    <row r="811">
      <c r="B811" s="75"/>
      <c r="C811" s="75"/>
      <c r="G811" s="80"/>
    </row>
    <row r="812">
      <c r="B812" s="75"/>
      <c r="C812" s="75"/>
      <c r="G812" s="80"/>
    </row>
    <row r="813">
      <c r="B813" s="75"/>
      <c r="C813" s="75"/>
      <c r="G813" s="80"/>
    </row>
    <row r="814">
      <c r="B814" s="75"/>
      <c r="C814" s="75"/>
      <c r="G814" s="80"/>
    </row>
    <row r="815">
      <c r="B815" s="75"/>
      <c r="C815" s="75"/>
      <c r="G815" s="80"/>
    </row>
    <row r="816">
      <c r="B816" s="75"/>
      <c r="C816" s="75"/>
      <c r="G816" s="80"/>
    </row>
    <row r="817">
      <c r="B817" s="75"/>
      <c r="C817" s="75"/>
      <c r="G817" s="80"/>
    </row>
    <row r="818">
      <c r="B818" s="75"/>
      <c r="C818" s="75"/>
      <c r="G818" s="80"/>
    </row>
    <row r="819">
      <c r="B819" s="75"/>
      <c r="C819" s="75"/>
      <c r="G819" s="80"/>
    </row>
    <row r="820">
      <c r="B820" s="75"/>
      <c r="C820" s="75"/>
      <c r="G820" s="80"/>
    </row>
    <row r="821">
      <c r="B821" s="75"/>
      <c r="C821" s="75"/>
      <c r="G821" s="80"/>
    </row>
    <row r="822">
      <c r="B822" s="75"/>
      <c r="C822" s="75"/>
      <c r="G822" s="80"/>
    </row>
    <row r="823">
      <c r="B823" s="75"/>
      <c r="C823" s="75"/>
      <c r="G823" s="80"/>
    </row>
    <row r="824">
      <c r="B824" s="75"/>
      <c r="C824" s="75"/>
      <c r="G824" s="80"/>
    </row>
    <row r="825">
      <c r="B825" s="75"/>
      <c r="C825" s="75"/>
      <c r="G825" s="80"/>
    </row>
    <row r="826">
      <c r="B826" s="75"/>
      <c r="C826" s="75"/>
      <c r="G826" s="80"/>
    </row>
    <row r="827">
      <c r="B827" s="75"/>
      <c r="C827" s="75"/>
      <c r="G827" s="80"/>
    </row>
    <row r="828">
      <c r="B828" s="75"/>
      <c r="C828" s="75"/>
      <c r="G828" s="80"/>
    </row>
    <row r="829">
      <c r="B829" s="75"/>
      <c r="C829" s="75"/>
      <c r="G829" s="80"/>
    </row>
    <row r="830">
      <c r="B830" s="75"/>
      <c r="C830" s="75"/>
      <c r="G830" s="80"/>
    </row>
    <row r="831">
      <c r="B831" s="75"/>
      <c r="C831" s="75"/>
      <c r="G831" s="80"/>
    </row>
    <row r="832">
      <c r="B832" s="75"/>
      <c r="C832" s="75"/>
      <c r="G832" s="80"/>
    </row>
    <row r="833">
      <c r="B833" s="75"/>
      <c r="C833" s="75"/>
      <c r="G833" s="80"/>
    </row>
    <row r="834">
      <c r="B834" s="75"/>
      <c r="C834" s="75"/>
      <c r="G834" s="80"/>
    </row>
    <row r="835">
      <c r="B835" s="75"/>
      <c r="C835" s="75"/>
      <c r="G835" s="80"/>
    </row>
    <row r="836">
      <c r="B836" s="75"/>
      <c r="C836" s="75"/>
      <c r="G836" s="80"/>
    </row>
    <row r="837">
      <c r="B837" s="75"/>
      <c r="C837" s="75"/>
      <c r="G837" s="80"/>
    </row>
    <row r="838">
      <c r="B838" s="75"/>
      <c r="C838" s="75"/>
      <c r="G838" s="80"/>
    </row>
    <row r="839">
      <c r="B839" s="75"/>
      <c r="C839" s="75"/>
      <c r="G839" s="80"/>
    </row>
    <row r="840">
      <c r="B840" s="75"/>
      <c r="C840" s="75"/>
      <c r="G840" s="80"/>
    </row>
    <row r="841">
      <c r="B841" s="75"/>
      <c r="C841" s="75"/>
      <c r="G841" s="80"/>
    </row>
    <row r="842">
      <c r="B842" s="75"/>
      <c r="C842" s="75"/>
      <c r="G842" s="80"/>
    </row>
    <row r="843">
      <c r="B843" s="75"/>
      <c r="C843" s="75"/>
      <c r="G843" s="80"/>
    </row>
    <row r="844">
      <c r="B844" s="75"/>
      <c r="C844" s="75"/>
      <c r="G844" s="80"/>
    </row>
    <row r="845">
      <c r="B845" s="75"/>
      <c r="C845" s="75"/>
      <c r="G845" s="80"/>
    </row>
    <row r="846">
      <c r="B846" s="75"/>
      <c r="C846" s="75"/>
      <c r="G846" s="80"/>
    </row>
    <row r="847">
      <c r="B847" s="75"/>
      <c r="C847" s="75"/>
      <c r="G847" s="80"/>
    </row>
    <row r="848">
      <c r="B848" s="75"/>
      <c r="C848" s="75"/>
      <c r="G848" s="80"/>
    </row>
    <row r="849">
      <c r="B849" s="75"/>
      <c r="C849" s="75"/>
      <c r="G849" s="80"/>
    </row>
    <row r="850">
      <c r="B850" s="75"/>
      <c r="C850" s="75"/>
      <c r="G850" s="80"/>
    </row>
    <row r="851">
      <c r="B851" s="75"/>
      <c r="C851" s="75"/>
      <c r="G851" s="80"/>
    </row>
    <row r="852">
      <c r="B852" s="75"/>
      <c r="C852" s="75"/>
      <c r="G852" s="80"/>
    </row>
    <row r="853">
      <c r="B853" s="75"/>
      <c r="C853" s="75"/>
      <c r="G853" s="80"/>
    </row>
    <row r="854">
      <c r="B854" s="75"/>
      <c r="C854" s="75"/>
      <c r="G854" s="80"/>
    </row>
    <row r="855">
      <c r="B855" s="75"/>
      <c r="C855" s="75"/>
      <c r="G855" s="80"/>
    </row>
    <row r="856">
      <c r="B856" s="75"/>
      <c r="C856" s="75"/>
      <c r="G856" s="80"/>
    </row>
    <row r="857">
      <c r="B857" s="75"/>
      <c r="C857" s="75"/>
      <c r="G857" s="80"/>
    </row>
    <row r="858">
      <c r="B858" s="75"/>
      <c r="C858" s="75"/>
      <c r="G858" s="80"/>
    </row>
    <row r="859">
      <c r="B859" s="75"/>
      <c r="C859" s="75"/>
      <c r="G859" s="80"/>
    </row>
    <row r="860">
      <c r="B860" s="75"/>
      <c r="C860" s="75"/>
      <c r="G860" s="80"/>
    </row>
    <row r="861">
      <c r="B861" s="75"/>
      <c r="C861" s="75"/>
      <c r="G861" s="80"/>
    </row>
    <row r="862">
      <c r="B862" s="75"/>
      <c r="C862" s="75"/>
      <c r="G862" s="80"/>
    </row>
    <row r="863">
      <c r="B863" s="75"/>
      <c r="C863" s="75"/>
      <c r="G863" s="80"/>
    </row>
    <row r="864">
      <c r="B864" s="75"/>
      <c r="C864" s="75"/>
      <c r="G864" s="80"/>
    </row>
    <row r="865">
      <c r="B865" s="75"/>
      <c r="C865" s="75"/>
      <c r="G865" s="80"/>
    </row>
    <row r="866">
      <c r="B866" s="75"/>
      <c r="C866" s="75"/>
      <c r="G866" s="80"/>
    </row>
    <row r="867">
      <c r="B867" s="75"/>
      <c r="C867" s="75"/>
      <c r="G867" s="80"/>
    </row>
    <row r="868">
      <c r="B868" s="75"/>
      <c r="C868" s="75"/>
      <c r="G868" s="80"/>
    </row>
    <row r="869">
      <c r="B869" s="75"/>
      <c r="C869" s="75"/>
      <c r="G869" s="80"/>
    </row>
    <row r="870">
      <c r="B870" s="75"/>
      <c r="C870" s="75"/>
      <c r="G870" s="80"/>
    </row>
    <row r="871">
      <c r="B871" s="75"/>
      <c r="C871" s="75"/>
      <c r="G871" s="80"/>
    </row>
    <row r="872">
      <c r="B872" s="75"/>
      <c r="C872" s="75"/>
      <c r="G872" s="80"/>
    </row>
    <row r="873">
      <c r="B873" s="75"/>
      <c r="C873" s="75"/>
      <c r="G873" s="80"/>
    </row>
    <row r="874">
      <c r="B874" s="75"/>
      <c r="C874" s="75"/>
      <c r="G874" s="80"/>
    </row>
    <row r="875">
      <c r="B875" s="75"/>
      <c r="C875" s="75"/>
      <c r="G875" s="80"/>
    </row>
    <row r="876">
      <c r="B876" s="75"/>
      <c r="C876" s="75"/>
      <c r="G876" s="80"/>
    </row>
    <row r="877">
      <c r="B877" s="75"/>
      <c r="C877" s="75"/>
      <c r="G877" s="80"/>
    </row>
    <row r="878">
      <c r="B878" s="75"/>
      <c r="C878" s="75"/>
      <c r="G878" s="80"/>
    </row>
    <row r="879">
      <c r="B879" s="75"/>
      <c r="C879" s="75"/>
      <c r="G879" s="80"/>
    </row>
    <row r="880">
      <c r="B880" s="75"/>
      <c r="C880" s="75"/>
      <c r="G880" s="80"/>
    </row>
    <row r="881">
      <c r="B881" s="75"/>
      <c r="C881" s="75"/>
      <c r="G881" s="80"/>
    </row>
    <row r="882">
      <c r="B882" s="75"/>
      <c r="C882" s="75"/>
      <c r="G882" s="80"/>
    </row>
    <row r="883">
      <c r="B883" s="75"/>
      <c r="C883" s="75"/>
      <c r="G883" s="80"/>
    </row>
    <row r="884">
      <c r="B884" s="75"/>
      <c r="C884" s="75"/>
      <c r="G884" s="80"/>
    </row>
    <row r="885">
      <c r="B885" s="75"/>
      <c r="C885" s="75"/>
      <c r="G885" s="80"/>
    </row>
    <row r="886">
      <c r="B886" s="75"/>
      <c r="C886" s="75"/>
      <c r="G886" s="80"/>
    </row>
    <row r="887">
      <c r="B887" s="75"/>
      <c r="C887" s="75"/>
      <c r="G887" s="80"/>
    </row>
    <row r="888">
      <c r="B888" s="75"/>
      <c r="C888" s="75"/>
      <c r="G888" s="80"/>
    </row>
    <row r="889">
      <c r="B889" s="75"/>
      <c r="C889" s="75"/>
      <c r="G889" s="80"/>
    </row>
    <row r="890">
      <c r="B890" s="75"/>
      <c r="C890" s="75"/>
      <c r="G890" s="80"/>
    </row>
    <row r="891">
      <c r="B891" s="75"/>
      <c r="C891" s="75"/>
      <c r="G891" s="80"/>
    </row>
    <row r="892">
      <c r="B892" s="75"/>
      <c r="C892" s="75"/>
      <c r="G892" s="80"/>
    </row>
    <row r="893">
      <c r="B893" s="75"/>
      <c r="C893" s="75"/>
      <c r="G893" s="80"/>
    </row>
    <row r="894">
      <c r="B894" s="75"/>
      <c r="C894" s="75"/>
      <c r="G894" s="80"/>
    </row>
    <row r="895">
      <c r="B895" s="75"/>
      <c r="C895" s="75"/>
      <c r="G895" s="80"/>
    </row>
    <row r="896">
      <c r="B896" s="75"/>
      <c r="C896" s="75"/>
      <c r="G896" s="80"/>
    </row>
    <row r="897">
      <c r="B897" s="75"/>
      <c r="C897" s="75"/>
      <c r="G897" s="80"/>
    </row>
    <row r="898">
      <c r="B898" s="75"/>
      <c r="C898" s="75"/>
      <c r="G898" s="80"/>
    </row>
    <row r="899">
      <c r="B899" s="75"/>
      <c r="C899" s="75"/>
      <c r="G899" s="80"/>
    </row>
    <row r="900">
      <c r="B900" s="75"/>
      <c r="C900" s="75"/>
      <c r="G900" s="80"/>
    </row>
    <row r="901">
      <c r="B901" s="75"/>
      <c r="C901" s="75"/>
      <c r="G901" s="80"/>
    </row>
    <row r="902">
      <c r="B902" s="75"/>
      <c r="C902" s="75"/>
      <c r="G902" s="80"/>
    </row>
    <row r="903">
      <c r="B903" s="75"/>
      <c r="C903" s="75"/>
      <c r="G903" s="80"/>
    </row>
    <row r="904">
      <c r="B904" s="75"/>
      <c r="C904" s="75"/>
      <c r="G904" s="80"/>
    </row>
    <row r="905">
      <c r="B905" s="75"/>
      <c r="C905" s="75"/>
      <c r="G905" s="80"/>
    </row>
    <row r="906">
      <c r="B906" s="75"/>
      <c r="C906" s="75"/>
      <c r="G906" s="80"/>
    </row>
    <row r="907">
      <c r="B907" s="75"/>
      <c r="C907" s="75"/>
      <c r="G907" s="80"/>
    </row>
    <row r="908">
      <c r="B908" s="75"/>
      <c r="C908" s="75"/>
      <c r="G908" s="80"/>
    </row>
    <row r="909">
      <c r="B909" s="75"/>
      <c r="C909" s="75"/>
      <c r="G909" s="80"/>
    </row>
    <row r="910">
      <c r="B910" s="75"/>
      <c r="C910" s="75"/>
      <c r="G910" s="80"/>
    </row>
    <row r="911">
      <c r="B911" s="75"/>
      <c r="C911" s="75"/>
      <c r="G911" s="80"/>
    </row>
    <row r="912">
      <c r="B912" s="75"/>
      <c r="C912" s="75"/>
      <c r="G912" s="80"/>
    </row>
    <row r="913">
      <c r="B913" s="75"/>
      <c r="C913" s="75"/>
      <c r="G913" s="80"/>
    </row>
    <row r="914">
      <c r="B914" s="75"/>
      <c r="C914" s="75"/>
      <c r="G914" s="80"/>
    </row>
    <row r="915">
      <c r="B915" s="75"/>
      <c r="C915" s="75"/>
      <c r="G915" s="80"/>
    </row>
    <row r="916">
      <c r="B916" s="75"/>
      <c r="C916" s="75"/>
      <c r="G916" s="80"/>
    </row>
    <row r="917">
      <c r="B917" s="75"/>
      <c r="C917" s="75"/>
      <c r="G917" s="80"/>
    </row>
    <row r="918">
      <c r="B918" s="75"/>
      <c r="C918" s="75"/>
      <c r="G918" s="80"/>
    </row>
    <row r="919">
      <c r="B919" s="75"/>
      <c r="C919" s="75"/>
      <c r="G919" s="80"/>
    </row>
    <row r="920">
      <c r="B920" s="75"/>
      <c r="C920" s="75"/>
      <c r="G920" s="80"/>
    </row>
    <row r="921">
      <c r="B921" s="75"/>
      <c r="C921" s="75"/>
      <c r="G921" s="80"/>
    </row>
    <row r="922">
      <c r="B922" s="75"/>
      <c r="C922" s="75"/>
      <c r="G922" s="80"/>
    </row>
    <row r="923">
      <c r="B923" s="75"/>
      <c r="C923" s="75"/>
      <c r="G923" s="80"/>
    </row>
    <row r="924">
      <c r="B924" s="75"/>
      <c r="C924" s="75"/>
      <c r="G924" s="80"/>
    </row>
    <row r="925">
      <c r="B925" s="75"/>
      <c r="C925" s="75"/>
      <c r="G925" s="80"/>
    </row>
    <row r="926">
      <c r="B926" s="75"/>
      <c r="C926" s="75"/>
      <c r="G926" s="80"/>
    </row>
    <row r="927">
      <c r="B927" s="75"/>
      <c r="C927" s="75"/>
      <c r="G927" s="80"/>
    </row>
    <row r="928">
      <c r="B928" s="75"/>
      <c r="C928" s="75"/>
      <c r="G928" s="80"/>
    </row>
    <row r="929">
      <c r="B929" s="75"/>
      <c r="C929" s="75"/>
      <c r="G929" s="80"/>
    </row>
    <row r="930">
      <c r="B930" s="75"/>
      <c r="C930" s="75"/>
      <c r="G930" s="80"/>
    </row>
    <row r="931">
      <c r="B931" s="75"/>
      <c r="C931" s="75"/>
      <c r="G931" s="80"/>
    </row>
    <row r="932">
      <c r="B932" s="75"/>
      <c r="C932" s="75"/>
      <c r="G932" s="80"/>
    </row>
    <row r="933">
      <c r="B933" s="75"/>
      <c r="C933" s="75"/>
      <c r="G933" s="80"/>
    </row>
    <row r="934">
      <c r="B934" s="75"/>
      <c r="C934" s="75"/>
      <c r="G934" s="80"/>
    </row>
    <row r="935">
      <c r="B935" s="75"/>
      <c r="C935" s="75"/>
      <c r="G935" s="80"/>
    </row>
    <row r="936">
      <c r="B936" s="75"/>
      <c r="C936" s="75"/>
      <c r="G936" s="80"/>
    </row>
    <row r="937">
      <c r="B937" s="75"/>
      <c r="C937" s="75"/>
      <c r="G937" s="80"/>
    </row>
    <row r="938">
      <c r="B938" s="75"/>
      <c r="C938" s="75"/>
      <c r="G938" s="80"/>
    </row>
    <row r="939">
      <c r="B939" s="75"/>
      <c r="C939" s="75"/>
      <c r="G939" s="80"/>
    </row>
    <row r="940">
      <c r="B940" s="75"/>
      <c r="C940" s="75"/>
      <c r="G940" s="80"/>
    </row>
    <row r="941">
      <c r="B941" s="75"/>
      <c r="C941" s="75"/>
      <c r="G941" s="80"/>
    </row>
    <row r="942">
      <c r="B942" s="75"/>
      <c r="C942" s="75"/>
      <c r="G942" s="80"/>
    </row>
    <row r="943">
      <c r="B943" s="75"/>
      <c r="C943" s="75"/>
      <c r="G943" s="80"/>
    </row>
    <row r="944">
      <c r="B944" s="75"/>
      <c r="C944" s="75"/>
      <c r="G944" s="80"/>
    </row>
    <row r="945">
      <c r="B945" s="75"/>
      <c r="C945" s="75"/>
      <c r="G945" s="80"/>
    </row>
    <row r="946">
      <c r="B946" s="75"/>
      <c r="C946" s="75"/>
      <c r="G946" s="80"/>
    </row>
    <row r="947">
      <c r="B947" s="75"/>
      <c r="C947" s="75"/>
      <c r="G947" s="80"/>
    </row>
    <row r="948">
      <c r="B948" s="75"/>
      <c r="C948" s="75"/>
      <c r="G948" s="80"/>
    </row>
    <row r="949">
      <c r="B949" s="75"/>
      <c r="C949" s="75"/>
      <c r="G949" s="80"/>
    </row>
    <row r="950">
      <c r="B950" s="75"/>
      <c r="C950" s="75"/>
      <c r="G950" s="80"/>
    </row>
    <row r="951">
      <c r="B951" s="75"/>
      <c r="C951" s="75"/>
      <c r="G951" s="80"/>
    </row>
    <row r="952">
      <c r="B952" s="75"/>
      <c r="C952" s="75"/>
      <c r="G952" s="80"/>
    </row>
    <row r="953">
      <c r="B953" s="75"/>
      <c r="C953" s="75"/>
      <c r="G953" s="80"/>
    </row>
    <row r="954">
      <c r="B954" s="75"/>
      <c r="C954" s="75"/>
      <c r="G954" s="80"/>
    </row>
    <row r="955">
      <c r="B955" s="75"/>
      <c r="C955" s="75"/>
      <c r="G955" s="80"/>
    </row>
    <row r="956">
      <c r="B956" s="75"/>
      <c r="C956" s="75"/>
      <c r="G956" s="80"/>
    </row>
    <row r="957">
      <c r="B957" s="75"/>
      <c r="C957" s="75"/>
      <c r="G957" s="80"/>
    </row>
    <row r="958">
      <c r="B958" s="75"/>
      <c r="C958" s="75"/>
      <c r="G958" s="80"/>
    </row>
    <row r="959">
      <c r="B959" s="75"/>
      <c r="C959" s="75"/>
      <c r="G959" s="80"/>
    </row>
    <row r="960">
      <c r="B960" s="75"/>
      <c r="C960" s="75"/>
      <c r="G960" s="80"/>
    </row>
    <row r="961">
      <c r="B961" s="75"/>
      <c r="C961" s="75"/>
      <c r="G961" s="80"/>
    </row>
    <row r="962">
      <c r="B962" s="75"/>
      <c r="C962" s="75"/>
      <c r="G962" s="80"/>
    </row>
    <row r="963">
      <c r="B963" s="75"/>
      <c r="C963" s="75"/>
      <c r="G963" s="80"/>
    </row>
    <row r="964">
      <c r="B964" s="75"/>
      <c r="C964" s="75"/>
      <c r="G964" s="80"/>
    </row>
    <row r="965">
      <c r="B965" s="75"/>
      <c r="C965" s="75"/>
      <c r="G965" s="80"/>
    </row>
    <row r="966">
      <c r="B966" s="75"/>
      <c r="C966" s="75"/>
      <c r="G966" s="80"/>
    </row>
    <row r="967">
      <c r="B967" s="75"/>
      <c r="C967" s="75"/>
      <c r="G967" s="80"/>
    </row>
    <row r="968">
      <c r="B968" s="75"/>
      <c r="C968" s="75"/>
      <c r="G968" s="80"/>
    </row>
    <row r="969">
      <c r="B969" s="75"/>
      <c r="C969" s="75"/>
      <c r="G969" s="80"/>
    </row>
    <row r="970">
      <c r="B970" s="75"/>
      <c r="C970" s="75"/>
      <c r="G970" s="80"/>
    </row>
    <row r="971">
      <c r="B971" s="75"/>
      <c r="C971" s="75"/>
      <c r="G971" s="80"/>
    </row>
    <row r="972">
      <c r="B972" s="75"/>
      <c r="C972" s="75"/>
      <c r="G972" s="80"/>
    </row>
    <row r="973">
      <c r="B973" s="75"/>
      <c r="C973" s="75"/>
      <c r="G973" s="80"/>
    </row>
    <row r="974">
      <c r="B974" s="75"/>
      <c r="C974" s="75"/>
      <c r="G974" s="80"/>
    </row>
    <row r="975">
      <c r="B975" s="75"/>
      <c r="C975" s="75"/>
      <c r="G975" s="80"/>
    </row>
    <row r="976">
      <c r="B976" s="75"/>
      <c r="C976" s="75"/>
      <c r="G976" s="80"/>
    </row>
    <row r="977">
      <c r="B977" s="75"/>
      <c r="C977" s="75"/>
      <c r="G977" s="80"/>
    </row>
    <row r="978">
      <c r="B978" s="75"/>
      <c r="C978" s="75"/>
      <c r="G978" s="80"/>
    </row>
    <row r="979">
      <c r="B979" s="75"/>
      <c r="C979" s="75"/>
      <c r="G979" s="80"/>
    </row>
    <row r="980">
      <c r="B980" s="75"/>
      <c r="C980" s="75"/>
      <c r="G980" s="80"/>
    </row>
    <row r="981">
      <c r="B981" s="75"/>
      <c r="C981" s="75"/>
      <c r="G981" s="80"/>
    </row>
    <row r="982">
      <c r="B982" s="75"/>
      <c r="C982" s="75"/>
      <c r="G982" s="80"/>
    </row>
    <row r="983">
      <c r="B983" s="75"/>
      <c r="C983" s="75"/>
      <c r="G983" s="80"/>
    </row>
    <row r="984">
      <c r="B984" s="75"/>
      <c r="C984" s="75"/>
      <c r="G984" s="80"/>
    </row>
    <row r="985">
      <c r="B985" s="75"/>
      <c r="C985" s="75"/>
      <c r="G985" s="80"/>
    </row>
    <row r="986">
      <c r="B986" s="75"/>
      <c r="C986" s="75"/>
      <c r="G986" s="80"/>
    </row>
    <row r="987">
      <c r="B987" s="75"/>
      <c r="C987" s="75"/>
      <c r="G987" s="80"/>
    </row>
    <row r="988">
      <c r="B988" s="75"/>
      <c r="C988" s="75"/>
      <c r="G988" s="80"/>
    </row>
    <row r="989">
      <c r="B989" s="75"/>
      <c r="C989" s="75"/>
      <c r="G989" s="80"/>
    </row>
    <row r="990">
      <c r="B990" s="75"/>
      <c r="C990" s="75"/>
      <c r="G990" s="80"/>
    </row>
    <row r="991">
      <c r="B991" s="75"/>
      <c r="C991" s="75"/>
      <c r="G991" s="80"/>
    </row>
    <row r="992">
      <c r="B992" s="75"/>
      <c r="C992" s="75"/>
      <c r="G992" s="80"/>
    </row>
    <row r="993">
      <c r="B993" s="75"/>
      <c r="C993" s="75"/>
      <c r="G993" s="80"/>
    </row>
    <row r="994">
      <c r="B994" s="75"/>
      <c r="C994" s="75"/>
      <c r="G994" s="80"/>
    </row>
    <row r="995">
      <c r="B995" s="75"/>
      <c r="C995" s="75"/>
      <c r="G995" s="80"/>
    </row>
    <row r="996">
      <c r="B996" s="75"/>
      <c r="C996" s="75"/>
      <c r="G996" s="80"/>
    </row>
    <row r="997">
      <c r="B997" s="75"/>
      <c r="C997" s="75"/>
      <c r="G997" s="80"/>
    </row>
    <row r="998">
      <c r="B998" s="75"/>
      <c r="C998" s="75"/>
      <c r="G998" s="80"/>
    </row>
    <row r="999">
      <c r="B999" s="75"/>
      <c r="C999" s="75"/>
      <c r="G999" s="80"/>
    </row>
    <row r="1000">
      <c r="B1000" s="75"/>
      <c r="C1000" s="75"/>
      <c r="G1000" s="80"/>
    </row>
    <row r="1001">
      <c r="B1001" s="75"/>
      <c r="C1001" s="75"/>
      <c r="G1001" s="80"/>
    </row>
  </sheetData>
  <drawing r:id="rId2"/>
  <legacyDrawing r:id="rId3"/>
  <tableParts count="2"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4" width="6.38"/>
  </cols>
  <sheetData>
    <row r="1">
      <c r="A1" s="76" t="str">
        <f>IFERROR(__xludf.DUMMYFUNCTION("IMPORTRANGE(""https://docs.google.com/spreadsheets/d/1WrlXSFXZTDpREVkBr7Bcj9guiXHyEFLNmois4EFOZXc/edit?gid=2039892744#gid=2039892744"",""DS SV đăng ký!A:ac"")"),"Timestamp")</f>
        <v>Timestamp</v>
      </c>
      <c r="B1" s="76" t="str">
        <f>IFERROR(__xludf.DUMMYFUNCTION("""COMPUTED_VALUE"""),"Email Address")</f>
        <v>Email Address</v>
      </c>
      <c r="C1" s="76" t="str">
        <f>IFERROR(__xludf.DUMMYFUNCTION("""COMPUTED_VALUE"""),"Mã số sinh viên (đầy đủ)")</f>
        <v>Mã số sinh viên (đầy đủ)</v>
      </c>
      <c r="D1" s="76" t="str">
        <f>IFERROR(__xludf.DUMMYFUNCTION("""COMPUTED_VALUE"""),"Họ và tên")</f>
        <v>Họ và tên</v>
      </c>
      <c r="E1" s="76" t="str">
        <f>IFERROR(__xludf.DUMMYFUNCTION("""COMPUTED_VALUE"""),"Ngày sinh")</f>
        <v>Ngày sinh</v>
      </c>
      <c r="F1" s="76" t="str">
        <f>IFERROR(__xludf.DUMMYFUNCTION("""COMPUTED_VALUE"""),"Lớp (ví dụ: K25PSUDLK 1)")</f>
        <v>Lớp (ví dụ: K25PSUDLK 1)</v>
      </c>
      <c r="G1" s="76" t="str">
        <f>IFERROR(__xludf.DUMMYFUNCTION("""COMPUTED_VALUE"""),"Chuyên ngành")</f>
        <v>Chuyên ngành</v>
      </c>
      <c r="H1" s="76" t="str">
        <f>IFERROR(__xludf.DUMMYFUNCTION("""COMPUTED_VALUE"""),"Khóa ")</f>
        <v>Khóa </v>
      </c>
      <c r="I1" s="76" t="str">
        <f>IFERROR(__xludf.DUMMYFUNCTION("""COMPUTED_VALUE"""),"Số điện thoại")</f>
        <v>Số điện thoại</v>
      </c>
      <c r="J1" s="76" t="str">
        <f>IFERROR(__xludf.DUMMYFUNCTION("""COMPUTED_VALUE"""),"Điểm trung bình chung toàn khóa (thang điểm 4).  (Ví dụ như hình). Chỉ ghi số.")</f>
        <v>Điểm trung bình chung toàn khóa (thang điểm 4).  (Ví dụ như hình). Chỉ ghi số.</v>
      </c>
      <c r="K1" s="76" t="str">
        <f>IFERROR(__xludf.DUMMYFUNCTION("""COMPUTED_VALUE"""),"Tổng số đơn vị học tập đã hoàn thành (Ví dụ như hình). Chỉ ghi số.")</f>
        <v>Tổng số đơn vị học tập đã hoàn thành (Ví dụ như hình). Chỉ ghi số.</v>
      </c>
      <c r="L1" s="76" t="str">
        <f>IFERROR(__xludf.DUMMYFUNCTION("""COMPUTED_VALUE"""),"SV đã hoàn thành môn tiên quyết chưa:  + Đối với chuyên ngành Quản trị Du lịch và Khách sạn chuẩn PSU: môn Tổng quan ngành lưu trú (PSU-HOS 151); + Đối với chuyên ngành Quản trị Du lịch và Khách sạn: môn tiên quyết là môn Tổng quan ngành lưu trú (HOS 151)")</f>
        <v>SV đã hoàn thành môn tiên quyết chưa:  + Đối với chuyên ngành Quản trị Du lịch và Khách sạn chuẩn PSU: môn Tổng quan ngành lưu trú (PSU-HOS 151); + Đối với chuyên ngành Quản trị Du lịch và Khách sạn: môn tiên quyết là môn Tổng quan ngành lưu trú (HOS 151)</v>
      </c>
      <c r="M1" s="76" t="str">
        <f>IFERROR(__xludf.DUMMYFUNCTION("""COMPUTED_VALUE"""),"Tham gia tốt nghiệp cuối khóa đợt tháng 06/2025 (sinh viên tham gia mục nào thì tick vào mục đó)")</f>
        <v>Tham gia tốt nghiệp cuối khóa đợt tháng 06/2025 (sinh viên tham gia mục nào thì tick vào mục đó)</v>
      </c>
      <c r="N1" s="76" t="str">
        <f>IFERROR(__xludf.DUMMYFUNCTION("""COMPUTED_VALUE"""),"Số tín chỉ chưa hoàn thành (bao gồm các tín chỉ chưa học, nợ chưa trả, đang học tại HK1 và HK2 2024-2025). CHỈ GHI SỐ")</f>
        <v>Số tín chỉ chưa hoàn thành (bao gồm các tín chỉ chưa học, nợ chưa trả, đang học tại HK1 và HK2 2024-2025). CHỈ GHI SỐ</v>
      </c>
      <c r="O1" s="76" t="str">
        <f>IFERROR(__xludf.DUMMYFUNCTION("""COMPUTED_VALUE"""),"Em cam kết thông tin đã kê khai là hoàn toàn chính xác")</f>
        <v>Em cam kết thông tin đã kê khai là hoàn toàn chính xác</v>
      </c>
      <c r="P1" s="76" t="str">
        <f>IFERROR(__xludf.DUMMYFUNCTION("""COMPUTED_VALUE"""),"Đơn cam kết tham dự thực tập và TN 06/2025")</f>
        <v>Đơn cam kết tham dự thực tập và TN 06/2025</v>
      </c>
      <c r="Q1" s="76" t="str">
        <f>IFERROR(__xludf.DUMMYFUNCTION("""COMPUTED_VALUE"""),"Đơn dự thực tập tốt nghiệp 06/2025
(khóa cũ phải nộp)")</f>
        <v>Đơn dự thực tập tốt nghiệp 06/2025
(khóa cũ phải nộp)</v>
      </c>
      <c r="R1" s="76" t="str">
        <f>IFERROR(__xludf.DUMMYFUNCTION("""COMPUTED_VALUE"""),"Mã đơn tham dự tốt nghiệp")</f>
        <v>Mã đơn tham dự tốt nghiệp</v>
      </c>
      <c r="S1" s="76" t="str">
        <f>IFERROR(__xludf.DUMMYFUNCTION("""COMPUTED_VALUE"""),"Ngày khoa cấp giấy giới thiệu thực tập")</f>
        <v>Ngày khoa cấp giấy giới thiệu thực tập</v>
      </c>
      <c r="T1" s="99" t="str">
        <f>IFERROR(__xludf.DUMMYFUNCTION("""COMPUTED_VALUE"""),"Ghi chú của giáo vụ")</f>
        <v>Ghi chú của giáo vụ</v>
      </c>
      <c r="U1" s="76" t="str">
        <f>IFERROR(__xludf.DUMMYFUNCTION("""COMPUTED_VALUE"""),"THÔNG TIN ĐỐI CHIẾU CỦA KHOA")</f>
        <v>THÔNG TIN ĐỐI CHIẾU CỦA KHOA</v>
      </c>
      <c r="V1" s="76" t="str">
        <f>IFERROR(__xludf.DUMMYFUNCTION("""COMPUTED_VALUE"""),"Column 20")</f>
        <v>Column 20</v>
      </c>
      <c r="W1" s="76" t="str">
        <f>IFERROR(__xludf.DUMMYFUNCTION("""COMPUTED_VALUE"""),"Tên đơn vị thực tập (sinh viên đã được doanh nghiệp xác nhận nhận vào thực tập)")</f>
        <v>Tên đơn vị thực tập (sinh viên đã được doanh nghiệp xác nhận nhận vào thực tập)</v>
      </c>
      <c r="X1" s="99" t="str">
        <f>IFERROR(__xludf.DUMMYFUNCTION("""COMPUTED_VALUE"""),"Bộ phận TT khoa đã duyệt")</f>
        <v>Bộ phận TT khoa đã duyệt</v>
      </c>
      <c r="Y1" s="76" t="str">
        <f>IFERROR(__xludf.DUMMYFUNCTION("""COMPUTED_VALUE"""),"Kết quả xét duyệt đơn vị thực tập")</f>
        <v>Kết quả xét duyệt đơn vị thực tập</v>
      </c>
      <c r="Z1" s="76" t="str">
        <f>IFERROR(__xludf.DUMMYFUNCTION("""COMPUTED_VALUE"""),"XÉT ĐIỀU KIỆN THỰC TẬP")</f>
        <v>XÉT ĐIỀU KIỆN THỰC TẬP</v>
      </c>
      <c r="AA1" s="76" t="str">
        <f>IFERROR(__xludf.DUMMYFUNCTION("""COMPUTED_VALUE"""),"email")</f>
        <v>email</v>
      </c>
      <c r="AB1" s="76" t="str">
        <f>IFERROR(__xludf.DUMMYFUNCTION("""COMPUTED_VALUE"""),"xin chuyển từ Khóa luận sang Chuyên đề")</f>
        <v>xin chuyển từ Khóa luận sang Chuyên đề</v>
      </c>
      <c r="AC1" s="76" t="str">
        <f>IFERROR(__xludf.DUMMYFUNCTION("""COMPUTED_VALUE"""),"Đơn xin chuyển đổi hình thức")</f>
        <v>Đơn xin chuyển đổi hình thức</v>
      </c>
    </row>
    <row r="2">
      <c r="A2" s="100">
        <f>IFERROR(__xludf.DUMMYFUNCTION("""COMPUTED_VALUE"""),45636.573253263894)</f>
        <v>45636.57325</v>
      </c>
      <c r="B2" s="76" t="str">
        <f>IFERROR(__xludf.DUMMYFUNCTION("""COMPUTED_VALUE"""),"thul39238@gmail.com")</f>
        <v>thul39238@gmail.com</v>
      </c>
      <c r="C2" s="76">
        <f>IFERROR(__xludf.DUMMYFUNCTION("""COMPUTED_VALUE"""),2.7207132468E10)</f>
        <v>27207132468</v>
      </c>
      <c r="D2" s="76" t="str">
        <f>IFERROR(__xludf.DUMMYFUNCTION("""COMPUTED_VALUE"""),"Lê Thị Khánh Thư")</f>
        <v>Lê Thị Khánh Thư</v>
      </c>
      <c r="E2" s="101">
        <f>IFERROR(__xludf.DUMMYFUNCTION("""COMPUTED_VALUE"""),37911.0)</f>
        <v>37911</v>
      </c>
      <c r="F2" s="76" t="str">
        <f>IFERROR(__xludf.DUMMYFUNCTION("""COMPUTED_VALUE"""),"K27DLK3")</f>
        <v>K27DLK3</v>
      </c>
      <c r="G2" s="76" t="str">
        <f>IFERROR(__xludf.DUMMYFUNCTION("""COMPUTED_VALUE"""),"Quản trị Du lịch &amp; Khách sạn")</f>
        <v>Quản trị Du lịch &amp; Khách sạn</v>
      </c>
      <c r="H2" s="76" t="str">
        <f>IFERROR(__xludf.DUMMYFUNCTION("""COMPUTED_VALUE"""),"K27")</f>
        <v>K27</v>
      </c>
      <c r="I2" s="76" t="str">
        <f>IFERROR(__xludf.DUMMYFUNCTION("""COMPUTED_VALUE"""),"0827377827")</f>
        <v>0827377827</v>
      </c>
      <c r="J2" s="76" t="str">
        <f>IFERROR(__xludf.DUMMYFUNCTION("""COMPUTED_VALUE"""),"2,68")</f>
        <v>2,68</v>
      </c>
      <c r="K2" s="76" t="str">
        <f>IFERROR(__xludf.DUMMYFUNCTION("""COMPUTED_VALUE"""),"121 Tín ")</f>
        <v>121 Tín </v>
      </c>
      <c r="L2" s="76" t="str">
        <f>IFERROR(__xludf.DUMMYFUNCTION("""COMPUTED_VALUE"""),"Rồi")</f>
        <v>Rồi</v>
      </c>
      <c r="M2" s="76" t="str">
        <f>IFERROR(__xludf.DUMMYFUNCTION("""COMPUTED_VALUE"""),"Thực tập tốt nghiệp, Thi tốt nghiệp")</f>
        <v>Thực tập tốt nghiệp, Thi tốt nghiệp</v>
      </c>
      <c r="N2" s="76" t="str">
        <f>IFERROR(__xludf.DUMMYFUNCTION("""COMPUTED_VALUE"""),"5 tín chỉ")</f>
        <v>5 tín chỉ</v>
      </c>
      <c r="O2" s="76" t="str">
        <f>IFERROR(__xludf.DUMMYFUNCTION("""COMPUTED_VALUE"""),"cam kết")</f>
        <v>cam kết</v>
      </c>
      <c r="P2" s="76" t="str">
        <f>IFERROR(__xludf.DUMMYFUNCTION("""COMPUTED_VALUE"""),"ĐÃ NỘP")</f>
        <v>ĐÃ NỘP</v>
      </c>
      <c r="Q2" s="76"/>
      <c r="R2" s="76"/>
      <c r="S2" s="76" t="str">
        <f>IFERROR(__xludf.DUMMYFUNCTION("""COMPUTED_VALUE"""),"20/12/2024")</f>
        <v>20/12/2024</v>
      </c>
      <c r="T2" s="76"/>
      <c r="U2" s="102" t="str">
        <f>IFERROR(__xludf.DUMMYFUNCTION("""COMPUTED_VALUE"""),"Lê Thị Khánh Thư")</f>
        <v>Lê Thị Khánh Thư</v>
      </c>
      <c r="V2" s="76" t="str">
        <f>IFERROR(__xludf.DUMMYFUNCTION("""COMPUTED_VALUE"""),"Quản Trị Khách Sạn &amp; Nhà Hàng (Đại Học)")</f>
        <v>Quản Trị Khách Sạn &amp; Nhà Hàng (Đại Học)</v>
      </c>
      <c r="W2" s="76" t="str">
        <f>IFERROR(__xludf.DUMMYFUNCTION("""COMPUTED_VALUE"""),"Maximilan Danang Beach Hotel")</f>
        <v>Maximilan Danang Beach Hotel</v>
      </c>
      <c r="X2" s="76" t="str">
        <f>IFERROR(__xludf.DUMMYFUNCTION("""COMPUTED_VALUE"""),"Nhà hàng")</f>
        <v>Nhà hàng</v>
      </c>
      <c r="Y2" s="76" t="str">
        <f>IFERROR(__xludf.DUMMYFUNCTION("""COMPUTED_VALUE"""),"DUYỆT")</f>
        <v>DUYỆT</v>
      </c>
      <c r="Z2" s="76" t="str">
        <f>IFERROR(__xludf.DUMMYFUNCTION("""COMPUTED_VALUE"""),"CHUYÊN ĐỀ")</f>
        <v>CHUYÊN ĐỀ</v>
      </c>
      <c r="AA2" s="76" t="str">
        <f>IFERROR(__xludf.DUMMYFUNCTION("""COMPUTED_VALUE"""),"thul39238@gmail.com")</f>
        <v>thul39238@gmail.com</v>
      </c>
      <c r="AB2" s="76"/>
      <c r="AC2" s="76"/>
    </row>
    <row r="3">
      <c r="A3" s="100">
        <f>IFERROR(__xludf.DUMMYFUNCTION("""COMPUTED_VALUE"""),45610.73780368056)</f>
        <v>45610.7378</v>
      </c>
      <c r="B3" s="76" t="str">
        <f>IFERROR(__xludf.DUMMYFUNCTION("""COMPUTED_VALUE"""),"nhuthien2808@gmail.com")</f>
        <v>nhuthien2808@gmail.com</v>
      </c>
      <c r="C3" s="76">
        <f>IFERROR(__xludf.DUMMYFUNCTION("""COMPUTED_VALUE"""),2.7207129095E10)</f>
        <v>27207129095</v>
      </c>
      <c r="D3" s="76" t="str">
        <f>IFERROR(__xludf.DUMMYFUNCTION("""COMPUTED_VALUE"""),"Lê Thị Như Thiện")</f>
        <v>Lê Thị Như Thiện</v>
      </c>
      <c r="E3" s="101">
        <f>IFERROR(__xludf.DUMMYFUNCTION("""COMPUTED_VALUE"""),37866.0)</f>
        <v>37866</v>
      </c>
      <c r="F3" s="76" t="str">
        <f>IFERROR(__xludf.DUMMYFUNCTION("""COMPUTED_VALUE"""),"K27DLK2")</f>
        <v>K27DLK2</v>
      </c>
      <c r="G3" s="76" t="str">
        <f>IFERROR(__xludf.DUMMYFUNCTION("""COMPUTED_VALUE"""),"Quản trị Du lịch &amp; Khách sạn")</f>
        <v>Quản trị Du lịch &amp; Khách sạn</v>
      </c>
      <c r="H3" s="76" t="str">
        <f>IFERROR(__xludf.DUMMYFUNCTION("""COMPUTED_VALUE"""),"K27")</f>
        <v>K27</v>
      </c>
      <c r="I3" s="76" t="str">
        <f>IFERROR(__xludf.DUMMYFUNCTION("""COMPUTED_VALUE"""),"0377529188")</f>
        <v>0377529188</v>
      </c>
      <c r="J3" s="76">
        <f>IFERROR(__xludf.DUMMYFUNCTION("""COMPUTED_VALUE"""),3.36)</f>
        <v>3.36</v>
      </c>
      <c r="K3" s="76">
        <f>IFERROR(__xludf.DUMMYFUNCTION("""COMPUTED_VALUE"""),120.0)</f>
        <v>120</v>
      </c>
      <c r="L3" s="76" t="str">
        <f>IFERROR(__xludf.DUMMYFUNCTION("""COMPUTED_VALUE"""),"Rồi")</f>
        <v>Rồi</v>
      </c>
      <c r="M3" s="76" t="str">
        <f>IFERROR(__xludf.DUMMYFUNCTION("""COMPUTED_VALUE"""),"Thực tập tốt nghiệp")</f>
        <v>Thực tập tốt nghiệp</v>
      </c>
      <c r="N3" s="76">
        <f>IFERROR(__xludf.DUMMYFUNCTION("""COMPUTED_VALUE"""),3.0)</f>
        <v>3</v>
      </c>
      <c r="O3" s="76" t="str">
        <f>IFERROR(__xludf.DUMMYFUNCTION("""COMPUTED_VALUE"""),"cam kết")</f>
        <v>cam kết</v>
      </c>
      <c r="P3" s="76" t="str">
        <f>IFERROR(__xludf.DUMMYFUNCTION("""COMPUTED_VALUE"""),"ĐÃ NỘP")</f>
        <v>ĐÃ NỘP</v>
      </c>
      <c r="Q3" s="76"/>
      <c r="R3" s="76"/>
      <c r="S3" s="76" t="str">
        <f>IFERROR(__xludf.DUMMYFUNCTION("""COMPUTED_VALUE"""),"20/12/2024")</f>
        <v>20/12/2024</v>
      </c>
      <c r="T3" s="76"/>
      <c r="U3" s="102" t="str">
        <f>IFERROR(__xludf.DUMMYFUNCTION("""COMPUTED_VALUE"""),"Lê Thị Như Thiện")</f>
        <v>Lê Thị Như Thiện</v>
      </c>
      <c r="V3" s="76" t="str">
        <f>IFERROR(__xludf.DUMMYFUNCTION("""COMPUTED_VALUE"""),"Quản Trị Khách Sạn &amp; Nhà Hàng (Đại Học)")</f>
        <v>Quản Trị Khách Sạn &amp; Nhà Hàng (Đại Học)</v>
      </c>
      <c r="W3" s="76" t="str">
        <f>IFERROR(__xludf.DUMMYFUNCTION("""COMPUTED_VALUE"""),"Maximilan Danang Beach Hotel")</f>
        <v>Maximilan Danang Beach Hotel</v>
      </c>
      <c r="X3" s="76" t="str">
        <f>IFERROR(__xludf.DUMMYFUNCTION("""COMPUTED_VALUE"""),"Tiền sảnh")</f>
        <v>Tiền sảnh</v>
      </c>
      <c r="Y3" s="76" t="str">
        <f>IFERROR(__xludf.DUMMYFUNCTION("""COMPUTED_VALUE"""),"DUYỆT")</f>
        <v>DUYỆT</v>
      </c>
      <c r="Z3" s="76" t="str">
        <f>IFERROR(__xludf.DUMMYFUNCTION("""COMPUTED_VALUE"""),"CHUYÊN ĐỀ")</f>
        <v>CHUYÊN ĐỀ</v>
      </c>
      <c r="AA3" s="76" t="str">
        <f>IFERROR(__xludf.DUMMYFUNCTION("""COMPUTED_VALUE"""),"nhuthien2808@gmail.com")</f>
        <v>nhuthien2808@gmail.com</v>
      </c>
      <c r="AB3" s="76" t="str">
        <f>IFERROR(__xludf.DUMMYFUNCTION("""COMPUTED_VALUE"""),"Lê Thị Như Thiện")</f>
        <v>Lê Thị Như Thiện</v>
      </c>
      <c r="AC3" s="76"/>
    </row>
    <row r="4">
      <c r="A4" s="100">
        <f>IFERROR(__xludf.DUMMYFUNCTION("""COMPUTED_VALUE"""),45636.56819381945)</f>
        <v>45636.56819</v>
      </c>
      <c r="B4" s="76" t="str">
        <f>IFERROR(__xludf.DUMMYFUNCTION("""COMPUTED_VALUE"""),"nguyenthithuthuong01012003@gmail.com")</f>
        <v>nguyenthithuthuong01012003@gmail.com</v>
      </c>
      <c r="C4" s="76">
        <f>IFERROR(__xludf.DUMMYFUNCTION("""COMPUTED_VALUE"""),2.7207121269E10)</f>
        <v>27207121269</v>
      </c>
      <c r="D4" s="76" t="str">
        <f>IFERROR(__xludf.DUMMYFUNCTION("""COMPUTED_VALUE"""),"Nguyễn Thị Thu Thương ")</f>
        <v>Nguyễn Thị Thu Thương </v>
      </c>
      <c r="E4" s="101">
        <f>IFERROR(__xludf.DUMMYFUNCTION("""COMPUTED_VALUE"""),37622.0)</f>
        <v>37622</v>
      </c>
      <c r="F4" s="76" t="str">
        <f>IFERROR(__xludf.DUMMYFUNCTION("""COMPUTED_VALUE"""),"K27DLK3")</f>
        <v>K27DLK3</v>
      </c>
      <c r="G4" s="76" t="str">
        <f>IFERROR(__xludf.DUMMYFUNCTION("""COMPUTED_VALUE"""),"Quản trị Du lịch &amp; Khách sạn")</f>
        <v>Quản trị Du lịch &amp; Khách sạn</v>
      </c>
      <c r="H4" s="76" t="str">
        <f>IFERROR(__xludf.DUMMYFUNCTION("""COMPUTED_VALUE"""),"K27")</f>
        <v>K27</v>
      </c>
      <c r="I4" s="76" t="str">
        <f>IFERROR(__xludf.DUMMYFUNCTION("""COMPUTED_VALUE"""),"0899202724")</f>
        <v>0899202724</v>
      </c>
      <c r="J4" s="76">
        <f>IFERROR(__xludf.DUMMYFUNCTION("""COMPUTED_VALUE"""),2.75)</f>
        <v>2.75</v>
      </c>
      <c r="K4" s="76">
        <f>IFERROR(__xludf.DUMMYFUNCTION("""COMPUTED_VALUE"""),115.0)</f>
        <v>115</v>
      </c>
      <c r="L4" s="76" t="str">
        <f>IFERROR(__xludf.DUMMYFUNCTION("""COMPUTED_VALUE"""),"Rồi")</f>
        <v>Rồi</v>
      </c>
      <c r="M4" s="76" t="str">
        <f>IFERROR(__xludf.DUMMYFUNCTION("""COMPUTED_VALUE"""),"Thực tập tốt nghiệp")</f>
        <v>Thực tập tốt nghiệp</v>
      </c>
      <c r="N4" s="76">
        <f>IFERROR(__xludf.DUMMYFUNCTION("""COMPUTED_VALUE"""),8.0)</f>
        <v>8</v>
      </c>
      <c r="O4" s="76" t="str">
        <f>IFERROR(__xludf.DUMMYFUNCTION("""COMPUTED_VALUE"""),"cam kết")</f>
        <v>cam kết</v>
      </c>
      <c r="P4" s="76" t="str">
        <f>IFERROR(__xludf.DUMMYFUNCTION("""COMPUTED_VALUE"""),"ĐÃ NỘP")</f>
        <v>ĐÃ NỘP</v>
      </c>
      <c r="Q4" s="76"/>
      <c r="R4" s="76"/>
      <c r="S4" s="76" t="str">
        <f>IFERROR(__xludf.DUMMYFUNCTION("""COMPUTED_VALUE"""),"20/12/2024")</f>
        <v>20/12/2024</v>
      </c>
      <c r="T4" s="76"/>
      <c r="U4" s="102" t="str">
        <f>IFERROR(__xludf.DUMMYFUNCTION("""COMPUTED_VALUE"""),"Nguyễn Thị Thu Thương")</f>
        <v>Nguyễn Thị Thu Thương</v>
      </c>
      <c r="V4" s="76" t="str">
        <f>IFERROR(__xludf.DUMMYFUNCTION("""COMPUTED_VALUE"""),"Quản Trị Khách Sạn &amp; Nhà Hàng (Đại Học)")</f>
        <v>Quản Trị Khách Sạn &amp; Nhà Hàng (Đại Học)</v>
      </c>
      <c r="W4" s="76" t="str">
        <f>IFERROR(__xludf.DUMMYFUNCTION("""COMPUTED_VALUE"""),"Maximilan Danang Beach Hotel")</f>
        <v>Maximilan Danang Beach Hotel</v>
      </c>
      <c r="X4" s="76" t="str">
        <f>IFERROR(__xludf.DUMMYFUNCTION("""COMPUTED_VALUE"""),"Nhà hàng")</f>
        <v>Nhà hàng</v>
      </c>
      <c r="Y4" s="76" t="str">
        <f>IFERROR(__xludf.DUMMYFUNCTION("""COMPUTED_VALUE"""),"DUYỆT")</f>
        <v>DUYỆT</v>
      </c>
      <c r="Z4" s="76" t="str">
        <f>IFERROR(__xludf.DUMMYFUNCTION("""COMPUTED_VALUE"""),"CHUYÊN ĐỀ")</f>
        <v>CHUYÊN ĐỀ</v>
      </c>
      <c r="AA4" s="76" t="str">
        <f>IFERROR(__xludf.DUMMYFUNCTION("""COMPUTED_VALUE"""),"nguyenthithuthuong01012003@gmail.com")</f>
        <v>nguyenthithuthuong01012003@gmail.com</v>
      </c>
      <c r="AB4" s="76"/>
      <c r="AC4" s="76"/>
    </row>
    <row r="5">
      <c r="A5" s="100">
        <f>IFERROR(__xludf.DUMMYFUNCTION("""COMPUTED_VALUE"""),45653.68020462963)</f>
        <v>45653.6802</v>
      </c>
      <c r="B5" s="76" t="str">
        <f>IFERROR(__xludf.DUMMYFUNCTION("""COMPUTED_VALUE"""),"thanhpopodd@gmail.com")</f>
        <v>thanhpopodd@gmail.com</v>
      </c>
      <c r="C5" s="76">
        <f>IFERROR(__xludf.DUMMYFUNCTION("""COMPUTED_VALUE"""),2.7217142987E10)</f>
        <v>27217142987</v>
      </c>
      <c r="D5" s="76" t="str">
        <f>IFERROR(__xludf.DUMMYFUNCTION("""COMPUTED_VALUE"""),"Trần Văn Thành")</f>
        <v>Trần Văn Thành</v>
      </c>
      <c r="E5" s="101">
        <f>IFERROR(__xludf.DUMMYFUNCTION("""COMPUTED_VALUE"""),37869.0)</f>
        <v>37869</v>
      </c>
      <c r="F5" s="76" t="str">
        <f>IFERROR(__xludf.DUMMYFUNCTION("""COMPUTED_VALUE"""),"K27DLK3")</f>
        <v>K27DLK3</v>
      </c>
      <c r="G5" s="76" t="str">
        <f>IFERROR(__xludf.DUMMYFUNCTION("""COMPUTED_VALUE"""),"Quản trị Du lịch &amp; Khách sạn")</f>
        <v>Quản trị Du lịch &amp; Khách sạn</v>
      </c>
      <c r="H5" s="76" t="str">
        <f>IFERROR(__xludf.DUMMYFUNCTION("""COMPUTED_VALUE"""),"K27")</f>
        <v>K27</v>
      </c>
      <c r="I5" s="76" t="str">
        <f>IFERROR(__xludf.DUMMYFUNCTION("""COMPUTED_VALUE"""),"0846033214")</f>
        <v>0846033214</v>
      </c>
      <c r="J5" s="76">
        <f>IFERROR(__xludf.DUMMYFUNCTION("""COMPUTED_VALUE"""),2.6)</f>
        <v>2.6</v>
      </c>
      <c r="K5" s="76">
        <f>IFERROR(__xludf.DUMMYFUNCTION("""COMPUTED_VALUE"""),120.0)</f>
        <v>120</v>
      </c>
      <c r="L5" s="76" t="str">
        <f>IFERROR(__xludf.DUMMYFUNCTION("""COMPUTED_VALUE"""),"Rồi")</f>
        <v>Rồi</v>
      </c>
      <c r="M5" s="76" t="str">
        <f>IFERROR(__xludf.DUMMYFUNCTION("""COMPUTED_VALUE"""),"Thực tập tốt nghiệp")</f>
        <v>Thực tập tốt nghiệp</v>
      </c>
      <c r="N5" s="76">
        <f>IFERROR(__xludf.DUMMYFUNCTION("""COMPUTED_VALUE"""),5.0)</f>
        <v>5</v>
      </c>
      <c r="O5" s="76" t="str">
        <f>IFERROR(__xludf.DUMMYFUNCTION("""COMPUTED_VALUE"""),"cam kết")</f>
        <v>cam kết</v>
      </c>
      <c r="P5" s="76" t="str">
        <f>IFERROR(__xludf.DUMMYFUNCTION("""COMPUTED_VALUE"""),"CHƯA NỘP")</f>
        <v>CHƯA NỘP</v>
      </c>
      <c r="Q5" s="76"/>
      <c r="R5" s="76"/>
      <c r="S5" s="76" t="str">
        <f>IFERROR(__xludf.DUMMYFUNCTION("""COMPUTED_VALUE"""),"27/12/2024")</f>
        <v>27/12/2024</v>
      </c>
      <c r="T5" s="76"/>
      <c r="U5" s="102" t="str">
        <f>IFERROR(__xludf.DUMMYFUNCTION("""COMPUTED_VALUE"""),"Trần Văn Thành")</f>
        <v>Trần Văn Thành</v>
      </c>
      <c r="V5" s="76" t="str">
        <f>IFERROR(__xludf.DUMMYFUNCTION("""COMPUTED_VALUE"""),"Quản Trị Khách Sạn &amp; Nhà Hàng (Đại Học)")</f>
        <v>Quản Trị Khách Sạn &amp; Nhà Hàng (Đại Học)</v>
      </c>
      <c r="W5" s="76" t="str">
        <f>IFERROR(__xludf.DUMMYFUNCTION("""COMPUTED_VALUE"""),"Royal Lotus Hotel Danang")</f>
        <v>Royal Lotus Hotel Danang</v>
      </c>
      <c r="X5" s="76" t="str">
        <f>IFERROR(__xludf.DUMMYFUNCTION("""COMPUTED_VALUE"""),"Tiền sảnh")</f>
        <v>Tiền sảnh</v>
      </c>
      <c r="Y5" s="76" t="str">
        <f>IFERROR(__xludf.DUMMYFUNCTION("""COMPUTED_VALUE"""),"DUYỆT")</f>
        <v>DUYỆT</v>
      </c>
      <c r="Z5" s="76" t="str">
        <f>IFERROR(__xludf.DUMMYFUNCTION("""COMPUTED_VALUE"""),"CHUYÊN ĐỀ")</f>
        <v>CHUYÊN ĐỀ</v>
      </c>
      <c r="AA5" s="76" t="str">
        <f>IFERROR(__xludf.DUMMYFUNCTION("""COMPUTED_VALUE"""),"thanhpopodd@gmail.com")</f>
        <v>thanhpopodd@gmail.com</v>
      </c>
      <c r="AB5" s="76"/>
      <c r="AC5" s="76"/>
    </row>
    <row r="6">
      <c r="A6" s="100">
        <f>IFERROR(__xludf.DUMMYFUNCTION("""COMPUTED_VALUE"""),45625.44380512732)</f>
        <v>45625.44381</v>
      </c>
      <c r="B6" s="76" t="str">
        <f>IFERROR(__xludf.DUMMYFUNCTION("""COMPUTED_VALUE"""),"vantien052002@gmail.com")</f>
        <v>vantien052002@gmail.com</v>
      </c>
      <c r="C6" s="76">
        <f>IFERROR(__xludf.DUMMYFUNCTION("""COMPUTED_VALUE"""),2.6211232907E10)</f>
        <v>26211232907</v>
      </c>
      <c r="D6" s="76" t="str">
        <f>IFERROR(__xludf.DUMMYFUNCTION("""COMPUTED_VALUE"""),"Lê Văn Tiến")</f>
        <v>Lê Văn Tiến</v>
      </c>
      <c r="E6" s="101">
        <f>IFERROR(__xludf.DUMMYFUNCTION("""COMPUTED_VALUE"""),37475.0)</f>
        <v>37475</v>
      </c>
      <c r="F6" s="76" t="str">
        <f>IFERROR(__xludf.DUMMYFUNCTION("""COMPUTED_VALUE"""),"K26DLK2")</f>
        <v>K26DLK2</v>
      </c>
      <c r="G6" s="76" t="str">
        <f>IFERROR(__xludf.DUMMYFUNCTION("""COMPUTED_VALUE"""),"Quản trị Du lịch &amp; Khách sạn")</f>
        <v>Quản trị Du lịch &amp; Khách sạn</v>
      </c>
      <c r="H6" s="76" t="str">
        <f>IFERROR(__xludf.DUMMYFUNCTION("""COMPUTED_VALUE"""),"K26")</f>
        <v>K26</v>
      </c>
      <c r="I6" s="76" t="str">
        <f>IFERROR(__xludf.DUMMYFUNCTION("""COMPUTED_VALUE"""),"0976774625")</f>
        <v>0976774625</v>
      </c>
      <c r="J6" s="76">
        <f>IFERROR(__xludf.DUMMYFUNCTION("""COMPUTED_VALUE"""),2.21)</f>
        <v>2.21</v>
      </c>
      <c r="K6" s="76">
        <f>IFERROR(__xludf.DUMMYFUNCTION("""COMPUTED_VALUE"""),143.0)</f>
        <v>143</v>
      </c>
      <c r="L6" s="76" t="str">
        <f>IFERROR(__xludf.DUMMYFUNCTION("""COMPUTED_VALUE"""),"Rồi")</f>
        <v>Rồi</v>
      </c>
      <c r="M6" s="76" t="str">
        <f>IFERROR(__xludf.DUMMYFUNCTION("""COMPUTED_VALUE"""),"Thực tập tốt nghiệp, Thi tốt nghiệp")</f>
        <v>Thực tập tốt nghiệp, Thi tốt nghiệp</v>
      </c>
      <c r="N6" s="76">
        <f>IFERROR(__xludf.DUMMYFUNCTION("""COMPUTED_VALUE"""),2.0)</f>
        <v>2</v>
      </c>
      <c r="O6" s="76" t="str">
        <f>IFERROR(__xludf.DUMMYFUNCTION("""COMPUTED_VALUE"""),"cam kết")</f>
        <v>cam kết</v>
      </c>
      <c r="P6" s="76" t="str">
        <f>IFERROR(__xludf.DUMMYFUNCTION("""COMPUTED_VALUE"""),"ĐÃ NỘP")</f>
        <v>ĐÃ NỘP</v>
      </c>
      <c r="Q6" s="76" t="str">
        <f>IFERROR(__xludf.DUMMYFUNCTION("""COMPUTED_VALUE"""),"ĐÃ NỘP")</f>
        <v>ĐÃ NỘP</v>
      </c>
      <c r="R6" s="76">
        <f>IFERROR(__xludf.DUMMYFUNCTION("""COMPUTED_VALUE"""),50.0)</f>
        <v>50</v>
      </c>
      <c r="S6" s="76" t="str">
        <f>IFERROR(__xludf.DUMMYFUNCTION("""COMPUTED_VALUE"""),"14/01/2025")</f>
        <v>14/01/2025</v>
      </c>
      <c r="T6" s="76"/>
      <c r="U6" s="102" t="str">
        <f>IFERROR(__xludf.DUMMYFUNCTION("""COMPUTED_VALUE"""),"Lê Văn Tiến")</f>
        <v>Lê Văn Tiến</v>
      </c>
      <c r="V6" s="76" t="str">
        <f>IFERROR(__xludf.DUMMYFUNCTION("""COMPUTED_VALUE"""),"Quản Trị Khách Sạn &amp; Nhà Hàng (Đại Học)")</f>
        <v>Quản Trị Khách Sạn &amp; Nhà Hàng (Đại Học)</v>
      </c>
      <c r="W6" s="76" t="str">
        <f>IFERROR(__xludf.DUMMYFUNCTION("""COMPUTED_VALUE"""),"#N/A")</f>
        <v>#N/A</v>
      </c>
      <c r="X6" s="76" t="str">
        <f>IFERROR(__xludf.DUMMYFUNCTION("""COMPUTED_VALUE"""),"#N/A")</f>
        <v>#N/A</v>
      </c>
      <c r="Y6" s="76" t="str">
        <f>IFERROR(__xludf.DUMMYFUNCTION("""COMPUTED_VALUE"""),"#N/A")</f>
        <v>#N/A</v>
      </c>
      <c r="Z6" s="76" t="str">
        <f>IFERROR(__xludf.DUMMYFUNCTION("""COMPUTED_VALUE"""),"CHUYÊN ĐỀ")</f>
        <v>CHUYÊN ĐỀ</v>
      </c>
      <c r="AA6" s="76" t="str">
        <f>IFERROR(__xludf.DUMMYFUNCTION("""COMPUTED_VALUE"""),"vantien052002@gmail.com")</f>
        <v>vantien052002@gmail.com</v>
      </c>
      <c r="AB6" s="76"/>
      <c r="AC6" s="76"/>
    </row>
    <row r="7">
      <c r="A7" s="100">
        <f>IFERROR(__xludf.DUMMYFUNCTION("""COMPUTED_VALUE"""),45647.41269390046)</f>
        <v>45647.41269</v>
      </c>
      <c r="B7" s="76" t="str">
        <f>IFERROR(__xludf.DUMMYFUNCTION("""COMPUTED_VALUE"""),"dotu2k03@gmail.com")</f>
        <v>dotu2k03@gmail.com</v>
      </c>
      <c r="C7" s="76">
        <f>IFERROR(__xludf.DUMMYFUNCTION("""COMPUTED_VALUE"""),2.7217129069E10)</f>
        <v>27217129069</v>
      </c>
      <c r="D7" s="76" t="str">
        <f>IFERROR(__xludf.DUMMYFUNCTION("""COMPUTED_VALUE"""),"Đỗ Anh Tú")</f>
        <v>Đỗ Anh Tú</v>
      </c>
      <c r="E7" s="101">
        <f>IFERROR(__xludf.DUMMYFUNCTION("""COMPUTED_VALUE"""),37676.0)</f>
        <v>37676</v>
      </c>
      <c r="F7" s="76" t="str">
        <f>IFERROR(__xludf.DUMMYFUNCTION("""COMPUTED_VALUE"""),"K27DKL6")</f>
        <v>K27DKL6</v>
      </c>
      <c r="G7" s="76" t="str">
        <f>IFERROR(__xludf.DUMMYFUNCTION("""COMPUTED_VALUE"""),"Quản trị Du lịch &amp; Khách sạn")</f>
        <v>Quản trị Du lịch &amp; Khách sạn</v>
      </c>
      <c r="H7" s="76" t="str">
        <f>IFERROR(__xludf.DUMMYFUNCTION("""COMPUTED_VALUE"""),"K27")</f>
        <v>K27</v>
      </c>
      <c r="I7" s="76" t="str">
        <f>IFERROR(__xludf.DUMMYFUNCTION("""COMPUTED_VALUE"""),"0363879316")</f>
        <v>0363879316</v>
      </c>
      <c r="J7" s="76">
        <f>IFERROR(__xludf.DUMMYFUNCTION("""COMPUTED_VALUE"""),3.03)</f>
        <v>3.03</v>
      </c>
      <c r="K7" s="76">
        <f>IFERROR(__xludf.DUMMYFUNCTION("""COMPUTED_VALUE"""),134.0)</f>
        <v>134</v>
      </c>
      <c r="L7" s="76" t="str">
        <f>IFERROR(__xludf.DUMMYFUNCTION("""COMPUTED_VALUE"""),"Rồi")</f>
        <v>Rồi</v>
      </c>
      <c r="M7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7" s="76">
        <f>IFERROR(__xludf.DUMMYFUNCTION("""COMPUTED_VALUE"""),6.0)</f>
        <v>6</v>
      </c>
      <c r="O7" s="76" t="str">
        <f>IFERROR(__xludf.DUMMYFUNCTION("""COMPUTED_VALUE"""),"cam kết")</f>
        <v>cam kết</v>
      </c>
      <c r="P7" s="76" t="str">
        <f>IFERROR(__xludf.DUMMYFUNCTION("""COMPUTED_VALUE"""),"ĐÃ NỘP")</f>
        <v>ĐÃ NỘP</v>
      </c>
      <c r="Q7" s="76"/>
      <c r="R7" s="76"/>
      <c r="S7" s="76" t="str">
        <f>IFERROR(__xludf.DUMMYFUNCTION("""COMPUTED_VALUE"""),"24/12/2024")</f>
        <v>24/12/2024</v>
      </c>
      <c r="T7" s="76"/>
      <c r="U7" s="102" t="str">
        <f>IFERROR(__xludf.DUMMYFUNCTION("""COMPUTED_VALUE"""),"Đỗ Anh Tú")</f>
        <v>Đỗ Anh Tú</v>
      </c>
      <c r="V7" s="76" t="str">
        <f>IFERROR(__xludf.DUMMYFUNCTION("""COMPUTED_VALUE"""),"Quản Trị Khách Sạn &amp; Nhà Hàng (Đại Học)")</f>
        <v>Quản Trị Khách Sạn &amp; Nhà Hàng (Đại Học)</v>
      </c>
      <c r="W7" s="76" t="str">
        <f>IFERROR(__xludf.DUMMYFUNCTION("""COMPUTED_VALUE"""),"Diamond Sea Hotel")</f>
        <v>Diamond Sea Hotel</v>
      </c>
      <c r="X7" s="76" t="str">
        <f>IFERROR(__xludf.DUMMYFUNCTION("""COMPUTED_VALUE"""),"Buồng phòng")</f>
        <v>Buồng phòng</v>
      </c>
      <c r="Y7" s="76" t="str">
        <f>IFERROR(__xludf.DUMMYFUNCTION("""COMPUTED_VALUE"""),"DUYỆT")</f>
        <v>DUYỆT</v>
      </c>
      <c r="Z7" s="76" t="str">
        <f>IFERROR(__xludf.DUMMYFUNCTION("""COMPUTED_VALUE"""),"CHUYÊN ĐỀ")</f>
        <v>CHUYÊN ĐỀ</v>
      </c>
      <c r="AA7" s="76" t="str">
        <f>IFERROR(__xludf.DUMMYFUNCTION("""COMPUTED_VALUE"""),"dotu2k03@gmail.com")</f>
        <v>dotu2k03@gmail.com</v>
      </c>
      <c r="AB7" s="76"/>
      <c r="AC7" s="76"/>
    </row>
    <row r="8">
      <c r="A8" s="100">
        <f>IFERROR(__xludf.DUMMYFUNCTION("""COMPUTED_VALUE"""),45636.5335308912)</f>
        <v>45636.53353</v>
      </c>
      <c r="B8" s="76" t="str">
        <f>IFERROR(__xludf.DUMMYFUNCTION("""COMPUTED_VALUE"""),"trinhphuongnguyen119@gmail.com")</f>
        <v>trinhphuongnguyen119@gmail.com</v>
      </c>
      <c r="C8" s="76">
        <f>IFERROR(__xludf.DUMMYFUNCTION("""COMPUTED_VALUE"""),2.5207116694E10)</f>
        <v>25207116694</v>
      </c>
      <c r="D8" s="76" t="str">
        <f>IFERROR(__xludf.DUMMYFUNCTION("""COMPUTED_VALUE"""),"Nguyễn Phương Trinh")</f>
        <v>Nguyễn Phương Trinh</v>
      </c>
      <c r="E8" s="101">
        <f>IFERROR(__xludf.DUMMYFUNCTION("""COMPUTED_VALUE"""),37204.0)</f>
        <v>37204</v>
      </c>
      <c r="F8" s="76" t="str">
        <f>IFERROR(__xludf.DUMMYFUNCTION("""COMPUTED_VALUE"""),"K25PSUDLK7")</f>
        <v>K25PSUDLK7</v>
      </c>
      <c r="G8" s="76" t="str">
        <f>IFERROR(__xludf.DUMMYFUNCTION("""COMPUTED_VALUE"""),"Quản trị Du lịch &amp; Khách sạn chuẩn PSU")</f>
        <v>Quản trị Du lịch &amp; Khách sạn chuẩn PSU</v>
      </c>
      <c r="H8" s="76" t="str">
        <f>IFERROR(__xludf.DUMMYFUNCTION("""COMPUTED_VALUE"""),"K25")</f>
        <v>K25</v>
      </c>
      <c r="I8" s="76" t="str">
        <f>IFERROR(__xludf.DUMMYFUNCTION("""COMPUTED_VALUE"""),"0934707303")</f>
        <v>0934707303</v>
      </c>
      <c r="J8" s="76">
        <f>IFERROR(__xludf.DUMMYFUNCTION("""COMPUTED_VALUE"""),3.22)</f>
        <v>3.22</v>
      </c>
      <c r="K8" s="76">
        <f>IFERROR(__xludf.DUMMYFUNCTION("""COMPUTED_VALUE"""),138.0)</f>
        <v>138</v>
      </c>
      <c r="L8" s="76" t="str">
        <f>IFERROR(__xludf.DUMMYFUNCTION("""COMPUTED_VALUE"""),"Rồi")</f>
        <v>Rồi</v>
      </c>
      <c r="M8" s="76" t="str">
        <f>IFERROR(__xludf.DUMMYFUNCTION("""COMPUTED_VALUE"""),"Công nhận tốt nghiệp")</f>
        <v>Công nhận tốt nghiệp</v>
      </c>
      <c r="N8" s="76">
        <f>IFERROR(__xludf.DUMMYFUNCTION("""COMPUTED_VALUE"""),0.0)</f>
        <v>0</v>
      </c>
      <c r="O8" s="76" t="str">
        <f>IFERROR(__xludf.DUMMYFUNCTION("""COMPUTED_VALUE"""),"cam kết")</f>
        <v>cam kết</v>
      </c>
      <c r="P8" s="76" t="str">
        <f>IFERROR(__xludf.DUMMYFUNCTION("""COMPUTED_VALUE"""),"ĐÃ NỘP")</f>
        <v>ĐÃ NỘP</v>
      </c>
      <c r="Q8" s="76" t="str">
        <f>IFERROR(__xludf.DUMMYFUNCTION("""COMPUTED_VALUE"""),"ĐÃ NỘP")</f>
        <v>ĐÃ NỘP</v>
      </c>
      <c r="R8" s="76">
        <f>IFERROR(__xludf.DUMMYFUNCTION("""COMPUTED_VALUE"""),1.0)</f>
        <v>1</v>
      </c>
      <c r="S8" s="102">
        <f>IFERROR(__xludf.DUMMYFUNCTION("""COMPUTED_VALUE"""),45870.0)</f>
        <v>45870</v>
      </c>
      <c r="T8" s="76"/>
      <c r="U8" s="102" t="str">
        <f>IFERROR(__xludf.DUMMYFUNCTION("""COMPUTED_VALUE"""),"Nguyễn Phương Trinh")</f>
        <v>Nguyễn Phương Trinh</v>
      </c>
      <c r="V8" s="76" t="str">
        <f>IFERROR(__xludf.DUMMYFUNCTION("""COMPUTED_VALUE"""),"Quản Trị Du Lịch &amp; Khách Sạn Chuẩn PSU (Đại Học)")</f>
        <v>Quản Trị Du Lịch &amp; Khách Sạn Chuẩn PSU (Đại Học)</v>
      </c>
      <c r="W8" s="76"/>
      <c r="X8" s="76"/>
      <c r="Y8" s="76"/>
      <c r="Z8" s="76"/>
      <c r="AA8" s="76" t="str">
        <f>IFERROR(__xludf.DUMMYFUNCTION("""COMPUTED_VALUE"""),"trinhphuongnguyen119@gmail.com")</f>
        <v>trinhphuongnguyen119@gmail.com</v>
      </c>
      <c r="AB8" s="76"/>
      <c r="AC8" s="76"/>
    </row>
    <row r="9">
      <c r="A9" s="100">
        <f>IFERROR(__xludf.DUMMYFUNCTION("""COMPUTED_VALUE"""),45646.64095576388)</f>
        <v>45646.64096</v>
      </c>
      <c r="B9" s="76" t="str">
        <f>IFERROR(__xludf.DUMMYFUNCTION("""COMPUTED_VALUE"""),"vtkhanhlinh1901@gmail.com")</f>
        <v>vtkhanhlinh1901@gmail.com</v>
      </c>
      <c r="C9" s="76">
        <f>IFERROR(__xludf.DUMMYFUNCTION("""COMPUTED_VALUE"""),2.7207100571E10)</f>
        <v>27207100571</v>
      </c>
      <c r="D9" s="76" t="str">
        <f>IFERROR(__xludf.DUMMYFUNCTION("""COMPUTED_VALUE"""),"Vũ Thị Khánh Linh ")</f>
        <v>Vũ Thị Khánh Linh </v>
      </c>
      <c r="E9" s="101">
        <f>IFERROR(__xludf.DUMMYFUNCTION("""COMPUTED_VALUE"""),37640.0)</f>
        <v>37640</v>
      </c>
      <c r="F9" s="76" t="str">
        <f>IFERROR(__xludf.DUMMYFUNCTION("""COMPUTED_VALUE"""),"K27PSUDLK 1")</f>
        <v>K27PSUDLK 1</v>
      </c>
      <c r="G9" s="76" t="str">
        <f>IFERROR(__xludf.DUMMYFUNCTION("""COMPUTED_VALUE"""),"Quản trị Du lịch &amp; Khách sạn chuẩn PSU")</f>
        <v>Quản trị Du lịch &amp; Khách sạn chuẩn PSU</v>
      </c>
      <c r="H9" s="76" t="str">
        <f>IFERROR(__xludf.DUMMYFUNCTION("""COMPUTED_VALUE"""),"K27")</f>
        <v>K27</v>
      </c>
      <c r="I9" s="76" t="str">
        <f>IFERROR(__xludf.DUMMYFUNCTION("""COMPUTED_VALUE"""),"0905023211")</f>
        <v>0905023211</v>
      </c>
      <c r="J9" s="76">
        <f>IFERROR(__xludf.DUMMYFUNCTION("""COMPUTED_VALUE"""),2.95)</f>
        <v>2.95</v>
      </c>
      <c r="K9" s="76">
        <f>IFERROR(__xludf.DUMMYFUNCTION("""COMPUTED_VALUE"""),114.0)</f>
        <v>114</v>
      </c>
      <c r="L9" s="76" t="str">
        <f>IFERROR(__xludf.DUMMYFUNCTION("""COMPUTED_VALUE"""),"Rồi")</f>
        <v>Rồi</v>
      </c>
      <c r="M9" s="76" t="str">
        <f>IFERROR(__xludf.DUMMYFUNCTION("""COMPUTED_VALUE"""),"Thực tập tốt nghiệp, Thi tốt nghiệp")</f>
        <v>Thực tập tốt nghiệp, Thi tốt nghiệp</v>
      </c>
      <c r="N9" s="76">
        <f>IFERROR(__xludf.DUMMYFUNCTION("""COMPUTED_VALUE"""),12.0)</f>
        <v>12</v>
      </c>
      <c r="O9" s="76" t="str">
        <f>IFERROR(__xludf.DUMMYFUNCTION("""COMPUTED_VALUE"""),"cam kết")</f>
        <v>cam kết</v>
      </c>
      <c r="P9" s="76" t="str">
        <f>IFERROR(__xludf.DUMMYFUNCTION("""COMPUTED_VALUE"""),"ĐÃ NỘP")</f>
        <v>ĐÃ NỘP</v>
      </c>
      <c r="Q9" s="76"/>
      <c r="R9" s="76"/>
      <c r="S9" s="76" t="str">
        <f>IFERROR(__xludf.DUMMYFUNCTION("""COMPUTED_VALUE"""),"20/12/2024")</f>
        <v>20/12/2024</v>
      </c>
      <c r="T9" s="76"/>
      <c r="U9" s="102" t="str">
        <f>IFERROR(__xludf.DUMMYFUNCTION("""COMPUTED_VALUE"""),"Vũ Thị Khánh Linh")</f>
        <v>Vũ Thị Khánh Linh</v>
      </c>
      <c r="V9" s="76" t="str">
        <f>IFERROR(__xludf.DUMMYFUNCTION("""COMPUTED_VALUE"""),"Quản Trị Du Lịch &amp; Khách Sạn Chuẩn PSU (Đại Học)")</f>
        <v>Quản Trị Du Lịch &amp; Khách Sạn Chuẩn PSU (Đại Học)</v>
      </c>
      <c r="W9" s="76" t="str">
        <f>IFERROR(__xludf.DUMMYFUNCTION("""COMPUTED_VALUE"""),"Meliá Danang Beach Resort")</f>
        <v>Meliá Danang Beach Resort</v>
      </c>
      <c r="X9" s="76" t="str">
        <f>IFERROR(__xludf.DUMMYFUNCTION("""COMPUTED_VALUE"""),"Nhà hàng")</f>
        <v>Nhà hàng</v>
      </c>
      <c r="Y9" s="76" t="str">
        <f>IFERROR(__xludf.DUMMYFUNCTION("""COMPUTED_VALUE"""),"DUYỆT")</f>
        <v>DUYỆT</v>
      </c>
      <c r="Z9" s="76" t="str">
        <f>IFERROR(__xludf.DUMMYFUNCTION("""COMPUTED_VALUE"""),"CHUYÊN ĐỀ")</f>
        <v>CHUYÊN ĐỀ</v>
      </c>
      <c r="AA9" s="76" t="str">
        <f>IFERROR(__xludf.DUMMYFUNCTION("""COMPUTED_VALUE"""),"vtkhanhlinh1901@gmail.com")</f>
        <v>vtkhanhlinh1901@gmail.com</v>
      </c>
      <c r="AB9" s="76"/>
      <c r="AC9" s="76"/>
    </row>
    <row r="10">
      <c r="A10" s="100">
        <f>IFERROR(__xludf.DUMMYFUNCTION("""COMPUTED_VALUE"""),45644.515574317134)</f>
        <v>45644.51557</v>
      </c>
      <c r="B10" s="76" t="str">
        <f>IFERROR(__xludf.DUMMYFUNCTION("""COMPUTED_VALUE"""),"nthuphuong1509@gmail.com")</f>
        <v>nthuphuong1509@gmail.com</v>
      </c>
      <c r="C10" s="76">
        <f>IFERROR(__xludf.DUMMYFUNCTION("""COMPUTED_VALUE"""),2.7207147747E10)</f>
        <v>27207147747</v>
      </c>
      <c r="D10" s="76" t="str">
        <f>IFERROR(__xludf.DUMMYFUNCTION("""COMPUTED_VALUE"""),"Nguyễn Thu Phương")</f>
        <v>Nguyễn Thu Phương</v>
      </c>
      <c r="E10" s="101">
        <f>IFERROR(__xludf.DUMMYFUNCTION("""COMPUTED_VALUE"""),37879.0)</f>
        <v>37879</v>
      </c>
      <c r="F10" s="76" t="str">
        <f>IFERROR(__xludf.DUMMYFUNCTION("""COMPUTED_VALUE"""),"K27DLK7")</f>
        <v>K27DLK7</v>
      </c>
      <c r="G10" s="76" t="str">
        <f>IFERROR(__xludf.DUMMYFUNCTION("""COMPUTED_VALUE"""),"Quản trị Du lịch &amp; Khách sạn")</f>
        <v>Quản trị Du lịch &amp; Khách sạn</v>
      </c>
      <c r="H10" s="76" t="str">
        <f>IFERROR(__xludf.DUMMYFUNCTION("""COMPUTED_VALUE"""),"K27")</f>
        <v>K27</v>
      </c>
      <c r="I10" s="76" t="str">
        <f>IFERROR(__xludf.DUMMYFUNCTION("""COMPUTED_VALUE"""),"0376988620")</f>
        <v>0376988620</v>
      </c>
      <c r="J10" s="76">
        <f>IFERROR(__xludf.DUMMYFUNCTION("""COMPUTED_VALUE"""),3.51)</f>
        <v>3.51</v>
      </c>
      <c r="K10" s="76">
        <f>IFERROR(__xludf.DUMMYFUNCTION("""COMPUTED_VALUE"""),116.0)</f>
        <v>116</v>
      </c>
      <c r="L10" s="76" t="str">
        <f>IFERROR(__xludf.DUMMYFUNCTION("""COMPUTED_VALUE"""),"Rồi")</f>
        <v>Rồi</v>
      </c>
      <c r="M10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0" s="76">
        <f>IFERROR(__xludf.DUMMYFUNCTION("""COMPUTED_VALUE"""),7.0)</f>
        <v>7</v>
      </c>
      <c r="O10" s="76" t="str">
        <f>IFERROR(__xludf.DUMMYFUNCTION("""COMPUTED_VALUE"""),"cam kết")</f>
        <v>cam kết</v>
      </c>
      <c r="P10" s="76" t="str">
        <f>IFERROR(__xludf.DUMMYFUNCTION("""COMPUTED_VALUE"""),"CHƯA NỘP")</f>
        <v>CHƯA NỘP</v>
      </c>
      <c r="Q10" s="76"/>
      <c r="R10" s="76"/>
      <c r="S10" s="76" t="str">
        <f>IFERROR(__xludf.DUMMYFUNCTION("""COMPUTED_VALUE"""),"27/12/2024")</f>
        <v>27/12/2024</v>
      </c>
      <c r="T10" s="76"/>
      <c r="U10" s="102" t="str">
        <f>IFERROR(__xludf.DUMMYFUNCTION("""COMPUTED_VALUE"""),"Nguyễn Thu Phương")</f>
        <v>Nguyễn Thu Phương</v>
      </c>
      <c r="V10" s="76" t="str">
        <f>IFERROR(__xludf.DUMMYFUNCTION("""COMPUTED_VALUE"""),"Quản Trị Khách Sạn &amp; Nhà Hàng (Đại Học)")</f>
        <v>Quản Trị Khách Sạn &amp; Nhà Hàng (Đại Học)</v>
      </c>
      <c r="W10" s="76" t="str">
        <f>IFERROR(__xludf.DUMMYFUNCTION("""COMPUTED_VALUE"""),"Meliá Vinpearl Danang Riverfront")</f>
        <v>Meliá Vinpearl Danang Riverfront</v>
      </c>
      <c r="X10" s="76" t="str">
        <f>IFERROR(__xludf.DUMMYFUNCTION("""COMPUTED_VALUE"""),"Tiền sảnh")</f>
        <v>Tiền sảnh</v>
      </c>
      <c r="Y10" s="76" t="str">
        <f>IFERROR(__xludf.DUMMYFUNCTION("""COMPUTED_VALUE"""),"DUYỆT")</f>
        <v>DUYỆT</v>
      </c>
      <c r="Z10" s="76" t="str">
        <f>IFERROR(__xludf.DUMMYFUNCTION("""COMPUTED_VALUE"""),"CHUYÊN ĐỀ")</f>
        <v>CHUYÊN ĐỀ</v>
      </c>
      <c r="AA10" s="76" t="str">
        <f>IFERROR(__xludf.DUMMYFUNCTION("""COMPUTED_VALUE"""),"nthuphuong1509@gmail.com")</f>
        <v>nthuphuong1509@gmail.com</v>
      </c>
      <c r="AB10" s="76" t="str">
        <f>IFERROR(__xludf.DUMMYFUNCTION("""COMPUTED_VALUE"""),"Nguyễn Thu Phương")</f>
        <v>Nguyễn Thu Phương</v>
      </c>
      <c r="AC10" s="76" t="str">
        <f>IFERROR(__xludf.DUMMYFUNCTION("""COMPUTED_VALUE"""),"ĐÃ NỘP")</f>
        <v>ĐÃ NỘP</v>
      </c>
    </row>
    <row r="11">
      <c r="A11" s="100">
        <f>IFERROR(__xludf.DUMMYFUNCTION("""COMPUTED_VALUE"""),45637.3338965625)</f>
        <v>45637.3339</v>
      </c>
      <c r="B11" s="76" t="str">
        <f>IFERROR(__xludf.DUMMYFUNCTION("""COMPUTED_VALUE"""),"hoangngocbaotram0611@gmail.com")</f>
        <v>hoangngocbaotram0611@gmail.com</v>
      </c>
      <c r="C11" s="76">
        <f>IFERROR(__xludf.DUMMYFUNCTION("""COMPUTED_VALUE"""),2.7207152184E10)</f>
        <v>27207152184</v>
      </c>
      <c r="D11" s="76" t="str">
        <f>IFERROR(__xludf.DUMMYFUNCTION("""COMPUTED_VALUE"""),"Hoàng Ngọc Bảo Trâm ")</f>
        <v>Hoàng Ngọc Bảo Trâm </v>
      </c>
      <c r="E11" s="101">
        <f>IFERROR(__xludf.DUMMYFUNCTION("""COMPUTED_VALUE"""),37931.0)</f>
        <v>37931</v>
      </c>
      <c r="F11" s="76" t="str">
        <f>IFERROR(__xludf.DUMMYFUNCTION("""COMPUTED_VALUE"""),"K27DLK7")</f>
        <v>K27DLK7</v>
      </c>
      <c r="G11" s="76" t="str">
        <f>IFERROR(__xludf.DUMMYFUNCTION("""COMPUTED_VALUE"""),"Quản trị Du lịch &amp; Khách sạn")</f>
        <v>Quản trị Du lịch &amp; Khách sạn</v>
      </c>
      <c r="H11" s="76" t="str">
        <f>IFERROR(__xludf.DUMMYFUNCTION("""COMPUTED_VALUE"""),"K27")</f>
        <v>K27</v>
      </c>
      <c r="I11" s="76" t="str">
        <f>IFERROR(__xludf.DUMMYFUNCTION("""COMPUTED_VALUE"""),"0913604959")</f>
        <v>0913604959</v>
      </c>
      <c r="J11" s="76">
        <f>IFERROR(__xludf.DUMMYFUNCTION("""COMPUTED_VALUE"""),3.12)</f>
        <v>3.12</v>
      </c>
      <c r="K11" s="76">
        <f>IFERROR(__xludf.DUMMYFUNCTION("""COMPUTED_VALUE"""),116.0)</f>
        <v>116</v>
      </c>
      <c r="L11" s="76" t="str">
        <f>IFERROR(__xludf.DUMMYFUNCTION("""COMPUTED_VALUE"""),"Rồi")</f>
        <v>Rồi</v>
      </c>
      <c r="M11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1" s="76">
        <f>IFERROR(__xludf.DUMMYFUNCTION("""COMPUTED_VALUE"""),8.0)</f>
        <v>8</v>
      </c>
      <c r="O11" s="76" t="str">
        <f>IFERROR(__xludf.DUMMYFUNCTION("""COMPUTED_VALUE"""),"cam kết")</f>
        <v>cam kết</v>
      </c>
      <c r="P11" s="76" t="str">
        <f>IFERROR(__xludf.DUMMYFUNCTION("""COMPUTED_VALUE"""),"ĐÃ NỘP")</f>
        <v>ĐÃ NỘP</v>
      </c>
      <c r="Q11" s="76"/>
      <c r="R11" s="76"/>
      <c r="S11" s="76" t="str">
        <f>IFERROR(__xludf.DUMMYFUNCTION("""COMPUTED_VALUE"""),"20/12/2024")</f>
        <v>20/12/2024</v>
      </c>
      <c r="T11" s="76"/>
      <c r="U11" s="102" t="str">
        <f>IFERROR(__xludf.DUMMYFUNCTION("""COMPUTED_VALUE"""),"Hoàng Ngọc Bảo Trâm")</f>
        <v>Hoàng Ngọc Bảo Trâm</v>
      </c>
      <c r="V11" s="76" t="str">
        <f>IFERROR(__xludf.DUMMYFUNCTION("""COMPUTED_VALUE"""),"Quản Trị Khách Sạn &amp; Nhà Hàng (Đại Học)")</f>
        <v>Quản Trị Khách Sạn &amp; Nhà Hàng (Đại Học)</v>
      </c>
      <c r="W11" s="76" t="str">
        <f>IFERROR(__xludf.DUMMYFUNCTION("""COMPUTED_VALUE"""),"Hyatt regency DaNang Resort")</f>
        <v>Hyatt regency DaNang Resort</v>
      </c>
      <c r="X11" s="76" t="str">
        <f>IFERROR(__xludf.DUMMYFUNCTION("""COMPUTED_VALUE"""),"Nhà hàng")</f>
        <v>Nhà hàng</v>
      </c>
      <c r="Y11" s="76" t="str">
        <f>IFERROR(__xludf.DUMMYFUNCTION("""COMPUTED_VALUE"""),"DUYỆT")</f>
        <v>DUYỆT</v>
      </c>
      <c r="Z11" s="76" t="str">
        <f>IFERROR(__xludf.DUMMYFUNCTION("""COMPUTED_VALUE"""),"CHUYÊN ĐỀ")</f>
        <v>CHUYÊN ĐỀ</v>
      </c>
      <c r="AA11" s="76" t="str">
        <f>IFERROR(__xludf.DUMMYFUNCTION("""COMPUTED_VALUE"""),"hoangngocbaotram0611@gmail.com")</f>
        <v>hoangngocbaotram0611@gmail.com</v>
      </c>
      <c r="AB11" s="76"/>
      <c r="AC11" s="76"/>
    </row>
    <row r="12">
      <c r="A12" s="100">
        <f>IFERROR(__xludf.DUMMYFUNCTION("""COMPUTED_VALUE"""),45637.33390684028)</f>
        <v>45637.33391</v>
      </c>
      <c r="B12" s="76" t="str">
        <f>IFERROR(__xludf.DUMMYFUNCTION("""COMPUTED_VALUE"""),"nguyenphunglinhchi132003@gmail.com")</f>
        <v>nguyenphunglinhchi132003@gmail.com</v>
      </c>
      <c r="C12" s="76">
        <f>IFERROR(__xludf.DUMMYFUNCTION("""COMPUTED_VALUE"""),2.7203801181E10)</f>
        <v>27203801181</v>
      </c>
      <c r="D12" s="76" t="str">
        <f>IFERROR(__xludf.DUMMYFUNCTION("""COMPUTED_VALUE"""),"Nguyễn Phùng Linh Chi")</f>
        <v>Nguyễn Phùng Linh Chi</v>
      </c>
      <c r="E12" s="101">
        <f>IFERROR(__xludf.DUMMYFUNCTION("""COMPUTED_VALUE"""),37899.0)</f>
        <v>37899</v>
      </c>
      <c r="F12" s="76" t="str">
        <f>IFERROR(__xludf.DUMMYFUNCTION("""COMPUTED_VALUE"""),"K27DLK7")</f>
        <v>K27DLK7</v>
      </c>
      <c r="G12" s="76" t="str">
        <f>IFERROR(__xludf.DUMMYFUNCTION("""COMPUTED_VALUE"""),"Quản trị Du lịch &amp; Khách sạn")</f>
        <v>Quản trị Du lịch &amp; Khách sạn</v>
      </c>
      <c r="H12" s="76" t="str">
        <f>IFERROR(__xludf.DUMMYFUNCTION("""COMPUTED_VALUE"""),"K27")</f>
        <v>K27</v>
      </c>
      <c r="I12" s="76" t="str">
        <f>IFERROR(__xludf.DUMMYFUNCTION("""COMPUTED_VALUE"""),"0394905152")</f>
        <v>0394905152</v>
      </c>
      <c r="J12" s="76">
        <f>IFERROR(__xludf.DUMMYFUNCTION("""COMPUTED_VALUE"""),3.53)</f>
        <v>3.53</v>
      </c>
      <c r="K12" s="76">
        <f>IFERROR(__xludf.DUMMYFUNCTION("""COMPUTED_VALUE"""),116.0)</f>
        <v>116</v>
      </c>
      <c r="L12" s="76" t="str">
        <f>IFERROR(__xludf.DUMMYFUNCTION("""COMPUTED_VALUE"""),"Rồi")</f>
        <v>Rồi</v>
      </c>
      <c r="M12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2" s="76">
        <f>IFERROR(__xludf.DUMMYFUNCTION("""COMPUTED_VALUE"""),8.0)</f>
        <v>8</v>
      </c>
      <c r="O12" s="76" t="str">
        <f>IFERROR(__xludf.DUMMYFUNCTION("""COMPUTED_VALUE"""),"cam kết")</f>
        <v>cam kết</v>
      </c>
      <c r="P12" s="76" t="str">
        <f>IFERROR(__xludf.DUMMYFUNCTION("""COMPUTED_VALUE"""),"ĐÃ NỘP")</f>
        <v>ĐÃ NỘP</v>
      </c>
      <c r="Q12" s="76"/>
      <c r="R12" s="76"/>
      <c r="S12" s="76" t="str">
        <f>IFERROR(__xludf.DUMMYFUNCTION("""COMPUTED_VALUE"""),"20/12/2024")</f>
        <v>20/12/2024</v>
      </c>
      <c r="T12" s="76"/>
      <c r="U12" s="102" t="str">
        <f>IFERROR(__xludf.DUMMYFUNCTION("""COMPUTED_VALUE"""),"Nguyễn Phùng Linh Chi")</f>
        <v>Nguyễn Phùng Linh Chi</v>
      </c>
      <c r="V12" s="76" t="str">
        <f>IFERROR(__xludf.DUMMYFUNCTION("""COMPUTED_VALUE"""),"Quản Trị Khách Sạn &amp; Nhà Hàng (Đại Học)")</f>
        <v>Quản Trị Khách Sạn &amp; Nhà Hàng (Đại Học)</v>
      </c>
      <c r="W12" s="76" t="str">
        <f>IFERROR(__xludf.DUMMYFUNCTION("""COMPUTED_VALUE"""),"Hyatt regency DaNang Resort")</f>
        <v>Hyatt regency DaNang Resort</v>
      </c>
      <c r="X12" s="76" t="str">
        <f>IFERROR(__xludf.DUMMYFUNCTION("""COMPUTED_VALUE"""),"Buồng phòng")</f>
        <v>Buồng phòng</v>
      </c>
      <c r="Y12" s="76" t="str">
        <f>IFERROR(__xludf.DUMMYFUNCTION("""COMPUTED_VALUE"""),"DUYỆT")</f>
        <v>DUYỆT</v>
      </c>
      <c r="Z12" s="76" t="str">
        <f>IFERROR(__xludf.DUMMYFUNCTION("""COMPUTED_VALUE"""),"CHUYÊN ĐỀ")</f>
        <v>CHUYÊN ĐỀ</v>
      </c>
      <c r="AA12" s="76" t="str">
        <f>IFERROR(__xludf.DUMMYFUNCTION("""COMPUTED_VALUE"""),"nguyenphunglinhchi132003@gmail.com")</f>
        <v>nguyenphunglinhchi132003@gmail.com</v>
      </c>
      <c r="AB12" s="76" t="str">
        <f>IFERROR(__xludf.DUMMYFUNCTION("""COMPUTED_VALUE"""),"Nguyễn Phùng Linh Chi")</f>
        <v>Nguyễn Phùng Linh Chi</v>
      </c>
      <c r="AC12" s="76" t="str">
        <f>IFERROR(__xludf.DUMMYFUNCTION("""COMPUTED_VALUE"""),"ĐÃ NỘP")</f>
        <v>ĐÃ NỘP</v>
      </c>
    </row>
    <row r="13">
      <c r="A13" s="100">
        <f>IFERROR(__xludf.DUMMYFUNCTION("""COMPUTED_VALUE"""),45637.33714900463)</f>
        <v>45637.33715</v>
      </c>
      <c r="B13" s="76" t="str">
        <f>IFERROR(__xludf.DUMMYFUNCTION("""COMPUTED_VALUE"""),"dangtonu0609@gmail.com")</f>
        <v>dangtonu0609@gmail.com</v>
      </c>
      <c r="C13" s="76">
        <f>IFERROR(__xludf.DUMMYFUNCTION("""COMPUTED_VALUE"""),2.7217130618E10)</f>
        <v>27217130618</v>
      </c>
      <c r="D13" s="76" t="str">
        <f>IFERROR(__xludf.DUMMYFUNCTION("""COMPUTED_VALUE"""),"Đặng Thị Tố Nữ")</f>
        <v>Đặng Thị Tố Nữ</v>
      </c>
      <c r="E13" s="101">
        <f>IFERROR(__xludf.DUMMYFUNCTION("""COMPUTED_VALUE"""),37870.0)</f>
        <v>37870</v>
      </c>
      <c r="F13" s="76" t="str">
        <f>IFERROR(__xludf.DUMMYFUNCTION("""COMPUTED_VALUE"""),"K27DLK7")</f>
        <v>K27DLK7</v>
      </c>
      <c r="G13" s="76" t="str">
        <f>IFERROR(__xludf.DUMMYFUNCTION("""COMPUTED_VALUE"""),"Quản trị Du lịch &amp; Khách sạn")</f>
        <v>Quản trị Du lịch &amp; Khách sạn</v>
      </c>
      <c r="H13" s="76" t="str">
        <f>IFERROR(__xludf.DUMMYFUNCTION("""COMPUTED_VALUE"""),"K27")</f>
        <v>K27</v>
      </c>
      <c r="I13" s="76" t="str">
        <f>IFERROR(__xludf.DUMMYFUNCTION("""COMPUTED_VALUE"""),"0934957421")</f>
        <v>0934957421</v>
      </c>
      <c r="J13" s="76">
        <f>IFERROR(__xludf.DUMMYFUNCTION("""COMPUTED_VALUE"""),3.19)</f>
        <v>3.19</v>
      </c>
      <c r="K13" s="76">
        <f>IFERROR(__xludf.DUMMYFUNCTION("""COMPUTED_VALUE"""),110.0)</f>
        <v>110</v>
      </c>
      <c r="L13" s="76" t="str">
        <f>IFERROR(__xludf.DUMMYFUNCTION("""COMPUTED_VALUE"""),"Rồi")</f>
        <v>Rồi</v>
      </c>
      <c r="M13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3" s="76">
        <f>IFERROR(__xludf.DUMMYFUNCTION("""COMPUTED_VALUE"""),13.0)</f>
        <v>13</v>
      </c>
      <c r="O13" s="76" t="str">
        <f>IFERROR(__xludf.DUMMYFUNCTION("""COMPUTED_VALUE"""),"cam kết")</f>
        <v>cam kết</v>
      </c>
      <c r="P13" s="76" t="str">
        <f>IFERROR(__xludf.DUMMYFUNCTION("""COMPUTED_VALUE"""),"ĐÃ NỘP")</f>
        <v>ĐÃ NỘP</v>
      </c>
      <c r="Q13" s="76"/>
      <c r="R13" s="76"/>
      <c r="S13" s="76" t="str">
        <f>IFERROR(__xludf.DUMMYFUNCTION("""COMPUTED_VALUE"""),"20/12/2024")</f>
        <v>20/12/2024</v>
      </c>
      <c r="T13" s="76"/>
      <c r="U13" s="102" t="str">
        <f>IFERROR(__xludf.DUMMYFUNCTION("""COMPUTED_VALUE"""),"Đặng Thị Tố Nữ")</f>
        <v>Đặng Thị Tố Nữ</v>
      </c>
      <c r="V13" s="76" t="str">
        <f>IFERROR(__xludf.DUMMYFUNCTION("""COMPUTED_VALUE"""),"Quản Trị Khách Sạn &amp; Nhà Hàng (Đại Học)")</f>
        <v>Quản Trị Khách Sạn &amp; Nhà Hàng (Đại Học)</v>
      </c>
      <c r="W13" s="76" t="str">
        <f>IFERROR(__xludf.DUMMYFUNCTION("""COMPUTED_VALUE"""),"Hyatt regency DaNang Resort")</f>
        <v>Hyatt regency DaNang Resort</v>
      </c>
      <c r="X13" s="76" t="str">
        <f>IFERROR(__xludf.DUMMYFUNCTION("""COMPUTED_VALUE"""),"Nhà hàng")</f>
        <v>Nhà hàng</v>
      </c>
      <c r="Y13" s="76" t="str">
        <f>IFERROR(__xludf.DUMMYFUNCTION("""COMPUTED_VALUE"""),"DUYỆT")</f>
        <v>DUYỆT</v>
      </c>
      <c r="Z13" s="76" t="str">
        <f>IFERROR(__xludf.DUMMYFUNCTION("""COMPUTED_VALUE"""),"CHUYÊN ĐỀ")</f>
        <v>CHUYÊN ĐỀ</v>
      </c>
      <c r="AA13" s="76" t="str">
        <f>IFERROR(__xludf.DUMMYFUNCTION("""COMPUTED_VALUE"""),"dangtonu0609@gmail.com")</f>
        <v>dangtonu0609@gmail.com</v>
      </c>
      <c r="AB13" s="76"/>
      <c r="AC13" s="76"/>
    </row>
    <row r="14">
      <c r="A14" s="100">
        <f>IFERROR(__xludf.DUMMYFUNCTION("""COMPUTED_VALUE"""),45638.4255583912)</f>
        <v>45638.42556</v>
      </c>
      <c r="B14" s="76" t="str">
        <f>IFERROR(__xludf.DUMMYFUNCTION("""COMPUTED_VALUE"""),"truc21477@gmail.com")</f>
        <v>truc21477@gmail.com</v>
      </c>
      <c r="C14" s="76">
        <f>IFERROR(__xludf.DUMMYFUNCTION("""COMPUTED_VALUE"""),2.7207140631E10)</f>
        <v>27207140631</v>
      </c>
      <c r="D14" s="76" t="str">
        <f>IFERROR(__xludf.DUMMYFUNCTION("""COMPUTED_VALUE"""),"Nguyễn Tạ Thanh Trúc")</f>
        <v>Nguyễn Tạ Thanh Trúc</v>
      </c>
      <c r="E14" s="101">
        <f>IFERROR(__xludf.DUMMYFUNCTION("""COMPUTED_VALUE"""),37799.0)</f>
        <v>37799</v>
      </c>
      <c r="F14" s="76" t="str">
        <f>IFERROR(__xludf.DUMMYFUNCTION("""COMPUTED_VALUE"""),"K27PSUDLK2")</f>
        <v>K27PSUDLK2</v>
      </c>
      <c r="G14" s="76" t="str">
        <f>IFERROR(__xludf.DUMMYFUNCTION("""COMPUTED_VALUE"""),"Quản trị Du lịch &amp; Khách sạn chuẩn PSU")</f>
        <v>Quản trị Du lịch &amp; Khách sạn chuẩn PSU</v>
      </c>
      <c r="H14" s="76" t="str">
        <f>IFERROR(__xludf.DUMMYFUNCTION("""COMPUTED_VALUE"""),"K27")</f>
        <v>K27</v>
      </c>
      <c r="I14" s="76" t="str">
        <f>IFERROR(__xludf.DUMMYFUNCTION("""COMPUTED_VALUE"""),"0386689429")</f>
        <v>0386689429</v>
      </c>
      <c r="J14" s="76">
        <f>IFERROR(__xludf.DUMMYFUNCTION("""COMPUTED_VALUE"""),2.66)</f>
        <v>2.66</v>
      </c>
      <c r="K14" s="76">
        <f>IFERROR(__xludf.DUMMYFUNCTION("""COMPUTED_VALUE"""),114.0)</f>
        <v>114</v>
      </c>
      <c r="L14" s="76" t="str">
        <f>IFERROR(__xludf.DUMMYFUNCTION("""COMPUTED_VALUE"""),"Rồi")</f>
        <v>Rồi</v>
      </c>
      <c r="M14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4" s="76">
        <f>IFERROR(__xludf.DUMMYFUNCTION("""COMPUTED_VALUE"""),14.0)</f>
        <v>14</v>
      </c>
      <c r="O14" s="76" t="str">
        <f>IFERROR(__xludf.DUMMYFUNCTION("""COMPUTED_VALUE"""),"cam kết")</f>
        <v>cam kết</v>
      </c>
      <c r="P14" s="76" t="str">
        <f>IFERROR(__xludf.DUMMYFUNCTION("""COMPUTED_VALUE"""),"ĐÃ NỘP")</f>
        <v>ĐÃ NỘP</v>
      </c>
      <c r="Q14" s="76"/>
      <c r="R14" s="76"/>
      <c r="S14" s="76" t="str">
        <f>IFERROR(__xludf.DUMMYFUNCTION("""COMPUTED_VALUE"""),"20/12/2024")</f>
        <v>20/12/2024</v>
      </c>
      <c r="T14" s="76"/>
      <c r="U14" s="102" t="str">
        <f>IFERROR(__xludf.DUMMYFUNCTION("""COMPUTED_VALUE"""),"Nguyễn Tạ Thanh Trúc")</f>
        <v>Nguyễn Tạ Thanh Trúc</v>
      </c>
      <c r="V14" s="76" t="str">
        <f>IFERROR(__xludf.DUMMYFUNCTION("""COMPUTED_VALUE"""),"Quản Trị Du Lịch &amp; Khách Sạn Chuẩn PSU (Đại Học)")</f>
        <v>Quản Trị Du Lịch &amp; Khách Sạn Chuẩn PSU (Đại Học)</v>
      </c>
      <c r="W14" s="76" t="str">
        <f>IFERROR(__xludf.DUMMYFUNCTION("""COMPUTED_VALUE"""),"Premier Village Danang Resort")</f>
        <v>Premier Village Danang Resort</v>
      </c>
      <c r="X14" s="76" t="str">
        <f>IFERROR(__xludf.DUMMYFUNCTION("""COMPUTED_VALUE"""),"Nhà hàng")</f>
        <v>Nhà hàng</v>
      </c>
      <c r="Y14" s="76" t="str">
        <f>IFERROR(__xludf.DUMMYFUNCTION("""COMPUTED_VALUE"""),"DUYỆT")</f>
        <v>DUYỆT</v>
      </c>
      <c r="Z14" s="76" t="str">
        <f>IFERROR(__xludf.DUMMYFUNCTION("""COMPUTED_VALUE"""),"CHUYÊN ĐỀ")</f>
        <v>CHUYÊN ĐỀ</v>
      </c>
      <c r="AA14" s="76" t="str">
        <f>IFERROR(__xludf.DUMMYFUNCTION("""COMPUTED_VALUE"""),"truc21477@gmail.com")</f>
        <v>truc21477@gmail.com</v>
      </c>
      <c r="AB14" s="76"/>
      <c r="AC14" s="76"/>
    </row>
    <row r="15">
      <c r="A15" s="100">
        <f>IFERROR(__xludf.DUMMYFUNCTION("""COMPUTED_VALUE"""),45638.423189918976)</f>
        <v>45638.42319</v>
      </c>
      <c r="B15" s="76" t="str">
        <f>IFERROR(__xludf.DUMMYFUNCTION("""COMPUTED_VALUE"""),"minhhoanguyen1603@gmail.com")</f>
        <v>minhhoanguyen1603@gmail.com</v>
      </c>
      <c r="C15" s="76">
        <f>IFERROR(__xludf.DUMMYFUNCTION("""COMPUTED_VALUE"""),2.721713262E10)</f>
        <v>27217132620</v>
      </c>
      <c r="D15" s="76" t="str">
        <f>IFERROR(__xludf.DUMMYFUNCTION("""COMPUTED_VALUE"""),"Nguyễn Minh Hoà")</f>
        <v>Nguyễn Minh Hoà</v>
      </c>
      <c r="E15" s="101">
        <f>IFERROR(__xludf.DUMMYFUNCTION("""COMPUTED_VALUE"""),37910.0)</f>
        <v>37910</v>
      </c>
      <c r="F15" s="76" t="str">
        <f>IFERROR(__xludf.DUMMYFUNCTION("""COMPUTED_VALUE"""),"K27PSUDLK 2")</f>
        <v>K27PSUDLK 2</v>
      </c>
      <c r="G15" s="76" t="str">
        <f>IFERROR(__xludf.DUMMYFUNCTION("""COMPUTED_VALUE"""),"Quản trị Du lịch &amp; Khách sạn chuẩn PSU")</f>
        <v>Quản trị Du lịch &amp; Khách sạn chuẩn PSU</v>
      </c>
      <c r="H15" s="76" t="str">
        <f>IFERROR(__xludf.DUMMYFUNCTION("""COMPUTED_VALUE"""),"K27")</f>
        <v>K27</v>
      </c>
      <c r="I15" s="76" t="str">
        <f>IFERROR(__xludf.DUMMYFUNCTION("""COMPUTED_VALUE"""),"0898149203")</f>
        <v>0898149203</v>
      </c>
      <c r="J15" s="76">
        <f>IFERROR(__xludf.DUMMYFUNCTION("""COMPUTED_VALUE"""),3.33)</f>
        <v>3.33</v>
      </c>
      <c r="K15" s="76">
        <f>IFERROR(__xludf.DUMMYFUNCTION("""COMPUTED_VALUE"""),114.0)</f>
        <v>114</v>
      </c>
      <c r="L15" s="76" t="str">
        <f>IFERROR(__xludf.DUMMYFUNCTION("""COMPUTED_VALUE"""),"Rồi")</f>
        <v>Rồi</v>
      </c>
      <c r="M15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5" s="76">
        <f>IFERROR(__xludf.DUMMYFUNCTION("""COMPUTED_VALUE"""),12.0)</f>
        <v>12</v>
      </c>
      <c r="O15" s="76" t="str">
        <f>IFERROR(__xludf.DUMMYFUNCTION("""COMPUTED_VALUE"""),"cam kết")</f>
        <v>cam kết</v>
      </c>
      <c r="P15" s="76" t="str">
        <f>IFERROR(__xludf.DUMMYFUNCTION("""COMPUTED_VALUE"""),"ĐÃ NỘP")</f>
        <v>ĐÃ NỘP</v>
      </c>
      <c r="Q15" s="76"/>
      <c r="R15" s="76"/>
      <c r="S15" s="76" t="str">
        <f>IFERROR(__xludf.DUMMYFUNCTION("""COMPUTED_VALUE"""),"20/12/2024")</f>
        <v>20/12/2024</v>
      </c>
      <c r="T15" s="76"/>
      <c r="U15" s="102" t="str">
        <f>IFERROR(__xludf.DUMMYFUNCTION("""COMPUTED_VALUE"""),"Nguyễn Minh Hoà")</f>
        <v>Nguyễn Minh Hoà</v>
      </c>
      <c r="V15" s="76" t="str">
        <f>IFERROR(__xludf.DUMMYFUNCTION("""COMPUTED_VALUE"""),"Quản Trị Du Lịch &amp; Khách Sạn Chuẩn PSU (Đại Học)")</f>
        <v>Quản Trị Du Lịch &amp; Khách Sạn Chuẩn PSU (Đại Học)</v>
      </c>
      <c r="W15" s="76" t="str">
        <f>IFERROR(__xludf.DUMMYFUNCTION("""COMPUTED_VALUE"""),"Premier Village Danang Resort")</f>
        <v>Premier Village Danang Resort</v>
      </c>
      <c r="X15" s="76" t="str">
        <f>IFERROR(__xludf.DUMMYFUNCTION("""COMPUTED_VALUE"""),"Nhà hàng")</f>
        <v>Nhà hàng</v>
      </c>
      <c r="Y15" s="76" t="str">
        <f>IFERROR(__xludf.DUMMYFUNCTION("""COMPUTED_VALUE"""),"DUYỆT")</f>
        <v>DUYỆT</v>
      </c>
      <c r="Z15" s="76" t="str">
        <f>IFERROR(__xludf.DUMMYFUNCTION("""COMPUTED_VALUE"""),"CHUYÊN ĐỀ")</f>
        <v>CHUYÊN ĐỀ</v>
      </c>
      <c r="AA15" s="76" t="str">
        <f>IFERROR(__xludf.DUMMYFUNCTION("""COMPUTED_VALUE"""),"minhhoanguyen1603@gmail.com")</f>
        <v>minhhoanguyen1603@gmail.com</v>
      </c>
      <c r="AB15" s="76" t="str">
        <f>IFERROR(__xludf.DUMMYFUNCTION("""COMPUTED_VALUE"""),"Nguyễn Minh Hoà")</f>
        <v>Nguyễn Minh Hoà</v>
      </c>
      <c r="AC15" s="76" t="str">
        <f>IFERROR(__xludf.DUMMYFUNCTION("""COMPUTED_VALUE"""),"ĐÃ NỘP")</f>
        <v>ĐÃ NỘP</v>
      </c>
    </row>
    <row r="16">
      <c r="A16" s="100">
        <f>IFERROR(__xludf.DUMMYFUNCTION("""COMPUTED_VALUE"""),45650.44007295139)</f>
        <v>45650.44007</v>
      </c>
      <c r="B16" s="76" t="str">
        <f>IFERROR(__xludf.DUMMYFUNCTION("""COMPUTED_VALUE"""),"nguyenhaj7prime@gmail.com")</f>
        <v>nguyenhaj7prime@gmail.com</v>
      </c>
      <c r="C16" s="76">
        <f>IFERROR(__xludf.DUMMYFUNCTION("""COMPUTED_VALUE"""),2.7217123844E10)</f>
        <v>27217123844</v>
      </c>
      <c r="D16" s="76" t="str">
        <f>IFERROR(__xludf.DUMMYFUNCTION("""COMPUTED_VALUE"""),"Nguyễn Trương Hải Hà")</f>
        <v>Nguyễn Trương Hải Hà</v>
      </c>
      <c r="E16" s="101">
        <f>IFERROR(__xludf.DUMMYFUNCTION("""COMPUTED_VALUE"""),37938.0)</f>
        <v>37938</v>
      </c>
      <c r="F16" s="76" t="str">
        <f>IFERROR(__xludf.DUMMYFUNCTION("""COMPUTED_VALUE"""),"K27DLK2")</f>
        <v>K27DLK2</v>
      </c>
      <c r="G16" s="76" t="str">
        <f>IFERROR(__xludf.DUMMYFUNCTION("""COMPUTED_VALUE"""),"Quản trị Du lịch &amp; Khách sạn")</f>
        <v>Quản trị Du lịch &amp; Khách sạn</v>
      </c>
      <c r="H16" s="76" t="str">
        <f>IFERROR(__xludf.DUMMYFUNCTION("""COMPUTED_VALUE"""),"K27")</f>
        <v>K27</v>
      </c>
      <c r="I16" s="76" t="str">
        <f>IFERROR(__xludf.DUMMYFUNCTION("""COMPUTED_VALUE"""),"0964632897")</f>
        <v>0964632897</v>
      </c>
      <c r="J16" s="76">
        <f>IFERROR(__xludf.DUMMYFUNCTION("""COMPUTED_VALUE"""),3.31)</f>
        <v>3.31</v>
      </c>
      <c r="K16" s="76">
        <f>IFERROR(__xludf.DUMMYFUNCTION("""COMPUTED_VALUE"""),115.0)</f>
        <v>115</v>
      </c>
      <c r="L16" s="76" t="str">
        <f>IFERROR(__xludf.DUMMYFUNCTION("""COMPUTED_VALUE"""),"Rồi")</f>
        <v>Rồi</v>
      </c>
      <c r="M16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6" s="76">
        <f>IFERROR(__xludf.DUMMYFUNCTION("""COMPUTED_VALUE"""),8.0)</f>
        <v>8</v>
      </c>
      <c r="O16" s="76" t="str">
        <f>IFERROR(__xludf.DUMMYFUNCTION("""COMPUTED_VALUE"""),"cam kết")</f>
        <v>cam kết</v>
      </c>
      <c r="P16" s="76" t="str">
        <f>IFERROR(__xludf.DUMMYFUNCTION("""COMPUTED_VALUE"""),"ĐÃ NỘP")</f>
        <v>ĐÃ NỘP</v>
      </c>
      <c r="Q16" s="76"/>
      <c r="R16" s="76"/>
      <c r="S16" s="76" t="str">
        <f>IFERROR(__xludf.DUMMYFUNCTION("""COMPUTED_VALUE"""),"27/12/2024")</f>
        <v>27/12/2024</v>
      </c>
      <c r="T16" s="76"/>
      <c r="U16" s="102" t="str">
        <f>IFERROR(__xludf.DUMMYFUNCTION("""COMPUTED_VALUE"""),"Nguyễn Trương Hải Hà")</f>
        <v>Nguyễn Trương Hải Hà</v>
      </c>
      <c r="V16" s="76" t="str">
        <f>IFERROR(__xludf.DUMMYFUNCTION("""COMPUTED_VALUE"""),"Quản Trị Khách Sạn &amp; Nhà Hàng (Đại Học)")</f>
        <v>Quản Trị Khách Sạn &amp; Nhà Hàng (Đại Học)</v>
      </c>
      <c r="W16" s="76" t="str">
        <f>IFERROR(__xludf.DUMMYFUNCTION("""COMPUTED_VALUE"""),"Paracel Danang Hotel")</f>
        <v>Paracel Danang Hotel</v>
      </c>
      <c r="X16" s="76" t="str">
        <f>IFERROR(__xludf.DUMMYFUNCTION("""COMPUTED_VALUE"""),"Nhà hàng")</f>
        <v>Nhà hàng</v>
      </c>
      <c r="Y16" s="76" t="str">
        <f>IFERROR(__xludf.DUMMYFUNCTION("""COMPUTED_VALUE"""),"DUYỆT")</f>
        <v>DUYỆT</v>
      </c>
      <c r="Z16" s="76" t="str">
        <f>IFERROR(__xludf.DUMMYFUNCTION("""COMPUTED_VALUE"""),"CHUYÊN ĐỀ")</f>
        <v>CHUYÊN ĐỀ</v>
      </c>
      <c r="AA16" s="76" t="str">
        <f>IFERROR(__xludf.DUMMYFUNCTION("""COMPUTED_VALUE"""),"nguyenhaj7prime@gmail.com")</f>
        <v>nguyenhaj7prime@gmail.com</v>
      </c>
      <c r="AB16" s="76" t="str">
        <f>IFERROR(__xludf.DUMMYFUNCTION("""COMPUTED_VALUE"""),"Nguyễn Trương Hải Hà")</f>
        <v>Nguyễn Trương Hải Hà</v>
      </c>
      <c r="AC16" s="76" t="str">
        <f>IFERROR(__xludf.DUMMYFUNCTION("""COMPUTED_VALUE"""),"ĐÃ NỘP")</f>
        <v>ĐÃ NỘP</v>
      </c>
    </row>
    <row r="17">
      <c r="A17" s="100">
        <f>IFERROR(__xludf.DUMMYFUNCTION("""COMPUTED_VALUE"""),45638.42570122685)</f>
        <v>45638.4257</v>
      </c>
      <c r="B17" s="76" t="str">
        <f>IFERROR(__xludf.DUMMYFUNCTION("""COMPUTED_VALUE"""),"thanhc2nct2021@gmail.com")</f>
        <v>thanhc2nct2021@gmail.com</v>
      </c>
      <c r="C17" s="76">
        <f>IFERROR(__xludf.DUMMYFUNCTION("""COMPUTED_VALUE"""),2.7217102897E10)</f>
        <v>27217102897</v>
      </c>
      <c r="D17" s="76" t="str">
        <f>IFERROR(__xludf.DUMMYFUNCTION("""COMPUTED_VALUE"""),"Đỗ Kim Thành")</f>
        <v>Đỗ Kim Thành</v>
      </c>
      <c r="E17" s="101">
        <f>IFERROR(__xludf.DUMMYFUNCTION("""COMPUTED_VALUE"""),37689.0)</f>
        <v>37689</v>
      </c>
      <c r="F17" s="76" t="str">
        <f>IFERROR(__xludf.DUMMYFUNCTION("""COMPUTED_VALUE"""),"K27PSUDLK2")</f>
        <v>K27PSUDLK2</v>
      </c>
      <c r="G17" s="76" t="str">
        <f>IFERROR(__xludf.DUMMYFUNCTION("""COMPUTED_VALUE"""),"Quản trị Du lịch &amp; Khách sạn chuẩn PSU")</f>
        <v>Quản trị Du lịch &amp; Khách sạn chuẩn PSU</v>
      </c>
      <c r="H17" s="76" t="str">
        <f>IFERROR(__xludf.DUMMYFUNCTION("""COMPUTED_VALUE"""),"K27")</f>
        <v>K27</v>
      </c>
      <c r="I17" s="76" t="str">
        <f>IFERROR(__xludf.DUMMYFUNCTION("""COMPUTED_VALUE"""),"0339983767")</f>
        <v>0339983767</v>
      </c>
      <c r="J17" s="76">
        <f>IFERROR(__xludf.DUMMYFUNCTION("""COMPUTED_VALUE"""),3.71)</f>
        <v>3.71</v>
      </c>
      <c r="K17" s="76">
        <f>IFERROR(__xludf.DUMMYFUNCTION("""COMPUTED_VALUE"""),114.0)</f>
        <v>114</v>
      </c>
      <c r="L17" s="76" t="str">
        <f>IFERROR(__xludf.DUMMYFUNCTION("""COMPUTED_VALUE"""),"Rồi")</f>
        <v>Rồi</v>
      </c>
      <c r="M17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7" s="76">
        <f>IFERROR(__xludf.DUMMYFUNCTION("""COMPUTED_VALUE"""),12.0)</f>
        <v>12</v>
      </c>
      <c r="O17" s="76" t="str">
        <f>IFERROR(__xludf.DUMMYFUNCTION("""COMPUTED_VALUE"""),"cam kết")</f>
        <v>cam kết</v>
      </c>
      <c r="P17" s="76" t="str">
        <f>IFERROR(__xludf.DUMMYFUNCTION("""COMPUTED_VALUE"""),"ĐÃ NỘP")</f>
        <v>ĐÃ NỘP</v>
      </c>
      <c r="Q17" s="76"/>
      <c r="R17" s="76"/>
      <c r="S17" s="76" t="str">
        <f>IFERROR(__xludf.DUMMYFUNCTION("""COMPUTED_VALUE"""),"20/12/2024")</f>
        <v>20/12/2024</v>
      </c>
      <c r="T17" s="76"/>
      <c r="U17" s="102" t="str">
        <f>IFERROR(__xludf.DUMMYFUNCTION("""COMPUTED_VALUE"""),"Đỗ Kim Thành")</f>
        <v>Đỗ Kim Thành</v>
      </c>
      <c r="V17" s="76" t="str">
        <f>IFERROR(__xludf.DUMMYFUNCTION("""COMPUTED_VALUE"""),"Quản Trị Du Lịch &amp; Khách Sạn Chuẩn PSU (Đại Học)")</f>
        <v>Quản Trị Du Lịch &amp; Khách Sạn Chuẩn PSU (Đại Học)</v>
      </c>
      <c r="W17" s="76" t="str">
        <f>IFERROR(__xludf.DUMMYFUNCTION("""COMPUTED_VALUE"""),"Premier Village Danang Resort")</f>
        <v>Premier Village Danang Resort</v>
      </c>
      <c r="X17" s="76" t="str">
        <f>IFERROR(__xludf.DUMMYFUNCTION("""COMPUTED_VALUE"""),"Nhà hàng")</f>
        <v>Nhà hàng</v>
      </c>
      <c r="Y17" s="76" t="str">
        <f>IFERROR(__xludf.DUMMYFUNCTION("""COMPUTED_VALUE"""),"DUYỆT")</f>
        <v>DUYỆT</v>
      </c>
      <c r="Z17" s="76" t="str">
        <f>IFERROR(__xludf.DUMMYFUNCTION("""COMPUTED_VALUE"""),"KHÓA LUẬN")</f>
        <v>KHÓA LUẬN</v>
      </c>
      <c r="AA17" s="76" t="str">
        <f>IFERROR(__xludf.DUMMYFUNCTION("""COMPUTED_VALUE"""),"thanhc2nct2021@gmail.com")</f>
        <v>thanhc2nct2021@gmail.com</v>
      </c>
      <c r="AB17" s="76" t="str">
        <f>IFERROR(__xludf.DUMMYFUNCTION("""COMPUTED_VALUE"""),"#N/A")</f>
        <v>#N/A</v>
      </c>
      <c r="AC17" s="76" t="str">
        <f>IFERROR(__xludf.DUMMYFUNCTION("""COMPUTED_VALUE"""),"#N/A")</f>
        <v>#N/A</v>
      </c>
    </row>
    <row r="18">
      <c r="A18" s="100">
        <f>IFERROR(__xludf.DUMMYFUNCTION("""COMPUTED_VALUE"""),45638.4257541088)</f>
        <v>45638.42575</v>
      </c>
      <c r="B18" s="76" t="str">
        <f>IFERROR(__xludf.DUMMYFUNCTION("""COMPUTED_VALUE"""),"huonggiang9.10pht@gmail.com")</f>
        <v>huonggiang9.10pht@gmail.com</v>
      </c>
      <c r="C18" s="76">
        <f>IFERROR(__xludf.DUMMYFUNCTION("""COMPUTED_VALUE"""),2.720714043E10)</f>
        <v>27207140430</v>
      </c>
      <c r="D18" s="76" t="str">
        <f>IFERROR(__xludf.DUMMYFUNCTION("""COMPUTED_VALUE"""),"Vũ Bùi Hương Giang")</f>
        <v>Vũ Bùi Hương Giang</v>
      </c>
      <c r="E18" s="101">
        <f>IFERROR(__xludf.DUMMYFUNCTION("""COMPUTED_VALUE"""),37763.0)</f>
        <v>37763</v>
      </c>
      <c r="F18" s="76" t="str">
        <f>IFERROR(__xludf.DUMMYFUNCTION("""COMPUTED_VALUE"""),"K27PSUDLK2")</f>
        <v>K27PSUDLK2</v>
      </c>
      <c r="G18" s="76" t="str">
        <f>IFERROR(__xludf.DUMMYFUNCTION("""COMPUTED_VALUE"""),"Quản trị Du lịch &amp; Khách sạn chuẩn PSU")</f>
        <v>Quản trị Du lịch &amp; Khách sạn chuẩn PSU</v>
      </c>
      <c r="H18" s="76" t="str">
        <f>IFERROR(__xludf.DUMMYFUNCTION("""COMPUTED_VALUE"""),"K27")</f>
        <v>K27</v>
      </c>
      <c r="I18" s="76" t="str">
        <f>IFERROR(__xludf.DUMMYFUNCTION("""COMPUTED_VALUE"""),"0942703069")</f>
        <v>0942703069</v>
      </c>
      <c r="J18" s="76">
        <f>IFERROR(__xludf.DUMMYFUNCTION("""COMPUTED_VALUE"""),3.47)</f>
        <v>3.47</v>
      </c>
      <c r="K18" s="76">
        <f>IFERROR(__xludf.DUMMYFUNCTION("""COMPUTED_VALUE"""),114.0)</f>
        <v>114</v>
      </c>
      <c r="L18" s="76" t="str">
        <f>IFERROR(__xludf.DUMMYFUNCTION("""COMPUTED_VALUE"""),"Rồi")</f>
        <v>Rồi</v>
      </c>
      <c r="M18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8" s="76">
        <f>IFERROR(__xludf.DUMMYFUNCTION("""COMPUTED_VALUE"""),12.0)</f>
        <v>12</v>
      </c>
      <c r="O18" s="76" t="str">
        <f>IFERROR(__xludf.DUMMYFUNCTION("""COMPUTED_VALUE"""),"cam kết")</f>
        <v>cam kết</v>
      </c>
      <c r="P18" s="76" t="str">
        <f>IFERROR(__xludf.DUMMYFUNCTION("""COMPUTED_VALUE"""),"ĐÃ NỘP")</f>
        <v>ĐÃ NỘP</v>
      </c>
      <c r="Q18" s="76"/>
      <c r="R18" s="76"/>
      <c r="S18" s="76" t="str">
        <f>IFERROR(__xludf.DUMMYFUNCTION("""COMPUTED_VALUE"""),"20/12/2024")</f>
        <v>20/12/2024</v>
      </c>
      <c r="T18" s="76"/>
      <c r="U18" s="102" t="str">
        <f>IFERROR(__xludf.DUMMYFUNCTION("""COMPUTED_VALUE"""),"Vũ Bùi Hương Giang")</f>
        <v>Vũ Bùi Hương Giang</v>
      </c>
      <c r="V18" s="76" t="str">
        <f>IFERROR(__xludf.DUMMYFUNCTION("""COMPUTED_VALUE"""),"Quản Trị Du Lịch &amp; Khách Sạn Chuẩn PSU (Đại Học)")</f>
        <v>Quản Trị Du Lịch &amp; Khách Sạn Chuẩn PSU (Đại Học)</v>
      </c>
      <c r="W18" s="76" t="str">
        <f>IFERROR(__xludf.DUMMYFUNCTION("""COMPUTED_VALUE"""),"Premier Village Danang Resort")</f>
        <v>Premier Village Danang Resort</v>
      </c>
      <c r="X18" s="76" t="str">
        <f>IFERROR(__xludf.DUMMYFUNCTION("""COMPUTED_VALUE"""),"Nhà hàng")</f>
        <v>Nhà hàng</v>
      </c>
      <c r="Y18" s="76" t="str">
        <f>IFERROR(__xludf.DUMMYFUNCTION("""COMPUTED_VALUE"""),"DUYỆT")</f>
        <v>DUYỆT</v>
      </c>
      <c r="Z18" s="76" t="str">
        <f>IFERROR(__xludf.DUMMYFUNCTION("""COMPUTED_VALUE"""),"CHUYÊN ĐỀ")</f>
        <v>CHUYÊN ĐỀ</v>
      </c>
      <c r="AA18" s="76" t="str">
        <f>IFERROR(__xludf.DUMMYFUNCTION("""COMPUTED_VALUE"""),"huonggiang9.10pht@gmail.com")</f>
        <v>huonggiang9.10pht@gmail.com</v>
      </c>
      <c r="AB18" s="76" t="str">
        <f>IFERROR(__xludf.DUMMYFUNCTION("""COMPUTED_VALUE"""),"Vũ Bùi Hương Giang")</f>
        <v>Vũ Bùi Hương Giang</v>
      </c>
      <c r="AC18" s="76" t="str">
        <f>IFERROR(__xludf.DUMMYFUNCTION("""COMPUTED_VALUE"""),"ĐÃ NỘP")</f>
        <v>ĐÃ NỘP</v>
      </c>
    </row>
    <row r="19">
      <c r="A19" s="100">
        <f>IFERROR(__xludf.DUMMYFUNCTION("""COMPUTED_VALUE"""),45638.42685349537)</f>
        <v>45638.42685</v>
      </c>
      <c r="B19" s="76" t="str">
        <f>IFERROR(__xludf.DUMMYFUNCTION("""COMPUTED_VALUE"""),"miinhduc1311@gmail.com")</f>
        <v>miinhduc1311@gmail.com</v>
      </c>
      <c r="C19" s="76">
        <f>IFERROR(__xludf.DUMMYFUNCTION("""COMPUTED_VALUE"""),2.7217132174E10)</f>
        <v>27217132174</v>
      </c>
      <c r="D19" s="76" t="str">
        <f>IFERROR(__xludf.DUMMYFUNCTION("""COMPUTED_VALUE"""),"Nguyễn Minh Đức")</f>
        <v>Nguyễn Minh Đức</v>
      </c>
      <c r="E19" s="101">
        <f>IFERROR(__xludf.DUMMYFUNCTION("""COMPUTED_VALUE"""),37573.0)</f>
        <v>37573</v>
      </c>
      <c r="F19" s="76" t="str">
        <f>IFERROR(__xludf.DUMMYFUNCTION("""COMPUTED_VALUE"""),"K27PSUDLK2")</f>
        <v>K27PSUDLK2</v>
      </c>
      <c r="G19" s="76" t="str">
        <f>IFERROR(__xludf.DUMMYFUNCTION("""COMPUTED_VALUE"""),"Quản trị Du lịch &amp; Khách sạn chuẩn PSU")</f>
        <v>Quản trị Du lịch &amp; Khách sạn chuẩn PSU</v>
      </c>
      <c r="H19" s="76" t="str">
        <f>IFERROR(__xludf.DUMMYFUNCTION("""COMPUTED_VALUE"""),"K27")</f>
        <v>K27</v>
      </c>
      <c r="I19" s="76" t="str">
        <f>IFERROR(__xludf.DUMMYFUNCTION("""COMPUTED_VALUE"""),"0974380500")</f>
        <v>0974380500</v>
      </c>
      <c r="J19" s="76">
        <f>IFERROR(__xludf.DUMMYFUNCTION("""COMPUTED_VALUE"""),2.88)</f>
        <v>2.88</v>
      </c>
      <c r="K19" s="76">
        <f>IFERROR(__xludf.DUMMYFUNCTION("""COMPUTED_VALUE"""),116.0)</f>
        <v>116</v>
      </c>
      <c r="L19" s="76" t="str">
        <f>IFERROR(__xludf.DUMMYFUNCTION("""COMPUTED_VALUE"""),"Rồi")</f>
        <v>Rồi</v>
      </c>
      <c r="M19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9" s="76">
        <f>IFERROR(__xludf.DUMMYFUNCTION("""COMPUTED_VALUE"""),15.0)</f>
        <v>15</v>
      </c>
      <c r="O19" s="76" t="str">
        <f>IFERROR(__xludf.DUMMYFUNCTION("""COMPUTED_VALUE"""),"cam kết")</f>
        <v>cam kết</v>
      </c>
      <c r="P19" s="76" t="str">
        <f>IFERROR(__xludf.DUMMYFUNCTION("""COMPUTED_VALUE"""),"ĐÃ NỘP")</f>
        <v>ĐÃ NỘP</v>
      </c>
      <c r="Q19" s="76"/>
      <c r="R19" s="76"/>
      <c r="S19" s="76" t="str">
        <f>IFERROR(__xludf.DUMMYFUNCTION("""COMPUTED_VALUE"""),"20/12/2024")</f>
        <v>20/12/2024</v>
      </c>
      <c r="T19" s="76"/>
      <c r="U19" s="102" t="str">
        <f>IFERROR(__xludf.DUMMYFUNCTION("""COMPUTED_VALUE"""),"Nguyễn Minh Đức")</f>
        <v>Nguyễn Minh Đức</v>
      </c>
      <c r="V19" s="76" t="str">
        <f>IFERROR(__xludf.DUMMYFUNCTION("""COMPUTED_VALUE"""),"Quản Trị Du Lịch &amp; Khách Sạn Chuẩn PSU (Đại Học)")</f>
        <v>Quản Trị Du Lịch &amp; Khách Sạn Chuẩn PSU (Đại Học)</v>
      </c>
      <c r="W19" s="76" t="str">
        <f>IFERROR(__xludf.DUMMYFUNCTION("""COMPUTED_VALUE"""),"Premier Village Danang Resort")</f>
        <v>Premier Village Danang Resort</v>
      </c>
      <c r="X19" s="76" t="str">
        <f>IFERROR(__xludf.DUMMYFUNCTION("""COMPUTED_VALUE"""),"Buồng phòng")</f>
        <v>Buồng phòng</v>
      </c>
      <c r="Y19" s="76" t="str">
        <f>IFERROR(__xludf.DUMMYFUNCTION("""COMPUTED_VALUE"""),"DUYỆT")</f>
        <v>DUYỆT</v>
      </c>
      <c r="Z19" s="76" t="str">
        <f>IFERROR(__xludf.DUMMYFUNCTION("""COMPUTED_VALUE"""),"CHUYÊN ĐỀ")</f>
        <v>CHUYÊN ĐỀ</v>
      </c>
      <c r="AA19" s="76" t="str">
        <f>IFERROR(__xludf.DUMMYFUNCTION("""COMPUTED_VALUE"""),"miinhduc1311@gmail.com")</f>
        <v>miinhduc1311@gmail.com</v>
      </c>
      <c r="AB19" s="76"/>
      <c r="AC19" s="76"/>
    </row>
    <row r="20">
      <c r="A20" s="100">
        <f>IFERROR(__xludf.DUMMYFUNCTION("""COMPUTED_VALUE"""),45638.42724150463)</f>
        <v>45638.42724</v>
      </c>
      <c r="B20" s="76" t="str">
        <f>IFERROR(__xludf.DUMMYFUNCTION("""COMPUTED_VALUE"""),"thaithuyvi0207@gmail.com")</f>
        <v>thaithuyvi0207@gmail.com</v>
      </c>
      <c r="C20" s="76">
        <f>IFERROR(__xludf.DUMMYFUNCTION("""COMPUTED_VALUE"""),2.7207140948E10)</f>
        <v>27207140948</v>
      </c>
      <c r="D20" s="76" t="str">
        <f>IFERROR(__xludf.DUMMYFUNCTION("""COMPUTED_VALUE"""),"Thái Thị Thuý Vi ")</f>
        <v>Thái Thị Thuý Vi </v>
      </c>
      <c r="E20" s="101">
        <f>IFERROR(__xludf.DUMMYFUNCTION("""COMPUTED_VALUE"""),37930.0)</f>
        <v>37930</v>
      </c>
      <c r="F20" s="76" t="str">
        <f>IFERROR(__xludf.DUMMYFUNCTION("""COMPUTED_VALUE"""),"K27PSUDLK 2")</f>
        <v>K27PSUDLK 2</v>
      </c>
      <c r="G20" s="76" t="str">
        <f>IFERROR(__xludf.DUMMYFUNCTION("""COMPUTED_VALUE"""),"Quản trị Du lịch &amp; Khách sạn chuẩn PSU")</f>
        <v>Quản trị Du lịch &amp; Khách sạn chuẩn PSU</v>
      </c>
      <c r="H20" s="76" t="str">
        <f>IFERROR(__xludf.DUMMYFUNCTION("""COMPUTED_VALUE"""),"K27")</f>
        <v>K27</v>
      </c>
      <c r="I20" s="76" t="str">
        <f>IFERROR(__xludf.DUMMYFUNCTION("""COMPUTED_VALUE"""),"0847660126")</f>
        <v>0847660126</v>
      </c>
      <c r="J20" s="76">
        <f>IFERROR(__xludf.DUMMYFUNCTION("""COMPUTED_VALUE"""),2.4)</f>
        <v>2.4</v>
      </c>
      <c r="K20" s="76">
        <f>IFERROR(__xludf.DUMMYFUNCTION("""COMPUTED_VALUE"""),106.0)</f>
        <v>106</v>
      </c>
      <c r="L20" s="76" t="str">
        <f>IFERROR(__xludf.DUMMYFUNCTION("""COMPUTED_VALUE"""),"Rồi")</f>
        <v>Rồi</v>
      </c>
      <c r="M20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0" s="76">
        <f>IFERROR(__xludf.DUMMYFUNCTION("""COMPUTED_VALUE"""),21.0)</f>
        <v>21</v>
      </c>
      <c r="O20" s="76" t="str">
        <f>IFERROR(__xludf.DUMMYFUNCTION("""COMPUTED_VALUE"""),"cam kết")</f>
        <v>cam kết</v>
      </c>
      <c r="P20" s="76" t="str">
        <f>IFERROR(__xludf.DUMMYFUNCTION("""COMPUTED_VALUE"""),"ĐÃ NỘP")</f>
        <v>ĐÃ NỘP</v>
      </c>
      <c r="Q20" s="76"/>
      <c r="R20" s="76"/>
      <c r="S20" s="76" t="str">
        <f>IFERROR(__xludf.DUMMYFUNCTION("""COMPUTED_VALUE"""),"20/12/2024")</f>
        <v>20/12/2024</v>
      </c>
      <c r="T20" s="76"/>
      <c r="U20" s="102" t="str">
        <f>IFERROR(__xludf.DUMMYFUNCTION("""COMPUTED_VALUE"""),"Thái Thị Thúy Vi")</f>
        <v>Thái Thị Thúy Vi</v>
      </c>
      <c r="V20" s="76" t="str">
        <f>IFERROR(__xludf.DUMMYFUNCTION("""COMPUTED_VALUE"""),"Quản Trị Du Lịch &amp; Khách Sạn Chuẩn PSU (Đại Học)")</f>
        <v>Quản Trị Du Lịch &amp; Khách Sạn Chuẩn PSU (Đại Học)</v>
      </c>
      <c r="W20" s="76" t="str">
        <f>IFERROR(__xludf.DUMMYFUNCTION("""COMPUTED_VALUE"""),"Meliá Danang Beach Resort")</f>
        <v>Meliá Danang Beach Resort</v>
      </c>
      <c r="X20" s="76" t="str">
        <f>IFERROR(__xludf.DUMMYFUNCTION("""COMPUTED_VALUE"""),"Buồng phòng")</f>
        <v>Buồng phòng</v>
      </c>
      <c r="Y20" s="76" t="str">
        <f>IFERROR(__xludf.DUMMYFUNCTION("""COMPUTED_VALUE"""),"DUYỆT")</f>
        <v>DUYỆT</v>
      </c>
      <c r="Z20" s="76" t="str">
        <f>IFERROR(__xludf.DUMMYFUNCTION("""COMPUTED_VALUE"""),"CHUYÊN ĐỀ")</f>
        <v>CHUYÊN ĐỀ</v>
      </c>
      <c r="AA20" s="76" t="str">
        <f>IFERROR(__xludf.DUMMYFUNCTION("""COMPUTED_VALUE"""),"thaithuyvi0207@gmail.com")</f>
        <v>thaithuyvi0207@gmail.com</v>
      </c>
      <c r="AB20" s="76"/>
      <c r="AC20" s="76"/>
    </row>
    <row r="21">
      <c r="A21" s="100">
        <f>IFERROR(__xludf.DUMMYFUNCTION("""COMPUTED_VALUE"""),45638.427796504635)</f>
        <v>45638.4278</v>
      </c>
      <c r="B21" s="76" t="str">
        <f>IFERROR(__xludf.DUMMYFUNCTION("""COMPUTED_VALUE"""),"trannmo2k2@gmail.com")</f>
        <v>trannmo2k2@gmail.com</v>
      </c>
      <c r="C21" s="76">
        <f>IFERROR(__xludf.DUMMYFUNCTION("""COMPUTED_VALUE"""),2.7207140954E10)</f>
        <v>27207140954</v>
      </c>
      <c r="D21" s="76" t="str">
        <f>IFERROR(__xludf.DUMMYFUNCTION("""COMPUTED_VALUE"""),"Trần Thị Mơ")</f>
        <v>Trần Thị Mơ</v>
      </c>
      <c r="E21" s="101">
        <f>IFERROR(__xludf.DUMMYFUNCTION("""COMPUTED_VALUE"""),37937.0)</f>
        <v>37937</v>
      </c>
      <c r="F21" s="76" t="str">
        <f>IFERROR(__xludf.DUMMYFUNCTION("""COMPUTED_VALUE"""),"K27PSUDLK2")</f>
        <v>K27PSUDLK2</v>
      </c>
      <c r="G21" s="76" t="str">
        <f>IFERROR(__xludf.DUMMYFUNCTION("""COMPUTED_VALUE"""),"Quản trị Du lịch &amp; Khách sạn chuẩn PSU")</f>
        <v>Quản trị Du lịch &amp; Khách sạn chuẩn PSU</v>
      </c>
      <c r="H21" s="76" t="str">
        <f>IFERROR(__xludf.DUMMYFUNCTION("""COMPUTED_VALUE"""),"K27")</f>
        <v>K27</v>
      </c>
      <c r="I21" s="76" t="str">
        <f>IFERROR(__xludf.DUMMYFUNCTION("""COMPUTED_VALUE"""),"0886632281")</f>
        <v>0886632281</v>
      </c>
      <c r="J21" s="76">
        <f>IFERROR(__xludf.DUMMYFUNCTION("""COMPUTED_VALUE"""),2.62)</f>
        <v>2.62</v>
      </c>
      <c r="K21" s="76">
        <f>IFERROR(__xludf.DUMMYFUNCTION("""COMPUTED_VALUE"""),111.0)</f>
        <v>111</v>
      </c>
      <c r="L21" s="76" t="str">
        <f>IFERROR(__xludf.DUMMYFUNCTION("""COMPUTED_VALUE"""),"Rồi")</f>
        <v>Rồi</v>
      </c>
      <c r="M21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1" s="76">
        <f>IFERROR(__xludf.DUMMYFUNCTION("""COMPUTED_VALUE"""),16.0)</f>
        <v>16</v>
      </c>
      <c r="O21" s="76" t="str">
        <f>IFERROR(__xludf.DUMMYFUNCTION("""COMPUTED_VALUE"""),"cam kết")</f>
        <v>cam kết</v>
      </c>
      <c r="P21" s="76" t="str">
        <f>IFERROR(__xludf.DUMMYFUNCTION("""COMPUTED_VALUE"""),"ĐÃ NỘP")</f>
        <v>ĐÃ NỘP</v>
      </c>
      <c r="Q21" s="76"/>
      <c r="R21" s="76"/>
      <c r="S21" s="76" t="str">
        <f>IFERROR(__xludf.DUMMYFUNCTION("""COMPUTED_VALUE"""),"20/12/2024")</f>
        <v>20/12/2024</v>
      </c>
      <c r="T21" s="76"/>
      <c r="U21" s="102" t="str">
        <f>IFERROR(__xludf.DUMMYFUNCTION("""COMPUTED_VALUE"""),"Trần Thị Mơ")</f>
        <v>Trần Thị Mơ</v>
      </c>
      <c r="V21" s="76" t="str">
        <f>IFERROR(__xludf.DUMMYFUNCTION("""COMPUTED_VALUE"""),"Quản Trị Du Lịch &amp; Khách Sạn Chuẩn PSU (Đại Học)")</f>
        <v>Quản Trị Du Lịch &amp; Khách Sạn Chuẩn PSU (Đại Học)</v>
      </c>
      <c r="W21" s="76" t="str">
        <f>IFERROR(__xludf.DUMMYFUNCTION("""COMPUTED_VALUE"""),"Premier Village Danang Resort")</f>
        <v>Premier Village Danang Resort</v>
      </c>
      <c r="X21" s="76" t="str">
        <f>IFERROR(__xludf.DUMMYFUNCTION("""COMPUTED_VALUE"""),"Buồng phòng")</f>
        <v>Buồng phòng</v>
      </c>
      <c r="Y21" s="76" t="str">
        <f>IFERROR(__xludf.DUMMYFUNCTION("""COMPUTED_VALUE"""),"DUYỆT")</f>
        <v>DUYỆT</v>
      </c>
      <c r="Z21" s="76" t="str">
        <f>IFERROR(__xludf.DUMMYFUNCTION("""COMPUTED_VALUE"""),"CHUYÊN ĐỀ")</f>
        <v>CHUYÊN ĐỀ</v>
      </c>
      <c r="AA21" s="76" t="str">
        <f>IFERROR(__xludf.DUMMYFUNCTION("""COMPUTED_VALUE"""),"trannmo2k2@gmail.com")</f>
        <v>trannmo2k2@gmail.com</v>
      </c>
      <c r="AB21" s="76"/>
      <c r="AC21" s="76"/>
    </row>
    <row r="22">
      <c r="A22" s="100">
        <f>IFERROR(__xludf.DUMMYFUNCTION("""COMPUTED_VALUE"""),45638.43547570602)</f>
        <v>45638.43548</v>
      </c>
      <c r="B22" s="76" t="str">
        <f>IFERROR(__xludf.DUMMYFUNCTION("""COMPUTED_VALUE"""),"nguyencaohoangkim.tk1@gmail.com")</f>
        <v>nguyencaohoangkim.tk1@gmail.com</v>
      </c>
      <c r="C22" s="76">
        <f>IFERROR(__xludf.DUMMYFUNCTION("""COMPUTED_VALUE"""),2.7207121356E10)</f>
        <v>27207121356</v>
      </c>
      <c r="D22" s="76" t="str">
        <f>IFERROR(__xludf.DUMMYFUNCTION("""COMPUTED_VALUE"""),"Nguyễn Cao Hoàng Kim")</f>
        <v>Nguyễn Cao Hoàng Kim</v>
      </c>
      <c r="E22" s="101">
        <f>IFERROR(__xludf.DUMMYFUNCTION("""COMPUTED_VALUE"""),37800.0)</f>
        <v>37800</v>
      </c>
      <c r="F22" s="76" t="str">
        <f>IFERROR(__xludf.DUMMYFUNCTION("""COMPUTED_VALUE"""),"K27DLK5")</f>
        <v>K27DLK5</v>
      </c>
      <c r="G22" s="76" t="str">
        <f>IFERROR(__xludf.DUMMYFUNCTION("""COMPUTED_VALUE"""),"Quản trị Du lịch &amp; Khách sạn")</f>
        <v>Quản trị Du lịch &amp; Khách sạn</v>
      </c>
      <c r="H22" s="76" t="str">
        <f>IFERROR(__xludf.DUMMYFUNCTION("""COMPUTED_VALUE"""),"K27")</f>
        <v>K27</v>
      </c>
      <c r="I22" s="76" t="str">
        <f>IFERROR(__xludf.DUMMYFUNCTION("""COMPUTED_VALUE"""),"0707722091")</f>
        <v>0707722091</v>
      </c>
      <c r="J22" s="76">
        <f>IFERROR(__xludf.DUMMYFUNCTION("""COMPUTED_VALUE"""),2.59)</f>
        <v>2.59</v>
      </c>
      <c r="K22" s="76">
        <f>IFERROR(__xludf.DUMMYFUNCTION("""COMPUTED_VALUE"""),104.0)</f>
        <v>104</v>
      </c>
      <c r="L22" s="76" t="str">
        <f>IFERROR(__xludf.DUMMYFUNCTION("""COMPUTED_VALUE"""),"Rồi")</f>
        <v>Rồi</v>
      </c>
      <c r="M22" s="76" t="str">
        <f>IFERROR(__xludf.DUMMYFUNCTION("""COMPUTED_VALUE"""),"Thực tập tốt nghiệp")</f>
        <v>Thực tập tốt nghiệp</v>
      </c>
      <c r="N22" s="76">
        <f>IFERROR(__xludf.DUMMYFUNCTION("""COMPUTED_VALUE"""),22.0)</f>
        <v>22</v>
      </c>
      <c r="O22" s="76" t="str">
        <f>IFERROR(__xludf.DUMMYFUNCTION("""COMPUTED_VALUE"""),"cam kết")</f>
        <v>cam kết</v>
      </c>
      <c r="P22" s="76" t="str">
        <f>IFERROR(__xludf.DUMMYFUNCTION("""COMPUTED_VALUE"""),"ĐÃ NỘP")</f>
        <v>ĐÃ NỘP</v>
      </c>
      <c r="Q22" s="76"/>
      <c r="R22" s="76"/>
      <c r="S22" s="76" t="str">
        <f>IFERROR(__xludf.DUMMYFUNCTION("""COMPUTED_VALUE"""),"20/12/2024")</f>
        <v>20/12/2024</v>
      </c>
      <c r="T22" s="76" t="str">
        <f>IFERROR(__xludf.DUMMYFUNCTION("""COMPUTED_VALUE"""),"SV chưa nhận GTT")</f>
        <v>SV chưa nhận GTT</v>
      </c>
      <c r="U22" s="102" t="str">
        <f>IFERROR(__xludf.DUMMYFUNCTION("""COMPUTED_VALUE"""),"Nguyễn Cao Hoàng Kim")</f>
        <v>Nguyễn Cao Hoàng Kim</v>
      </c>
      <c r="V22" s="76" t="str">
        <f>IFERROR(__xludf.DUMMYFUNCTION("""COMPUTED_VALUE"""),"Quản Trị Khách Sạn &amp; Nhà Hàng (Đại Học)")</f>
        <v>Quản Trị Khách Sạn &amp; Nhà Hàng (Đại Học)</v>
      </c>
      <c r="W22" s="76" t="str">
        <f>IFERROR(__xludf.DUMMYFUNCTION("""COMPUTED_VALUE"""),"Maximilan Danang Beach Hotel")</f>
        <v>Maximilan Danang Beach Hotel</v>
      </c>
      <c r="X22" s="76" t="str">
        <f>IFERROR(__xludf.DUMMYFUNCTION("""COMPUTED_VALUE"""),"Nhà hàng")</f>
        <v>Nhà hàng</v>
      </c>
      <c r="Y22" s="76" t="str">
        <f>IFERROR(__xludf.DUMMYFUNCTION("""COMPUTED_VALUE"""),"DUYỆT")</f>
        <v>DUYỆT</v>
      </c>
      <c r="Z22" s="76" t="str">
        <f>IFERROR(__xludf.DUMMYFUNCTION("""COMPUTED_VALUE"""),"CHUYÊN ĐỀ")</f>
        <v>CHUYÊN ĐỀ</v>
      </c>
      <c r="AA22" s="76" t="str">
        <f>IFERROR(__xludf.DUMMYFUNCTION("""COMPUTED_VALUE"""),"nguyencaohoangkim.tk1@gmail.com")</f>
        <v>nguyencaohoangkim.tk1@gmail.com</v>
      </c>
      <c r="AB22" s="76"/>
      <c r="AC22" s="76"/>
    </row>
    <row r="23">
      <c r="A23" s="100">
        <f>IFERROR(__xludf.DUMMYFUNCTION("""COMPUTED_VALUE"""),45639.43939280092)</f>
        <v>45639.43939</v>
      </c>
      <c r="B23" s="76" t="str">
        <f>IFERROR(__xludf.DUMMYFUNCTION("""COMPUTED_VALUE"""),"huongtranlelan@gmail.com")</f>
        <v>huongtranlelan@gmail.com</v>
      </c>
      <c r="C23" s="76">
        <f>IFERROR(__xludf.DUMMYFUNCTION("""COMPUTED_VALUE"""),2.7207141358E10)</f>
        <v>27207141358</v>
      </c>
      <c r="D23" s="76" t="str">
        <f>IFERROR(__xludf.DUMMYFUNCTION("""COMPUTED_VALUE"""),"Trần Lê Lan Hương")</f>
        <v>Trần Lê Lan Hương</v>
      </c>
      <c r="E23" s="101">
        <f>IFERROR(__xludf.DUMMYFUNCTION("""COMPUTED_VALUE"""),37677.0)</f>
        <v>37677</v>
      </c>
      <c r="F23" s="76" t="str">
        <f>IFERROR(__xludf.DUMMYFUNCTION("""COMPUTED_VALUE"""),"K27DLK7")</f>
        <v>K27DLK7</v>
      </c>
      <c r="G23" s="76" t="str">
        <f>IFERROR(__xludf.DUMMYFUNCTION("""COMPUTED_VALUE"""),"Quản trị Du lịch &amp; Khách sạn")</f>
        <v>Quản trị Du lịch &amp; Khách sạn</v>
      </c>
      <c r="H23" s="76" t="str">
        <f>IFERROR(__xludf.DUMMYFUNCTION("""COMPUTED_VALUE"""),"K27")</f>
        <v>K27</v>
      </c>
      <c r="I23" s="76" t="str">
        <f>IFERROR(__xludf.DUMMYFUNCTION("""COMPUTED_VALUE"""),"0788439151")</f>
        <v>0788439151</v>
      </c>
      <c r="J23" s="76">
        <f>IFERROR(__xludf.DUMMYFUNCTION("""COMPUTED_VALUE"""),3.3)</f>
        <v>3.3</v>
      </c>
      <c r="K23" s="76">
        <f>IFERROR(__xludf.DUMMYFUNCTION("""COMPUTED_VALUE"""),114.0)</f>
        <v>114</v>
      </c>
      <c r="L23" s="76" t="str">
        <f>IFERROR(__xludf.DUMMYFUNCTION("""COMPUTED_VALUE"""),"Rồi")</f>
        <v>Rồi</v>
      </c>
      <c r="M23" s="76" t="str">
        <f>IFERROR(__xludf.DUMMYFUNCTION("""COMPUTED_VALUE"""),"Thực tập tốt nghiệp")</f>
        <v>Thực tập tốt nghiệp</v>
      </c>
      <c r="N23" s="76">
        <f>IFERROR(__xludf.DUMMYFUNCTION("""COMPUTED_VALUE"""),10.0)</f>
        <v>10</v>
      </c>
      <c r="O23" s="76" t="str">
        <f>IFERROR(__xludf.DUMMYFUNCTION("""COMPUTED_VALUE"""),"cam kết")</f>
        <v>cam kết</v>
      </c>
      <c r="P23" s="76" t="str">
        <f>IFERROR(__xludf.DUMMYFUNCTION("""COMPUTED_VALUE"""),"ĐÃ NỘP")</f>
        <v>ĐÃ NỘP</v>
      </c>
      <c r="Q23" s="76"/>
      <c r="R23" s="76"/>
      <c r="S23" s="76" t="str">
        <f>IFERROR(__xludf.DUMMYFUNCTION("""COMPUTED_VALUE"""),"20/12/2024")</f>
        <v>20/12/2024</v>
      </c>
      <c r="T23" s="76"/>
      <c r="U23" s="102" t="str">
        <f>IFERROR(__xludf.DUMMYFUNCTION("""COMPUTED_VALUE"""),"Trần Lê Lan Hương")</f>
        <v>Trần Lê Lan Hương</v>
      </c>
      <c r="V23" s="76" t="str">
        <f>IFERROR(__xludf.DUMMYFUNCTION("""COMPUTED_VALUE"""),"Quản Trị Khách Sạn &amp; Nhà Hàng (Đại Học)")</f>
        <v>Quản Trị Khách Sạn &amp; Nhà Hàng (Đại Học)</v>
      </c>
      <c r="W23" s="76" t="str">
        <f>IFERROR(__xludf.DUMMYFUNCTION("""COMPUTED_VALUE"""),"Grand Mercure Đà Nẵng")</f>
        <v>Grand Mercure Đà Nẵng</v>
      </c>
      <c r="X23" s="76" t="str">
        <f>IFERROR(__xludf.DUMMYFUNCTION("""COMPUTED_VALUE"""),"Bộ phận Sales")</f>
        <v>Bộ phận Sales</v>
      </c>
      <c r="Y23" s="76" t="str">
        <f>IFERROR(__xludf.DUMMYFUNCTION("""COMPUTED_VALUE"""),"DUYỆT")</f>
        <v>DUYỆT</v>
      </c>
      <c r="Z23" s="76" t="str">
        <f>IFERROR(__xludf.DUMMYFUNCTION("""COMPUTED_VALUE"""),"CHUYÊN ĐỀ")</f>
        <v>CHUYÊN ĐỀ</v>
      </c>
      <c r="AA23" s="76" t="str">
        <f>IFERROR(__xludf.DUMMYFUNCTION("""COMPUTED_VALUE"""),"huongtranlelan@gmail.com")</f>
        <v>huongtranlelan@gmail.com</v>
      </c>
      <c r="AB23" s="76" t="str">
        <f>IFERROR(__xludf.DUMMYFUNCTION("""COMPUTED_VALUE"""),"Trần Lê Lan Hương")</f>
        <v>Trần Lê Lan Hương</v>
      </c>
      <c r="AC23" s="76" t="str">
        <f>IFERROR(__xludf.DUMMYFUNCTION("""COMPUTED_VALUE"""),"ĐÃ NỘP")</f>
        <v>ĐÃ NỘP</v>
      </c>
    </row>
    <row r="24">
      <c r="A24" s="100">
        <f>IFERROR(__xludf.DUMMYFUNCTION("""COMPUTED_VALUE"""),45638.452920682874)</f>
        <v>45638.45292</v>
      </c>
      <c r="B24" s="76" t="str">
        <f>IFERROR(__xludf.DUMMYFUNCTION("""COMPUTED_VALUE"""),"thaovo.101198@gmail.com")</f>
        <v>thaovo.101198@gmail.com</v>
      </c>
      <c r="C24" s="76">
        <f>IFERROR(__xludf.DUMMYFUNCTION("""COMPUTED_VALUE"""),2.720710043E10)</f>
        <v>27207100430</v>
      </c>
      <c r="D24" s="76" t="str">
        <f>IFERROR(__xludf.DUMMYFUNCTION("""COMPUTED_VALUE"""),"VÕ THỊ THU THẢO")</f>
        <v>VÕ THỊ THU THẢO</v>
      </c>
      <c r="E24" s="101">
        <f>IFERROR(__xludf.DUMMYFUNCTION("""COMPUTED_VALUE"""),37935.0)</f>
        <v>37935</v>
      </c>
      <c r="F24" s="76" t="str">
        <f>IFERROR(__xludf.DUMMYFUNCTION("""COMPUTED_VALUE"""),"K27PSUDLK 2")</f>
        <v>K27PSUDLK 2</v>
      </c>
      <c r="G24" s="76" t="str">
        <f>IFERROR(__xludf.DUMMYFUNCTION("""COMPUTED_VALUE"""),"Quản trị Du lịch &amp; Khách sạn chuẩn PSU")</f>
        <v>Quản trị Du lịch &amp; Khách sạn chuẩn PSU</v>
      </c>
      <c r="H24" s="76" t="str">
        <f>IFERROR(__xludf.DUMMYFUNCTION("""COMPUTED_VALUE"""),"K27")</f>
        <v>K27</v>
      </c>
      <c r="I24" s="76" t="str">
        <f>IFERROR(__xludf.DUMMYFUNCTION("""COMPUTED_VALUE"""),"0384754700")</f>
        <v>0384754700</v>
      </c>
      <c r="J24" s="76">
        <f>IFERROR(__xludf.DUMMYFUNCTION("""COMPUTED_VALUE"""),2.8)</f>
        <v>2.8</v>
      </c>
      <c r="K24" s="76">
        <f>IFERROR(__xludf.DUMMYFUNCTION("""COMPUTED_VALUE"""),117.0)</f>
        <v>117</v>
      </c>
      <c r="L24" s="76" t="str">
        <f>IFERROR(__xludf.DUMMYFUNCTION("""COMPUTED_VALUE"""),"Rồi")</f>
        <v>Rồi</v>
      </c>
      <c r="M24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4" s="76">
        <f>IFERROR(__xludf.DUMMYFUNCTION("""COMPUTED_VALUE"""),14.0)</f>
        <v>14</v>
      </c>
      <c r="O24" s="76" t="str">
        <f>IFERROR(__xludf.DUMMYFUNCTION("""COMPUTED_VALUE"""),"cam kết")</f>
        <v>cam kết</v>
      </c>
      <c r="P24" s="76" t="str">
        <f>IFERROR(__xludf.DUMMYFUNCTION("""COMPUTED_VALUE"""),"ĐÃ NỘP")</f>
        <v>ĐÃ NỘP</v>
      </c>
      <c r="Q24" s="76"/>
      <c r="R24" s="76"/>
      <c r="S24" s="76" t="str">
        <f>IFERROR(__xludf.DUMMYFUNCTION("""COMPUTED_VALUE"""),"20/12/2024")</f>
        <v>20/12/2024</v>
      </c>
      <c r="T24" s="76"/>
      <c r="U24" s="102" t="str">
        <f>IFERROR(__xludf.DUMMYFUNCTION("""COMPUTED_VALUE"""),"Võ Thị Thu Thảo")</f>
        <v>Võ Thị Thu Thảo</v>
      </c>
      <c r="V24" s="76" t="str">
        <f>IFERROR(__xludf.DUMMYFUNCTION("""COMPUTED_VALUE"""),"Quản Trị Du Lịch &amp; Khách Sạn Chuẩn PSU (Đại Học)")</f>
        <v>Quản Trị Du Lịch &amp; Khách Sạn Chuẩn PSU (Đại Học)</v>
      </c>
      <c r="W24" s="76" t="str">
        <f>IFERROR(__xludf.DUMMYFUNCTION("""COMPUTED_VALUE"""),"Premier Village Danang Resort")</f>
        <v>Premier Village Danang Resort</v>
      </c>
      <c r="X24" s="76" t="str">
        <f>IFERROR(__xludf.DUMMYFUNCTION("""COMPUTED_VALUE"""),"Buồng phòng")</f>
        <v>Buồng phòng</v>
      </c>
      <c r="Y24" s="76" t="str">
        <f>IFERROR(__xludf.DUMMYFUNCTION("""COMPUTED_VALUE"""),"DUYỆT")</f>
        <v>DUYỆT</v>
      </c>
      <c r="Z24" s="76" t="str">
        <f>IFERROR(__xludf.DUMMYFUNCTION("""COMPUTED_VALUE"""),"CHUYÊN ĐỀ")</f>
        <v>CHUYÊN ĐỀ</v>
      </c>
      <c r="AA24" s="76" t="str">
        <f>IFERROR(__xludf.DUMMYFUNCTION("""COMPUTED_VALUE"""),"thaovo.101198@gmail.com")</f>
        <v>thaovo.101198@gmail.com</v>
      </c>
      <c r="AB24" s="76"/>
      <c r="AC24" s="76"/>
    </row>
    <row r="25">
      <c r="A25" s="100">
        <f>IFERROR(__xludf.DUMMYFUNCTION("""COMPUTED_VALUE"""),45639.381186597224)</f>
        <v>45639.38119</v>
      </c>
      <c r="B25" s="76" t="str">
        <f>IFERROR(__xludf.DUMMYFUNCTION("""COMPUTED_VALUE"""),"Nguyenthituongvi124@gmail.com")</f>
        <v>Nguyenthituongvi124@gmail.com</v>
      </c>
      <c r="C25" s="76">
        <f>IFERROR(__xludf.DUMMYFUNCTION("""COMPUTED_VALUE"""),2.7207128961E10)</f>
        <v>27207128961</v>
      </c>
      <c r="D25" s="76" t="str">
        <f>IFERROR(__xludf.DUMMYFUNCTION("""COMPUTED_VALUE"""),"Nguyễn Thị Tường Vi ")</f>
        <v>Nguyễn Thị Tường Vi </v>
      </c>
      <c r="E25" s="101">
        <f>IFERROR(__xludf.DUMMYFUNCTION("""COMPUTED_VALUE"""),37818.0)</f>
        <v>37818</v>
      </c>
      <c r="F25" s="76" t="str">
        <f>IFERROR(__xludf.DUMMYFUNCTION("""COMPUTED_VALUE"""),"K27PSUDLK2")</f>
        <v>K27PSUDLK2</v>
      </c>
      <c r="G25" s="76" t="str">
        <f>IFERROR(__xludf.DUMMYFUNCTION("""COMPUTED_VALUE"""),"Quản trị Du lịch &amp; Khách sạn chuẩn PSU")</f>
        <v>Quản trị Du lịch &amp; Khách sạn chuẩn PSU</v>
      </c>
      <c r="H25" s="76" t="str">
        <f>IFERROR(__xludf.DUMMYFUNCTION("""COMPUTED_VALUE"""),"K27")</f>
        <v>K27</v>
      </c>
      <c r="I25" s="76" t="str">
        <f>IFERROR(__xludf.DUMMYFUNCTION("""COMPUTED_VALUE"""),"0932501117")</f>
        <v>0932501117</v>
      </c>
      <c r="J25" s="76">
        <f>IFERROR(__xludf.DUMMYFUNCTION("""COMPUTED_VALUE"""),2.47)</f>
        <v>2.47</v>
      </c>
      <c r="K25" s="76">
        <f>IFERROR(__xludf.DUMMYFUNCTION("""COMPUTED_VALUE"""),108.0)</f>
        <v>108</v>
      </c>
      <c r="L25" s="76" t="str">
        <f>IFERROR(__xludf.DUMMYFUNCTION("""COMPUTED_VALUE"""),"Rồi")</f>
        <v>Rồi</v>
      </c>
      <c r="M25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5" s="76">
        <f>IFERROR(__xludf.DUMMYFUNCTION("""COMPUTED_VALUE"""),24.0)</f>
        <v>24</v>
      </c>
      <c r="O25" s="76" t="str">
        <f>IFERROR(__xludf.DUMMYFUNCTION("""COMPUTED_VALUE"""),"cam kết")</f>
        <v>cam kết</v>
      </c>
      <c r="P25" s="76" t="str">
        <f>IFERROR(__xludf.DUMMYFUNCTION("""COMPUTED_VALUE"""),"ĐÃ NỘP")</f>
        <v>ĐÃ NỘP</v>
      </c>
      <c r="Q25" s="76"/>
      <c r="R25" s="76"/>
      <c r="S25" s="76" t="str">
        <f>IFERROR(__xludf.DUMMYFUNCTION("""COMPUTED_VALUE"""),"20/12/2024")</f>
        <v>20/12/2024</v>
      </c>
      <c r="T25" s="76"/>
      <c r="U25" s="102" t="str">
        <f>IFERROR(__xludf.DUMMYFUNCTION("""COMPUTED_VALUE"""),"Nguyễn Thị Tường Vi")</f>
        <v>Nguyễn Thị Tường Vi</v>
      </c>
      <c r="V25" s="76" t="str">
        <f>IFERROR(__xludf.DUMMYFUNCTION("""COMPUTED_VALUE"""),"Quản Trị Du Lịch &amp; Khách Sạn Chuẩn PSU (Đại Học)")</f>
        <v>Quản Trị Du Lịch &amp; Khách Sạn Chuẩn PSU (Đại Học)</v>
      </c>
      <c r="W25" s="76" t="str">
        <f>IFERROR(__xludf.DUMMYFUNCTION("""COMPUTED_VALUE"""),"Premier Village Danang Resort")</f>
        <v>Premier Village Danang Resort</v>
      </c>
      <c r="X25" s="76" t="str">
        <f>IFERROR(__xludf.DUMMYFUNCTION("""COMPUTED_VALUE"""),"Nhà hàng")</f>
        <v>Nhà hàng</v>
      </c>
      <c r="Y25" s="76" t="str">
        <f>IFERROR(__xludf.DUMMYFUNCTION("""COMPUTED_VALUE"""),"DUYỆT")</f>
        <v>DUYỆT</v>
      </c>
      <c r="Z25" s="76" t="str">
        <f>IFERROR(__xludf.DUMMYFUNCTION("""COMPUTED_VALUE"""),"CHUYÊN ĐỀ")</f>
        <v>CHUYÊN ĐỀ</v>
      </c>
      <c r="AA25" s="76" t="str">
        <f>IFERROR(__xludf.DUMMYFUNCTION("""COMPUTED_VALUE"""),"Nguyenthituongvi124@gmail.com")</f>
        <v>Nguyenthituongvi124@gmail.com</v>
      </c>
      <c r="AB25" s="76"/>
      <c r="AC25" s="76"/>
    </row>
    <row r="26">
      <c r="A26" s="100">
        <f>IFERROR(__xludf.DUMMYFUNCTION("""COMPUTED_VALUE"""),45639.390606932866)</f>
        <v>45639.39061</v>
      </c>
      <c r="B26" s="76" t="str">
        <f>IFERROR(__xludf.DUMMYFUNCTION("""COMPUTED_VALUE"""),"qto19082002@gmail.com")</f>
        <v>qto19082002@gmail.com</v>
      </c>
      <c r="C26" s="76">
        <f>IFERROR(__xludf.DUMMYFUNCTION("""COMPUTED_VALUE"""),2.6207142679E10)</f>
        <v>26207142679</v>
      </c>
      <c r="D26" s="76" t="str">
        <f>IFERROR(__xludf.DUMMYFUNCTION("""COMPUTED_VALUE"""),"Lê Trà Tố Quyên")</f>
        <v>Lê Trà Tố Quyên</v>
      </c>
      <c r="E26" s="101">
        <f>IFERROR(__xludf.DUMMYFUNCTION("""COMPUTED_VALUE"""),37487.0)</f>
        <v>37487</v>
      </c>
      <c r="F26" s="76" t="str">
        <f>IFERROR(__xludf.DUMMYFUNCTION("""COMPUTED_VALUE"""),"K26DLK15")</f>
        <v>K26DLK15</v>
      </c>
      <c r="G26" s="76" t="str">
        <f>IFERROR(__xludf.DUMMYFUNCTION("""COMPUTED_VALUE"""),"Quản trị Du lịch &amp; Khách sạn")</f>
        <v>Quản trị Du lịch &amp; Khách sạn</v>
      </c>
      <c r="H26" s="76" t="str">
        <f>IFERROR(__xludf.DUMMYFUNCTION("""COMPUTED_VALUE"""),"K26")</f>
        <v>K26</v>
      </c>
      <c r="I26" s="76" t="str">
        <f>IFERROR(__xludf.DUMMYFUNCTION("""COMPUTED_VALUE"""),"0704644610")</f>
        <v>0704644610</v>
      </c>
      <c r="J26" s="76">
        <f>IFERROR(__xludf.DUMMYFUNCTION("""COMPUTED_VALUE"""),3.19)</f>
        <v>3.19</v>
      </c>
      <c r="K26" s="76">
        <f>IFERROR(__xludf.DUMMYFUNCTION("""COMPUTED_VALUE"""),126.0)</f>
        <v>126</v>
      </c>
      <c r="L26" s="76" t="str">
        <f>IFERROR(__xludf.DUMMYFUNCTION("""COMPUTED_VALUE"""),"Rồi")</f>
        <v>Rồi</v>
      </c>
      <c r="M26" s="76" t="str">
        <f>IFERROR(__xludf.DUMMYFUNCTION("""COMPUTED_VALUE"""),"Thực tập tốt nghiệp, Thi tốt nghiệp")</f>
        <v>Thực tập tốt nghiệp, Thi tốt nghiệp</v>
      </c>
      <c r="N26" s="76">
        <f>IFERROR(__xludf.DUMMYFUNCTION("""COMPUTED_VALUE"""),0.0)</f>
        <v>0</v>
      </c>
      <c r="O26" s="76" t="str">
        <f>IFERROR(__xludf.DUMMYFUNCTION("""COMPUTED_VALUE"""),"cam kết")</f>
        <v>cam kết</v>
      </c>
      <c r="P26" s="76" t="str">
        <f>IFERROR(__xludf.DUMMYFUNCTION("""COMPUTED_VALUE"""),"ĐÃ NỘP")</f>
        <v>ĐÃ NỘP</v>
      </c>
      <c r="Q26" s="76" t="str">
        <f>IFERROR(__xludf.DUMMYFUNCTION("""COMPUTED_VALUE"""),"ĐÃ NỘP")</f>
        <v>ĐÃ NỘP</v>
      </c>
      <c r="R26" s="76">
        <f>IFERROR(__xludf.DUMMYFUNCTION("""COMPUTED_VALUE"""),2.0)</f>
        <v>2</v>
      </c>
      <c r="S26" s="76" t="str">
        <f>IFERROR(__xludf.DUMMYFUNCTION("""COMPUTED_VALUE"""),"20/12/2024")</f>
        <v>20/12/2024</v>
      </c>
      <c r="T26" s="76"/>
      <c r="U26" s="102" t="str">
        <f>IFERROR(__xludf.DUMMYFUNCTION("""COMPUTED_VALUE"""),"Lê Trà Tố Quyên")</f>
        <v>Lê Trà Tố Quyên</v>
      </c>
      <c r="V26" s="76" t="str">
        <f>IFERROR(__xludf.DUMMYFUNCTION("""COMPUTED_VALUE"""),"Quản Trị Khách Sạn &amp; Nhà Hàng (Đại Học)")</f>
        <v>Quản Trị Khách Sạn &amp; Nhà Hàng (Đại Học)</v>
      </c>
      <c r="W26" s="76" t="str">
        <f>IFERROR(__xludf.DUMMYFUNCTION("""COMPUTED_VALUE"""),"Ussina Sky 77- Aging Beef &amp; Bar")</f>
        <v>Ussina Sky 77- Aging Beef &amp; Bar</v>
      </c>
      <c r="X26" s="76" t="str">
        <f>IFERROR(__xludf.DUMMYFUNCTION("""COMPUTED_VALUE"""),"Nhà hàng")</f>
        <v>Nhà hàng</v>
      </c>
      <c r="Y26" s="76" t="str">
        <f>IFERROR(__xludf.DUMMYFUNCTION("""COMPUTED_VALUE"""),"DUYỆT")</f>
        <v>DUYỆT</v>
      </c>
      <c r="Z26" s="76" t="str">
        <f>IFERROR(__xludf.DUMMYFUNCTION("""COMPUTED_VALUE"""),"CHUYÊN ĐỀ")</f>
        <v>CHUYÊN ĐỀ</v>
      </c>
      <c r="AA26" s="76" t="str">
        <f>IFERROR(__xludf.DUMMYFUNCTION("""COMPUTED_VALUE"""),"qto19082002@gmail.com")</f>
        <v>qto19082002@gmail.com</v>
      </c>
      <c r="AB26" s="76"/>
      <c r="AC26" s="76"/>
    </row>
    <row r="27">
      <c r="A27" s="100">
        <f>IFERROR(__xludf.DUMMYFUNCTION("""COMPUTED_VALUE"""),45651.709893113424)</f>
        <v>45651.70989</v>
      </c>
      <c r="B27" s="76" t="str">
        <f>IFERROR(__xludf.DUMMYFUNCTION("""COMPUTED_VALUE"""),"ngocbao.dng03@gmail.com")</f>
        <v>ngocbao.dng03@gmail.com</v>
      </c>
      <c r="C27" s="76">
        <f>IFERROR(__xludf.DUMMYFUNCTION("""COMPUTED_VALUE"""),2.7207144974E10)</f>
        <v>27207144974</v>
      </c>
      <c r="D27" s="76" t="str">
        <f>IFERROR(__xludf.DUMMYFUNCTION("""COMPUTED_VALUE"""),"Nguyễn Thị Bảo Ngọc ")</f>
        <v>Nguyễn Thị Bảo Ngọc </v>
      </c>
      <c r="E27" s="101">
        <f>IFERROR(__xludf.DUMMYFUNCTION("""COMPUTED_VALUE"""),37893.0)</f>
        <v>37893</v>
      </c>
      <c r="F27" s="76" t="str">
        <f>IFERROR(__xludf.DUMMYFUNCTION("""COMPUTED_VALUE"""),"K27DLK2")</f>
        <v>K27DLK2</v>
      </c>
      <c r="G27" s="76" t="str">
        <f>IFERROR(__xludf.DUMMYFUNCTION("""COMPUTED_VALUE"""),"Quản trị Du lịch &amp; Khách sạn")</f>
        <v>Quản trị Du lịch &amp; Khách sạn</v>
      </c>
      <c r="H27" s="76" t="str">
        <f>IFERROR(__xludf.DUMMYFUNCTION("""COMPUTED_VALUE"""),"K27")</f>
        <v>K27</v>
      </c>
      <c r="I27" s="76" t="str">
        <f>IFERROR(__xludf.DUMMYFUNCTION("""COMPUTED_VALUE"""),"0968468527")</f>
        <v>0968468527</v>
      </c>
      <c r="J27" s="76">
        <f>IFERROR(__xludf.DUMMYFUNCTION("""COMPUTED_VALUE"""),3.06)</f>
        <v>3.06</v>
      </c>
      <c r="K27" s="76">
        <f>IFERROR(__xludf.DUMMYFUNCTION("""COMPUTED_VALUE"""),122.0)</f>
        <v>122</v>
      </c>
      <c r="L27" s="76" t="str">
        <f>IFERROR(__xludf.DUMMYFUNCTION("""COMPUTED_VALUE"""),"Rồi")</f>
        <v>Rồi</v>
      </c>
      <c r="M27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7" s="76">
        <f>IFERROR(__xludf.DUMMYFUNCTION("""COMPUTED_VALUE"""),3.0)</f>
        <v>3</v>
      </c>
      <c r="O27" s="76" t="str">
        <f>IFERROR(__xludf.DUMMYFUNCTION("""COMPUTED_VALUE"""),"cam kết")</f>
        <v>cam kết</v>
      </c>
      <c r="P27" s="76" t="str">
        <f>IFERROR(__xludf.DUMMYFUNCTION("""COMPUTED_VALUE"""),"ĐÃ NỘP")</f>
        <v>ĐÃ NỘP</v>
      </c>
      <c r="Q27" s="76"/>
      <c r="R27" s="76"/>
      <c r="S27" s="76" t="str">
        <f>IFERROR(__xludf.DUMMYFUNCTION("""COMPUTED_VALUE"""),"20/12/2024")</f>
        <v>20/12/2024</v>
      </c>
      <c r="T27" s="76"/>
      <c r="U27" s="102" t="str">
        <f>IFERROR(__xludf.DUMMYFUNCTION("""COMPUTED_VALUE"""),"Nguyễn Thị Bảo Ngọc")</f>
        <v>Nguyễn Thị Bảo Ngọc</v>
      </c>
      <c r="V27" s="76" t="str">
        <f>IFERROR(__xludf.DUMMYFUNCTION("""COMPUTED_VALUE"""),"Quản Trị Khách Sạn &amp; Nhà Hàng (Đại Học)")</f>
        <v>Quản Trị Khách Sạn &amp; Nhà Hàng (Đại Học)</v>
      </c>
      <c r="W27" s="76" t="str">
        <f>IFERROR(__xludf.DUMMYFUNCTION("""COMPUTED_VALUE"""),"Paris Deli Danang Beach Hotel")</f>
        <v>Paris Deli Danang Beach Hotel</v>
      </c>
      <c r="X27" s="76" t="str">
        <f>IFERROR(__xludf.DUMMYFUNCTION("""COMPUTED_VALUE"""),"Nhà hàng")</f>
        <v>Nhà hàng</v>
      </c>
      <c r="Y27" s="76" t="str">
        <f>IFERROR(__xludf.DUMMYFUNCTION("""COMPUTED_VALUE"""),"DUYỆT")</f>
        <v>DUYỆT</v>
      </c>
      <c r="Z27" s="76" t="str">
        <f>IFERROR(__xludf.DUMMYFUNCTION("""COMPUTED_VALUE"""),"CHUYÊN ĐỀ")</f>
        <v>CHUYÊN ĐỀ</v>
      </c>
      <c r="AA27" s="76" t="str">
        <f>IFERROR(__xludf.DUMMYFUNCTION("""COMPUTED_VALUE"""),"ngocbao.dng03@gmail.com")</f>
        <v>ngocbao.dng03@gmail.com</v>
      </c>
      <c r="AB27" s="76"/>
      <c r="AC27" s="76"/>
    </row>
    <row r="28">
      <c r="A28" s="100">
        <f>IFERROR(__xludf.DUMMYFUNCTION("""COMPUTED_VALUE"""),45640.39932704861)</f>
        <v>45640.39933</v>
      </c>
      <c r="B28" s="76" t="str">
        <f>IFERROR(__xludf.DUMMYFUNCTION("""COMPUTED_VALUE"""),"aprianh92@gmail.com")</f>
        <v>aprianh92@gmail.com</v>
      </c>
      <c r="C28" s="76">
        <f>IFERROR(__xludf.DUMMYFUNCTION("""COMPUTED_VALUE"""),2.7207128507E10)</f>
        <v>27207128507</v>
      </c>
      <c r="D28" s="76" t="str">
        <f>IFERROR(__xludf.DUMMYFUNCTION("""COMPUTED_VALUE"""),"Nguyễn Mai Anh")</f>
        <v>Nguyễn Mai Anh</v>
      </c>
      <c r="E28" s="101">
        <f>IFERROR(__xludf.DUMMYFUNCTION("""COMPUTED_VALUE"""),37661.0)</f>
        <v>37661</v>
      </c>
      <c r="F28" s="76" t="str">
        <f>IFERROR(__xludf.DUMMYFUNCTION("""COMPUTED_VALUE"""),"K27PSUDLH")</f>
        <v>K27PSUDLH</v>
      </c>
      <c r="G28" s="76" t="str">
        <f>IFERROR(__xludf.DUMMYFUNCTION("""COMPUTED_VALUE"""),"Quản trị Du lịch &amp; Nhà hàng chuẩn PSU")</f>
        <v>Quản trị Du lịch &amp; Nhà hàng chuẩn PSU</v>
      </c>
      <c r="H28" s="76" t="str">
        <f>IFERROR(__xludf.DUMMYFUNCTION("""COMPUTED_VALUE"""),"K27")</f>
        <v>K27</v>
      </c>
      <c r="I28" s="76" t="str">
        <f>IFERROR(__xludf.DUMMYFUNCTION("""COMPUTED_VALUE"""),"0367788521")</f>
        <v>0367788521</v>
      </c>
      <c r="J28" s="76">
        <f>IFERROR(__xludf.DUMMYFUNCTION("""COMPUTED_VALUE"""),3.6)</f>
        <v>3.6</v>
      </c>
      <c r="K28" s="76">
        <f>IFERROR(__xludf.DUMMYFUNCTION("""COMPUTED_VALUE"""),120.0)</f>
        <v>120</v>
      </c>
      <c r="L28" s="76" t="str">
        <f>IFERROR(__xludf.DUMMYFUNCTION("""COMPUTED_VALUE"""),"Rồi")</f>
        <v>Rồi</v>
      </c>
      <c r="M28" s="76" t="str">
        <f>IFERROR(__xludf.DUMMYFUNCTION("""COMPUTED_VALUE"""),"Thực tập tốt nghiệp, Thi tốt nghiệp")</f>
        <v>Thực tập tốt nghiệp, Thi tốt nghiệp</v>
      </c>
      <c r="N28" s="76">
        <f>IFERROR(__xludf.DUMMYFUNCTION("""COMPUTED_VALUE"""),8.0)</f>
        <v>8</v>
      </c>
      <c r="O28" s="76" t="str">
        <f>IFERROR(__xludf.DUMMYFUNCTION("""COMPUTED_VALUE"""),"cam kết")</f>
        <v>cam kết</v>
      </c>
      <c r="P28" s="76" t="str">
        <f>IFERROR(__xludf.DUMMYFUNCTION("""COMPUTED_VALUE"""),"ĐÃ NỘP")</f>
        <v>ĐÃ NỘP</v>
      </c>
      <c r="Q28" s="76"/>
      <c r="R28" s="76"/>
      <c r="S28" s="76" t="str">
        <f>IFERROR(__xludf.DUMMYFUNCTION("""COMPUTED_VALUE"""),"24/12/2024")</f>
        <v>24/12/2024</v>
      </c>
      <c r="T28" s="76"/>
      <c r="U28" s="102" t="str">
        <f>IFERROR(__xludf.DUMMYFUNCTION("""COMPUTED_VALUE"""),"Nguyễn Mai Anh")</f>
        <v>Nguyễn Mai Anh</v>
      </c>
      <c r="V28" s="76" t="str">
        <f>IFERROR(__xludf.DUMMYFUNCTION("""COMPUTED_VALUE"""),"Quản Trị Du Lịch &amp; Nhà Hàng Chuẩn PSU (Đại Học)")</f>
        <v>Quản Trị Du Lịch &amp; Nhà Hàng Chuẩn PSU (Đại Học)</v>
      </c>
      <c r="W28" s="76" t="str">
        <f>IFERROR(__xludf.DUMMYFUNCTION("""COMPUTED_VALUE"""),"Hyatt regency DaNang Resort")</f>
        <v>Hyatt regency DaNang Resort</v>
      </c>
      <c r="X28" s="76" t="str">
        <f>IFERROR(__xludf.DUMMYFUNCTION("""COMPUTED_VALUE"""),"Nhà hàng")</f>
        <v>Nhà hàng</v>
      </c>
      <c r="Y28" s="76" t="str">
        <f>IFERROR(__xludf.DUMMYFUNCTION("""COMPUTED_VALUE"""),"DUYỆT")</f>
        <v>DUYỆT</v>
      </c>
      <c r="Z28" s="76" t="str">
        <f>IFERROR(__xludf.DUMMYFUNCTION("""COMPUTED_VALUE"""),"KHÓA LUẬN")</f>
        <v>KHÓA LUẬN</v>
      </c>
      <c r="AA28" s="76" t="str">
        <f>IFERROR(__xludf.DUMMYFUNCTION("""COMPUTED_VALUE"""),"aprianh92@gmail.com")</f>
        <v>aprianh92@gmail.com</v>
      </c>
      <c r="AB28" s="76"/>
      <c r="AC28" s="76"/>
    </row>
    <row r="29">
      <c r="A29" s="100">
        <f>IFERROR(__xludf.DUMMYFUNCTION("""COMPUTED_VALUE"""),45640.400657673614)</f>
        <v>45640.40066</v>
      </c>
      <c r="B29" s="76" t="str">
        <f>IFERROR(__xludf.DUMMYFUNCTION("""COMPUTED_VALUE"""),"Nhungngo.01072003@gmail.com")</f>
        <v>Nhungngo.01072003@gmail.com</v>
      </c>
      <c r="C29" s="76">
        <f>IFERROR(__xludf.DUMMYFUNCTION("""COMPUTED_VALUE"""),2.7207153285E10)</f>
        <v>27207153285</v>
      </c>
      <c r="D29" s="76" t="str">
        <f>IFERROR(__xludf.DUMMYFUNCTION("""COMPUTED_VALUE"""),"Ngô Thị Hồng Nhung")</f>
        <v>Ngô Thị Hồng Nhung</v>
      </c>
      <c r="E29" s="101">
        <f>IFERROR(__xludf.DUMMYFUNCTION("""COMPUTED_VALUE"""),37803.0)</f>
        <v>37803</v>
      </c>
      <c r="F29" s="76" t="str">
        <f>IFERROR(__xludf.DUMMYFUNCTION("""COMPUTED_VALUE"""),"K27-PSU-DLH")</f>
        <v>K27-PSU-DLH</v>
      </c>
      <c r="G29" s="76" t="str">
        <f>IFERROR(__xludf.DUMMYFUNCTION("""COMPUTED_VALUE"""),"Quản trị Du lịch &amp; Nhà hàng chuẩn PSU")</f>
        <v>Quản trị Du lịch &amp; Nhà hàng chuẩn PSU</v>
      </c>
      <c r="H29" s="76" t="str">
        <f>IFERROR(__xludf.DUMMYFUNCTION("""COMPUTED_VALUE"""),"K27")</f>
        <v>K27</v>
      </c>
      <c r="I29" s="76" t="str">
        <f>IFERROR(__xludf.DUMMYFUNCTION("""COMPUTED_VALUE"""),"0814309890")</f>
        <v>0814309890</v>
      </c>
      <c r="J29" s="76">
        <f>IFERROR(__xludf.DUMMYFUNCTION("""COMPUTED_VALUE"""),3.7)</f>
        <v>3.7</v>
      </c>
      <c r="K29" s="76" t="str">
        <f>IFERROR(__xludf.DUMMYFUNCTION("""COMPUTED_VALUE"""),"123 tín")</f>
        <v>123 tín</v>
      </c>
      <c r="L29" s="76" t="str">
        <f>IFERROR(__xludf.DUMMYFUNCTION("""COMPUTED_VALUE"""),"Rồi")</f>
        <v>Rồi</v>
      </c>
      <c r="M29" s="76" t="str">
        <f>IFERROR(__xludf.DUMMYFUNCTION("""COMPUTED_VALUE"""),"Thực tập tốt nghiệp, Thi tốt nghiệp")</f>
        <v>Thực tập tốt nghiệp, Thi tốt nghiệp</v>
      </c>
      <c r="N29" s="76" t="str">
        <f>IFERROR(__xludf.DUMMYFUNCTION("""COMPUTED_VALUE"""),"7 tín ( 2 tín nợ, 5 tín đang học tại HK1)")</f>
        <v>7 tín ( 2 tín nợ, 5 tín đang học tại HK1)</v>
      </c>
      <c r="O29" s="76" t="str">
        <f>IFERROR(__xludf.DUMMYFUNCTION("""COMPUTED_VALUE"""),"cam kết")</f>
        <v>cam kết</v>
      </c>
      <c r="P29" s="76" t="str">
        <f>IFERROR(__xludf.DUMMYFUNCTION("""COMPUTED_VALUE"""),"ĐÃ NỘP")</f>
        <v>ĐÃ NỘP</v>
      </c>
      <c r="Q29" s="76"/>
      <c r="R29" s="76"/>
      <c r="S29" s="76" t="str">
        <f>IFERROR(__xludf.DUMMYFUNCTION("""COMPUTED_VALUE"""),"24/12/2024")</f>
        <v>24/12/2024</v>
      </c>
      <c r="T29" s="76"/>
      <c r="U29" s="102" t="str">
        <f>IFERROR(__xludf.DUMMYFUNCTION("""COMPUTED_VALUE"""),"Ngô Thị Hồng Nhung")</f>
        <v>Ngô Thị Hồng Nhung</v>
      </c>
      <c r="V29" s="76" t="str">
        <f>IFERROR(__xludf.DUMMYFUNCTION("""COMPUTED_VALUE"""),"Quản Trị Du Lịch &amp; Nhà Hàng Chuẩn PSU (Đại Học)")</f>
        <v>Quản Trị Du Lịch &amp; Nhà Hàng Chuẩn PSU (Đại Học)</v>
      </c>
      <c r="W29" s="76" t="str">
        <f>IFERROR(__xludf.DUMMYFUNCTION("""COMPUTED_VALUE"""),"Premier Village Danang Resort")</f>
        <v>Premier Village Danang Resort</v>
      </c>
      <c r="X29" s="76" t="str">
        <f>IFERROR(__xludf.DUMMYFUNCTION("""COMPUTED_VALUE"""),"Nhà hàng")</f>
        <v>Nhà hàng</v>
      </c>
      <c r="Y29" s="76" t="str">
        <f>IFERROR(__xludf.DUMMYFUNCTION("""COMPUTED_VALUE"""),"DUYỆT")</f>
        <v>DUYỆT</v>
      </c>
      <c r="Z29" s="76" t="str">
        <f>IFERROR(__xludf.DUMMYFUNCTION("""COMPUTED_VALUE"""),"KHÓA LUẬN")</f>
        <v>KHÓA LUẬN</v>
      </c>
      <c r="AA29" s="76" t="str">
        <f>IFERROR(__xludf.DUMMYFUNCTION("""COMPUTED_VALUE"""),"Nhungngo.01072003@gmail.com")</f>
        <v>Nhungngo.01072003@gmail.com</v>
      </c>
      <c r="AB29" s="76"/>
      <c r="AC29" s="76"/>
    </row>
    <row r="30">
      <c r="A30" s="100">
        <f>IFERROR(__xludf.DUMMYFUNCTION("""COMPUTED_VALUE"""),45650.42873837963)</f>
        <v>45650.42874</v>
      </c>
      <c r="B30" s="76" t="str">
        <f>IFERROR(__xludf.DUMMYFUNCTION("""COMPUTED_VALUE"""),"nguyenvulananh0502@gmail.com")</f>
        <v>nguyenvulananh0502@gmail.com</v>
      </c>
      <c r="C30" s="76">
        <f>IFERROR(__xludf.DUMMYFUNCTION("""COMPUTED_VALUE"""),2.7207128489E10)</f>
        <v>27207128489</v>
      </c>
      <c r="D30" s="76" t="str">
        <f>IFERROR(__xludf.DUMMYFUNCTION("""COMPUTED_VALUE"""),"Nguyễn Vũ Lan Anh")</f>
        <v>Nguyễn Vũ Lan Anh</v>
      </c>
      <c r="E30" s="101">
        <f>IFERROR(__xludf.DUMMYFUNCTION("""COMPUTED_VALUE"""),37865.0)</f>
        <v>37865</v>
      </c>
      <c r="F30" s="76" t="str">
        <f>IFERROR(__xludf.DUMMYFUNCTION("""COMPUTED_VALUE"""),"K27PSUDLH")</f>
        <v>K27PSUDLH</v>
      </c>
      <c r="G30" s="76" t="str">
        <f>IFERROR(__xludf.DUMMYFUNCTION("""COMPUTED_VALUE"""),"Quản trị Du lịch &amp; Nhà hàng chuẩn PSU")</f>
        <v>Quản trị Du lịch &amp; Nhà hàng chuẩn PSU</v>
      </c>
      <c r="H30" s="76" t="str">
        <f>IFERROR(__xludf.DUMMYFUNCTION("""COMPUTED_VALUE"""),"K27")</f>
        <v>K27</v>
      </c>
      <c r="I30" s="76" t="str">
        <f>IFERROR(__xludf.DUMMYFUNCTION("""COMPUTED_VALUE"""),"0398496791")</f>
        <v>0398496791</v>
      </c>
      <c r="J30" s="76">
        <f>IFERROR(__xludf.DUMMYFUNCTION("""COMPUTED_VALUE"""),2.83)</f>
        <v>2.83</v>
      </c>
      <c r="K30" s="76">
        <f>IFERROR(__xludf.DUMMYFUNCTION("""COMPUTED_VALUE"""),123.0)</f>
        <v>123</v>
      </c>
      <c r="L30" s="76" t="str">
        <f>IFERROR(__xludf.DUMMYFUNCTION("""COMPUTED_VALUE"""),"Rồi")</f>
        <v>Rồi</v>
      </c>
      <c r="M30" s="76" t="str">
        <f>IFERROR(__xludf.DUMMYFUNCTION("""COMPUTED_VALUE"""),"Thực tập tốt nghiệp, Thi tốt nghiệp")</f>
        <v>Thực tập tốt nghiệp, Thi tốt nghiệp</v>
      </c>
      <c r="N30" s="76">
        <f>IFERROR(__xludf.DUMMYFUNCTION("""COMPUTED_VALUE"""),5.0)</f>
        <v>5</v>
      </c>
      <c r="O30" s="76" t="str">
        <f>IFERROR(__xludf.DUMMYFUNCTION("""COMPUTED_VALUE"""),"cam kết")</f>
        <v>cam kết</v>
      </c>
      <c r="P30" s="76" t="str">
        <f>IFERROR(__xludf.DUMMYFUNCTION("""COMPUTED_VALUE"""),"ĐÃ NỘP")</f>
        <v>ĐÃ NỘP</v>
      </c>
      <c r="Q30" s="76"/>
      <c r="R30" s="76"/>
      <c r="S30" s="76" t="str">
        <f>IFERROR(__xludf.DUMMYFUNCTION("""COMPUTED_VALUE"""),"27/12/2024")</f>
        <v>27/12/2024</v>
      </c>
      <c r="T30" s="76"/>
      <c r="U30" s="102" t="str">
        <f>IFERROR(__xludf.DUMMYFUNCTION("""COMPUTED_VALUE"""),"Nguyễn Vũ Lan Anh")</f>
        <v>Nguyễn Vũ Lan Anh</v>
      </c>
      <c r="V30" s="76" t="str">
        <f>IFERROR(__xludf.DUMMYFUNCTION("""COMPUTED_VALUE"""),"Quản Trị Du Lịch &amp; Nhà Hàng Chuẩn PSU (Đại Học)")</f>
        <v>Quản Trị Du Lịch &amp; Nhà Hàng Chuẩn PSU (Đại Học)</v>
      </c>
      <c r="W30" s="76" t="str">
        <f>IFERROR(__xludf.DUMMYFUNCTION("""COMPUTED_VALUE"""),"Meliá Danang Beach Resort")</f>
        <v>Meliá Danang Beach Resort</v>
      </c>
      <c r="X30" s="76" t="str">
        <f>IFERROR(__xludf.DUMMYFUNCTION("""COMPUTED_VALUE"""),"Nhà hàng")</f>
        <v>Nhà hàng</v>
      </c>
      <c r="Y30" s="76" t="str">
        <f>IFERROR(__xludf.DUMMYFUNCTION("""COMPUTED_VALUE"""),"DUYỆT")</f>
        <v>DUYỆT</v>
      </c>
      <c r="Z30" s="76" t="str">
        <f>IFERROR(__xludf.DUMMYFUNCTION("""COMPUTED_VALUE"""),"KHÓA LUẬN")</f>
        <v>KHÓA LUẬN</v>
      </c>
      <c r="AA30" s="76" t="str">
        <f>IFERROR(__xludf.DUMMYFUNCTION("""COMPUTED_VALUE"""),"nguyenvulananh0502@gmail.com")</f>
        <v>nguyenvulananh0502@gmail.com</v>
      </c>
      <c r="AB30" s="76"/>
      <c r="AC30" s="76"/>
    </row>
    <row r="31">
      <c r="A31" s="100">
        <f>IFERROR(__xludf.DUMMYFUNCTION("""COMPUTED_VALUE"""),45640.42901378473)</f>
        <v>45640.42901</v>
      </c>
      <c r="B31" s="76" t="str">
        <f>IFERROR(__xludf.DUMMYFUNCTION("""COMPUTED_VALUE"""),"thuynguyen.2011001@gmail.com")</f>
        <v>thuynguyen.2011001@gmail.com</v>
      </c>
      <c r="C31" s="76">
        <f>IFERROR(__xludf.DUMMYFUNCTION("""COMPUTED_VALUE"""),2.7207101932E10)</f>
        <v>27207101932</v>
      </c>
      <c r="D31" s="76" t="str">
        <f>IFERROR(__xludf.DUMMYFUNCTION("""COMPUTED_VALUE"""),"Nguyễn Thị Diễm Thuý")</f>
        <v>Nguyễn Thị Diễm Thuý</v>
      </c>
      <c r="E31" s="101">
        <f>IFERROR(__xludf.DUMMYFUNCTION("""COMPUTED_VALUE"""),37215.0)</f>
        <v>37215</v>
      </c>
      <c r="F31" s="76" t="str">
        <f>IFERROR(__xludf.DUMMYFUNCTION("""COMPUTED_VALUE"""),"K27PSUDLK 2")</f>
        <v>K27PSUDLK 2</v>
      </c>
      <c r="G31" s="76" t="str">
        <f>IFERROR(__xludf.DUMMYFUNCTION("""COMPUTED_VALUE"""),"Quản trị Du lịch &amp; Khách sạn chuẩn PSU")</f>
        <v>Quản trị Du lịch &amp; Khách sạn chuẩn PSU</v>
      </c>
      <c r="H31" s="76" t="str">
        <f>IFERROR(__xludf.DUMMYFUNCTION("""COMPUTED_VALUE"""),"K27")</f>
        <v>K27</v>
      </c>
      <c r="I31" s="76" t="str">
        <f>IFERROR(__xludf.DUMMYFUNCTION("""COMPUTED_VALUE"""),"0387344662")</f>
        <v>0387344662</v>
      </c>
      <c r="J31" s="76">
        <f>IFERROR(__xludf.DUMMYFUNCTION("""COMPUTED_VALUE"""),3.57)</f>
        <v>3.57</v>
      </c>
      <c r="K31" s="76">
        <f>IFERROR(__xludf.DUMMYFUNCTION("""COMPUTED_VALUE"""),111.0)</f>
        <v>111</v>
      </c>
      <c r="L31" s="76" t="str">
        <f>IFERROR(__xludf.DUMMYFUNCTION("""COMPUTED_VALUE"""),"Rồi")</f>
        <v>Rồi</v>
      </c>
      <c r="M31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31" s="76">
        <f>IFERROR(__xludf.DUMMYFUNCTION("""COMPUTED_VALUE"""),15.0)</f>
        <v>15</v>
      </c>
      <c r="O31" s="76" t="str">
        <f>IFERROR(__xludf.DUMMYFUNCTION("""COMPUTED_VALUE"""),"cam kết")</f>
        <v>cam kết</v>
      </c>
      <c r="P31" s="76" t="str">
        <f>IFERROR(__xludf.DUMMYFUNCTION("""COMPUTED_VALUE"""),"ĐÃ NỘP")</f>
        <v>ĐÃ NỘP</v>
      </c>
      <c r="Q31" s="76"/>
      <c r="R31" s="76"/>
      <c r="S31" s="76" t="str">
        <f>IFERROR(__xludf.DUMMYFUNCTION("""COMPUTED_VALUE"""),"20/12/2024")</f>
        <v>20/12/2024</v>
      </c>
      <c r="T31" s="76"/>
      <c r="U31" s="102" t="str">
        <f>IFERROR(__xludf.DUMMYFUNCTION("""COMPUTED_VALUE"""),"Nguyễn Thị Diễm Thuý")</f>
        <v>Nguyễn Thị Diễm Thuý</v>
      </c>
      <c r="V31" s="76" t="str">
        <f>IFERROR(__xludf.DUMMYFUNCTION("""COMPUTED_VALUE"""),"Quản Trị Du Lịch &amp; Khách Sạn Chuẩn PSU (Đại Học)")</f>
        <v>Quản Trị Du Lịch &amp; Khách Sạn Chuẩn PSU (Đại Học)</v>
      </c>
      <c r="W31" s="76" t="str">
        <f>IFERROR(__xludf.DUMMYFUNCTION("""COMPUTED_VALUE"""),"Premier Village Danang Resort")</f>
        <v>Premier Village Danang Resort</v>
      </c>
      <c r="X31" s="76" t="str">
        <f>IFERROR(__xludf.DUMMYFUNCTION("""COMPUTED_VALUE"""),"Buồng phòng")</f>
        <v>Buồng phòng</v>
      </c>
      <c r="Y31" s="76" t="str">
        <f>IFERROR(__xludf.DUMMYFUNCTION("""COMPUTED_VALUE"""),"DUYỆT")</f>
        <v>DUYỆT</v>
      </c>
      <c r="Z31" s="76" t="str">
        <f>IFERROR(__xludf.DUMMYFUNCTION("""COMPUTED_VALUE"""),"CHUYÊN ĐỀ")</f>
        <v>CHUYÊN ĐỀ</v>
      </c>
      <c r="AA31" s="76" t="str">
        <f>IFERROR(__xludf.DUMMYFUNCTION("""COMPUTED_VALUE"""),"thuynguyen.2011001@gmail.com")</f>
        <v>thuynguyen.2011001@gmail.com</v>
      </c>
      <c r="AB31" s="76" t="str">
        <f>IFERROR(__xludf.DUMMYFUNCTION("""COMPUTED_VALUE"""),"Nguyễn Thị Diễm Thuý")</f>
        <v>Nguyễn Thị Diễm Thuý</v>
      </c>
      <c r="AC31" s="76"/>
    </row>
    <row r="32">
      <c r="A32" s="100">
        <f>IFERROR(__xludf.DUMMYFUNCTION("""COMPUTED_VALUE"""),45640.810507013884)</f>
        <v>45640.81051</v>
      </c>
      <c r="B32" s="76" t="str">
        <f>IFERROR(__xludf.DUMMYFUNCTION("""COMPUTED_VALUE"""),"trantthanhnguyet@dtu.edu.vn")</f>
        <v>trantthanhnguyet@dtu.edu.vn</v>
      </c>
      <c r="C32" s="76">
        <f>IFERROR(__xludf.DUMMYFUNCTION("""COMPUTED_VALUE"""),2.7207142484E10)</f>
        <v>27207142484</v>
      </c>
      <c r="D32" s="76" t="str">
        <f>IFERROR(__xludf.DUMMYFUNCTION("""COMPUTED_VALUE"""),"Trần Thị Thanh Nguyệt")</f>
        <v>Trần Thị Thanh Nguyệt</v>
      </c>
      <c r="E32" s="101">
        <f>IFERROR(__xludf.DUMMYFUNCTION("""COMPUTED_VALUE"""),37980.0)</f>
        <v>37980</v>
      </c>
      <c r="F32" s="76" t="str">
        <f>IFERROR(__xludf.DUMMYFUNCTION("""COMPUTED_VALUE"""),"K27PSUDLK1")</f>
        <v>K27PSUDLK1</v>
      </c>
      <c r="G32" s="76" t="str">
        <f>IFERROR(__xludf.DUMMYFUNCTION("""COMPUTED_VALUE"""),"Quản trị Du lịch &amp; Khách sạn chuẩn PSU")</f>
        <v>Quản trị Du lịch &amp; Khách sạn chuẩn PSU</v>
      </c>
      <c r="H32" s="76" t="str">
        <f>IFERROR(__xludf.DUMMYFUNCTION("""COMPUTED_VALUE"""),"K27")</f>
        <v>K27</v>
      </c>
      <c r="I32" s="76" t="str">
        <f>IFERROR(__xludf.DUMMYFUNCTION("""COMPUTED_VALUE"""),"0768557698")</f>
        <v>0768557698</v>
      </c>
      <c r="J32" s="76">
        <f>IFERROR(__xludf.DUMMYFUNCTION("""COMPUTED_VALUE"""),3.82)</f>
        <v>3.82</v>
      </c>
      <c r="K32" s="76">
        <f>IFERROR(__xludf.DUMMYFUNCTION("""COMPUTED_VALUE"""),115.0)</f>
        <v>115</v>
      </c>
      <c r="L32" s="76" t="str">
        <f>IFERROR(__xludf.DUMMYFUNCTION("""COMPUTED_VALUE"""),"Rồi")</f>
        <v>Rồi</v>
      </c>
      <c r="M32" s="76" t="str">
        <f>IFERROR(__xludf.DUMMYFUNCTION("""COMPUTED_VALUE"""),"Thực tập tốt nghiệp, Thi tốt nghiệp")</f>
        <v>Thực tập tốt nghiệp, Thi tốt nghiệp</v>
      </c>
      <c r="N32" s="76">
        <f>IFERROR(__xludf.DUMMYFUNCTION("""COMPUTED_VALUE"""),11.0)</f>
        <v>11</v>
      </c>
      <c r="O32" s="76" t="str">
        <f>IFERROR(__xludf.DUMMYFUNCTION("""COMPUTED_VALUE"""),"cam kết")</f>
        <v>cam kết</v>
      </c>
      <c r="P32" s="76" t="str">
        <f>IFERROR(__xludf.DUMMYFUNCTION("""COMPUTED_VALUE"""),"ĐÃ NỘP")</f>
        <v>ĐÃ NỘP</v>
      </c>
      <c r="Q32" s="76"/>
      <c r="R32" s="76"/>
      <c r="S32" s="76" t="str">
        <f>IFERROR(__xludf.DUMMYFUNCTION("""COMPUTED_VALUE"""),"24/12/2024")</f>
        <v>24/12/2024</v>
      </c>
      <c r="T32" s="76"/>
      <c r="U32" s="102" t="str">
        <f>IFERROR(__xludf.DUMMYFUNCTION("""COMPUTED_VALUE"""),"Trần Thị Thanh Nguyệt")</f>
        <v>Trần Thị Thanh Nguyệt</v>
      </c>
      <c r="V32" s="76" t="str">
        <f>IFERROR(__xludf.DUMMYFUNCTION("""COMPUTED_VALUE"""),"Quản Trị Du Lịch &amp; Khách Sạn Chuẩn PSU (Đại Học)")</f>
        <v>Quản Trị Du Lịch &amp; Khách Sạn Chuẩn PSU (Đại Học)</v>
      </c>
      <c r="W32" s="76" t="str">
        <f>IFERROR(__xludf.DUMMYFUNCTION("""COMPUTED_VALUE"""),"Hyatt regency DaNang Resort")</f>
        <v>Hyatt regency DaNang Resort</v>
      </c>
      <c r="X32" s="76" t="str">
        <f>IFERROR(__xludf.DUMMYFUNCTION("""COMPUTED_VALUE"""),"Nhà hàng")</f>
        <v>Nhà hàng</v>
      </c>
      <c r="Y32" s="76" t="str">
        <f>IFERROR(__xludf.DUMMYFUNCTION("""COMPUTED_VALUE"""),"DUYỆT")</f>
        <v>DUYỆT</v>
      </c>
      <c r="Z32" s="76" t="str">
        <f>IFERROR(__xludf.DUMMYFUNCTION("""COMPUTED_VALUE"""),"KHÓA LUẬN")</f>
        <v>KHÓA LUẬN</v>
      </c>
      <c r="AA32" s="76" t="str">
        <f>IFERROR(__xludf.DUMMYFUNCTION("""COMPUTED_VALUE"""),"trantthanhnguyet@dtu.edu.vn")</f>
        <v>trantthanhnguyet@dtu.edu.vn</v>
      </c>
      <c r="AB32" s="76" t="str">
        <f>IFERROR(__xludf.DUMMYFUNCTION("""COMPUTED_VALUE"""),"#N/A")</f>
        <v>#N/A</v>
      </c>
      <c r="AC32" s="76" t="str">
        <f>IFERROR(__xludf.DUMMYFUNCTION("""COMPUTED_VALUE"""),"#N/A")</f>
        <v>#N/A</v>
      </c>
    </row>
    <row r="33">
      <c r="A33" s="100">
        <f>IFERROR(__xludf.DUMMYFUNCTION("""COMPUTED_VALUE"""),45640.986591782406)</f>
        <v>45640.98659</v>
      </c>
      <c r="B33" s="76" t="str">
        <f>IFERROR(__xludf.DUMMYFUNCTION("""COMPUTED_VALUE"""),"hoyennhi136@gmail.com")</f>
        <v>hoyennhi136@gmail.com</v>
      </c>
      <c r="C33" s="76">
        <f>IFERROR(__xludf.DUMMYFUNCTION("""COMPUTED_VALUE"""),2.7207100654E10)</f>
        <v>27207100654</v>
      </c>
      <c r="D33" s="76" t="str">
        <f>IFERROR(__xludf.DUMMYFUNCTION("""COMPUTED_VALUE"""),"Hồ Yến Nhi ")</f>
        <v>Hồ Yến Nhi </v>
      </c>
      <c r="E33" s="101">
        <f>IFERROR(__xludf.DUMMYFUNCTION("""COMPUTED_VALUE"""),37785.0)</f>
        <v>37785</v>
      </c>
      <c r="F33" s="76" t="str">
        <f>IFERROR(__xludf.DUMMYFUNCTION("""COMPUTED_VALUE"""),"K27PSUDLK1")</f>
        <v>K27PSUDLK1</v>
      </c>
      <c r="G33" s="76" t="str">
        <f>IFERROR(__xludf.DUMMYFUNCTION("""COMPUTED_VALUE"""),"Quản trị Du lịch &amp; Khách sạn chuẩn PSU")</f>
        <v>Quản trị Du lịch &amp; Khách sạn chuẩn PSU</v>
      </c>
      <c r="H33" s="76" t="str">
        <f>IFERROR(__xludf.DUMMYFUNCTION("""COMPUTED_VALUE"""),"K27")</f>
        <v>K27</v>
      </c>
      <c r="I33" s="76" t="str">
        <f>IFERROR(__xludf.DUMMYFUNCTION("""COMPUTED_VALUE"""),"0933850295")</f>
        <v>0933850295</v>
      </c>
      <c r="J33" s="76">
        <f>IFERROR(__xludf.DUMMYFUNCTION("""COMPUTED_VALUE"""),2.91)</f>
        <v>2.91</v>
      </c>
      <c r="K33" s="76">
        <f>IFERROR(__xludf.DUMMYFUNCTION("""COMPUTED_VALUE"""),114.0)</f>
        <v>114</v>
      </c>
      <c r="L33" s="76" t="str">
        <f>IFERROR(__xludf.DUMMYFUNCTION("""COMPUTED_VALUE"""),"Rồi")</f>
        <v>Rồi</v>
      </c>
      <c r="M33" s="76" t="str">
        <f>IFERROR(__xludf.DUMMYFUNCTION("""COMPUTED_VALUE"""),"Thực tập tốt nghiệp, Thi tốt nghiệp")</f>
        <v>Thực tập tốt nghiệp, Thi tốt nghiệp</v>
      </c>
      <c r="N33" s="76">
        <f>IFERROR(__xludf.DUMMYFUNCTION("""COMPUTED_VALUE"""),11.0)</f>
        <v>11</v>
      </c>
      <c r="O33" s="76" t="str">
        <f>IFERROR(__xludf.DUMMYFUNCTION("""COMPUTED_VALUE"""),"cam kết")</f>
        <v>cam kết</v>
      </c>
      <c r="P33" s="76" t="str">
        <f>IFERROR(__xludf.DUMMYFUNCTION("""COMPUTED_VALUE"""),"ĐÃ NỘP")</f>
        <v>ĐÃ NỘP</v>
      </c>
      <c r="Q33" s="76"/>
      <c r="R33" s="76"/>
      <c r="S33" s="76" t="str">
        <f>IFERROR(__xludf.DUMMYFUNCTION("""COMPUTED_VALUE"""),"20/12/2024")</f>
        <v>20/12/2024</v>
      </c>
      <c r="T33" s="76"/>
      <c r="U33" s="102" t="str">
        <f>IFERROR(__xludf.DUMMYFUNCTION("""COMPUTED_VALUE"""),"Hồ Yến Nhi")</f>
        <v>Hồ Yến Nhi</v>
      </c>
      <c r="V33" s="76" t="str">
        <f>IFERROR(__xludf.DUMMYFUNCTION("""COMPUTED_VALUE"""),"Quản Trị Du Lịch &amp; Khách Sạn Chuẩn PSU (Đại Học)")</f>
        <v>Quản Trị Du Lịch &amp; Khách Sạn Chuẩn PSU (Đại Học)</v>
      </c>
      <c r="W33" s="76" t="str">
        <f>IFERROR(__xludf.DUMMYFUNCTION("""COMPUTED_VALUE"""),"Pullman Danang Beach Resort")</f>
        <v>Pullman Danang Beach Resort</v>
      </c>
      <c r="X33" s="76" t="str">
        <f>IFERROR(__xludf.DUMMYFUNCTION("""COMPUTED_VALUE"""),"Nhà hàng")</f>
        <v>Nhà hàng</v>
      </c>
      <c r="Y33" s="76" t="str">
        <f>IFERROR(__xludf.DUMMYFUNCTION("""COMPUTED_VALUE"""),"DUYỆT")</f>
        <v>DUYỆT</v>
      </c>
      <c r="Z33" s="76" t="str">
        <f>IFERROR(__xludf.DUMMYFUNCTION("""COMPUTED_VALUE"""),"CHUYÊN ĐỀ")</f>
        <v>CHUYÊN ĐỀ</v>
      </c>
      <c r="AA33" s="76" t="str">
        <f>IFERROR(__xludf.DUMMYFUNCTION("""COMPUTED_VALUE"""),"hoyennhi136@gmail.com")</f>
        <v>hoyennhi136@gmail.com</v>
      </c>
      <c r="AB33" s="76"/>
      <c r="AC33" s="76"/>
    </row>
    <row r="34">
      <c r="A34" s="100">
        <f>IFERROR(__xludf.DUMMYFUNCTION("""COMPUTED_VALUE"""),45640.82135796297)</f>
        <v>45640.82136</v>
      </c>
      <c r="B34" s="76" t="str">
        <f>IFERROR(__xludf.DUMMYFUNCTION("""COMPUTED_VALUE"""),"huynhtthanhnhan1@dtu.edu.vn")</f>
        <v>huynhtthanhnhan1@dtu.edu.vn</v>
      </c>
      <c r="C34" s="76">
        <f>IFERROR(__xludf.DUMMYFUNCTION("""COMPUTED_VALUE"""),2.7207142127E10)</f>
        <v>27207142127</v>
      </c>
      <c r="D34" s="76" t="str">
        <f>IFERROR(__xludf.DUMMYFUNCTION("""COMPUTED_VALUE"""),"Huỳnh Thị Thanh Nhàn")</f>
        <v>Huỳnh Thị Thanh Nhàn</v>
      </c>
      <c r="E34" s="101">
        <f>IFERROR(__xludf.DUMMYFUNCTION("""COMPUTED_VALUE"""),37689.0)</f>
        <v>37689</v>
      </c>
      <c r="F34" s="76" t="str">
        <f>IFERROR(__xludf.DUMMYFUNCTION("""COMPUTED_VALUE"""),"K27PSUDLK 1 ")</f>
        <v>K27PSUDLK 1 </v>
      </c>
      <c r="G34" s="76" t="str">
        <f>IFERROR(__xludf.DUMMYFUNCTION("""COMPUTED_VALUE"""),"Quản trị Du lịch &amp; Khách sạn chuẩn PSU")</f>
        <v>Quản trị Du lịch &amp; Khách sạn chuẩn PSU</v>
      </c>
      <c r="H34" s="76" t="str">
        <f>IFERROR(__xludf.DUMMYFUNCTION("""COMPUTED_VALUE"""),"K27")</f>
        <v>K27</v>
      </c>
      <c r="I34" s="76" t="str">
        <f>IFERROR(__xludf.DUMMYFUNCTION("""COMPUTED_VALUE"""),"0347291926")</f>
        <v>0347291926</v>
      </c>
      <c r="J34" s="76">
        <f>IFERROR(__xludf.DUMMYFUNCTION("""COMPUTED_VALUE"""),3.46)</f>
        <v>3.46</v>
      </c>
      <c r="K34" s="76">
        <f>IFERROR(__xludf.DUMMYFUNCTION("""COMPUTED_VALUE"""),117.0)</f>
        <v>117</v>
      </c>
      <c r="L34" s="76" t="str">
        <f>IFERROR(__xludf.DUMMYFUNCTION("""COMPUTED_VALUE"""),"Rồi")</f>
        <v>Rồi</v>
      </c>
      <c r="M34" s="76" t="str">
        <f>IFERROR(__xludf.DUMMYFUNCTION("""COMPUTED_VALUE"""),"Thực tập tốt nghiệp, Thi tốt nghiệp")</f>
        <v>Thực tập tốt nghiệp, Thi tốt nghiệp</v>
      </c>
      <c r="N34" s="76">
        <f>IFERROR(__xludf.DUMMYFUNCTION("""COMPUTED_VALUE"""),9.0)</f>
        <v>9</v>
      </c>
      <c r="O34" s="76" t="str">
        <f>IFERROR(__xludf.DUMMYFUNCTION("""COMPUTED_VALUE"""),"cam kết")</f>
        <v>cam kết</v>
      </c>
      <c r="P34" s="76" t="str">
        <f>IFERROR(__xludf.DUMMYFUNCTION("""COMPUTED_VALUE"""),"ĐÃ NỘP")</f>
        <v>ĐÃ NỘP</v>
      </c>
      <c r="Q34" s="76"/>
      <c r="R34" s="76"/>
      <c r="S34" s="76" t="str">
        <f>IFERROR(__xludf.DUMMYFUNCTION("""COMPUTED_VALUE"""),"24/12/2024")</f>
        <v>24/12/2024</v>
      </c>
      <c r="T34" s="76"/>
      <c r="U34" s="102" t="str">
        <f>IFERROR(__xludf.DUMMYFUNCTION("""COMPUTED_VALUE"""),"Huỳnh Thị Thanh Nhàn")</f>
        <v>Huỳnh Thị Thanh Nhàn</v>
      </c>
      <c r="V34" s="76" t="str">
        <f>IFERROR(__xludf.DUMMYFUNCTION("""COMPUTED_VALUE"""),"Quản Trị Du Lịch &amp; Khách Sạn Chuẩn PSU (Đại Học)")</f>
        <v>Quản Trị Du Lịch &amp; Khách Sạn Chuẩn PSU (Đại Học)</v>
      </c>
      <c r="W34" s="76" t="str">
        <f>IFERROR(__xludf.DUMMYFUNCTION("""COMPUTED_VALUE"""),"Hyatt regency DaNang Resort")</f>
        <v>Hyatt regency DaNang Resort</v>
      </c>
      <c r="X34" s="76" t="str">
        <f>IFERROR(__xludf.DUMMYFUNCTION("""COMPUTED_VALUE"""),"Nhà hàng")</f>
        <v>Nhà hàng</v>
      </c>
      <c r="Y34" s="76" t="str">
        <f>IFERROR(__xludf.DUMMYFUNCTION("""COMPUTED_VALUE"""),"DUYỆT")</f>
        <v>DUYỆT</v>
      </c>
      <c r="Z34" s="76" t="str">
        <f>IFERROR(__xludf.DUMMYFUNCTION("""COMPUTED_VALUE"""),"KHÓA LUẬN")</f>
        <v>KHÓA LUẬN</v>
      </c>
      <c r="AA34" s="76" t="str">
        <f>IFERROR(__xludf.DUMMYFUNCTION("""COMPUTED_VALUE"""),"huynhtthanhnhan1@dtu.edu.vn")</f>
        <v>huynhtthanhnhan1@dtu.edu.vn</v>
      </c>
      <c r="AB34" s="76" t="str">
        <f>IFERROR(__xludf.DUMMYFUNCTION("""COMPUTED_VALUE"""),"#N/A")</f>
        <v>#N/A</v>
      </c>
      <c r="AC34" s="76" t="str">
        <f>IFERROR(__xludf.DUMMYFUNCTION("""COMPUTED_VALUE"""),"#N/A")</f>
        <v>#N/A</v>
      </c>
    </row>
    <row r="35">
      <c r="A35" s="100">
        <f>IFERROR(__xludf.DUMMYFUNCTION("""COMPUTED_VALUE"""),45640.8458828125)</f>
        <v>45640.84588</v>
      </c>
      <c r="B35" s="76" t="str">
        <f>IFERROR(__xludf.DUMMYFUNCTION("""COMPUTED_VALUE"""),"nguyendangkhoa2102@gmail.com")</f>
        <v>nguyendangkhoa2102@gmail.com</v>
      </c>
      <c r="C35" s="76">
        <f>IFERROR(__xludf.DUMMYFUNCTION("""COMPUTED_VALUE"""),2.7213445193E10)</f>
        <v>27213445193</v>
      </c>
      <c r="D35" s="76" t="str">
        <f>IFERROR(__xludf.DUMMYFUNCTION("""COMPUTED_VALUE"""),"Nguyễn Đăng Khoa")</f>
        <v>Nguyễn Đăng Khoa</v>
      </c>
      <c r="E35" s="101">
        <f>IFERROR(__xludf.DUMMYFUNCTION("""COMPUTED_VALUE"""),37673.0)</f>
        <v>37673</v>
      </c>
      <c r="F35" s="76" t="str">
        <f>IFERROR(__xludf.DUMMYFUNCTION("""COMPUTED_VALUE"""),"K27PSUDLK 1")</f>
        <v>K27PSUDLK 1</v>
      </c>
      <c r="G35" s="76" t="str">
        <f>IFERROR(__xludf.DUMMYFUNCTION("""COMPUTED_VALUE"""),"Quản trị Du lịch &amp; Khách sạn chuẩn PSU")</f>
        <v>Quản trị Du lịch &amp; Khách sạn chuẩn PSU</v>
      </c>
      <c r="H35" s="76" t="str">
        <f>IFERROR(__xludf.DUMMYFUNCTION("""COMPUTED_VALUE"""),"K27")</f>
        <v>K27</v>
      </c>
      <c r="I35" s="76" t="str">
        <f>IFERROR(__xludf.DUMMYFUNCTION("""COMPUTED_VALUE"""),"0346822472")</f>
        <v>0346822472</v>
      </c>
      <c r="J35" s="76">
        <f>IFERROR(__xludf.DUMMYFUNCTION("""COMPUTED_VALUE"""),3.73)</f>
        <v>3.73</v>
      </c>
      <c r="K35" s="76">
        <f>IFERROR(__xludf.DUMMYFUNCTION("""COMPUTED_VALUE"""),108.0)</f>
        <v>108</v>
      </c>
      <c r="L35" s="76" t="str">
        <f>IFERROR(__xludf.DUMMYFUNCTION("""COMPUTED_VALUE"""),"Rồi")</f>
        <v>Rồi</v>
      </c>
      <c r="M35" s="76" t="str">
        <f>IFERROR(__xludf.DUMMYFUNCTION("""COMPUTED_VALUE"""),"Thực tập tốt nghiệp, Thi tốt nghiệp")</f>
        <v>Thực tập tốt nghiệp, Thi tốt nghiệp</v>
      </c>
      <c r="N35" s="76">
        <f>IFERROR(__xludf.DUMMYFUNCTION("""COMPUTED_VALUE"""),18.0)</f>
        <v>18</v>
      </c>
      <c r="O35" s="76" t="str">
        <f>IFERROR(__xludf.DUMMYFUNCTION("""COMPUTED_VALUE"""),"cam kết")</f>
        <v>cam kết</v>
      </c>
      <c r="P35" s="76" t="str">
        <f>IFERROR(__xludf.DUMMYFUNCTION("""COMPUTED_VALUE"""),"ĐÃ NỘP")</f>
        <v>ĐÃ NỘP</v>
      </c>
      <c r="Q35" s="76"/>
      <c r="R35" s="76"/>
      <c r="S35" s="76" t="str">
        <f>IFERROR(__xludf.DUMMYFUNCTION("""COMPUTED_VALUE"""),"24/12/2024")</f>
        <v>24/12/2024</v>
      </c>
      <c r="T35" s="76"/>
      <c r="U35" s="102" t="str">
        <f>IFERROR(__xludf.DUMMYFUNCTION("""COMPUTED_VALUE"""),"Nguyễn Đăng Khoa")</f>
        <v>Nguyễn Đăng Khoa</v>
      </c>
      <c r="V35" s="76" t="str">
        <f>IFERROR(__xludf.DUMMYFUNCTION("""COMPUTED_VALUE"""),"Quản Trị Du Lịch &amp; Khách Sạn Chuẩn PSU (Đại Học)")</f>
        <v>Quản Trị Du Lịch &amp; Khách Sạn Chuẩn PSU (Đại Học)</v>
      </c>
      <c r="W35" s="76" t="str">
        <f>IFERROR(__xludf.DUMMYFUNCTION("""COMPUTED_VALUE"""),"Hyatt regency DaNang Resort")</f>
        <v>Hyatt regency DaNang Resort</v>
      </c>
      <c r="X35" s="76" t="str">
        <f>IFERROR(__xludf.DUMMYFUNCTION("""COMPUTED_VALUE"""),"Tiền sảnh")</f>
        <v>Tiền sảnh</v>
      </c>
      <c r="Y35" s="76" t="str">
        <f>IFERROR(__xludf.DUMMYFUNCTION("""COMPUTED_VALUE"""),"DUYỆT")</f>
        <v>DUYỆT</v>
      </c>
      <c r="Z35" s="76" t="str">
        <f>IFERROR(__xludf.DUMMYFUNCTION("""COMPUTED_VALUE"""),"CHUYÊN ĐỀ")</f>
        <v>CHUYÊN ĐỀ</v>
      </c>
      <c r="AA35" s="76" t="str">
        <f>IFERROR(__xludf.DUMMYFUNCTION("""COMPUTED_VALUE"""),"nguyendangkhoa2102@gmail.com")</f>
        <v>nguyendangkhoa2102@gmail.com</v>
      </c>
      <c r="AB35" s="76" t="str">
        <f>IFERROR(__xludf.DUMMYFUNCTION("""COMPUTED_VALUE"""),"Nguyễn Đăng Khoa")</f>
        <v>Nguyễn Đăng Khoa</v>
      </c>
      <c r="AC35" s="76"/>
    </row>
    <row r="36">
      <c r="A36" s="100">
        <f>IFERROR(__xludf.DUMMYFUNCTION("""COMPUTED_VALUE"""),45640.84759071759)</f>
        <v>45640.84759</v>
      </c>
      <c r="B36" s="76" t="str">
        <f>IFERROR(__xludf.DUMMYFUNCTION("""COMPUTED_VALUE"""),"leny050703@gmail.com")</f>
        <v>leny050703@gmail.com</v>
      </c>
      <c r="C36" s="76">
        <f>IFERROR(__xludf.DUMMYFUNCTION("""COMPUTED_VALUE"""),2.7207130518E10)</f>
        <v>27207130518</v>
      </c>
      <c r="D36" s="76" t="str">
        <f>IFERROR(__xludf.DUMMYFUNCTION("""COMPUTED_VALUE"""),"Lê Thị Thu Ny ")</f>
        <v>Lê Thị Thu Ny </v>
      </c>
      <c r="E36" s="101">
        <f>IFERROR(__xludf.DUMMYFUNCTION("""COMPUTED_VALUE"""),37807.0)</f>
        <v>37807</v>
      </c>
      <c r="F36" s="76" t="str">
        <f>IFERROR(__xludf.DUMMYFUNCTION("""COMPUTED_VALUE"""),"K27PSUDLK 1 ")</f>
        <v>K27PSUDLK 1 </v>
      </c>
      <c r="G36" s="76" t="str">
        <f>IFERROR(__xludf.DUMMYFUNCTION("""COMPUTED_VALUE"""),"Quản trị Du lịch &amp; Khách sạn chuẩn PSU")</f>
        <v>Quản trị Du lịch &amp; Khách sạn chuẩn PSU</v>
      </c>
      <c r="H36" s="76" t="str">
        <f>IFERROR(__xludf.DUMMYFUNCTION("""COMPUTED_VALUE"""),"K27")</f>
        <v>K27</v>
      </c>
      <c r="I36" s="76" t="str">
        <f>IFERROR(__xludf.DUMMYFUNCTION("""COMPUTED_VALUE"""),"0967514570")</f>
        <v>0967514570</v>
      </c>
      <c r="J36" s="76">
        <f>IFERROR(__xludf.DUMMYFUNCTION("""COMPUTED_VALUE"""),3.17)</f>
        <v>3.17</v>
      </c>
      <c r="K36" s="76">
        <f>IFERROR(__xludf.DUMMYFUNCTION("""COMPUTED_VALUE"""),117.0)</f>
        <v>117</v>
      </c>
      <c r="L36" s="76" t="str">
        <f>IFERROR(__xludf.DUMMYFUNCTION("""COMPUTED_VALUE"""),"Rồi")</f>
        <v>Rồi</v>
      </c>
      <c r="M36" s="76" t="str">
        <f>IFERROR(__xludf.DUMMYFUNCTION("""COMPUTED_VALUE"""),"Thực tập tốt nghiệp, Thi tốt nghiệp")</f>
        <v>Thực tập tốt nghiệp, Thi tốt nghiệp</v>
      </c>
      <c r="N36" s="76">
        <f>IFERROR(__xludf.DUMMYFUNCTION("""COMPUTED_VALUE"""),9.0)</f>
        <v>9</v>
      </c>
      <c r="O36" s="76" t="str">
        <f>IFERROR(__xludf.DUMMYFUNCTION("""COMPUTED_VALUE"""),"cam kết")</f>
        <v>cam kết</v>
      </c>
      <c r="P36" s="76" t="str">
        <f>IFERROR(__xludf.DUMMYFUNCTION("""COMPUTED_VALUE"""),"ĐÃ NỘP")</f>
        <v>ĐÃ NỘP</v>
      </c>
      <c r="Q36" s="76"/>
      <c r="R36" s="76"/>
      <c r="S36" s="76" t="str">
        <f>IFERROR(__xludf.DUMMYFUNCTION("""COMPUTED_VALUE"""),"27/12/2024")</f>
        <v>27/12/2024</v>
      </c>
      <c r="T36" s="76"/>
      <c r="U36" s="102" t="str">
        <f>IFERROR(__xludf.DUMMYFUNCTION("""COMPUTED_VALUE"""),"Lê Thị Thu Ny")</f>
        <v>Lê Thị Thu Ny</v>
      </c>
      <c r="V36" s="76" t="str">
        <f>IFERROR(__xludf.DUMMYFUNCTION("""COMPUTED_VALUE"""),"Quản Trị Du Lịch &amp; Khách Sạn Chuẩn PSU (Đại Học)")</f>
        <v>Quản Trị Du Lịch &amp; Khách Sạn Chuẩn PSU (Đại Học)</v>
      </c>
      <c r="W36" s="76" t="str">
        <f>IFERROR(__xludf.DUMMYFUNCTION("""COMPUTED_VALUE"""),"Hyatt regency DaNang Resort")</f>
        <v>Hyatt regency DaNang Resort</v>
      </c>
      <c r="X36" s="76" t="str">
        <f>IFERROR(__xludf.DUMMYFUNCTION("""COMPUTED_VALUE"""),"Nhà hàng")</f>
        <v>Nhà hàng</v>
      </c>
      <c r="Y36" s="76" t="str">
        <f>IFERROR(__xludf.DUMMYFUNCTION("""COMPUTED_VALUE"""),"DUYỆT")</f>
        <v>DUYỆT</v>
      </c>
      <c r="Z36" s="76" t="str">
        <f>IFERROR(__xludf.DUMMYFUNCTION("""COMPUTED_VALUE"""),"KHÓA LUẬN")</f>
        <v>KHÓA LUẬN</v>
      </c>
      <c r="AA36" s="76" t="str">
        <f>IFERROR(__xludf.DUMMYFUNCTION("""COMPUTED_VALUE"""),"leny050703@gmail.com")</f>
        <v>leny050703@gmail.com</v>
      </c>
      <c r="AB36" s="76" t="str">
        <f>IFERROR(__xludf.DUMMYFUNCTION("""COMPUTED_VALUE"""),"#N/A")</f>
        <v>#N/A</v>
      </c>
      <c r="AC36" s="76" t="str">
        <f>IFERROR(__xludf.DUMMYFUNCTION("""COMPUTED_VALUE"""),"#N/A")</f>
        <v>#N/A</v>
      </c>
    </row>
    <row r="37">
      <c r="A37" s="100">
        <f>IFERROR(__xludf.DUMMYFUNCTION("""COMPUTED_VALUE"""),45663.584668020834)</f>
        <v>45663.58467</v>
      </c>
      <c r="B37" s="76" t="str">
        <f>IFERROR(__xludf.DUMMYFUNCTION("""COMPUTED_VALUE"""),"phanthanhuyen2003@gmail.com")</f>
        <v>phanthanhuyen2003@gmail.com</v>
      </c>
      <c r="C37" s="76">
        <f>IFERROR(__xludf.DUMMYFUNCTION("""COMPUTED_VALUE"""),2.7207101143E10)</f>
        <v>27207101143</v>
      </c>
      <c r="D37" s="76" t="str">
        <f>IFERROR(__xludf.DUMMYFUNCTION("""COMPUTED_VALUE"""),"Phan Thị Thanh Uyên")</f>
        <v>Phan Thị Thanh Uyên</v>
      </c>
      <c r="E37" s="101">
        <f>IFERROR(__xludf.DUMMYFUNCTION("""COMPUTED_VALUE"""),37785.0)</f>
        <v>37785</v>
      </c>
      <c r="F37" s="76" t="str">
        <f>IFERROR(__xludf.DUMMYFUNCTION("""COMPUTED_VALUE"""),"K27PSUDLK1")</f>
        <v>K27PSUDLK1</v>
      </c>
      <c r="G37" s="76" t="str">
        <f>IFERROR(__xludf.DUMMYFUNCTION("""COMPUTED_VALUE"""),"Quản trị Du lịch &amp; Khách sạn chuẩn PSU")</f>
        <v>Quản trị Du lịch &amp; Khách sạn chuẩn PSU</v>
      </c>
      <c r="H37" s="76" t="str">
        <f>IFERROR(__xludf.DUMMYFUNCTION("""COMPUTED_VALUE"""),"K27")</f>
        <v>K27</v>
      </c>
      <c r="I37" s="76" t="str">
        <f>IFERROR(__xludf.DUMMYFUNCTION("""COMPUTED_VALUE"""),"0386233073")</f>
        <v>0386233073</v>
      </c>
      <c r="J37" s="76">
        <f>IFERROR(__xludf.DUMMYFUNCTION("""COMPUTED_VALUE"""),3.14)</f>
        <v>3.14</v>
      </c>
      <c r="K37" s="76">
        <f>IFERROR(__xludf.DUMMYFUNCTION("""COMPUTED_VALUE"""),120.0)</f>
        <v>120</v>
      </c>
      <c r="L37" s="76" t="str">
        <f>IFERROR(__xludf.DUMMYFUNCTION("""COMPUTED_VALUE"""),"Rồi")</f>
        <v>Rồi</v>
      </c>
      <c r="M37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37" s="76">
        <f>IFERROR(__xludf.DUMMYFUNCTION("""COMPUTED_VALUE"""),7.0)</f>
        <v>7</v>
      </c>
      <c r="O37" s="76" t="str">
        <f>IFERROR(__xludf.DUMMYFUNCTION("""COMPUTED_VALUE"""),"cam kết")</f>
        <v>cam kết</v>
      </c>
      <c r="P37" s="76" t="str">
        <f>IFERROR(__xludf.DUMMYFUNCTION("""COMPUTED_VALUE"""),"ĐÃ NỘP")</f>
        <v>ĐÃ NỘP</v>
      </c>
      <c r="Q37" s="76"/>
      <c r="R37" s="76"/>
      <c r="S37" s="76" t="str">
        <f>IFERROR(__xludf.DUMMYFUNCTION("""COMPUTED_VALUE"""),"27/12/2024")</f>
        <v>27/12/2024</v>
      </c>
      <c r="T37" s="76"/>
      <c r="U37" s="102" t="str">
        <f>IFERROR(__xludf.DUMMYFUNCTION("""COMPUTED_VALUE"""),"Phan Thị Thanh Uyên")</f>
        <v>Phan Thị Thanh Uyên</v>
      </c>
      <c r="V37" s="76" t="str">
        <f>IFERROR(__xludf.DUMMYFUNCTION("""COMPUTED_VALUE"""),"Quản Trị Du Lịch &amp; Khách Sạn Chuẩn PSU (Đại Học)")</f>
        <v>Quản Trị Du Lịch &amp; Khách Sạn Chuẩn PSU (Đại Học)</v>
      </c>
      <c r="W37" s="76" t="str">
        <f>IFERROR(__xludf.DUMMYFUNCTION("""COMPUTED_VALUE"""),"Khách sạn Shilla Monogram Quangnam Danang")</f>
        <v>Khách sạn Shilla Monogram Quangnam Danang</v>
      </c>
      <c r="X37" s="76" t="str">
        <f>IFERROR(__xludf.DUMMYFUNCTION("""COMPUTED_VALUE"""),"Nhà hàng")</f>
        <v>Nhà hàng</v>
      </c>
      <c r="Y37" s="76" t="str">
        <f>IFERROR(__xludf.DUMMYFUNCTION("""COMPUTED_VALUE"""),"DUYỆT")</f>
        <v>DUYỆT</v>
      </c>
      <c r="Z37" s="76" t="str">
        <f>IFERROR(__xludf.DUMMYFUNCTION("""COMPUTED_VALUE"""),"CHUYÊN ĐỀ")</f>
        <v>CHUYÊN ĐỀ</v>
      </c>
      <c r="AA37" s="76" t="str">
        <f>IFERROR(__xludf.DUMMYFUNCTION("""COMPUTED_VALUE"""),"phanthanhuyen2003@gmail.com")</f>
        <v>phanthanhuyen2003@gmail.com</v>
      </c>
      <c r="AB37" s="76"/>
      <c r="AC37" s="76"/>
    </row>
    <row r="38">
      <c r="A38" s="100">
        <f>IFERROR(__xludf.DUMMYFUNCTION("""COMPUTED_VALUE"""),45641.95219280093)</f>
        <v>45641.95219</v>
      </c>
      <c r="B38" s="76" t="str">
        <f>IFERROR(__xludf.DUMMYFUNCTION("""COMPUTED_VALUE"""),"thaongo4002@gmail.com")</f>
        <v>thaongo4002@gmail.com</v>
      </c>
      <c r="C38" s="76">
        <f>IFERROR(__xludf.DUMMYFUNCTION("""COMPUTED_VALUE"""),2.7207152388E10)</f>
        <v>27207152388</v>
      </c>
      <c r="D38" s="76" t="str">
        <f>IFERROR(__xludf.DUMMYFUNCTION("""COMPUTED_VALUE"""),"Ngô Thị Phương Thảo")</f>
        <v>Ngô Thị Phương Thảo</v>
      </c>
      <c r="E38" s="101">
        <f>IFERROR(__xludf.DUMMYFUNCTION("""COMPUTED_VALUE"""),37755.0)</f>
        <v>37755</v>
      </c>
      <c r="F38" s="76" t="str">
        <f>IFERROR(__xludf.DUMMYFUNCTION("""COMPUTED_VALUE"""),"K27PSUDLK1")</f>
        <v>K27PSUDLK1</v>
      </c>
      <c r="G38" s="76" t="str">
        <f>IFERROR(__xludf.DUMMYFUNCTION("""COMPUTED_VALUE"""),"Quản trị Du lịch &amp; Khách sạn chuẩn PSU")</f>
        <v>Quản trị Du lịch &amp; Khách sạn chuẩn PSU</v>
      </c>
      <c r="H38" s="76" t="str">
        <f>IFERROR(__xludf.DUMMYFUNCTION("""COMPUTED_VALUE"""),"K27")</f>
        <v>K27</v>
      </c>
      <c r="I38" s="76" t="str">
        <f>IFERROR(__xludf.DUMMYFUNCTION("""COMPUTED_VALUE"""),"0347764051")</f>
        <v>0347764051</v>
      </c>
      <c r="J38" s="76">
        <f>IFERROR(__xludf.DUMMYFUNCTION("""COMPUTED_VALUE"""),3.74)</f>
        <v>3.74</v>
      </c>
      <c r="K38" s="76">
        <f>IFERROR(__xludf.DUMMYFUNCTION("""COMPUTED_VALUE"""),117.0)</f>
        <v>117</v>
      </c>
      <c r="L38" s="76" t="str">
        <f>IFERROR(__xludf.DUMMYFUNCTION("""COMPUTED_VALUE"""),"Rồi")</f>
        <v>Rồi</v>
      </c>
      <c r="M38" s="76" t="str">
        <f>IFERROR(__xludf.DUMMYFUNCTION("""COMPUTED_VALUE"""),"Thực tập tốt nghiệp, Thi tốt nghiệp")</f>
        <v>Thực tập tốt nghiệp, Thi tốt nghiệp</v>
      </c>
      <c r="N38" s="76">
        <f>IFERROR(__xludf.DUMMYFUNCTION("""COMPUTED_VALUE"""),9.0)</f>
        <v>9</v>
      </c>
      <c r="O38" s="76" t="str">
        <f>IFERROR(__xludf.DUMMYFUNCTION("""COMPUTED_VALUE"""),"cam kết")</f>
        <v>cam kết</v>
      </c>
      <c r="P38" s="76" t="str">
        <f>IFERROR(__xludf.DUMMYFUNCTION("""COMPUTED_VALUE"""),"ĐÃ NỘP")</f>
        <v>ĐÃ NỘP</v>
      </c>
      <c r="Q38" s="76"/>
      <c r="R38" s="76"/>
      <c r="S38" s="76" t="str">
        <f>IFERROR(__xludf.DUMMYFUNCTION("""COMPUTED_VALUE"""),"27/12/2024")</f>
        <v>27/12/2024</v>
      </c>
      <c r="T38" s="76"/>
      <c r="U38" s="102" t="str">
        <f>IFERROR(__xludf.DUMMYFUNCTION("""COMPUTED_VALUE"""),"Ngô Thị Phương Thảo")</f>
        <v>Ngô Thị Phương Thảo</v>
      </c>
      <c r="V38" s="76" t="str">
        <f>IFERROR(__xludf.DUMMYFUNCTION("""COMPUTED_VALUE"""),"Quản Trị Du Lịch &amp; Khách Sạn Chuẩn PSU (Đại Học)")</f>
        <v>Quản Trị Du Lịch &amp; Khách Sạn Chuẩn PSU (Đại Học)</v>
      </c>
      <c r="W38" s="76" t="str">
        <f>IFERROR(__xludf.DUMMYFUNCTION("""COMPUTED_VALUE"""),"Hyatt regency DaNang Resort")</f>
        <v>Hyatt regency DaNang Resort</v>
      </c>
      <c r="X38" s="76" t="str">
        <f>IFERROR(__xludf.DUMMYFUNCTION("""COMPUTED_VALUE"""),"Nhà hàng")</f>
        <v>Nhà hàng</v>
      </c>
      <c r="Y38" s="76" t="str">
        <f>IFERROR(__xludf.DUMMYFUNCTION("""COMPUTED_VALUE"""),"DUYỆT")</f>
        <v>DUYỆT</v>
      </c>
      <c r="Z38" s="76" t="str">
        <f>IFERROR(__xludf.DUMMYFUNCTION("""COMPUTED_VALUE"""),"KHÓA LUẬN")</f>
        <v>KHÓA LUẬN</v>
      </c>
      <c r="AA38" s="76" t="str">
        <f>IFERROR(__xludf.DUMMYFUNCTION("""COMPUTED_VALUE"""),"thaongo4002@gmail.com")</f>
        <v>thaongo4002@gmail.com</v>
      </c>
      <c r="AB38" s="76" t="str">
        <f>IFERROR(__xludf.DUMMYFUNCTION("""COMPUTED_VALUE"""),"#N/A")</f>
        <v>#N/A</v>
      </c>
      <c r="AC38" s="76" t="str">
        <f>IFERROR(__xludf.DUMMYFUNCTION("""COMPUTED_VALUE"""),"#N/A")</f>
        <v>#N/A</v>
      </c>
    </row>
    <row r="39">
      <c r="A39" s="100">
        <f>IFERROR(__xludf.DUMMYFUNCTION("""COMPUTED_VALUE"""),45652.35514907408)</f>
        <v>45652.35515</v>
      </c>
      <c r="B39" s="76" t="str">
        <f>IFERROR(__xludf.DUMMYFUNCTION("""COMPUTED_VALUE"""),"dangthituyettrinh129@gmail.com")</f>
        <v>dangthituyettrinh129@gmail.com</v>
      </c>
      <c r="C39" s="76">
        <f>IFERROR(__xludf.DUMMYFUNCTION("""COMPUTED_VALUE"""),2.7202124339E10)</f>
        <v>27202124339</v>
      </c>
      <c r="D39" s="76" t="str">
        <f>IFERROR(__xludf.DUMMYFUNCTION("""COMPUTED_VALUE"""),"Đặng Thị Tuyết Trinh ")</f>
        <v>Đặng Thị Tuyết Trinh </v>
      </c>
      <c r="E39" s="101">
        <f>IFERROR(__xludf.DUMMYFUNCTION("""COMPUTED_VALUE"""),37650.0)</f>
        <v>37650</v>
      </c>
      <c r="F39" s="76" t="str">
        <f>IFERROR(__xludf.DUMMYFUNCTION("""COMPUTED_VALUE"""),"K27DLK7")</f>
        <v>K27DLK7</v>
      </c>
      <c r="G39" s="76" t="str">
        <f>IFERROR(__xludf.DUMMYFUNCTION("""COMPUTED_VALUE"""),"Quản trị Du lịch &amp; Khách sạn")</f>
        <v>Quản trị Du lịch &amp; Khách sạn</v>
      </c>
      <c r="H39" s="76" t="str">
        <f>IFERROR(__xludf.DUMMYFUNCTION("""COMPUTED_VALUE"""),"K27")</f>
        <v>K27</v>
      </c>
      <c r="I39" s="76" t="str">
        <f>IFERROR(__xludf.DUMMYFUNCTION("""COMPUTED_VALUE"""),"0983062403")</f>
        <v>0983062403</v>
      </c>
      <c r="J39" s="76">
        <f>IFERROR(__xludf.DUMMYFUNCTION("""COMPUTED_VALUE"""),3.29)</f>
        <v>3.29</v>
      </c>
      <c r="K39" s="76">
        <f>IFERROR(__xludf.DUMMYFUNCTION("""COMPUTED_VALUE"""),122.0)</f>
        <v>122</v>
      </c>
      <c r="L39" s="76" t="str">
        <f>IFERROR(__xludf.DUMMYFUNCTION("""COMPUTED_VALUE"""),"Rồi")</f>
        <v>Rồi</v>
      </c>
      <c r="M39" s="76" t="str">
        <f>IFERROR(__xludf.DUMMYFUNCTION("""COMPUTED_VALUE"""),"Thực tập tốt nghiệp, Thi tốt nghiệp")</f>
        <v>Thực tập tốt nghiệp, Thi tốt nghiệp</v>
      </c>
      <c r="N39" s="76">
        <f>IFERROR(__xludf.DUMMYFUNCTION("""COMPUTED_VALUE"""),9.0)</f>
        <v>9</v>
      </c>
      <c r="O39" s="76" t="str">
        <f>IFERROR(__xludf.DUMMYFUNCTION("""COMPUTED_VALUE"""),"cam kết")</f>
        <v>cam kết</v>
      </c>
      <c r="P39" s="76" t="str">
        <f>IFERROR(__xludf.DUMMYFUNCTION("""COMPUTED_VALUE"""),"CHƯA NỘP")</f>
        <v>CHƯA NỘP</v>
      </c>
      <c r="Q39" s="76"/>
      <c r="R39" s="76"/>
      <c r="S39" s="76" t="str">
        <f>IFERROR(__xludf.DUMMYFUNCTION("""COMPUTED_VALUE"""),"27/12/2024")</f>
        <v>27/12/2024</v>
      </c>
      <c r="T39" s="76"/>
      <c r="U39" s="102" t="str">
        <f>IFERROR(__xludf.DUMMYFUNCTION("""COMPUTED_VALUE"""),"Đặng Thị Tuyết Trinh")</f>
        <v>Đặng Thị Tuyết Trinh</v>
      </c>
      <c r="V39" s="76" t="str">
        <f>IFERROR(__xludf.DUMMYFUNCTION("""COMPUTED_VALUE"""),"Quản Trị Khách Sạn &amp; Nhà Hàng (Đại Học)")</f>
        <v>Quản Trị Khách Sạn &amp; Nhà Hàng (Đại Học)</v>
      </c>
      <c r="W39" s="76" t="str">
        <f>IFERROR(__xludf.DUMMYFUNCTION("""COMPUTED_VALUE"""),"Khách sạn Avatar Đà Nẵng")</f>
        <v>Khách sạn Avatar Đà Nẵng</v>
      </c>
      <c r="X39" s="76" t="str">
        <f>IFERROR(__xludf.DUMMYFUNCTION("""COMPUTED_VALUE"""),"Buồng phòng")</f>
        <v>Buồng phòng</v>
      </c>
      <c r="Y39" s="76" t="str">
        <f>IFERROR(__xludf.DUMMYFUNCTION("""COMPUTED_VALUE"""),"DUYỆT")</f>
        <v>DUYỆT</v>
      </c>
      <c r="Z39" s="76" t="str">
        <f>IFERROR(__xludf.DUMMYFUNCTION("""COMPUTED_VALUE"""),"CHUYÊN ĐỀ")</f>
        <v>CHUYÊN ĐỀ</v>
      </c>
      <c r="AA39" s="76" t="str">
        <f>IFERROR(__xludf.DUMMYFUNCTION("""COMPUTED_VALUE"""),"dangthituyettrinh129@gmail.com")</f>
        <v>dangthituyettrinh129@gmail.com</v>
      </c>
      <c r="AB39" s="76" t="str">
        <f>IFERROR(__xludf.DUMMYFUNCTION("""COMPUTED_VALUE"""),"Đặng Thị Tuyết Trinh ")</f>
        <v>Đặng Thị Tuyết Trinh </v>
      </c>
      <c r="AC39" s="76" t="str">
        <f>IFERROR(__xludf.DUMMYFUNCTION("""COMPUTED_VALUE"""),"ĐÃ NỘP")</f>
        <v>ĐÃ NỘP</v>
      </c>
    </row>
    <row r="40">
      <c r="A40" s="100">
        <f>IFERROR(__xludf.DUMMYFUNCTION("""COMPUTED_VALUE"""),45642.43349538195)</f>
        <v>45642.4335</v>
      </c>
      <c r="B40" s="76" t="str">
        <f>IFERROR(__xludf.DUMMYFUNCTION("""COMPUTED_VALUE"""),"kieudiemahihi@gmail.com")</f>
        <v>kieudiemahihi@gmail.com</v>
      </c>
      <c r="C40" s="76">
        <f>IFERROR(__xludf.DUMMYFUNCTION("""COMPUTED_VALUE"""),2.7207128646E10)</f>
        <v>27207128646</v>
      </c>
      <c r="D40" s="76" t="str">
        <f>IFERROR(__xludf.DUMMYFUNCTION("""COMPUTED_VALUE"""),"Nguyễn Thị Kiều Diễm")</f>
        <v>Nguyễn Thị Kiều Diễm</v>
      </c>
      <c r="E40" s="101">
        <f>IFERROR(__xludf.DUMMYFUNCTION("""COMPUTED_VALUE"""),37968.0)</f>
        <v>37968</v>
      </c>
      <c r="F40" s="76" t="str">
        <f>IFERROR(__xludf.DUMMYFUNCTION("""COMPUTED_VALUE"""),"K27 PSU-DLK1")</f>
        <v>K27 PSU-DLK1</v>
      </c>
      <c r="G40" s="76" t="str">
        <f>IFERROR(__xludf.DUMMYFUNCTION("""COMPUTED_VALUE"""),"Quản trị Du lịch &amp; Khách sạn chuẩn PSU")</f>
        <v>Quản trị Du lịch &amp; Khách sạn chuẩn PSU</v>
      </c>
      <c r="H40" s="76" t="str">
        <f>IFERROR(__xludf.DUMMYFUNCTION("""COMPUTED_VALUE"""),"K27")</f>
        <v>K27</v>
      </c>
      <c r="I40" s="76" t="str">
        <f>IFERROR(__xludf.DUMMYFUNCTION("""COMPUTED_VALUE"""),"0944066871")</f>
        <v>0944066871</v>
      </c>
      <c r="J40" s="76">
        <f>IFERROR(__xludf.DUMMYFUNCTION("""COMPUTED_VALUE"""),2.94)</f>
        <v>2.94</v>
      </c>
      <c r="K40" s="76">
        <f>IFERROR(__xludf.DUMMYFUNCTION("""COMPUTED_VALUE"""),112.0)</f>
        <v>112</v>
      </c>
      <c r="L40" s="76" t="str">
        <f>IFERROR(__xludf.DUMMYFUNCTION("""COMPUTED_VALUE"""),"Rồi")</f>
        <v>Rồi</v>
      </c>
      <c r="M40" s="76" t="str">
        <f>IFERROR(__xludf.DUMMYFUNCTION("""COMPUTED_VALUE"""),"Thực tập tốt nghiệp, Thi tốt nghiệp")</f>
        <v>Thực tập tốt nghiệp, Thi tốt nghiệp</v>
      </c>
      <c r="N40" s="76">
        <f>IFERROR(__xludf.DUMMYFUNCTION("""COMPUTED_VALUE"""),14.0)</f>
        <v>14</v>
      </c>
      <c r="O40" s="76" t="str">
        <f>IFERROR(__xludf.DUMMYFUNCTION("""COMPUTED_VALUE"""),"cam kết")</f>
        <v>cam kết</v>
      </c>
      <c r="P40" s="76" t="str">
        <f>IFERROR(__xludf.DUMMYFUNCTION("""COMPUTED_VALUE"""),"ĐÃ NỘP")</f>
        <v>ĐÃ NỘP</v>
      </c>
      <c r="Q40" s="76"/>
      <c r="R40" s="76"/>
      <c r="S40" s="76" t="str">
        <f>IFERROR(__xludf.DUMMYFUNCTION("""COMPUTED_VALUE"""),"20/12/2024")</f>
        <v>20/12/2024</v>
      </c>
      <c r="T40" s="76"/>
      <c r="U40" s="102" t="str">
        <f>IFERROR(__xludf.DUMMYFUNCTION("""COMPUTED_VALUE"""),"Nguyễn Thị Kiều Diễm")</f>
        <v>Nguyễn Thị Kiều Diễm</v>
      </c>
      <c r="V40" s="76" t="str">
        <f>IFERROR(__xludf.DUMMYFUNCTION("""COMPUTED_VALUE"""),"Quản Trị Du Lịch &amp; Khách Sạn Chuẩn PSU (Đại Học)")</f>
        <v>Quản Trị Du Lịch &amp; Khách Sạn Chuẩn PSU (Đại Học)</v>
      </c>
      <c r="W40" s="76" t="str">
        <f>IFERROR(__xludf.DUMMYFUNCTION("""COMPUTED_VALUE"""),"Premier Village Danang Resort")</f>
        <v>Premier Village Danang Resort</v>
      </c>
      <c r="X40" s="76" t="str">
        <f>IFERROR(__xludf.DUMMYFUNCTION("""COMPUTED_VALUE"""),"Nhà hàng")</f>
        <v>Nhà hàng</v>
      </c>
      <c r="Y40" s="76" t="str">
        <f>IFERROR(__xludf.DUMMYFUNCTION("""COMPUTED_VALUE"""),"DUYỆT")</f>
        <v>DUYỆT</v>
      </c>
      <c r="Z40" s="76" t="str">
        <f>IFERROR(__xludf.DUMMYFUNCTION("""COMPUTED_VALUE"""),"CHUYÊN ĐỀ")</f>
        <v>CHUYÊN ĐỀ</v>
      </c>
      <c r="AA40" s="76" t="str">
        <f>IFERROR(__xludf.DUMMYFUNCTION("""COMPUTED_VALUE"""),"kieudiemahihi@gmail.com")</f>
        <v>kieudiemahihi@gmail.com</v>
      </c>
      <c r="AB40" s="76"/>
      <c r="AC40" s="76"/>
    </row>
    <row r="41">
      <c r="A41" s="100">
        <f>IFERROR(__xludf.DUMMYFUNCTION("""COMPUTED_VALUE"""),45642.6555650463)</f>
        <v>45642.65557</v>
      </c>
      <c r="B41" s="76" t="str">
        <f>IFERROR(__xludf.DUMMYFUNCTION("""COMPUTED_VALUE"""),"nguyenngocthach0718@gmail.com")</f>
        <v>nguyenngocthach0718@gmail.com</v>
      </c>
      <c r="C41" s="76">
        <f>IFERROR(__xludf.DUMMYFUNCTION("""COMPUTED_VALUE"""),2.7217140882E10)</f>
        <v>27217140882</v>
      </c>
      <c r="D41" s="76" t="str">
        <f>IFERROR(__xludf.DUMMYFUNCTION("""COMPUTED_VALUE"""),"Nguyễn Ngọc Thạch")</f>
        <v>Nguyễn Ngọc Thạch</v>
      </c>
      <c r="E41" s="101">
        <f>IFERROR(__xludf.DUMMYFUNCTION("""COMPUTED_VALUE"""),37912.0)</f>
        <v>37912</v>
      </c>
      <c r="F41" s="76" t="str">
        <f>IFERROR(__xludf.DUMMYFUNCTION("""COMPUTED_VALUE"""),"K27PSUDLH")</f>
        <v>K27PSUDLH</v>
      </c>
      <c r="G41" s="76" t="str">
        <f>IFERROR(__xludf.DUMMYFUNCTION("""COMPUTED_VALUE"""),"Quản trị Du lịch &amp; Nhà hàng chuẩn PSU")</f>
        <v>Quản trị Du lịch &amp; Nhà hàng chuẩn PSU</v>
      </c>
      <c r="H41" s="76" t="str">
        <f>IFERROR(__xludf.DUMMYFUNCTION("""COMPUTED_VALUE"""),"K27")</f>
        <v>K27</v>
      </c>
      <c r="I41" s="76" t="str">
        <f>IFERROR(__xludf.DUMMYFUNCTION("""COMPUTED_VALUE"""),"0345546330")</f>
        <v>0345546330</v>
      </c>
      <c r="J41" s="76">
        <f>IFERROR(__xludf.DUMMYFUNCTION("""COMPUTED_VALUE"""),3.04)</f>
        <v>3.04</v>
      </c>
      <c r="K41" s="76">
        <f>IFERROR(__xludf.DUMMYFUNCTION("""COMPUTED_VALUE"""),122.0)</f>
        <v>122</v>
      </c>
      <c r="L41" s="76" t="str">
        <f>IFERROR(__xludf.DUMMYFUNCTION("""COMPUTED_VALUE"""),"Rồi")</f>
        <v>Rồi</v>
      </c>
      <c r="M41" s="76" t="str">
        <f>IFERROR(__xludf.DUMMYFUNCTION("""COMPUTED_VALUE"""),"Thực tập tốt nghiệp")</f>
        <v>Thực tập tốt nghiệp</v>
      </c>
      <c r="N41" s="76">
        <f>IFERROR(__xludf.DUMMYFUNCTION("""COMPUTED_VALUE"""),3.0)</f>
        <v>3</v>
      </c>
      <c r="O41" s="76" t="str">
        <f>IFERROR(__xludf.DUMMYFUNCTION("""COMPUTED_VALUE"""),"cam kết")</f>
        <v>cam kết</v>
      </c>
      <c r="P41" s="76" t="str">
        <f>IFERROR(__xludf.DUMMYFUNCTION("""COMPUTED_VALUE"""),"ĐÃ NỘP")</f>
        <v>ĐÃ NỘP</v>
      </c>
      <c r="Q41" s="76"/>
      <c r="R41" s="76"/>
      <c r="S41" s="76" t="str">
        <f>IFERROR(__xludf.DUMMYFUNCTION("""COMPUTED_VALUE"""),"27/12/2024")</f>
        <v>27/12/2024</v>
      </c>
      <c r="T41" s="76"/>
      <c r="U41" s="102" t="str">
        <f>IFERROR(__xludf.DUMMYFUNCTION("""COMPUTED_VALUE"""),"Nguyễn Ngọc Thạch")</f>
        <v>Nguyễn Ngọc Thạch</v>
      </c>
      <c r="V41" s="76" t="str">
        <f>IFERROR(__xludf.DUMMYFUNCTION("""COMPUTED_VALUE"""),"Quản Trị Du Lịch &amp; Nhà Hàng Chuẩn PSU (Đại Học)")</f>
        <v>Quản Trị Du Lịch &amp; Nhà Hàng Chuẩn PSU (Đại Học)</v>
      </c>
      <c r="W41" s="76" t="str">
        <f>IFERROR(__xludf.DUMMYFUNCTION("""COMPUTED_VALUE"""),"Meliá Danang Beach Resort")</f>
        <v>Meliá Danang Beach Resort</v>
      </c>
      <c r="X41" s="76" t="str">
        <f>IFERROR(__xludf.DUMMYFUNCTION("""COMPUTED_VALUE"""),"Bếp")</f>
        <v>Bếp</v>
      </c>
      <c r="Y41" s="76" t="str">
        <f>IFERROR(__xludf.DUMMYFUNCTION("""COMPUTED_VALUE"""),"DUYỆT")</f>
        <v>DUYỆT</v>
      </c>
      <c r="Z41" s="76" t="str">
        <f>IFERROR(__xludf.DUMMYFUNCTION("""COMPUTED_VALUE"""),"KHÓA LUẬN")</f>
        <v>KHÓA LUẬN</v>
      </c>
      <c r="AA41" s="76" t="str">
        <f>IFERROR(__xludf.DUMMYFUNCTION("""COMPUTED_VALUE"""),"nguyenngocthach0718@gmail.com")</f>
        <v>nguyenngocthach0718@gmail.com</v>
      </c>
      <c r="AB41" s="76"/>
      <c r="AC41" s="76"/>
    </row>
    <row r="42">
      <c r="A42" s="100">
        <f>IFERROR(__xludf.DUMMYFUNCTION("""COMPUTED_VALUE"""),45642.968935729165)</f>
        <v>45642.96894</v>
      </c>
      <c r="B42" s="76" t="str">
        <f>IFERROR(__xludf.DUMMYFUNCTION("""COMPUTED_VALUE"""),"thanhthao260923@gmail.com")</f>
        <v>thanhthao260923@gmail.com</v>
      </c>
      <c r="C42" s="76">
        <f>IFERROR(__xludf.DUMMYFUNCTION("""COMPUTED_VALUE"""),2.7207142387E10)</f>
        <v>27207142387</v>
      </c>
      <c r="D42" s="76" t="str">
        <f>IFERROR(__xludf.DUMMYFUNCTION("""COMPUTED_VALUE"""),"Hoàng Thị Thanh Thảo")</f>
        <v>Hoàng Thị Thanh Thảo</v>
      </c>
      <c r="E42" s="101">
        <f>IFERROR(__xludf.DUMMYFUNCTION("""COMPUTED_VALUE"""),37890.0)</f>
        <v>37890</v>
      </c>
      <c r="F42" s="76" t="str">
        <f>IFERROR(__xludf.DUMMYFUNCTION("""COMPUTED_VALUE"""),"K27PSUDLK1")</f>
        <v>K27PSUDLK1</v>
      </c>
      <c r="G42" s="76" t="str">
        <f>IFERROR(__xludf.DUMMYFUNCTION("""COMPUTED_VALUE"""),"Quản trị Du lịch &amp; Khách sạn chuẩn PSU")</f>
        <v>Quản trị Du lịch &amp; Khách sạn chuẩn PSU</v>
      </c>
      <c r="H42" s="76" t="str">
        <f>IFERROR(__xludf.DUMMYFUNCTION("""COMPUTED_VALUE"""),"K27")</f>
        <v>K27</v>
      </c>
      <c r="I42" s="76" t="str">
        <f>IFERROR(__xludf.DUMMYFUNCTION("""COMPUTED_VALUE"""),"0792659443")</f>
        <v>0792659443</v>
      </c>
      <c r="J42" s="76">
        <f>IFERROR(__xludf.DUMMYFUNCTION("""COMPUTED_VALUE"""),3.2)</f>
        <v>3.2</v>
      </c>
      <c r="K42" s="76">
        <f>IFERROR(__xludf.DUMMYFUNCTION("""COMPUTED_VALUE"""),120.0)</f>
        <v>120</v>
      </c>
      <c r="L42" s="76" t="str">
        <f>IFERROR(__xludf.DUMMYFUNCTION("""COMPUTED_VALUE"""),"Rồi")</f>
        <v>Rồi</v>
      </c>
      <c r="M42" s="76" t="str">
        <f>IFERROR(__xludf.DUMMYFUNCTION("""COMPUTED_VALUE"""),"Thực tập tốt nghiệp, Thi tốt nghiệp")</f>
        <v>Thực tập tốt nghiệp, Thi tốt nghiệp</v>
      </c>
      <c r="N42" s="76">
        <f>IFERROR(__xludf.DUMMYFUNCTION("""COMPUTED_VALUE"""),6.0)</f>
        <v>6</v>
      </c>
      <c r="O42" s="76" t="str">
        <f>IFERROR(__xludf.DUMMYFUNCTION("""COMPUTED_VALUE"""),"cam kết")</f>
        <v>cam kết</v>
      </c>
      <c r="P42" s="76" t="str">
        <f>IFERROR(__xludf.DUMMYFUNCTION("""COMPUTED_VALUE"""),"ĐÃ NỘP")</f>
        <v>ĐÃ NỘP</v>
      </c>
      <c r="Q42" s="76"/>
      <c r="R42" s="76"/>
      <c r="S42" s="76" t="str">
        <f>IFERROR(__xludf.DUMMYFUNCTION("""COMPUTED_VALUE"""),"27/12/2024")</f>
        <v>27/12/2024</v>
      </c>
      <c r="T42" s="76"/>
      <c r="U42" s="102" t="str">
        <f>IFERROR(__xludf.DUMMYFUNCTION("""COMPUTED_VALUE"""),"Hoàng Thị Thanh Thảo")</f>
        <v>Hoàng Thị Thanh Thảo</v>
      </c>
      <c r="V42" s="76" t="str">
        <f>IFERROR(__xludf.DUMMYFUNCTION("""COMPUTED_VALUE"""),"Quản Trị Du Lịch &amp; Khách Sạn Chuẩn PSU (Đại Học)")</f>
        <v>Quản Trị Du Lịch &amp; Khách Sạn Chuẩn PSU (Đại Học)</v>
      </c>
      <c r="W42" s="76" t="str">
        <f>IFERROR(__xludf.DUMMYFUNCTION("""COMPUTED_VALUE"""),"Khách sạn Shilla Monogram Quangnam Danang")</f>
        <v>Khách sạn Shilla Monogram Quangnam Danang</v>
      </c>
      <c r="X42" s="76" t="str">
        <f>IFERROR(__xludf.DUMMYFUNCTION("""COMPUTED_VALUE"""),"Nhà hàng")</f>
        <v>Nhà hàng</v>
      </c>
      <c r="Y42" s="76" t="str">
        <f>IFERROR(__xludf.DUMMYFUNCTION("""COMPUTED_VALUE"""),"DUYỆT")</f>
        <v>DUYỆT</v>
      </c>
      <c r="Z42" s="76" t="str">
        <f>IFERROR(__xludf.DUMMYFUNCTION("""COMPUTED_VALUE"""),"CHUYÊN ĐỀ")</f>
        <v>CHUYÊN ĐỀ</v>
      </c>
      <c r="AA42" s="76" t="str">
        <f>IFERROR(__xludf.DUMMYFUNCTION("""COMPUTED_VALUE"""),"thanhthao260923@gmail.com")</f>
        <v>thanhthao260923@gmail.com</v>
      </c>
      <c r="AB42" s="76"/>
      <c r="AC42" s="76"/>
    </row>
    <row r="43">
      <c r="A43" s="100">
        <f>IFERROR(__xludf.DUMMYFUNCTION("""COMPUTED_VALUE"""),45651.710108784726)</f>
        <v>45651.71011</v>
      </c>
      <c r="B43" s="76" t="str">
        <f>IFERROR(__xludf.DUMMYFUNCTION("""COMPUTED_VALUE"""),"trieuducmanh003@gmail.com")</f>
        <v>trieuducmanh003@gmail.com</v>
      </c>
      <c r="C43" s="76">
        <f>IFERROR(__xludf.DUMMYFUNCTION("""COMPUTED_VALUE"""),2.7217136125E10)</f>
        <v>27217136125</v>
      </c>
      <c r="D43" s="76" t="str">
        <f>IFERROR(__xludf.DUMMYFUNCTION("""COMPUTED_VALUE"""),"Triệu Đức Mạnh")</f>
        <v>Triệu Đức Mạnh</v>
      </c>
      <c r="E43" s="101">
        <f>IFERROR(__xludf.DUMMYFUNCTION("""COMPUTED_VALUE"""),37721.0)</f>
        <v>37721</v>
      </c>
      <c r="F43" s="76" t="str">
        <f>IFERROR(__xludf.DUMMYFUNCTION("""COMPUTED_VALUE"""),"K27DLK3")</f>
        <v>K27DLK3</v>
      </c>
      <c r="G43" s="76" t="str">
        <f>IFERROR(__xludf.DUMMYFUNCTION("""COMPUTED_VALUE"""),"Quản trị Du lịch &amp; Khách sạn")</f>
        <v>Quản trị Du lịch &amp; Khách sạn</v>
      </c>
      <c r="H43" s="76" t="str">
        <f>IFERROR(__xludf.DUMMYFUNCTION("""COMPUTED_VALUE"""),"K27")</f>
        <v>K27</v>
      </c>
      <c r="I43" s="76" t="str">
        <f>IFERROR(__xludf.DUMMYFUNCTION("""COMPUTED_VALUE"""),"0935970825")</f>
        <v>0935970825</v>
      </c>
      <c r="J43" s="76">
        <f>IFERROR(__xludf.DUMMYFUNCTION("""COMPUTED_VALUE"""),3.16)</f>
        <v>3.16</v>
      </c>
      <c r="K43" s="76">
        <f>IFERROR(__xludf.DUMMYFUNCTION("""COMPUTED_VALUE"""),117.0)</f>
        <v>117</v>
      </c>
      <c r="L43" s="76" t="str">
        <f>IFERROR(__xludf.DUMMYFUNCTION("""COMPUTED_VALUE"""),"Rồi")</f>
        <v>Rồi</v>
      </c>
      <c r="M43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43" s="76">
        <f>IFERROR(__xludf.DUMMYFUNCTION("""COMPUTED_VALUE"""),7.0)</f>
        <v>7</v>
      </c>
      <c r="O43" s="76" t="str">
        <f>IFERROR(__xludf.DUMMYFUNCTION("""COMPUTED_VALUE"""),"cam kết")</f>
        <v>cam kết</v>
      </c>
      <c r="P43" s="76" t="str">
        <f>IFERROR(__xludf.DUMMYFUNCTION("""COMPUTED_VALUE"""),"ĐÃ NỘP")</f>
        <v>ĐÃ NỘP</v>
      </c>
      <c r="Q43" s="76"/>
      <c r="R43" s="76"/>
      <c r="S43" s="76" t="str">
        <f>IFERROR(__xludf.DUMMYFUNCTION("""COMPUTED_VALUE"""),"20/12/2024")</f>
        <v>20/12/2024</v>
      </c>
      <c r="T43" s="76"/>
      <c r="U43" s="102" t="str">
        <f>IFERROR(__xludf.DUMMYFUNCTION("""COMPUTED_VALUE"""),"Triệu Đức Mạnh")</f>
        <v>Triệu Đức Mạnh</v>
      </c>
      <c r="V43" s="76" t="str">
        <f>IFERROR(__xludf.DUMMYFUNCTION("""COMPUTED_VALUE"""),"Quản Trị Khách Sạn &amp; Nhà Hàng (Đại Học)")</f>
        <v>Quản Trị Khách Sạn &amp; Nhà Hàng (Đại Học)</v>
      </c>
      <c r="W43" s="76" t="str">
        <f>IFERROR(__xludf.DUMMYFUNCTION("""COMPUTED_VALUE"""),"DLG Hotel DaNang")</f>
        <v>DLG Hotel DaNang</v>
      </c>
      <c r="X43" s="76" t="str">
        <f>IFERROR(__xludf.DUMMYFUNCTION("""COMPUTED_VALUE"""),"Buồng phòng")</f>
        <v>Buồng phòng</v>
      </c>
      <c r="Y43" s="76" t="str">
        <f>IFERROR(__xludf.DUMMYFUNCTION("""COMPUTED_VALUE"""),"DUYỆT")</f>
        <v>DUYỆT</v>
      </c>
      <c r="Z43" s="76" t="str">
        <f>IFERROR(__xludf.DUMMYFUNCTION("""COMPUTED_VALUE"""),"CHUYÊN ĐỀ")</f>
        <v>CHUYÊN ĐỀ</v>
      </c>
      <c r="AA43" s="76" t="str">
        <f>IFERROR(__xludf.DUMMYFUNCTION("""COMPUTED_VALUE"""),"trieuducmanh003@gmail.com")</f>
        <v>trieuducmanh003@gmail.com</v>
      </c>
      <c r="AB43" s="76"/>
      <c r="AC43" s="76"/>
    </row>
    <row r="44">
      <c r="A44" s="100">
        <f>IFERROR(__xludf.DUMMYFUNCTION("""COMPUTED_VALUE"""),45644.451266689815)</f>
        <v>45644.45127</v>
      </c>
      <c r="B44" s="76" t="str">
        <f>IFERROR(__xludf.DUMMYFUNCTION("""COMPUTED_VALUE"""),"minhbe30042002@gmail.com")</f>
        <v>minhbe30042002@gmail.com</v>
      </c>
      <c r="C44" s="76">
        <f>IFERROR(__xludf.DUMMYFUNCTION("""COMPUTED_VALUE"""),2.6217140809E10)</f>
        <v>26217140809</v>
      </c>
      <c r="D44" s="76" t="str">
        <f>IFERROR(__xludf.DUMMYFUNCTION("""COMPUTED_VALUE"""),"Đoàn Tuấn Minh")</f>
        <v>Đoàn Tuấn Minh</v>
      </c>
      <c r="E44" s="101">
        <f>IFERROR(__xludf.DUMMYFUNCTION("""COMPUTED_VALUE"""),37376.0)</f>
        <v>37376</v>
      </c>
      <c r="F44" s="76" t="str">
        <f>IFERROR(__xludf.DUMMYFUNCTION("""COMPUTED_VALUE"""),"K26PSUDLK4")</f>
        <v>K26PSUDLK4</v>
      </c>
      <c r="G44" s="76" t="str">
        <f>IFERROR(__xludf.DUMMYFUNCTION("""COMPUTED_VALUE"""),"Quản trị Du lịch &amp; Khách sạn chuẩn PSU")</f>
        <v>Quản trị Du lịch &amp; Khách sạn chuẩn PSU</v>
      </c>
      <c r="H44" s="76" t="str">
        <f>IFERROR(__xludf.DUMMYFUNCTION("""COMPUTED_VALUE"""),"K26")</f>
        <v>K26</v>
      </c>
      <c r="I44" s="76" t="str">
        <f>IFERROR(__xludf.DUMMYFUNCTION("""COMPUTED_VALUE"""),"0858039002")</f>
        <v>0858039002</v>
      </c>
      <c r="J44" s="76">
        <f>IFERROR(__xludf.DUMMYFUNCTION("""COMPUTED_VALUE"""),2.42)</f>
        <v>2.42</v>
      </c>
      <c r="K44" s="76">
        <f>IFERROR(__xludf.DUMMYFUNCTION("""COMPUTED_VALUE"""),130.0)</f>
        <v>130</v>
      </c>
      <c r="L44" s="76" t="str">
        <f>IFERROR(__xludf.DUMMYFUNCTION("""COMPUTED_VALUE"""),"Rồi")</f>
        <v>Rồi</v>
      </c>
      <c r="M44" s="76" t="str">
        <f>IFERROR(__xludf.DUMMYFUNCTION("""COMPUTED_VALUE"""),"Thực tập tốt nghiệp")</f>
        <v>Thực tập tốt nghiệp</v>
      </c>
      <c r="N44" s="76">
        <f>IFERROR(__xludf.DUMMYFUNCTION("""COMPUTED_VALUE"""),3.0)</f>
        <v>3</v>
      </c>
      <c r="O44" s="76" t="str">
        <f>IFERROR(__xludf.DUMMYFUNCTION("""COMPUTED_VALUE"""),"cam kết")</f>
        <v>cam kết</v>
      </c>
      <c r="P44" s="76" t="str">
        <f>IFERROR(__xludf.DUMMYFUNCTION("""COMPUTED_VALUE"""),"ĐÃ NỘP")</f>
        <v>ĐÃ NỘP</v>
      </c>
      <c r="Q44" s="76" t="str">
        <f>IFERROR(__xludf.DUMMYFUNCTION("""COMPUTED_VALUE"""),"ĐÃ NỘP")</f>
        <v>ĐÃ NỘP</v>
      </c>
      <c r="R44" s="76">
        <f>IFERROR(__xludf.DUMMYFUNCTION("""COMPUTED_VALUE"""),3.0)</f>
        <v>3</v>
      </c>
      <c r="S44" s="76" t="str">
        <f>IFERROR(__xludf.DUMMYFUNCTION("""COMPUTED_VALUE"""),"20/12/2024")</f>
        <v>20/12/2024</v>
      </c>
      <c r="T44" s="76"/>
      <c r="U44" s="102" t="str">
        <f>IFERROR(__xludf.DUMMYFUNCTION("""COMPUTED_VALUE"""),"Đoàn Tuấn Minh")</f>
        <v>Đoàn Tuấn Minh</v>
      </c>
      <c r="V44" s="76" t="str">
        <f>IFERROR(__xludf.DUMMYFUNCTION("""COMPUTED_VALUE"""),"Quản Trị Du Lịch &amp; Khách Sạn Chuẩn PSU (Đại Học)")</f>
        <v>Quản Trị Du Lịch &amp; Khách Sạn Chuẩn PSU (Đại Học)</v>
      </c>
      <c r="W44" s="76" t="str">
        <f>IFERROR(__xludf.DUMMYFUNCTION("""COMPUTED_VALUE"""),"Sheraton Grand Danang resort and Convention Center")</f>
        <v>Sheraton Grand Danang resort and Convention Center</v>
      </c>
      <c r="X44" s="76" t="str">
        <f>IFERROR(__xludf.DUMMYFUNCTION("""COMPUTED_VALUE"""),"Nhà hàng")</f>
        <v>Nhà hàng</v>
      </c>
      <c r="Y44" s="76" t="str">
        <f>IFERROR(__xludf.DUMMYFUNCTION("""COMPUTED_VALUE"""),"DUYỆT")</f>
        <v>DUYỆT</v>
      </c>
      <c r="Z44" s="76" t="str">
        <f>IFERROR(__xludf.DUMMYFUNCTION("""COMPUTED_VALUE"""),"CHUYÊN ĐỀ")</f>
        <v>CHUYÊN ĐỀ</v>
      </c>
      <c r="AA44" s="76" t="str">
        <f>IFERROR(__xludf.DUMMYFUNCTION("""COMPUTED_VALUE"""),"minhbe30042002@gmail.com")</f>
        <v>minhbe30042002@gmail.com</v>
      </c>
      <c r="AB44" s="76"/>
      <c r="AC44" s="76"/>
    </row>
    <row r="45">
      <c r="A45" s="100">
        <f>IFERROR(__xludf.DUMMYFUNCTION("""COMPUTED_VALUE"""),45695.8637915162)</f>
        <v>45695.86379</v>
      </c>
      <c r="B45" s="76" t="str">
        <f>IFERROR(__xludf.DUMMYFUNCTION("""COMPUTED_VALUE"""),"baongoc1602203@gmail.com")</f>
        <v>baongoc1602203@gmail.com</v>
      </c>
      <c r="C45" s="76">
        <f>IFERROR(__xludf.DUMMYFUNCTION("""COMPUTED_VALUE"""),2.7207101733E10)</f>
        <v>27207101733</v>
      </c>
      <c r="D45" s="76" t="str">
        <f>IFERROR(__xludf.DUMMYFUNCTION("""COMPUTED_VALUE"""),"Nguyễn Thị Bảo Ngọc")</f>
        <v>Nguyễn Thị Bảo Ngọc</v>
      </c>
      <c r="E45" s="101">
        <f>IFERROR(__xludf.DUMMYFUNCTION("""COMPUTED_VALUE"""),37779.0)</f>
        <v>37779</v>
      </c>
      <c r="F45" s="76" t="str">
        <f>IFERROR(__xludf.DUMMYFUNCTION("""COMPUTED_VALUE"""),"K27DLK7")</f>
        <v>K27DLK7</v>
      </c>
      <c r="G45" s="76" t="str">
        <f>IFERROR(__xludf.DUMMYFUNCTION("""COMPUTED_VALUE"""),"Quản trị Du lịch &amp; Khách sạn")</f>
        <v>Quản trị Du lịch &amp; Khách sạn</v>
      </c>
      <c r="H45" s="76" t="str">
        <f>IFERROR(__xludf.DUMMYFUNCTION("""COMPUTED_VALUE"""),"K27")</f>
        <v>K27</v>
      </c>
      <c r="I45" s="76" t="str">
        <f>IFERROR(__xludf.DUMMYFUNCTION("""COMPUTED_VALUE"""),"0375045398")</f>
        <v>0375045398</v>
      </c>
      <c r="J45" s="76">
        <f>IFERROR(__xludf.DUMMYFUNCTION("""COMPUTED_VALUE"""),2.99)</f>
        <v>2.99</v>
      </c>
      <c r="K45" s="76">
        <f>IFERROR(__xludf.DUMMYFUNCTION("""COMPUTED_VALUE"""),121.0)</f>
        <v>121</v>
      </c>
      <c r="L45" s="76" t="str">
        <f>IFERROR(__xludf.DUMMYFUNCTION("""COMPUTED_VALUE"""),"Rồi")</f>
        <v>Rồi</v>
      </c>
      <c r="M45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45" s="76">
        <f>IFERROR(__xludf.DUMMYFUNCTION("""COMPUTED_VALUE"""),2.0)</f>
        <v>2</v>
      </c>
      <c r="O45" s="76" t="str">
        <f>IFERROR(__xludf.DUMMYFUNCTION("""COMPUTED_VALUE"""),"cam kết")</f>
        <v>cam kết</v>
      </c>
      <c r="P45" s="76" t="str">
        <f>IFERROR(__xludf.DUMMYFUNCTION("""COMPUTED_VALUE"""),"CHƯA NỘP")</f>
        <v>CHƯA NỘP</v>
      </c>
      <c r="Q45" s="76"/>
      <c r="R45" s="76"/>
      <c r="S45" s="76" t="str">
        <f>IFERROR(__xludf.DUMMYFUNCTION("""COMPUTED_VALUE"""),"27/12/2024")</f>
        <v>27/12/2024</v>
      </c>
      <c r="T45" s="76"/>
      <c r="U45" s="102" t="str">
        <f>IFERROR(__xludf.DUMMYFUNCTION("""COMPUTED_VALUE"""),"Nguyễn Thị Bảo Ngọc")</f>
        <v>Nguyễn Thị Bảo Ngọc</v>
      </c>
      <c r="V45" s="76" t="str">
        <f>IFERROR(__xludf.DUMMYFUNCTION("""COMPUTED_VALUE"""),"Quản Trị Khách Sạn &amp; Nhà Hàng (Đại Học)")</f>
        <v>Quản Trị Khách Sạn &amp; Nhà Hàng (Đại Học)</v>
      </c>
      <c r="W45" s="76" t="str">
        <f>IFERROR(__xludf.DUMMYFUNCTION("""COMPUTED_VALUE"""),"DaNang Marriott Resort &amp; Spa, Non Nuoc Beach Villas")</f>
        <v>DaNang Marriott Resort &amp; Spa, Non Nuoc Beach Villas</v>
      </c>
      <c r="X45" s="76" t="str">
        <f>IFERROR(__xludf.DUMMYFUNCTION("""COMPUTED_VALUE"""),"Nhà hàng")</f>
        <v>Nhà hàng</v>
      </c>
      <c r="Y45" s="76" t="str">
        <f>IFERROR(__xludf.DUMMYFUNCTION("""COMPUTED_VALUE"""),"DUYỆT")</f>
        <v>DUYỆT</v>
      </c>
      <c r="Z45" s="76" t="str">
        <f>IFERROR(__xludf.DUMMYFUNCTION("""COMPUTED_VALUE"""),"CHUYÊN ĐỀ")</f>
        <v>CHUYÊN ĐỀ</v>
      </c>
      <c r="AA45" s="76" t="str">
        <f>IFERROR(__xludf.DUMMYFUNCTION("""COMPUTED_VALUE"""),"baongoc1602203@gmail.com")</f>
        <v>baongoc1602203@gmail.com</v>
      </c>
      <c r="AB45" s="76"/>
      <c r="AC45" s="76"/>
    </row>
    <row r="46">
      <c r="A46" s="100">
        <f>IFERROR(__xludf.DUMMYFUNCTION("""COMPUTED_VALUE"""),45646.523792754626)</f>
        <v>45646.52379</v>
      </c>
      <c r="B46" s="76" t="str">
        <f>IFERROR(__xludf.DUMMYFUNCTION("""COMPUTED_VALUE"""),"dinhthivytam2003.vn@gmail.com")</f>
        <v>dinhthivytam2003.vn@gmail.com</v>
      </c>
      <c r="C46" s="76">
        <f>IFERROR(__xludf.DUMMYFUNCTION("""COMPUTED_VALUE"""),2.7202131041E10)</f>
        <v>27202131041</v>
      </c>
      <c r="D46" s="76" t="str">
        <f>IFERROR(__xludf.DUMMYFUNCTION("""COMPUTED_VALUE"""),"Đinh Thị Vỹ Tâm")</f>
        <v>Đinh Thị Vỹ Tâm</v>
      </c>
      <c r="E46" s="101">
        <f>IFERROR(__xludf.DUMMYFUNCTION("""COMPUTED_VALUE"""),37905.0)</f>
        <v>37905</v>
      </c>
      <c r="F46" s="76" t="str">
        <f>IFERROR(__xludf.DUMMYFUNCTION("""COMPUTED_VALUE"""),"K27PSUDLK1")</f>
        <v>K27PSUDLK1</v>
      </c>
      <c r="G46" s="76" t="str">
        <f>IFERROR(__xludf.DUMMYFUNCTION("""COMPUTED_VALUE"""),"Quản trị Du lịch &amp; Khách sạn chuẩn PSU")</f>
        <v>Quản trị Du lịch &amp; Khách sạn chuẩn PSU</v>
      </c>
      <c r="H46" s="76" t="str">
        <f>IFERROR(__xludf.DUMMYFUNCTION("""COMPUTED_VALUE"""),"K27")</f>
        <v>K27</v>
      </c>
      <c r="I46" s="76" t="str">
        <f>IFERROR(__xludf.DUMMYFUNCTION("""COMPUTED_VALUE"""),"0799318958")</f>
        <v>0799318958</v>
      </c>
      <c r="J46" s="76">
        <f>IFERROR(__xludf.DUMMYFUNCTION("""COMPUTED_VALUE"""),3.0)</f>
        <v>3</v>
      </c>
      <c r="K46" s="76">
        <f>IFERROR(__xludf.DUMMYFUNCTION("""COMPUTED_VALUE"""),112.0)</f>
        <v>112</v>
      </c>
      <c r="L46" s="76" t="str">
        <f>IFERROR(__xludf.DUMMYFUNCTION("""COMPUTED_VALUE"""),"Rồi")</f>
        <v>Rồi</v>
      </c>
      <c r="M46" s="76" t="str">
        <f>IFERROR(__xludf.DUMMYFUNCTION("""COMPUTED_VALUE"""),"Thực tập tốt nghiệp, Thi tốt nghiệp")</f>
        <v>Thực tập tốt nghiệp, Thi tốt nghiệp</v>
      </c>
      <c r="N46" s="76">
        <f>IFERROR(__xludf.DUMMYFUNCTION("""COMPUTED_VALUE"""),14.0)</f>
        <v>14</v>
      </c>
      <c r="O46" s="76" t="str">
        <f>IFERROR(__xludf.DUMMYFUNCTION("""COMPUTED_VALUE"""),"cam kết")</f>
        <v>cam kết</v>
      </c>
      <c r="P46" s="76" t="str">
        <f>IFERROR(__xludf.DUMMYFUNCTION("""COMPUTED_VALUE"""),"ĐÃ NỘP")</f>
        <v>ĐÃ NỘP</v>
      </c>
      <c r="Q46" s="76"/>
      <c r="R46" s="76"/>
      <c r="S46" s="76" t="str">
        <f>IFERROR(__xludf.DUMMYFUNCTION("""COMPUTED_VALUE"""),"20/12/2024")</f>
        <v>20/12/2024</v>
      </c>
      <c r="T46" s="76"/>
      <c r="U46" s="102" t="str">
        <f>IFERROR(__xludf.DUMMYFUNCTION("""COMPUTED_VALUE"""),"Đinh Thị Vỹ Tâm")</f>
        <v>Đinh Thị Vỹ Tâm</v>
      </c>
      <c r="V46" s="76" t="str">
        <f>IFERROR(__xludf.DUMMYFUNCTION("""COMPUTED_VALUE"""),"Quản Trị Du Lịch &amp; Khách Sạn Chuẩn PSU (Đại Học)")</f>
        <v>Quản Trị Du Lịch &amp; Khách Sạn Chuẩn PSU (Đại Học)</v>
      </c>
      <c r="W46" s="76" t="str">
        <f>IFERROR(__xludf.DUMMYFUNCTION("""COMPUTED_VALUE"""),"Pullman Danang Beach Resort")</f>
        <v>Pullman Danang Beach Resort</v>
      </c>
      <c r="X46" s="76" t="str">
        <f>IFERROR(__xludf.DUMMYFUNCTION("""COMPUTED_VALUE"""),"Nhà hàng")</f>
        <v>Nhà hàng</v>
      </c>
      <c r="Y46" s="76" t="str">
        <f>IFERROR(__xludf.DUMMYFUNCTION("""COMPUTED_VALUE"""),"DUYỆT")</f>
        <v>DUYỆT</v>
      </c>
      <c r="Z46" s="76" t="str">
        <f>IFERROR(__xludf.DUMMYFUNCTION("""COMPUTED_VALUE"""),"CHUYÊN ĐỀ")</f>
        <v>CHUYÊN ĐỀ</v>
      </c>
      <c r="AA46" s="76" t="str">
        <f>IFERROR(__xludf.DUMMYFUNCTION("""COMPUTED_VALUE"""),"dinhthivytam2003.vn@gmail.com")</f>
        <v>dinhthivytam2003.vn@gmail.com</v>
      </c>
      <c r="AB46" s="76"/>
      <c r="AC46" s="76"/>
    </row>
    <row r="47">
      <c r="A47" s="100">
        <f>IFERROR(__xludf.DUMMYFUNCTION("""COMPUTED_VALUE"""),45647.54375383102)</f>
        <v>45647.54375</v>
      </c>
      <c r="B47" s="76" t="str">
        <f>IFERROR(__xludf.DUMMYFUNCTION("""COMPUTED_VALUE"""),"vyngan2001@gmail.com")</f>
        <v>vyngan2001@gmail.com</v>
      </c>
      <c r="C47" s="76">
        <f>IFERROR(__xludf.DUMMYFUNCTION("""COMPUTED_VALUE"""),2.7207146875E10)</f>
        <v>27207146875</v>
      </c>
      <c r="D47" s="76" t="str">
        <f>IFERROR(__xludf.DUMMYFUNCTION("""COMPUTED_VALUE"""),"Võ Thị Y Ngân")</f>
        <v>Võ Thị Y Ngân</v>
      </c>
      <c r="E47" s="101">
        <f>IFERROR(__xludf.DUMMYFUNCTION("""COMPUTED_VALUE"""),37731.0)</f>
        <v>37731</v>
      </c>
      <c r="F47" s="76" t="str">
        <f>IFERROR(__xludf.DUMMYFUNCTION("""COMPUTED_VALUE"""),"K27DLK7")</f>
        <v>K27DLK7</v>
      </c>
      <c r="G47" s="76" t="str">
        <f>IFERROR(__xludf.DUMMYFUNCTION("""COMPUTED_VALUE"""),"Quản trị Du lịch &amp; Khách sạn")</f>
        <v>Quản trị Du lịch &amp; Khách sạn</v>
      </c>
      <c r="H47" s="76" t="str">
        <f>IFERROR(__xludf.DUMMYFUNCTION("""COMPUTED_VALUE"""),"K27")</f>
        <v>K27</v>
      </c>
      <c r="I47" s="76" t="str">
        <f>IFERROR(__xludf.DUMMYFUNCTION("""COMPUTED_VALUE"""),"0787483403")</f>
        <v>0787483403</v>
      </c>
      <c r="J47" s="76" t="str">
        <f>IFERROR(__xludf.DUMMYFUNCTION("""COMPUTED_VALUE"""),"3,47")</f>
        <v>3,47</v>
      </c>
      <c r="K47" s="76">
        <f>IFERROR(__xludf.DUMMYFUNCTION("""COMPUTED_VALUE"""),118.0)</f>
        <v>118</v>
      </c>
      <c r="L47" s="76" t="str">
        <f>IFERROR(__xludf.DUMMYFUNCTION("""COMPUTED_VALUE"""),"Rồi")</f>
        <v>Rồi</v>
      </c>
      <c r="M47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47" s="76">
        <f>IFERROR(__xludf.DUMMYFUNCTION("""COMPUTED_VALUE"""),5.0)</f>
        <v>5</v>
      </c>
      <c r="O47" s="76" t="str">
        <f>IFERROR(__xludf.DUMMYFUNCTION("""COMPUTED_VALUE"""),"cam kết")</f>
        <v>cam kết</v>
      </c>
      <c r="P47" s="76" t="str">
        <f>IFERROR(__xludf.DUMMYFUNCTION("""COMPUTED_VALUE"""),"CHƯA NỘP")</f>
        <v>CHƯA NỘP</v>
      </c>
      <c r="Q47" s="76"/>
      <c r="R47" s="76"/>
      <c r="S47" s="76" t="str">
        <f>IFERROR(__xludf.DUMMYFUNCTION("""COMPUTED_VALUE"""),"27/12/2024")</f>
        <v>27/12/2024</v>
      </c>
      <c r="T47" s="76"/>
      <c r="U47" s="102" t="str">
        <f>IFERROR(__xludf.DUMMYFUNCTION("""COMPUTED_VALUE"""),"Võ Thị Y Ngân")</f>
        <v>Võ Thị Y Ngân</v>
      </c>
      <c r="V47" s="76" t="str">
        <f>IFERROR(__xludf.DUMMYFUNCTION("""COMPUTED_VALUE"""),"Quản Trị Khách Sạn &amp; Nhà Hàng (Đại Học)")</f>
        <v>Quản Trị Khách Sạn &amp; Nhà Hàng (Đại Học)</v>
      </c>
      <c r="W47" s="76" t="str">
        <f>IFERROR(__xludf.DUMMYFUNCTION("""COMPUTED_VALUE"""),"Meliá Vinpearl Danang Riverfront")</f>
        <v>Meliá Vinpearl Danang Riverfront</v>
      </c>
      <c r="X47" s="76" t="str">
        <f>IFERROR(__xludf.DUMMYFUNCTION("""COMPUTED_VALUE"""),"Tiền sảnh")</f>
        <v>Tiền sảnh</v>
      </c>
      <c r="Y47" s="76" t="str">
        <f>IFERROR(__xludf.DUMMYFUNCTION("""COMPUTED_VALUE"""),"DUYỆT")</f>
        <v>DUYỆT</v>
      </c>
      <c r="Z47" s="76" t="str">
        <f>IFERROR(__xludf.DUMMYFUNCTION("""COMPUTED_VALUE"""),"CHUYÊN ĐỀ")</f>
        <v>CHUYÊN ĐỀ</v>
      </c>
      <c r="AA47" s="76" t="str">
        <f>IFERROR(__xludf.DUMMYFUNCTION("""COMPUTED_VALUE"""),"vyngan2001@gmail.com")</f>
        <v>vyngan2001@gmail.com</v>
      </c>
      <c r="AB47" s="76" t="str">
        <f>IFERROR(__xludf.DUMMYFUNCTION("""COMPUTED_VALUE"""),"Võ Thị Y Ngân")</f>
        <v>Võ Thị Y Ngân</v>
      </c>
      <c r="AC47" s="76" t="str">
        <f>IFERROR(__xludf.DUMMYFUNCTION("""COMPUTED_VALUE"""),"ĐÃ NỘP")</f>
        <v>ĐÃ NỘP</v>
      </c>
    </row>
    <row r="48">
      <c r="A48" s="100">
        <f>IFERROR(__xludf.DUMMYFUNCTION("""COMPUTED_VALUE"""),45649.95915484954)</f>
        <v>45649.95915</v>
      </c>
      <c r="B48" s="76" t="str">
        <f>IFERROR(__xludf.DUMMYFUNCTION("""COMPUTED_VALUE"""),"thanhtruc23112003@gmail.com")</f>
        <v>thanhtruc23112003@gmail.com</v>
      </c>
      <c r="C48" s="76">
        <f>IFERROR(__xludf.DUMMYFUNCTION("""COMPUTED_VALUE"""),2.7217132965E10)</f>
        <v>27217132965</v>
      </c>
      <c r="D48" s="76" t="str">
        <f>IFERROR(__xludf.DUMMYFUNCTION("""COMPUTED_VALUE"""),"Nguyễn Kim Thanh Trúc")</f>
        <v>Nguyễn Kim Thanh Trúc</v>
      </c>
      <c r="E48" s="101">
        <f>IFERROR(__xludf.DUMMYFUNCTION("""COMPUTED_VALUE"""),37948.0)</f>
        <v>37948</v>
      </c>
      <c r="F48" s="76" t="str">
        <f>IFERROR(__xludf.DUMMYFUNCTION("""COMPUTED_VALUE"""),"K27PSUDLK2")</f>
        <v>K27PSUDLK2</v>
      </c>
      <c r="G48" s="76" t="str">
        <f>IFERROR(__xludf.DUMMYFUNCTION("""COMPUTED_VALUE"""),"Quản trị Du lịch &amp; Khách sạn chuẩn PSU")</f>
        <v>Quản trị Du lịch &amp; Khách sạn chuẩn PSU</v>
      </c>
      <c r="H48" s="76" t="str">
        <f>IFERROR(__xludf.DUMMYFUNCTION("""COMPUTED_VALUE"""),"K27")</f>
        <v>K27</v>
      </c>
      <c r="I48" s="76" t="str">
        <f>IFERROR(__xludf.DUMMYFUNCTION("""COMPUTED_VALUE"""),"0779589412")</f>
        <v>0779589412</v>
      </c>
      <c r="J48" s="76">
        <f>IFERROR(__xludf.DUMMYFUNCTION("""COMPUTED_VALUE"""),2.38)</f>
        <v>2.38</v>
      </c>
      <c r="K48" s="76">
        <f>IFERROR(__xludf.DUMMYFUNCTION("""COMPUTED_VALUE"""),117.0)</f>
        <v>117</v>
      </c>
      <c r="L48" s="76" t="str">
        <f>IFERROR(__xludf.DUMMYFUNCTION("""COMPUTED_VALUE"""),"Rồi")</f>
        <v>Rồi</v>
      </c>
      <c r="M48" s="76" t="str">
        <f>IFERROR(__xludf.DUMMYFUNCTION("""COMPUTED_VALUE"""),"Thực tập tốt nghiệp")</f>
        <v>Thực tập tốt nghiệp</v>
      </c>
      <c r="N48" s="76">
        <f>IFERROR(__xludf.DUMMYFUNCTION("""COMPUTED_VALUE"""),9.0)</f>
        <v>9</v>
      </c>
      <c r="O48" s="76" t="str">
        <f>IFERROR(__xludf.DUMMYFUNCTION("""COMPUTED_VALUE"""),"cam kết")</f>
        <v>cam kết</v>
      </c>
      <c r="P48" s="76" t="str">
        <f>IFERROR(__xludf.DUMMYFUNCTION("""COMPUTED_VALUE"""),"ĐÃ NỘP")</f>
        <v>ĐÃ NỘP</v>
      </c>
      <c r="Q48" s="76"/>
      <c r="R48" s="76"/>
      <c r="S48" s="76" t="str">
        <f>IFERROR(__xludf.DUMMYFUNCTION("""COMPUTED_VALUE"""),"27/12/2024")</f>
        <v>27/12/2024</v>
      </c>
      <c r="T48" s="76"/>
      <c r="U48" s="102" t="str">
        <f>IFERROR(__xludf.DUMMYFUNCTION("""COMPUTED_VALUE"""),"Nguyễn Kim Thanh Trúc")</f>
        <v>Nguyễn Kim Thanh Trúc</v>
      </c>
      <c r="V48" s="76" t="str">
        <f>IFERROR(__xludf.DUMMYFUNCTION("""COMPUTED_VALUE"""),"Quản Trị Du Lịch &amp; Khách Sạn Chuẩn PSU (Đại Học)")</f>
        <v>Quản Trị Du Lịch &amp; Khách Sạn Chuẩn PSU (Đại Học)</v>
      </c>
      <c r="W48" s="76" t="str">
        <f>IFERROR(__xludf.DUMMYFUNCTION("""COMPUTED_VALUE"""),"Meliá Danang Beach Resort")</f>
        <v>Meliá Danang Beach Resort</v>
      </c>
      <c r="X48" s="76" t="str">
        <f>IFERROR(__xludf.DUMMYFUNCTION("""COMPUTED_VALUE"""),"Tiền sảnh")</f>
        <v>Tiền sảnh</v>
      </c>
      <c r="Y48" s="76" t="str">
        <f>IFERROR(__xludf.DUMMYFUNCTION("""COMPUTED_VALUE"""),"DUYỆT")</f>
        <v>DUYỆT</v>
      </c>
      <c r="Z48" s="76" t="str">
        <f>IFERROR(__xludf.DUMMYFUNCTION("""COMPUTED_VALUE"""),"CHUYÊN ĐỀ")</f>
        <v>CHUYÊN ĐỀ</v>
      </c>
      <c r="AA48" s="76" t="str">
        <f>IFERROR(__xludf.DUMMYFUNCTION("""COMPUTED_VALUE"""),"thanhtruc23112003@gmail.com")</f>
        <v>thanhtruc23112003@gmail.com</v>
      </c>
      <c r="AB48" s="76"/>
      <c r="AC48" s="76"/>
    </row>
    <row r="49">
      <c r="A49" s="100">
        <f>IFERROR(__xludf.DUMMYFUNCTION("""COMPUTED_VALUE"""),45650.41839388889)</f>
        <v>45650.41839</v>
      </c>
      <c r="B49" s="76" t="str">
        <f>IFERROR(__xludf.DUMMYFUNCTION("""COMPUTED_VALUE"""),"kirapuppy95@gmail.com")</f>
        <v>kirapuppy95@gmail.com</v>
      </c>
      <c r="C49" s="76">
        <f>IFERROR(__xludf.DUMMYFUNCTION("""COMPUTED_VALUE"""),2.62172401E10)</f>
        <v>26217240100</v>
      </c>
      <c r="D49" s="76" t="str">
        <f>IFERROR(__xludf.DUMMYFUNCTION("""COMPUTED_VALUE"""),"Đinh minh thành ")</f>
        <v>Đinh minh thành </v>
      </c>
      <c r="E49" s="101">
        <f>IFERROR(__xludf.DUMMYFUNCTION("""COMPUTED_VALUE"""),36969.0)</f>
        <v>36969</v>
      </c>
      <c r="F49" s="76" t="str">
        <f>IFERROR(__xludf.DUMMYFUNCTION("""COMPUTED_VALUE"""),"K26psudlk3")</f>
        <v>K26psudlk3</v>
      </c>
      <c r="G49" s="76" t="str">
        <f>IFERROR(__xludf.DUMMYFUNCTION("""COMPUTED_VALUE"""),"Quản trị Du lịch &amp; Khách sạn chuẩn PSU")</f>
        <v>Quản trị Du lịch &amp; Khách sạn chuẩn PSU</v>
      </c>
      <c r="H49" s="76" t="str">
        <f>IFERROR(__xludf.DUMMYFUNCTION("""COMPUTED_VALUE"""),"K26")</f>
        <v>K26</v>
      </c>
      <c r="I49" s="76" t="str">
        <f>IFERROR(__xludf.DUMMYFUNCTION("""COMPUTED_VALUE"""),"0813585060")</f>
        <v>0813585060</v>
      </c>
      <c r="J49" s="76">
        <f>IFERROR(__xludf.DUMMYFUNCTION("""COMPUTED_VALUE"""),2.65)</f>
        <v>2.65</v>
      </c>
      <c r="K49" s="76">
        <f>IFERROR(__xludf.DUMMYFUNCTION("""COMPUTED_VALUE"""),142.0)</f>
        <v>142</v>
      </c>
      <c r="L49" s="76" t="str">
        <f>IFERROR(__xludf.DUMMYFUNCTION("""COMPUTED_VALUE"""),"Rồi")</f>
        <v>Rồi</v>
      </c>
      <c r="M49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49" s="76">
        <f>IFERROR(__xludf.DUMMYFUNCTION("""COMPUTED_VALUE"""),2.0)</f>
        <v>2</v>
      </c>
      <c r="O49" s="76" t="str">
        <f>IFERROR(__xludf.DUMMYFUNCTION("""COMPUTED_VALUE"""),"cam kết")</f>
        <v>cam kết</v>
      </c>
      <c r="P49" s="76" t="str">
        <f>IFERROR(__xludf.DUMMYFUNCTION("""COMPUTED_VALUE"""),"ĐÃ NỘP")</f>
        <v>ĐÃ NỘP</v>
      </c>
      <c r="Q49" s="76" t="str">
        <f>IFERROR(__xludf.DUMMYFUNCTION("""COMPUTED_VALUE"""),"ĐÃ NỘP")</f>
        <v>ĐÃ NỘP</v>
      </c>
      <c r="R49" s="76">
        <f>IFERROR(__xludf.DUMMYFUNCTION("""COMPUTED_VALUE"""),4.0)</f>
        <v>4</v>
      </c>
      <c r="S49" s="76" t="str">
        <f>IFERROR(__xludf.DUMMYFUNCTION("""COMPUTED_VALUE"""),"18/01/2025")</f>
        <v>18/01/2025</v>
      </c>
      <c r="T49" s="76"/>
      <c r="U49" s="102" t="str">
        <f>IFERROR(__xludf.DUMMYFUNCTION("""COMPUTED_VALUE"""),"Đinh Minh Thành")</f>
        <v>Đinh Minh Thành</v>
      </c>
      <c r="V49" s="76" t="str">
        <f>IFERROR(__xludf.DUMMYFUNCTION("""COMPUTED_VALUE"""),"Quản Trị Du Lịch &amp; Khách Sạn Chuẩn PSU (Đại Học)")</f>
        <v>Quản Trị Du Lịch &amp; Khách Sạn Chuẩn PSU (Đại Học)</v>
      </c>
      <c r="W49" s="76" t="str">
        <f>IFERROR(__xludf.DUMMYFUNCTION("""COMPUTED_VALUE"""),"Meliá Vinpearl Danang Riverfront")</f>
        <v>Meliá Vinpearl Danang Riverfront</v>
      </c>
      <c r="X49" s="76" t="str">
        <f>IFERROR(__xludf.DUMMYFUNCTION("""COMPUTED_VALUE"""),"Buồng phòng")</f>
        <v>Buồng phòng</v>
      </c>
      <c r="Y49" s="76" t="str">
        <f>IFERROR(__xludf.DUMMYFUNCTION("""COMPUTED_VALUE"""),"DUYỆT")</f>
        <v>DUYỆT</v>
      </c>
      <c r="Z49" s="76" t="str">
        <f>IFERROR(__xludf.DUMMYFUNCTION("""COMPUTED_VALUE"""),"CHUYÊN ĐỀ")</f>
        <v>CHUYÊN ĐỀ</v>
      </c>
      <c r="AA49" s="76" t="str">
        <f>IFERROR(__xludf.DUMMYFUNCTION("""COMPUTED_VALUE"""),"kirapuppy95@gmail.com")</f>
        <v>kirapuppy95@gmail.com</v>
      </c>
      <c r="AB49" s="76"/>
      <c r="AC49" s="76"/>
    </row>
    <row r="50">
      <c r="A50" s="100">
        <f>IFERROR(__xludf.DUMMYFUNCTION("""COMPUTED_VALUE"""),45650.42017582176)</f>
        <v>45650.42018</v>
      </c>
      <c r="B50" s="76" t="str">
        <f>IFERROR(__xludf.DUMMYFUNCTION("""COMPUTED_VALUE"""),"minhqun2308@gmail.com")</f>
        <v>minhqun2308@gmail.com</v>
      </c>
      <c r="C50" s="76">
        <f>IFERROR(__xludf.DUMMYFUNCTION("""COMPUTED_VALUE"""),2.5217108239E10)</f>
        <v>25217108239</v>
      </c>
      <c r="D50" s="76" t="str">
        <f>IFERROR(__xludf.DUMMYFUNCTION("""COMPUTED_VALUE"""),"Hồ Văn Minh Quân ")</f>
        <v>Hồ Văn Minh Quân </v>
      </c>
      <c r="E50" s="101">
        <f>IFERROR(__xludf.DUMMYFUNCTION("""COMPUTED_VALUE"""),37126.0)</f>
        <v>37126</v>
      </c>
      <c r="F50" s="76" t="str">
        <f>IFERROR(__xludf.DUMMYFUNCTION("""COMPUTED_VALUE"""),"K25DLK10")</f>
        <v>K25DLK10</v>
      </c>
      <c r="G50" s="76" t="str">
        <f>IFERROR(__xludf.DUMMYFUNCTION("""COMPUTED_VALUE"""),"Quản trị Du lịch &amp; Khách sạn")</f>
        <v>Quản trị Du lịch &amp; Khách sạn</v>
      </c>
      <c r="H50" s="76" t="str">
        <f>IFERROR(__xludf.DUMMYFUNCTION("""COMPUTED_VALUE"""),"K25")</f>
        <v>K25</v>
      </c>
      <c r="I50" s="76" t="str">
        <f>IFERROR(__xludf.DUMMYFUNCTION("""COMPUTED_VALUE"""),"0905299162")</f>
        <v>0905299162</v>
      </c>
      <c r="J50" s="76">
        <f>IFERROR(__xludf.DUMMYFUNCTION("""COMPUTED_VALUE"""),2.61)</f>
        <v>2.61</v>
      </c>
      <c r="K50" s="76">
        <f>IFERROR(__xludf.DUMMYFUNCTION("""COMPUTED_VALUE"""),133.0)</f>
        <v>133</v>
      </c>
      <c r="L50" s="76" t="str">
        <f>IFERROR(__xludf.DUMMYFUNCTION("""COMPUTED_VALUE"""),"Rồi")</f>
        <v>Rồi</v>
      </c>
      <c r="M50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50" s="76">
        <f>IFERROR(__xludf.DUMMYFUNCTION("""COMPUTED_VALUE"""),0.0)</f>
        <v>0</v>
      </c>
      <c r="O50" s="76" t="str">
        <f>IFERROR(__xludf.DUMMYFUNCTION("""COMPUTED_VALUE"""),"cam kết")</f>
        <v>cam kết</v>
      </c>
      <c r="P50" s="76" t="str">
        <f>IFERROR(__xludf.DUMMYFUNCTION("""COMPUTED_VALUE"""),"ĐÃ NỘP")</f>
        <v>ĐÃ NỘP</v>
      </c>
      <c r="Q50" s="76" t="str">
        <f>IFERROR(__xludf.DUMMYFUNCTION("""COMPUTED_VALUE"""),"ĐÃ NỘP")</f>
        <v>ĐÃ NỘP</v>
      </c>
      <c r="R50" s="76">
        <f>IFERROR(__xludf.DUMMYFUNCTION("""COMPUTED_VALUE"""),5.0)</f>
        <v>5</v>
      </c>
      <c r="S50" s="102">
        <f>IFERROR(__xludf.DUMMYFUNCTION("""COMPUTED_VALUE"""),45931.0)</f>
        <v>45931</v>
      </c>
      <c r="T50" s="76"/>
      <c r="U50" s="102" t="str">
        <f>IFERROR(__xludf.DUMMYFUNCTION("""COMPUTED_VALUE"""),"Hồ Văn Minh Quân")</f>
        <v>Hồ Văn Minh Quân</v>
      </c>
      <c r="V50" s="76" t="str">
        <f>IFERROR(__xludf.DUMMYFUNCTION("""COMPUTED_VALUE"""),"Quản Trị Khách Sạn &amp; Nhà Hàng (Đại Học)")</f>
        <v>Quản Trị Khách Sạn &amp; Nhà Hàng (Đại Học)</v>
      </c>
      <c r="W50" s="76" t="str">
        <f>IFERROR(__xludf.DUMMYFUNCTION("""COMPUTED_VALUE"""),"#N/A")</f>
        <v>#N/A</v>
      </c>
      <c r="X50" s="76" t="str">
        <f>IFERROR(__xludf.DUMMYFUNCTION("""COMPUTED_VALUE"""),"#N/A")</f>
        <v>#N/A</v>
      </c>
      <c r="Y50" s="76" t="str">
        <f>IFERROR(__xludf.DUMMYFUNCTION("""COMPUTED_VALUE"""),"#N/A")</f>
        <v>#N/A</v>
      </c>
      <c r="Z50" s="76" t="str">
        <f>IFERROR(__xludf.DUMMYFUNCTION("""COMPUTED_VALUE"""),"HỦY HỒ SƠ ĐĂNG KÝ THAM DỰ TỐT NGHIỆP ĐỢT 06/2025")</f>
        <v>HỦY HỒ SƠ ĐĂNG KÝ THAM DỰ TỐT NGHIỆP ĐỢT 06/2025</v>
      </c>
      <c r="AA50" s="76" t="str">
        <f>IFERROR(__xludf.DUMMYFUNCTION("""COMPUTED_VALUE"""),"minhqun2308@gmail.com")</f>
        <v>minhqun2308@gmail.com</v>
      </c>
      <c r="AB50" s="76"/>
      <c r="AC50" s="76"/>
    </row>
    <row r="51">
      <c r="A51" s="100">
        <f>IFERROR(__xludf.DUMMYFUNCTION("""COMPUTED_VALUE"""),45650.42474141203)</f>
        <v>45650.42474</v>
      </c>
      <c r="B51" s="76" t="str">
        <f>IFERROR(__xludf.DUMMYFUNCTION("""COMPUTED_VALUE"""),"tuoiphamcsnt12a5@gmail.com")</f>
        <v>tuoiphamcsnt12a5@gmail.com</v>
      </c>
      <c r="C51" s="76">
        <f>IFERROR(__xludf.DUMMYFUNCTION("""COMPUTED_VALUE"""),2.7207130741E10)</f>
        <v>27207130741</v>
      </c>
      <c r="D51" s="76" t="str">
        <f>IFERROR(__xludf.DUMMYFUNCTION("""COMPUTED_VALUE"""),"PHẠM NGỌC TƯƠI")</f>
        <v>PHẠM NGỌC TƯƠI</v>
      </c>
      <c r="E51" s="101">
        <f>IFERROR(__xludf.DUMMYFUNCTION("""COMPUTED_VALUE"""),37931.0)</f>
        <v>37931</v>
      </c>
      <c r="F51" s="76" t="str">
        <f>IFERROR(__xludf.DUMMYFUNCTION("""COMPUTED_VALUE"""),"K27DLK3")</f>
        <v>K27DLK3</v>
      </c>
      <c r="G51" s="76" t="str">
        <f>IFERROR(__xludf.DUMMYFUNCTION("""COMPUTED_VALUE"""),"Quản trị Du lịch &amp; Khách sạn")</f>
        <v>Quản trị Du lịch &amp; Khách sạn</v>
      </c>
      <c r="H51" s="76" t="str">
        <f>IFERROR(__xludf.DUMMYFUNCTION("""COMPUTED_VALUE"""),"K27")</f>
        <v>K27</v>
      </c>
      <c r="I51" s="76" t="str">
        <f>IFERROR(__xludf.DUMMYFUNCTION("""COMPUTED_VALUE"""),"0818985934")</f>
        <v>0818985934</v>
      </c>
      <c r="J51" s="76">
        <f>IFERROR(__xludf.DUMMYFUNCTION("""COMPUTED_VALUE"""),3.27)</f>
        <v>3.27</v>
      </c>
      <c r="K51" s="76">
        <f>IFERROR(__xludf.DUMMYFUNCTION("""COMPUTED_VALUE"""),126.0)</f>
        <v>126</v>
      </c>
      <c r="L51" s="76" t="str">
        <f>IFERROR(__xludf.DUMMYFUNCTION("""COMPUTED_VALUE"""),"Rồi")</f>
        <v>Rồi</v>
      </c>
      <c r="M51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51" s="76">
        <f>IFERROR(__xludf.DUMMYFUNCTION("""COMPUTED_VALUE"""),3.0)</f>
        <v>3</v>
      </c>
      <c r="O51" s="76" t="str">
        <f>IFERROR(__xludf.DUMMYFUNCTION("""COMPUTED_VALUE"""),"cam kết")</f>
        <v>cam kết</v>
      </c>
      <c r="P51" s="76" t="str">
        <f>IFERROR(__xludf.DUMMYFUNCTION("""COMPUTED_VALUE"""),"ĐÃ NỘP")</f>
        <v>ĐÃ NỘP</v>
      </c>
      <c r="Q51" s="76"/>
      <c r="R51" s="76"/>
      <c r="S51" s="76" t="str">
        <f>IFERROR(__xludf.DUMMYFUNCTION("""COMPUTED_VALUE"""),"27/12/2024")</f>
        <v>27/12/2024</v>
      </c>
      <c r="T51" s="76"/>
      <c r="U51" s="102" t="str">
        <f>IFERROR(__xludf.DUMMYFUNCTION("""COMPUTED_VALUE"""),"Phạm Ngọc Tươi")</f>
        <v>Phạm Ngọc Tươi</v>
      </c>
      <c r="V51" s="76" t="str">
        <f>IFERROR(__xludf.DUMMYFUNCTION("""COMPUTED_VALUE"""),"Quản Trị Khách Sạn &amp; Nhà Hàng (Đại Học)")</f>
        <v>Quản Trị Khách Sạn &amp; Nhà Hàng (Đại Học)</v>
      </c>
      <c r="W51" s="76" t="str">
        <f>IFERROR(__xludf.DUMMYFUNCTION("""COMPUTED_VALUE"""),"Khách sạn Hilton Đà Nẵng")</f>
        <v>Khách sạn Hilton Đà Nẵng</v>
      </c>
      <c r="X51" s="76" t="str">
        <f>IFERROR(__xludf.DUMMYFUNCTION("""COMPUTED_VALUE"""),"Nhà hàng")</f>
        <v>Nhà hàng</v>
      </c>
      <c r="Y51" s="76" t="str">
        <f>IFERROR(__xludf.DUMMYFUNCTION("""COMPUTED_VALUE"""),"DUYỆT")</f>
        <v>DUYỆT</v>
      </c>
      <c r="Z51" s="76" t="str">
        <f>IFERROR(__xludf.DUMMYFUNCTION("""COMPUTED_VALUE"""),"KHÓA LUẬN")</f>
        <v>KHÓA LUẬN</v>
      </c>
      <c r="AA51" s="76" t="str">
        <f>IFERROR(__xludf.DUMMYFUNCTION("""COMPUTED_VALUE"""),"tuoiphamcsnt12a5@gmail.com")</f>
        <v>tuoiphamcsnt12a5@gmail.com</v>
      </c>
      <c r="AB51" s="76" t="str">
        <f>IFERROR(__xludf.DUMMYFUNCTION("""COMPUTED_VALUE"""),"#N/A")</f>
        <v>#N/A</v>
      </c>
      <c r="AC51" s="76" t="str">
        <f>IFERROR(__xludf.DUMMYFUNCTION("""COMPUTED_VALUE"""),"#N/A")</f>
        <v>#N/A</v>
      </c>
    </row>
    <row r="52">
      <c r="A52" s="100">
        <f>IFERROR(__xludf.DUMMYFUNCTION("""COMPUTED_VALUE"""),45650.42775471065)</f>
        <v>45650.42775</v>
      </c>
      <c r="B52" s="76" t="str">
        <f>IFERROR(__xludf.DUMMYFUNCTION("""COMPUTED_VALUE"""),"trandphuongtrinhh@gmail.com")</f>
        <v>trandphuongtrinhh@gmail.com</v>
      </c>
      <c r="C52" s="76">
        <f>IFERROR(__xludf.DUMMYFUNCTION("""COMPUTED_VALUE"""),2.5207117039E10)</f>
        <v>25207117039</v>
      </c>
      <c r="D52" s="76" t="str">
        <f>IFERROR(__xludf.DUMMYFUNCTION("""COMPUTED_VALUE"""),"Trần Đinh Phương Trinh")</f>
        <v>Trần Đinh Phương Trinh</v>
      </c>
      <c r="E52" s="101">
        <f>IFERROR(__xludf.DUMMYFUNCTION("""COMPUTED_VALUE"""),37117.0)</f>
        <v>37117</v>
      </c>
      <c r="F52" s="76" t="str">
        <f>IFERROR(__xludf.DUMMYFUNCTION("""COMPUTED_VALUE"""),"K25PSUDLK 9")</f>
        <v>K25PSUDLK 9</v>
      </c>
      <c r="G52" s="76" t="str">
        <f>IFERROR(__xludf.DUMMYFUNCTION("""COMPUTED_VALUE"""),"Quản trị Du lịch &amp; Khách sạn chuẩn PSU")</f>
        <v>Quản trị Du lịch &amp; Khách sạn chuẩn PSU</v>
      </c>
      <c r="H52" s="76" t="str">
        <f>IFERROR(__xludf.DUMMYFUNCTION("""COMPUTED_VALUE"""),"K25")</f>
        <v>K25</v>
      </c>
      <c r="I52" s="76" t="str">
        <f>IFERROR(__xludf.DUMMYFUNCTION("""COMPUTED_VALUE"""),"0708154940")</f>
        <v>0708154940</v>
      </c>
      <c r="J52" s="76">
        <f>IFERROR(__xludf.DUMMYFUNCTION("""COMPUTED_VALUE"""),2.98)</f>
        <v>2.98</v>
      </c>
      <c r="K52" s="76">
        <f>IFERROR(__xludf.DUMMYFUNCTION("""COMPUTED_VALUE"""),140.0)</f>
        <v>140</v>
      </c>
      <c r="L52" s="76" t="str">
        <f>IFERROR(__xludf.DUMMYFUNCTION("""COMPUTED_VALUE"""),"Rồi")</f>
        <v>Rồi</v>
      </c>
      <c r="M52" s="76" t="str">
        <f>IFERROR(__xludf.DUMMYFUNCTION("""COMPUTED_VALUE"""),"Thực tập tốt nghiệp")</f>
        <v>Thực tập tốt nghiệp</v>
      </c>
      <c r="N52" s="76">
        <f>IFERROR(__xludf.DUMMYFUNCTION("""COMPUTED_VALUE"""),0.0)</f>
        <v>0</v>
      </c>
      <c r="O52" s="76" t="str">
        <f>IFERROR(__xludf.DUMMYFUNCTION("""COMPUTED_VALUE"""),"cam kết")</f>
        <v>cam kết</v>
      </c>
      <c r="P52" s="76"/>
      <c r="Q52" s="76" t="str">
        <f>IFERROR(__xludf.DUMMYFUNCTION("""COMPUTED_VALUE"""),"CHƯA NỘP")</f>
        <v>CHƯA NỘP</v>
      </c>
      <c r="R52" s="76">
        <f>IFERROR(__xludf.DUMMYFUNCTION("""COMPUTED_VALUE"""),6.0)</f>
        <v>6</v>
      </c>
      <c r="S52" s="76"/>
      <c r="T52" s="76"/>
      <c r="U52" s="102" t="str">
        <f>IFERROR(__xludf.DUMMYFUNCTION("""COMPUTED_VALUE"""),"Trần Đinh Phương Trinh")</f>
        <v>Trần Đinh Phương Trinh</v>
      </c>
      <c r="V52" s="76" t="str">
        <f>IFERROR(__xludf.DUMMYFUNCTION("""COMPUTED_VALUE"""),"Quản Trị Du Lịch &amp; Khách Sạn Chuẩn PSU (Đại Học)")</f>
        <v>Quản Trị Du Lịch &amp; Khách Sạn Chuẩn PSU (Đại Học)</v>
      </c>
      <c r="W52" s="76" t="str">
        <f>IFERROR(__xludf.DUMMYFUNCTION("""COMPUTED_VALUE"""),"#N/A")</f>
        <v>#N/A</v>
      </c>
      <c r="X52" s="76" t="str">
        <f>IFERROR(__xludf.DUMMYFUNCTION("""COMPUTED_VALUE"""),"#N/A")</f>
        <v>#N/A</v>
      </c>
      <c r="Y52" s="76" t="str">
        <f>IFERROR(__xludf.DUMMYFUNCTION("""COMPUTED_VALUE"""),"#N/A")</f>
        <v>#N/A</v>
      </c>
      <c r="Z52" s="76" t="str">
        <f>IFERROR(__xludf.DUMMYFUNCTION("""COMPUTED_VALUE"""),"HỦY HỒ SƠ ĐĂNG KÝ THAM DỰ TỐT NGHIỆP ĐỢT 06/2025")</f>
        <v>HỦY HỒ SƠ ĐĂNG KÝ THAM DỰ TỐT NGHIỆP ĐỢT 06/2025</v>
      </c>
      <c r="AA52" s="76" t="str">
        <f>IFERROR(__xludf.DUMMYFUNCTION("""COMPUTED_VALUE"""),"trandphuongtrinhh@gmail.com")</f>
        <v>trandphuongtrinhh@gmail.com</v>
      </c>
      <c r="AB52" s="76"/>
      <c r="AC52" s="76"/>
    </row>
    <row r="53">
      <c r="A53" s="100">
        <f>IFERROR(__xludf.DUMMYFUNCTION("""COMPUTED_VALUE"""),45650.427881180556)</f>
        <v>45650.42788</v>
      </c>
      <c r="B53" s="76" t="str">
        <f>IFERROR(__xludf.DUMMYFUNCTION("""COMPUTED_VALUE"""),"trangminhphuc1203@gmail.com")</f>
        <v>trangminhphuc1203@gmail.com</v>
      </c>
      <c r="C53" s="76">
        <f>IFERROR(__xludf.DUMMYFUNCTION("""COMPUTED_VALUE"""),2.7217101134E10)</f>
        <v>27217101134</v>
      </c>
      <c r="D53" s="76" t="str">
        <f>IFERROR(__xludf.DUMMYFUNCTION("""COMPUTED_VALUE"""),"Trang Minh Phúc")</f>
        <v>Trang Minh Phúc</v>
      </c>
      <c r="E53" s="101">
        <f>IFERROR(__xludf.DUMMYFUNCTION("""COMPUTED_VALUE"""),37692.0)</f>
        <v>37692</v>
      </c>
      <c r="F53" s="76" t="str">
        <f>IFERROR(__xludf.DUMMYFUNCTION("""COMPUTED_VALUE"""),"K27DLK4")</f>
        <v>K27DLK4</v>
      </c>
      <c r="G53" s="76" t="str">
        <f>IFERROR(__xludf.DUMMYFUNCTION("""COMPUTED_VALUE"""),"Quản trị Du lịch &amp; Khách sạn")</f>
        <v>Quản trị Du lịch &amp; Khách sạn</v>
      </c>
      <c r="H53" s="76" t="str">
        <f>IFERROR(__xludf.DUMMYFUNCTION("""COMPUTED_VALUE"""),"K27")</f>
        <v>K27</v>
      </c>
      <c r="I53" s="76" t="str">
        <f>IFERROR(__xludf.DUMMYFUNCTION("""COMPUTED_VALUE"""),"0793146370")</f>
        <v>0793146370</v>
      </c>
      <c r="J53" s="76">
        <f>IFERROR(__xludf.DUMMYFUNCTION("""COMPUTED_VALUE"""),2.83)</f>
        <v>2.83</v>
      </c>
      <c r="K53" s="76">
        <f>IFERROR(__xludf.DUMMYFUNCTION("""COMPUTED_VALUE"""),109.0)</f>
        <v>109</v>
      </c>
      <c r="L53" s="76" t="str">
        <f>IFERROR(__xludf.DUMMYFUNCTION("""COMPUTED_VALUE"""),"Rồi")</f>
        <v>Rồi</v>
      </c>
      <c r="M53" s="76" t="str">
        <f>IFERROR(__xludf.DUMMYFUNCTION("""COMPUTED_VALUE"""),"Thực tập tốt nghiệp")</f>
        <v>Thực tập tốt nghiệp</v>
      </c>
      <c r="N53" s="76">
        <f>IFERROR(__xludf.DUMMYFUNCTION("""COMPUTED_VALUE"""),14.0)</f>
        <v>14</v>
      </c>
      <c r="O53" s="76" t="str">
        <f>IFERROR(__xludf.DUMMYFUNCTION("""COMPUTED_VALUE"""),"cam kết")</f>
        <v>cam kết</v>
      </c>
      <c r="P53" s="76"/>
      <c r="Q53" s="76"/>
      <c r="R53" s="76"/>
      <c r="S53" s="76" t="str">
        <f>IFERROR(__xludf.DUMMYFUNCTION("""COMPUTED_VALUE"""),"27/12/2024")</f>
        <v>27/12/2024</v>
      </c>
      <c r="T53" s="76"/>
      <c r="U53" s="102" t="str">
        <f>IFERROR(__xludf.DUMMYFUNCTION("""COMPUTED_VALUE"""),"Trang Minh Phúc")</f>
        <v>Trang Minh Phúc</v>
      </c>
      <c r="V53" s="76" t="str">
        <f>IFERROR(__xludf.DUMMYFUNCTION("""COMPUTED_VALUE"""),"Quản Trị Khách Sạn &amp; Nhà Hàng (Đại Học)")</f>
        <v>Quản Trị Khách Sạn &amp; Nhà Hàng (Đại Học)</v>
      </c>
      <c r="W53" s="76" t="str">
        <f>IFERROR(__xludf.DUMMYFUNCTION("""COMPUTED_VALUE"""),"Paris Deli Danang Beach Hotel")</f>
        <v>Paris Deli Danang Beach Hotel</v>
      </c>
      <c r="X53" s="76" t="str">
        <f>IFERROR(__xludf.DUMMYFUNCTION("""COMPUTED_VALUE"""),"Tiền sảnh")</f>
        <v>Tiền sảnh</v>
      </c>
      <c r="Y53" s="76" t="str">
        <f>IFERROR(__xludf.DUMMYFUNCTION("""COMPUTED_VALUE"""),"DUYỆT")</f>
        <v>DUYỆT</v>
      </c>
      <c r="Z53" s="76" t="str">
        <f>IFERROR(__xludf.DUMMYFUNCTION("""COMPUTED_VALUE"""),"CHUYÊN ĐỀ")</f>
        <v>CHUYÊN ĐỀ</v>
      </c>
      <c r="AA53" s="76" t="str">
        <f>IFERROR(__xludf.DUMMYFUNCTION("""COMPUTED_VALUE"""),"trangminhphuc1203@gmail.com")</f>
        <v>trangminhphuc1203@gmail.com</v>
      </c>
      <c r="AB53" s="76"/>
      <c r="AC53" s="76"/>
    </row>
    <row r="54">
      <c r="A54" s="100">
        <f>IFERROR(__xludf.DUMMYFUNCTION("""COMPUTED_VALUE"""),45650.43094202546)</f>
        <v>45650.43094</v>
      </c>
      <c r="B54" s="76" t="str">
        <f>IFERROR(__xludf.DUMMYFUNCTION("""COMPUTED_VALUE"""),"vanhungnguyen1042003@gmail.com")</f>
        <v>vanhungnguyen1042003@gmail.com</v>
      </c>
      <c r="C54" s="76">
        <f>IFERROR(__xludf.DUMMYFUNCTION("""COMPUTED_VALUE"""),2.721712681E10)</f>
        <v>27217126810</v>
      </c>
      <c r="D54" s="76" t="str">
        <f>IFERROR(__xludf.DUMMYFUNCTION("""COMPUTED_VALUE"""),"Nguyễn Văn Hưng")</f>
        <v>Nguyễn Văn Hưng</v>
      </c>
      <c r="E54" s="101">
        <f>IFERROR(__xludf.DUMMYFUNCTION("""COMPUTED_VALUE"""),37721.0)</f>
        <v>37721</v>
      </c>
      <c r="F54" s="76" t="str">
        <f>IFERROR(__xludf.DUMMYFUNCTION("""COMPUTED_VALUE"""),"K27DLK 2")</f>
        <v>K27DLK 2</v>
      </c>
      <c r="G54" s="76" t="str">
        <f>IFERROR(__xludf.DUMMYFUNCTION("""COMPUTED_VALUE"""),"Quản trị Du lịch &amp; Khách sạn")</f>
        <v>Quản trị Du lịch &amp; Khách sạn</v>
      </c>
      <c r="H54" s="76" t="str">
        <f>IFERROR(__xludf.DUMMYFUNCTION("""COMPUTED_VALUE"""),"K27")</f>
        <v>K27</v>
      </c>
      <c r="I54" s="76" t="str">
        <f>IFERROR(__xludf.DUMMYFUNCTION("""COMPUTED_VALUE"""),"0337166538")</f>
        <v>0337166538</v>
      </c>
      <c r="J54" s="76">
        <f>IFERROR(__xludf.DUMMYFUNCTION("""COMPUTED_VALUE"""),3.63)</f>
        <v>3.63</v>
      </c>
      <c r="K54" s="76">
        <f>IFERROR(__xludf.DUMMYFUNCTION("""COMPUTED_VALUE"""),122.0)</f>
        <v>122</v>
      </c>
      <c r="L54" s="76" t="str">
        <f>IFERROR(__xludf.DUMMYFUNCTION("""COMPUTED_VALUE"""),"Rồi")</f>
        <v>Rồi</v>
      </c>
      <c r="M54" s="76" t="str">
        <f>IFERROR(__xludf.DUMMYFUNCTION("""COMPUTED_VALUE"""),"Thực tập tốt nghiệp")</f>
        <v>Thực tập tốt nghiệp</v>
      </c>
      <c r="N54" s="76">
        <f>IFERROR(__xludf.DUMMYFUNCTION("""COMPUTED_VALUE"""),3.0)</f>
        <v>3</v>
      </c>
      <c r="O54" s="76" t="str">
        <f>IFERROR(__xludf.DUMMYFUNCTION("""COMPUTED_VALUE"""),"cam kết")</f>
        <v>cam kết</v>
      </c>
      <c r="P54" s="76"/>
      <c r="Q54" s="76"/>
      <c r="R54" s="76"/>
      <c r="S54" s="76" t="str">
        <f>IFERROR(__xludf.DUMMYFUNCTION("""COMPUTED_VALUE"""),"27/12/2024")</f>
        <v>27/12/2024</v>
      </c>
      <c r="T54" s="76"/>
      <c r="U54" s="102" t="str">
        <f>IFERROR(__xludf.DUMMYFUNCTION("""COMPUTED_VALUE"""),"Nguyễn Văn Hưng")</f>
        <v>Nguyễn Văn Hưng</v>
      </c>
      <c r="V54" s="76" t="str">
        <f>IFERROR(__xludf.DUMMYFUNCTION("""COMPUTED_VALUE"""),"Quản Trị Khách Sạn &amp; Nhà Hàng (Đại Học)")</f>
        <v>Quản Trị Khách Sạn &amp; Nhà Hàng (Đại Học)</v>
      </c>
      <c r="W54" s="76" t="str">
        <f>IFERROR(__xludf.DUMMYFUNCTION("""COMPUTED_VALUE"""),"Wyndham DaNang Golden Bay")</f>
        <v>Wyndham DaNang Golden Bay</v>
      </c>
      <c r="X54" s="76" t="str">
        <f>IFERROR(__xludf.DUMMYFUNCTION("""COMPUTED_VALUE"""),"Tiền sảnh")</f>
        <v>Tiền sảnh</v>
      </c>
      <c r="Y54" s="76" t="str">
        <f>IFERROR(__xludf.DUMMYFUNCTION("""COMPUTED_VALUE"""),"DUYỆT")</f>
        <v>DUYỆT</v>
      </c>
      <c r="Z54" s="76" t="str">
        <f>IFERROR(__xludf.DUMMYFUNCTION("""COMPUTED_VALUE"""),"CHUYÊN ĐỀ")</f>
        <v>CHUYÊN ĐỀ</v>
      </c>
      <c r="AA54" s="76" t="str">
        <f>IFERROR(__xludf.DUMMYFUNCTION("""COMPUTED_VALUE"""),"vanhungnguyen1042003@gmail.com")</f>
        <v>vanhungnguyen1042003@gmail.com</v>
      </c>
      <c r="AB54" s="76" t="str">
        <f>IFERROR(__xludf.DUMMYFUNCTION("""COMPUTED_VALUE"""),"Nguyễn Văn Hưng")</f>
        <v>Nguyễn Văn Hưng</v>
      </c>
      <c r="AC54" s="76" t="str">
        <f>IFERROR(__xludf.DUMMYFUNCTION("""COMPUTED_VALUE"""),"ĐÃ NỘP")</f>
        <v>ĐÃ NỘP</v>
      </c>
    </row>
    <row r="55">
      <c r="A55" s="100">
        <f>IFERROR(__xludf.DUMMYFUNCTION("""COMPUTED_VALUE"""),45651.682783738426)</f>
        <v>45651.68278</v>
      </c>
      <c r="B55" s="76" t="str">
        <f>IFERROR(__xludf.DUMMYFUNCTION("""COMPUTED_VALUE"""),"nguyenthithanhnhung2588@gmail.com")</f>
        <v>nguyenthithanhnhung2588@gmail.com</v>
      </c>
      <c r="C55" s="76">
        <f>IFERROR(__xludf.DUMMYFUNCTION("""COMPUTED_VALUE"""),2.7207133206E10)</f>
        <v>27207133206</v>
      </c>
      <c r="D55" s="76" t="str">
        <f>IFERROR(__xludf.DUMMYFUNCTION("""COMPUTED_VALUE"""),"Nguyễn Thị Thanh Nhung")</f>
        <v>Nguyễn Thị Thanh Nhung</v>
      </c>
      <c r="E55" s="101">
        <f>IFERROR(__xludf.DUMMYFUNCTION("""COMPUTED_VALUE"""),37672.0)</f>
        <v>37672</v>
      </c>
      <c r="F55" s="76" t="str">
        <f>IFERROR(__xludf.DUMMYFUNCTION("""COMPUTED_VALUE"""),"K27DLK2")</f>
        <v>K27DLK2</v>
      </c>
      <c r="G55" s="76" t="str">
        <f>IFERROR(__xludf.DUMMYFUNCTION("""COMPUTED_VALUE"""),"Quản trị Du lịch &amp; Khách sạn")</f>
        <v>Quản trị Du lịch &amp; Khách sạn</v>
      </c>
      <c r="H55" s="76" t="str">
        <f>IFERROR(__xludf.DUMMYFUNCTION("""COMPUTED_VALUE"""),"K27")</f>
        <v>K27</v>
      </c>
      <c r="I55" s="76" t="str">
        <f>IFERROR(__xludf.DUMMYFUNCTION("""COMPUTED_VALUE"""),"0832765506")</f>
        <v>0832765506</v>
      </c>
      <c r="J55" s="76" t="str">
        <f>IFERROR(__xludf.DUMMYFUNCTION("""COMPUTED_VALUE"""),"3,1")</f>
        <v>3,1</v>
      </c>
      <c r="K55" s="76">
        <f>IFERROR(__xludf.DUMMYFUNCTION("""COMPUTED_VALUE"""),122.0)</f>
        <v>122</v>
      </c>
      <c r="L55" s="76" t="str">
        <f>IFERROR(__xludf.DUMMYFUNCTION("""COMPUTED_VALUE"""),"Rồi")</f>
        <v>Rồi</v>
      </c>
      <c r="M55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55" s="76">
        <f>IFERROR(__xludf.DUMMYFUNCTION("""COMPUTED_VALUE"""),2.0)</f>
        <v>2</v>
      </c>
      <c r="O55" s="76" t="str">
        <f>IFERROR(__xludf.DUMMYFUNCTION("""COMPUTED_VALUE"""),"cam kết")</f>
        <v>cam kết</v>
      </c>
      <c r="P55" s="76"/>
      <c r="Q55" s="76"/>
      <c r="R55" s="76"/>
      <c r="S55" s="76" t="str">
        <f>IFERROR(__xludf.DUMMYFUNCTION("""COMPUTED_VALUE"""),"27/12/2024")</f>
        <v>27/12/2024</v>
      </c>
      <c r="T55" s="76"/>
      <c r="U55" s="102" t="str">
        <f>IFERROR(__xludf.DUMMYFUNCTION("""COMPUTED_VALUE"""),"Nguyễn Thị Thanh Nhung")</f>
        <v>Nguyễn Thị Thanh Nhung</v>
      </c>
      <c r="V55" s="76" t="str">
        <f>IFERROR(__xludf.DUMMYFUNCTION("""COMPUTED_VALUE"""),"Quản Trị Khách Sạn &amp; Nhà Hàng (Đại Học)")</f>
        <v>Quản Trị Khách Sạn &amp; Nhà Hàng (Đại Học)</v>
      </c>
      <c r="W55" s="76" t="str">
        <f>IFERROR(__xludf.DUMMYFUNCTION("""COMPUTED_VALUE"""),"Novotel DaNang Premier Han River")</f>
        <v>Novotel DaNang Premier Han River</v>
      </c>
      <c r="X55" s="76" t="str">
        <f>IFERROR(__xludf.DUMMYFUNCTION("""COMPUTED_VALUE"""),"Nhà hàng")</f>
        <v>Nhà hàng</v>
      </c>
      <c r="Y55" s="76" t="str">
        <f>IFERROR(__xludf.DUMMYFUNCTION("""COMPUTED_VALUE"""),"DUYỆT")</f>
        <v>DUYỆT</v>
      </c>
      <c r="Z55" s="76" t="str">
        <f>IFERROR(__xludf.DUMMYFUNCTION("""COMPUTED_VALUE"""),"CHUYÊN ĐỀ")</f>
        <v>CHUYÊN ĐỀ</v>
      </c>
      <c r="AA55" s="76" t="str">
        <f>IFERROR(__xludf.DUMMYFUNCTION("""COMPUTED_VALUE"""),"nguyenthithanhnhung2588@gmail.com")</f>
        <v>nguyenthithanhnhung2588@gmail.com</v>
      </c>
      <c r="AB55" s="76"/>
      <c r="AC55" s="76"/>
    </row>
    <row r="56">
      <c r="A56" s="100">
        <f>IFERROR(__xludf.DUMMYFUNCTION("""COMPUTED_VALUE"""),45650.44262642361)</f>
        <v>45650.44263</v>
      </c>
      <c r="B56" s="76" t="str">
        <f>IFERROR(__xludf.DUMMYFUNCTION("""COMPUTED_VALUE"""),"vyvy8811@gmail.com")</f>
        <v>vyvy8811@gmail.com</v>
      </c>
      <c r="C56" s="76">
        <f>IFERROR(__xludf.DUMMYFUNCTION("""COMPUTED_VALUE"""),2.7207124833E10)</f>
        <v>27207124833</v>
      </c>
      <c r="D56" s="76" t="str">
        <f>IFERROR(__xludf.DUMMYFUNCTION("""COMPUTED_VALUE"""),"Nguyễn Lê Tường Vy")</f>
        <v>Nguyễn Lê Tường Vy</v>
      </c>
      <c r="E56" s="101">
        <f>IFERROR(__xludf.DUMMYFUNCTION("""COMPUTED_VALUE"""),37892.0)</f>
        <v>37892</v>
      </c>
      <c r="F56" s="76" t="str">
        <f>IFERROR(__xludf.DUMMYFUNCTION("""COMPUTED_VALUE"""),"K27DLK3")</f>
        <v>K27DLK3</v>
      </c>
      <c r="G56" s="76" t="str">
        <f>IFERROR(__xludf.DUMMYFUNCTION("""COMPUTED_VALUE"""),"Quản trị Du lịch &amp; Khách sạn")</f>
        <v>Quản trị Du lịch &amp; Khách sạn</v>
      </c>
      <c r="H56" s="76" t="str">
        <f>IFERROR(__xludf.DUMMYFUNCTION("""COMPUTED_VALUE"""),"K27")</f>
        <v>K27</v>
      </c>
      <c r="I56" s="76" t="str">
        <f>IFERROR(__xludf.DUMMYFUNCTION("""COMPUTED_VALUE"""),"0876820811")</f>
        <v>0876820811</v>
      </c>
      <c r="J56" s="76">
        <f>IFERROR(__xludf.DUMMYFUNCTION("""COMPUTED_VALUE"""),2.4)</f>
        <v>2.4</v>
      </c>
      <c r="K56" s="76">
        <f>IFERROR(__xludf.DUMMYFUNCTION("""COMPUTED_VALUE"""),120.0)</f>
        <v>120</v>
      </c>
      <c r="L56" s="76" t="str">
        <f>IFERROR(__xludf.DUMMYFUNCTION("""COMPUTED_VALUE"""),"Rồi")</f>
        <v>Rồi</v>
      </c>
      <c r="M56" s="76" t="str">
        <f>IFERROR(__xludf.DUMMYFUNCTION("""COMPUTED_VALUE"""),"Thực tập tốt nghiệp, Công nhận tốt nghiệp")</f>
        <v>Thực tập tốt nghiệp, Công nhận tốt nghiệp</v>
      </c>
      <c r="N56" s="76">
        <f>IFERROR(__xludf.DUMMYFUNCTION("""COMPUTED_VALUE"""),0.0)</f>
        <v>0</v>
      </c>
      <c r="O56" s="76" t="str">
        <f>IFERROR(__xludf.DUMMYFUNCTION("""COMPUTED_VALUE"""),"cam kết")</f>
        <v>cam kết</v>
      </c>
      <c r="P56" s="76"/>
      <c r="Q56" s="76"/>
      <c r="R56" s="76"/>
      <c r="S56" s="76" t="str">
        <f>IFERROR(__xludf.DUMMYFUNCTION("""COMPUTED_VALUE"""),"27/12/2024")</f>
        <v>27/12/2024</v>
      </c>
      <c r="T56" s="76"/>
      <c r="U56" s="102" t="str">
        <f>IFERROR(__xludf.DUMMYFUNCTION("""COMPUTED_VALUE"""),"Nguyễn Lê Tường Vy")</f>
        <v>Nguyễn Lê Tường Vy</v>
      </c>
      <c r="V56" s="76" t="str">
        <f>IFERROR(__xludf.DUMMYFUNCTION("""COMPUTED_VALUE"""),"Quản Trị Khách Sạn &amp; Nhà Hàng (Đại Học)")</f>
        <v>Quản Trị Khách Sạn &amp; Nhà Hàng (Đại Học)</v>
      </c>
      <c r="W56" s="76" t="str">
        <f>IFERROR(__xludf.DUMMYFUNCTION("""COMPUTED_VALUE"""),"Wyndham DaNang Golden Bay")</f>
        <v>Wyndham DaNang Golden Bay</v>
      </c>
      <c r="X56" s="76" t="str">
        <f>IFERROR(__xludf.DUMMYFUNCTION("""COMPUTED_VALUE"""),"Nhà hàng")</f>
        <v>Nhà hàng</v>
      </c>
      <c r="Y56" s="76" t="str">
        <f>IFERROR(__xludf.DUMMYFUNCTION("""COMPUTED_VALUE"""),"DUYỆT")</f>
        <v>DUYỆT</v>
      </c>
      <c r="Z56" s="76" t="str">
        <f>IFERROR(__xludf.DUMMYFUNCTION("""COMPUTED_VALUE"""),"CHUYÊN ĐỀ")</f>
        <v>CHUYÊN ĐỀ</v>
      </c>
      <c r="AA56" s="76" t="str">
        <f>IFERROR(__xludf.DUMMYFUNCTION("""COMPUTED_VALUE"""),"vyvy8811@gmail.com")</f>
        <v>vyvy8811@gmail.com</v>
      </c>
      <c r="AB56" s="76"/>
      <c r="AC56" s="76"/>
    </row>
    <row r="57">
      <c r="A57" s="100">
        <f>IFERROR(__xludf.DUMMYFUNCTION("""COMPUTED_VALUE"""),45650.44649091436)</f>
        <v>45650.44649</v>
      </c>
      <c r="B57" s="76" t="str">
        <f>IFERROR(__xludf.DUMMYFUNCTION("""COMPUTED_VALUE"""),"duyanhvuongkhanh@gmail.com")</f>
        <v>duyanhvuongkhanh@gmail.com</v>
      </c>
      <c r="C57" s="76">
        <f>IFERROR(__xludf.DUMMYFUNCTION("""COMPUTED_VALUE"""),2.7217130749E10)</f>
        <v>27217130749</v>
      </c>
      <c r="D57" s="76" t="str">
        <f>IFERROR(__xludf.DUMMYFUNCTION("""COMPUTED_VALUE"""),"Vương Khánh Duy Anh")</f>
        <v>Vương Khánh Duy Anh</v>
      </c>
      <c r="E57" s="101">
        <f>IFERROR(__xludf.DUMMYFUNCTION("""COMPUTED_VALUE"""),37813.0)</f>
        <v>37813</v>
      </c>
      <c r="F57" s="76" t="str">
        <f>IFERROR(__xludf.DUMMYFUNCTION("""COMPUTED_VALUE"""),"K27DLK3")</f>
        <v>K27DLK3</v>
      </c>
      <c r="G57" s="76" t="str">
        <f>IFERROR(__xludf.DUMMYFUNCTION("""COMPUTED_VALUE"""),"Quản trị Du lịch &amp; Khách sạn")</f>
        <v>Quản trị Du lịch &amp; Khách sạn</v>
      </c>
      <c r="H57" s="76" t="str">
        <f>IFERROR(__xludf.DUMMYFUNCTION("""COMPUTED_VALUE"""),"K27")</f>
        <v>K27</v>
      </c>
      <c r="I57" s="76" t="str">
        <f>IFERROR(__xludf.DUMMYFUNCTION("""COMPUTED_VALUE"""),"0971288714")</f>
        <v>0971288714</v>
      </c>
      <c r="J57" s="76">
        <f>IFERROR(__xludf.DUMMYFUNCTION("""COMPUTED_VALUE"""),3.37)</f>
        <v>3.37</v>
      </c>
      <c r="K57" s="76" t="str">
        <f>IFERROR(__xludf.DUMMYFUNCTION("""COMPUTED_VALUE"""),"115( chưa bao gồm 9 tín chỉ đã và đang thi)")</f>
        <v>115( chưa bao gồm 9 tín chỉ đã và đang thi)</v>
      </c>
      <c r="L57" s="76" t="str">
        <f>IFERROR(__xludf.DUMMYFUNCTION("""COMPUTED_VALUE"""),"Rồi")</f>
        <v>Rồi</v>
      </c>
      <c r="M57" s="76" t="str">
        <f>IFERROR(__xludf.DUMMYFUNCTION("""COMPUTED_VALUE"""),"Thực tập tốt nghiệp")</f>
        <v>Thực tập tốt nghiệp</v>
      </c>
      <c r="N57" s="76" t="str">
        <f>IFERROR(__xludf.DUMMYFUNCTION("""COMPUTED_VALUE"""),"10 tín chỉ HK1 2024-2025")</f>
        <v>10 tín chỉ HK1 2024-2025</v>
      </c>
      <c r="O57" s="76" t="str">
        <f>IFERROR(__xludf.DUMMYFUNCTION("""COMPUTED_VALUE"""),"cam kết")</f>
        <v>cam kết</v>
      </c>
      <c r="P57" s="76"/>
      <c r="Q57" s="76"/>
      <c r="R57" s="76"/>
      <c r="S57" s="76" t="str">
        <f>IFERROR(__xludf.DUMMYFUNCTION("""COMPUTED_VALUE"""),"27/12/2024")</f>
        <v>27/12/2024</v>
      </c>
      <c r="T57" s="76"/>
      <c r="U57" s="102" t="str">
        <f>IFERROR(__xludf.DUMMYFUNCTION("""COMPUTED_VALUE"""),"Vương Khánh Duy Anh")</f>
        <v>Vương Khánh Duy Anh</v>
      </c>
      <c r="V57" s="76" t="str">
        <f>IFERROR(__xludf.DUMMYFUNCTION("""COMPUTED_VALUE"""),"Quản Trị Khách Sạn &amp; Nhà Hàng (Đại Học)")</f>
        <v>Quản Trị Khách Sạn &amp; Nhà Hàng (Đại Học)</v>
      </c>
      <c r="W57" s="76" t="str">
        <f>IFERROR(__xludf.DUMMYFUNCTION("""COMPUTED_VALUE"""),"Khách sạn Mandila Beach Đà Nẵng")</f>
        <v>Khách sạn Mandila Beach Đà Nẵng</v>
      </c>
      <c r="X57" s="76" t="str">
        <f>IFERROR(__xludf.DUMMYFUNCTION("""COMPUTED_VALUE"""),"Tiền sảnh")</f>
        <v>Tiền sảnh</v>
      </c>
      <c r="Y57" s="76" t="str">
        <f>IFERROR(__xludf.DUMMYFUNCTION("""COMPUTED_VALUE"""),"DUYỆT")</f>
        <v>DUYỆT</v>
      </c>
      <c r="Z57" s="76" t="str">
        <f>IFERROR(__xludf.DUMMYFUNCTION("""COMPUTED_VALUE"""),"CHUYÊN ĐỀ")</f>
        <v>CHUYÊN ĐỀ</v>
      </c>
      <c r="AA57" s="76" t="str">
        <f>IFERROR(__xludf.DUMMYFUNCTION("""COMPUTED_VALUE"""),"duyanhvuongkhanh@gmail.com")</f>
        <v>duyanhvuongkhanh@gmail.com</v>
      </c>
      <c r="AB57" s="76" t="str">
        <f>IFERROR(__xludf.DUMMYFUNCTION("""COMPUTED_VALUE"""),"Vương Khánh Duy Anh")</f>
        <v>Vương Khánh Duy Anh</v>
      </c>
      <c r="AC57" s="76" t="str">
        <f>IFERROR(__xludf.DUMMYFUNCTION("""COMPUTED_VALUE"""),"ĐÃ NỘP")</f>
        <v>ĐÃ NỘP</v>
      </c>
    </row>
    <row r="58">
      <c r="A58" s="100">
        <f>IFERROR(__xludf.DUMMYFUNCTION("""COMPUTED_VALUE"""),45679.805767858794)</f>
        <v>45679.80577</v>
      </c>
      <c r="B58" s="76" t="str">
        <f>IFERROR(__xludf.DUMMYFUNCTION("""COMPUTED_VALUE"""),"thanhhuyen101103@gmail.com")</f>
        <v>thanhhuyen101103@gmail.com</v>
      </c>
      <c r="C58" s="76">
        <f>IFERROR(__xludf.DUMMYFUNCTION("""COMPUTED_VALUE"""),2.7207143366E10)</f>
        <v>27207143366</v>
      </c>
      <c r="D58" s="76" t="str">
        <f>IFERROR(__xludf.DUMMYFUNCTION("""COMPUTED_VALUE"""),"Trương Thị Thanh Huyền")</f>
        <v>Trương Thị Thanh Huyền</v>
      </c>
      <c r="E58" s="101">
        <f>IFERROR(__xludf.DUMMYFUNCTION("""COMPUTED_VALUE"""),37935.0)</f>
        <v>37935</v>
      </c>
      <c r="F58" s="76" t="str">
        <f>IFERROR(__xludf.DUMMYFUNCTION("""COMPUTED_VALUE"""),"K27DLK1")</f>
        <v>K27DLK1</v>
      </c>
      <c r="G58" s="76" t="str">
        <f>IFERROR(__xludf.DUMMYFUNCTION("""COMPUTED_VALUE"""),"Quản trị Du lịch &amp; Khách sạn")</f>
        <v>Quản trị Du lịch &amp; Khách sạn</v>
      </c>
      <c r="H58" s="76" t="str">
        <f>IFERROR(__xludf.DUMMYFUNCTION("""COMPUTED_VALUE"""),"K27")</f>
        <v>K27</v>
      </c>
      <c r="I58" s="76" t="str">
        <f>IFERROR(__xludf.DUMMYFUNCTION("""COMPUTED_VALUE"""),"0972904315")</f>
        <v>0972904315</v>
      </c>
      <c r="J58" s="76">
        <f>IFERROR(__xludf.DUMMYFUNCTION("""COMPUTED_VALUE"""),2.96)</f>
        <v>2.96</v>
      </c>
      <c r="K58" s="76">
        <f>IFERROR(__xludf.DUMMYFUNCTION("""COMPUTED_VALUE"""),114.0)</f>
        <v>114</v>
      </c>
      <c r="L58" s="76" t="str">
        <f>IFERROR(__xludf.DUMMYFUNCTION("""COMPUTED_VALUE"""),"Rồi")</f>
        <v>Rồi</v>
      </c>
      <c r="M58" s="76" t="str">
        <f>IFERROR(__xludf.DUMMYFUNCTION("""COMPUTED_VALUE"""),"Thực tập tốt nghiệp, Thi tốt nghiệp")</f>
        <v>Thực tập tốt nghiệp, Thi tốt nghiệp</v>
      </c>
      <c r="N58" s="76">
        <f>IFERROR(__xludf.DUMMYFUNCTION("""COMPUTED_VALUE"""),3.0)</f>
        <v>3</v>
      </c>
      <c r="O58" s="76" t="str">
        <f>IFERROR(__xludf.DUMMYFUNCTION("""COMPUTED_VALUE"""),"cam kết")</f>
        <v>cam kết</v>
      </c>
      <c r="P58" s="76"/>
      <c r="Q58" s="76"/>
      <c r="R58" s="76"/>
      <c r="S58" s="76" t="str">
        <f>IFERROR(__xludf.DUMMYFUNCTION("""COMPUTED_VALUE"""),"27/12/2024")</f>
        <v>27/12/2024</v>
      </c>
      <c r="T58" s="76"/>
      <c r="U58" s="102" t="str">
        <f>IFERROR(__xludf.DUMMYFUNCTION("""COMPUTED_VALUE"""),"Trương Thị Thanh Huyền")</f>
        <v>Trương Thị Thanh Huyền</v>
      </c>
      <c r="V58" s="76" t="str">
        <f>IFERROR(__xludf.DUMMYFUNCTION("""COMPUTED_VALUE"""),"Quản Trị Khách Sạn &amp; Nhà Hàng (Đại Học)")</f>
        <v>Quản Trị Khách Sạn &amp; Nhà Hàng (Đại Học)</v>
      </c>
      <c r="W58" s="76" t="str">
        <f>IFERROR(__xludf.DUMMYFUNCTION("""COMPUTED_VALUE"""),"Novotel DaNang Premier Han River")</f>
        <v>Novotel DaNang Premier Han River</v>
      </c>
      <c r="X58" s="76" t="str">
        <f>IFERROR(__xludf.DUMMYFUNCTION("""COMPUTED_VALUE"""),"Buồng phòng")</f>
        <v>Buồng phòng</v>
      </c>
      <c r="Y58" s="76" t="str">
        <f>IFERROR(__xludf.DUMMYFUNCTION("""COMPUTED_VALUE"""),"DUYỆT")</f>
        <v>DUYỆT</v>
      </c>
      <c r="Z58" s="76" t="str">
        <f>IFERROR(__xludf.DUMMYFUNCTION("""COMPUTED_VALUE"""),"CHUYÊN ĐỀ")</f>
        <v>CHUYÊN ĐỀ</v>
      </c>
      <c r="AA58" s="76" t="str">
        <f>IFERROR(__xludf.DUMMYFUNCTION("""COMPUTED_VALUE"""),"thanhhuyen101103@gmail.com")</f>
        <v>thanhhuyen101103@gmail.com</v>
      </c>
      <c r="AB58" s="76"/>
      <c r="AC58" s="76"/>
    </row>
    <row r="59">
      <c r="A59" s="100">
        <f>IFERROR(__xludf.DUMMYFUNCTION("""COMPUTED_VALUE"""),45651.693218472225)</f>
        <v>45651.69322</v>
      </c>
      <c r="B59" s="76" t="str">
        <f>IFERROR(__xludf.DUMMYFUNCTION("""COMPUTED_VALUE"""),"htrungmlo210902@gmail.com")</f>
        <v>htrungmlo210902@gmail.com</v>
      </c>
      <c r="C59" s="76">
        <f>IFERROR(__xludf.DUMMYFUNCTION("""COMPUTED_VALUE"""),2.7217128728E10)</f>
        <v>27217128728</v>
      </c>
      <c r="D59" s="76" t="str">
        <f>IFERROR(__xludf.DUMMYFUNCTION("""COMPUTED_VALUE"""),"H' Trùng Mlô")</f>
        <v>H' Trùng Mlô</v>
      </c>
      <c r="E59" s="101">
        <f>IFERROR(__xludf.DUMMYFUNCTION("""COMPUTED_VALUE"""),37520.0)</f>
        <v>37520</v>
      </c>
      <c r="F59" s="76" t="str">
        <f>IFERROR(__xludf.DUMMYFUNCTION("""COMPUTED_VALUE"""),"K27DLK2")</f>
        <v>K27DLK2</v>
      </c>
      <c r="G59" s="76" t="str">
        <f>IFERROR(__xludf.DUMMYFUNCTION("""COMPUTED_VALUE"""),"Quản trị Du lịch &amp; Khách sạn")</f>
        <v>Quản trị Du lịch &amp; Khách sạn</v>
      </c>
      <c r="H59" s="76" t="str">
        <f>IFERROR(__xludf.DUMMYFUNCTION("""COMPUTED_VALUE"""),"K27")</f>
        <v>K27</v>
      </c>
      <c r="I59" s="76" t="str">
        <f>IFERROR(__xludf.DUMMYFUNCTION("""COMPUTED_VALUE"""),"0368299408")</f>
        <v>0368299408</v>
      </c>
      <c r="J59" s="76">
        <f>IFERROR(__xludf.DUMMYFUNCTION("""COMPUTED_VALUE"""),3.63)</f>
        <v>3.63</v>
      </c>
      <c r="K59" s="76">
        <f>IFERROR(__xludf.DUMMYFUNCTION("""COMPUTED_VALUE"""),120.0)</f>
        <v>120</v>
      </c>
      <c r="L59" s="76" t="str">
        <f>IFERROR(__xludf.DUMMYFUNCTION("""COMPUTED_VALUE"""),"Rồi")</f>
        <v>Rồi</v>
      </c>
      <c r="M59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59" s="76">
        <f>IFERROR(__xludf.DUMMYFUNCTION("""COMPUTED_VALUE"""),3.0)</f>
        <v>3</v>
      </c>
      <c r="O59" s="76" t="str">
        <f>IFERROR(__xludf.DUMMYFUNCTION("""COMPUTED_VALUE"""),"cam kết")</f>
        <v>cam kết</v>
      </c>
      <c r="P59" s="76"/>
      <c r="Q59" s="76"/>
      <c r="R59" s="76"/>
      <c r="S59" s="76" t="str">
        <f>IFERROR(__xludf.DUMMYFUNCTION("""COMPUTED_VALUE"""),"27/12/2024")</f>
        <v>27/12/2024</v>
      </c>
      <c r="T59" s="76"/>
      <c r="U59" s="102" t="str">
        <f>IFERROR(__xludf.DUMMYFUNCTION("""COMPUTED_VALUE"""),"H'Trùng Mlô")</f>
        <v>H'Trùng Mlô</v>
      </c>
      <c r="V59" s="76" t="str">
        <f>IFERROR(__xludf.DUMMYFUNCTION("""COMPUTED_VALUE"""),"Quản Trị Khách Sạn &amp; Nhà Hàng (Đại Học)")</f>
        <v>Quản Trị Khách Sạn &amp; Nhà Hàng (Đại Học)</v>
      </c>
      <c r="W59" s="76" t="str">
        <f>IFERROR(__xludf.DUMMYFUNCTION("""COMPUTED_VALUE"""),"Novotel DaNang Premier Han River")</f>
        <v>Novotel DaNang Premier Han River</v>
      </c>
      <c r="X59" s="76" t="str">
        <f>IFERROR(__xludf.DUMMYFUNCTION("""COMPUTED_VALUE"""),"Tiền sảnh")</f>
        <v>Tiền sảnh</v>
      </c>
      <c r="Y59" s="76" t="str">
        <f>IFERROR(__xludf.DUMMYFUNCTION("""COMPUTED_VALUE"""),"DUYỆT")</f>
        <v>DUYỆT</v>
      </c>
      <c r="Z59" s="76" t="str">
        <f>IFERROR(__xludf.DUMMYFUNCTION("""COMPUTED_VALUE"""),"CHUYÊN ĐỀ")</f>
        <v>CHUYÊN ĐỀ</v>
      </c>
      <c r="AA59" s="76" t="str">
        <f>IFERROR(__xludf.DUMMYFUNCTION("""COMPUTED_VALUE"""),"htrungmlo210902@gmail.com")</f>
        <v>htrungmlo210902@gmail.com</v>
      </c>
      <c r="AB59" s="76" t="str">
        <f>IFERROR(__xludf.DUMMYFUNCTION("""COMPUTED_VALUE"""),"H'Trùng Mlô")</f>
        <v>H'Trùng Mlô</v>
      </c>
      <c r="AC59" s="76" t="str">
        <f>IFERROR(__xludf.DUMMYFUNCTION("""COMPUTED_VALUE"""),"ĐÃ NỘP")</f>
        <v>ĐÃ NỘP</v>
      </c>
    </row>
    <row r="60">
      <c r="A60" s="100">
        <f>IFERROR(__xludf.DUMMYFUNCTION("""COMPUTED_VALUE"""),45651.84538126158)</f>
        <v>45651.84538</v>
      </c>
      <c r="B60" s="76" t="str">
        <f>IFERROR(__xludf.DUMMYFUNCTION("""COMPUTED_VALUE"""),"ngocmai.3042003@gmail.com")</f>
        <v>ngocmai.3042003@gmail.com</v>
      </c>
      <c r="C60" s="76">
        <f>IFERROR(__xludf.DUMMYFUNCTION("""COMPUTED_VALUE"""),2.720710207E10)</f>
        <v>27207102070</v>
      </c>
      <c r="D60" s="76" t="str">
        <f>IFERROR(__xludf.DUMMYFUNCTION("""COMPUTED_VALUE"""),"Mai Thị Kim Ngọc")</f>
        <v>Mai Thị Kim Ngọc</v>
      </c>
      <c r="E60" s="101">
        <f>IFERROR(__xludf.DUMMYFUNCTION("""COMPUTED_VALUE"""),37741.0)</f>
        <v>37741</v>
      </c>
      <c r="F60" s="76" t="str">
        <f>IFERROR(__xludf.DUMMYFUNCTION("""COMPUTED_VALUE"""),"K27DLK7")</f>
        <v>K27DLK7</v>
      </c>
      <c r="G60" s="76" t="str">
        <f>IFERROR(__xludf.DUMMYFUNCTION("""COMPUTED_VALUE"""),"Quản trị Du lịch &amp; Khách sạn")</f>
        <v>Quản trị Du lịch &amp; Khách sạn</v>
      </c>
      <c r="H60" s="76" t="str">
        <f>IFERROR(__xludf.DUMMYFUNCTION("""COMPUTED_VALUE"""),"K27")</f>
        <v>K27</v>
      </c>
      <c r="I60" s="76" t="str">
        <f>IFERROR(__xludf.DUMMYFUNCTION("""COMPUTED_VALUE"""),"0384831612")</f>
        <v>0384831612</v>
      </c>
      <c r="J60" s="76" t="str">
        <f>IFERROR(__xludf.DUMMYFUNCTION("""COMPUTED_VALUE"""),"3,73")</f>
        <v>3,73</v>
      </c>
      <c r="K60" s="76">
        <f>IFERROR(__xludf.DUMMYFUNCTION("""COMPUTED_VALUE"""),116.0)</f>
        <v>116</v>
      </c>
      <c r="L60" s="76" t="str">
        <f>IFERROR(__xludf.DUMMYFUNCTION("""COMPUTED_VALUE"""),"Rồi")</f>
        <v>Rồi</v>
      </c>
      <c r="M60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60" s="76">
        <f>IFERROR(__xludf.DUMMYFUNCTION("""COMPUTED_VALUE"""),7.0)</f>
        <v>7</v>
      </c>
      <c r="O60" s="76" t="str">
        <f>IFERROR(__xludf.DUMMYFUNCTION("""COMPUTED_VALUE"""),"cam kết")</f>
        <v>cam kết</v>
      </c>
      <c r="P60" s="76"/>
      <c r="Q60" s="76"/>
      <c r="R60" s="76"/>
      <c r="S60" s="76" t="str">
        <f>IFERROR(__xludf.DUMMYFUNCTION("""COMPUTED_VALUE"""),"27/12/2024")</f>
        <v>27/12/2024</v>
      </c>
      <c r="T60" s="76"/>
      <c r="U60" s="102" t="str">
        <f>IFERROR(__xludf.DUMMYFUNCTION("""COMPUTED_VALUE"""),"Mai Thị Kim Ngọc")</f>
        <v>Mai Thị Kim Ngọc</v>
      </c>
      <c r="V60" s="76" t="str">
        <f>IFERROR(__xludf.DUMMYFUNCTION("""COMPUTED_VALUE"""),"Quản Trị Khách Sạn &amp; Nhà Hàng (Đại Học)")</f>
        <v>Quản Trị Khách Sạn &amp; Nhà Hàng (Đại Học)</v>
      </c>
      <c r="W60" s="76" t="str">
        <f>IFERROR(__xludf.DUMMYFUNCTION("""COMPUTED_VALUE"""),"DaNang Marriott Resort &amp; Spa, Non Nuoc Beach Villas")</f>
        <v>DaNang Marriott Resort &amp; Spa, Non Nuoc Beach Villas</v>
      </c>
      <c r="X60" s="76" t="str">
        <f>IFERROR(__xludf.DUMMYFUNCTION("""COMPUTED_VALUE"""),"Nhà hàng")</f>
        <v>Nhà hàng</v>
      </c>
      <c r="Y60" s="76" t="str">
        <f>IFERROR(__xludf.DUMMYFUNCTION("""COMPUTED_VALUE"""),"DUYỆT")</f>
        <v>DUYỆT</v>
      </c>
      <c r="Z60" s="76" t="str">
        <f>IFERROR(__xludf.DUMMYFUNCTION("""COMPUTED_VALUE"""),"CHUYÊN ĐỀ")</f>
        <v>CHUYÊN ĐỀ</v>
      </c>
      <c r="AA60" s="76" t="str">
        <f>IFERROR(__xludf.DUMMYFUNCTION("""COMPUTED_VALUE"""),"ngocmai.3042003@gmail.com")</f>
        <v>ngocmai.3042003@gmail.com</v>
      </c>
      <c r="AB60" s="76" t="str">
        <f>IFERROR(__xludf.DUMMYFUNCTION("""COMPUTED_VALUE"""),"#N/A")</f>
        <v>#N/A</v>
      </c>
      <c r="AC60" s="76" t="str">
        <f>IFERROR(__xludf.DUMMYFUNCTION("""COMPUTED_VALUE"""),"#N/A")</f>
        <v>#N/A</v>
      </c>
    </row>
    <row r="61">
      <c r="A61" s="100">
        <f>IFERROR(__xludf.DUMMYFUNCTION("""COMPUTED_VALUE"""),45650.45038810185)</f>
        <v>45650.45039</v>
      </c>
      <c r="B61" s="76" t="str">
        <f>IFERROR(__xludf.DUMMYFUNCTION("""COMPUTED_VALUE"""),"tntnguyen0303@gmail.com")</f>
        <v>tntnguyen0303@gmail.com</v>
      </c>
      <c r="C61" s="76">
        <f>IFERROR(__xludf.DUMMYFUNCTION("""COMPUTED_VALUE"""),2.7207121852E10)</f>
        <v>27207121852</v>
      </c>
      <c r="D61" s="76" t="str">
        <f>IFERROR(__xludf.DUMMYFUNCTION("""COMPUTED_VALUE"""),"Trương Ngọc Thảo Nguyên ")</f>
        <v>Trương Ngọc Thảo Nguyên </v>
      </c>
      <c r="E61" s="101">
        <f>IFERROR(__xludf.DUMMYFUNCTION("""COMPUTED_VALUE"""),37683.0)</f>
        <v>37683</v>
      </c>
      <c r="F61" s="76" t="str">
        <f>IFERROR(__xludf.DUMMYFUNCTION("""COMPUTED_VALUE"""),"K27DLK6")</f>
        <v>K27DLK6</v>
      </c>
      <c r="G61" s="76" t="str">
        <f>IFERROR(__xludf.DUMMYFUNCTION("""COMPUTED_VALUE"""),"Quản trị Du lịch &amp; Khách sạn")</f>
        <v>Quản trị Du lịch &amp; Khách sạn</v>
      </c>
      <c r="H61" s="76" t="str">
        <f>IFERROR(__xludf.DUMMYFUNCTION("""COMPUTED_VALUE"""),"K27")</f>
        <v>K27</v>
      </c>
      <c r="I61" s="76" t="str">
        <f>IFERROR(__xludf.DUMMYFUNCTION("""COMPUTED_VALUE"""),"0356775953")</f>
        <v>0356775953</v>
      </c>
      <c r="J61" s="76">
        <f>IFERROR(__xludf.DUMMYFUNCTION("""COMPUTED_VALUE"""),2.79)</f>
        <v>2.79</v>
      </c>
      <c r="K61" s="76">
        <f>IFERROR(__xludf.DUMMYFUNCTION("""COMPUTED_VALUE"""),119.0)</f>
        <v>119</v>
      </c>
      <c r="L61" s="76" t="str">
        <f>IFERROR(__xludf.DUMMYFUNCTION("""COMPUTED_VALUE"""),"Rồi")</f>
        <v>Rồi</v>
      </c>
      <c r="M61" s="76" t="str">
        <f>IFERROR(__xludf.DUMMYFUNCTION("""COMPUTED_VALUE"""),"Thực tập tốt nghiệp, Công nhận tốt nghiệp")</f>
        <v>Thực tập tốt nghiệp, Công nhận tốt nghiệp</v>
      </c>
      <c r="N61" s="76">
        <f>IFERROR(__xludf.DUMMYFUNCTION("""COMPUTED_VALUE"""),8.0)</f>
        <v>8</v>
      </c>
      <c r="O61" s="76" t="str">
        <f>IFERROR(__xludf.DUMMYFUNCTION("""COMPUTED_VALUE"""),"cam kết")</f>
        <v>cam kết</v>
      </c>
      <c r="P61" s="76" t="str">
        <f>IFERROR(__xludf.DUMMYFUNCTION("""COMPUTED_VALUE"""),"ĐÃ NỘP")</f>
        <v>ĐÃ NỘP</v>
      </c>
      <c r="Q61" s="76"/>
      <c r="R61" s="76"/>
      <c r="S61" s="76" t="str">
        <f>IFERROR(__xludf.DUMMYFUNCTION("""COMPUTED_VALUE"""),"27/12/2024")</f>
        <v>27/12/2024</v>
      </c>
      <c r="T61" s="76"/>
      <c r="U61" s="102" t="str">
        <f>IFERROR(__xludf.DUMMYFUNCTION("""COMPUTED_VALUE"""),"Trương Ngọc Thảo Nguyên")</f>
        <v>Trương Ngọc Thảo Nguyên</v>
      </c>
      <c r="V61" s="76" t="str">
        <f>IFERROR(__xludf.DUMMYFUNCTION("""COMPUTED_VALUE"""),"Quản Trị Khách Sạn &amp; Nhà Hàng (Đại Học)")</f>
        <v>Quản Trị Khách Sạn &amp; Nhà Hàng (Đại Học)</v>
      </c>
      <c r="W61" s="76" t="str">
        <f>IFERROR(__xludf.DUMMYFUNCTION("""COMPUTED_VALUE"""),"Khách sạn Mandila Beach Đà Nẵng")</f>
        <v>Khách sạn Mandila Beach Đà Nẵng</v>
      </c>
      <c r="X61" s="76" t="str">
        <f>IFERROR(__xludf.DUMMYFUNCTION("""COMPUTED_VALUE"""),"Nhà hàng")</f>
        <v>Nhà hàng</v>
      </c>
      <c r="Y61" s="76" t="str">
        <f>IFERROR(__xludf.DUMMYFUNCTION("""COMPUTED_VALUE"""),"DUYỆT")</f>
        <v>DUYỆT</v>
      </c>
      <c r="Z61" s="76" t="str">
        <f>IFERROR(__xludf.DUMMYFUNCTION("""COMPUTED_VALUE"""),"CHUYÊN ĐỀ")</f>
        <v>CHUYÊN ĐỀ</v>
      </c>
      <c r="AA61" s="76" t="str">
        <f>IFERROR(__xludf.DUMMYFUNCTION("""COMPUTED_VALUE"""),"tntnguyen0303@gmail.com")</f>
        <v>tntnguyen0303@gmail.com</v>
      </c>
      <c r="AB61" s="76"/>
      <c r="AC61" s="76"/>
    </row>
    <row r="62">
      <c r="A62" s="100">
        <f>IFERROR(__xludf.DUMMYFUNCTION("""COMPUTED_VALUE"""),45650.45149935185)</f>
        <v>45650.4515</v>
      </c>
      <c r="B62" s="76" t="str">
        <f>IFERROR(__xludf.DUMMYFUNCTION("""COMPUTED_VALUE"""),"truongtngoclan@gmail.com")</f>
        <v>truongtngoclan@gmail.com</v>
      </c>
      <c r="C62" s="76">
        <f>IFERROR(__xludf.DUMMYFUNCTION("""COMPUTED_VALUE"""),2.7207128591E10)</f>
        <v>27207128591</v>
      </c>
      <c r="D62" s="76" t="str">
        <f>IFERROR(__xludf.DUMMYFUNCTION("""COMPUTED_VALUE"""),"Trương Thị Ngọc Lan")</f>
        <v>Trương Thị Ngọc Lan</v>
      </c>
      <c r="E62" s="101">
        <f>IFERROR(__xludf.DUMMYFUNCTION("""COMPUTED_VALUE"""),37758.0)</f>
        <v>37758</v>
      </c>
      <c r="F62" s="76" t="str">
        <f>IFERROR(__xludf.DUMMYFUNCTION("""COMPUTED_VALUE"""),"K27DKL2")</f>
        <v>K27DKL2</v>
      </c>
      <c r="G62" s="76" t="str">
        <f>IFERROR(__xludf.DUMMYFUNCTION("""COMPUTED_VALUE"""),"Quản trị Du lịch &amp; Khách sạn")</f>
        <v>Quản trị Du lịch &amp; Khách sạn</v>
      </c>
      <c r="H62" s="76" t="str">
        <f>IFERROR(__xludf.DUMMYFUNCTION("""COMPUTED_VALUE"""),"K27")</f>
        <v>K27</v>
      </c>
      <c r="I62" s="76" t="str">
        <f>IFERROR(__xludf.DUMMYFUNCTION("""COMPUTED_VALUE"""),"0345644312")</f>
        <v>0345644312</v>
      </c>
      <c r="J62" s="76">
        <f>IFERROR(__xludf.DUMMYFUNCTION("""COMPUTED_VALUE"""),3.23)</f>
        <v>3.23</v>
      </c>
      <c r="K62" s="76">
        <f>IFERROR(__xludf.DUMMYFUNCTION("""COMPUTED_VALUE"""),113.0)</f>
        <v>113</v>
      </c>
      <c r="L62" s="76" t="str">
        <f>IFERROR(__xludf.DUMMYFUNCTION("""COMPUTED_VALUE"""),"Rồi")</f>
        <v>Rồi</v>
      </c>
      <c r="M62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62" s="76">
        <f>IFERROR(__xludf.DUMMYFUNCTION("""COMPUTED_VALUE"""),11.0)</f>
        <v>11</v>
      </c>
      <c r="O62" s="76" t="str">
        <f>IFERROR(__xludf.DUMMYFUNCTION("""COMPUTED_VALUE"""),"cam kết")</f>
        <v>cam kết</v>
      </c>
      <c r="P62" s="76"/>
      <c r="Q62" s="76"/>
      <c r="R62" s="76"/>
      <c r="S62" s="76" t="str">
        <f>IFERROR(__xludf.DUMMYFUNCTION("""COMPUTED_VALUE"""),"27/12/2024")</f>
        <v>27/12/2024</v>
      </c>
      <c r="T62" s="76"/>
      <c r="U62" s="102" t="str">
        <f>IFERROR(__xludf.DUMMYFUNCTION("""COMPUTED_VALUE"""),"Trương Thị Ngọc Lan")</f>
        <v>Trương Thị Ngọc Lan</v>
      </c>
      <c r="V62" s="76" t="str">
        <f>IFERROR(__xludf.DUMMYFUNCTION("""COMPUTED_VALUE"""),"Quản Trị Khách Sạn &amp; Nhà Hàng (Đại Học)")</f>
        <v>Quản Trị Khách Sạn &amp; Nhà Hàng (Đại Học)</v>
      </c>
      <c r="W62" s="76" t="str">
        <f>IFERROR(__xludf.DUMMYFUNCTION("""COMPUTED_VALUE"""),"Meliá Vinpearl Danang Riverfront")</f>
        <v>Meliá Vinpearl Danang Riverfront</v>
      </c>
      <c r="X62" s="76" t="str">
        <f>IFERROR(__xludf.DUMMYFUNCTION("""COMPUTED_VALUE"""),"Nhà hàng")</f>
        <v>Nhà hàng</v>
      </c>
      <c r="Y62" s="76" t="str">
        <f>IFERROR(__xludf.DUMMYFUNCTION("""COMPUTED_VALUE"""),"DUYỆT")</f>
        <v>DUYỆT</v>
      </c>
      <c r="Z62" s="76" t="str">
        <f>IFERROR(__xludf.DUMMYFUNCTION("""COMPUTED_VALUE"""),"CHUYÊN ĐỀ")</f>
        <v>CHUYÊN ĐỀ</v>
      </c>
      <c r="AA62" s="76" t="str">
        <f>IFERROR(__xludf.DUMMYFUNCTION("""COMPUTED_VALUE"""),"truongtngoclan@gmail.com")</f>
        <v>truongtngoclan@gmail.com</v>
      </c>
      <c r="AB62" s="76" t="str">
        <f>IFERROR(__xludf.DUMMYFUNCTION("""COMPUTED_VALUE"""),"Trương Thị Ngọc Lan")</f>
        <v>Trương Thị Ngọc Lan</v>
      </c>
      <c r="AC62" s="76" t="str">
        <f>IFERROR(__xludf.DUMMYFUNCTION("""COMPUTED_VALUE"""),"ĐÃ NỘP")</f>
        <v>ĐÃ NỘP</v>
      </c>
    </row>
    <row r="63">
      <c r="A63" s="100">
        <f>IFERROR(__xludf.DUMMYFUNCTION("""COMPUTED_VALUE"""),45651.73000333333)</f>
        <v>45651.73</v>
      </c>
      <c r="B63" s="76" t="str">
        <f>IFERROR(__xludf.DUMMYFUNCTION("""COMPUTED_VALUE"""),"tridoan24h@gmail.com")</f>
        <v>tridoan24h@gmail.com</v>
      </c>
      <c r="C63" s="76">
        <f>IFERROR(__xludf.DUMMYFUNCTION("""COMPUTED_VALUE"""),2.7217122799E10)</f>
        <v>27217122799</v>
      </c>
      <c r="D63" s="76" t="str">
        <f>IFERROR(__xludf.DUMMYFUNCTION("""COMPUTED_VALUE"""),"Đoàn Minh Trí ")</f>
        <v>Đoàn Minh Trí </v>
      </c>
      <c r="E63" s="101">
        <f>IFERROR(__xludf.DUMMYFUNCTION("""COMPUTED_VALUE"""),37764.0)</f>
        <v>37764</v>
      </c>
      <c r="F63" s="76" t="str">
        <f>IFERROR(__xludf.DUMMYFUNCTION("""COMPUTED_VALUE"""),"K27 DLK5")</f>
        <v>K27 DLK5</v>
      </c>
      <c r="G63" s="76" t="str">
        <f>IFERROR(__xludf.DUMMYFUNCTION("""COMPUTED_VALUE"""),"Quản trị Du lịch &amp; Khách sạn")</f>
        <v>Quản trị Du lịch &amp; Khách sạn</v>
      </c>
      <c r="H63" s="76" t="str">
        <f>IFERROR(__xludf.DUMMYFUNCTION("""COMPUTED_VALUE"""),"K27")</f>
        <v>K27</v>
      </c>
      <c r="I63" s="76" t="str">
        <f>IFERROR(__xludf.DUMMYFUNCTION("""COMPUTED_VALUE"""),"0779428858")</f>
        <v>0779428858</v>
      </c>
      <c r="J63" s="76">
        <f>IFERROR(__xludf.DUMMYFUNCTION("""COMPUTED_VALUE"""),3.11)</f>
        <v>3.11</v>
      </c>
      <c r="K63" s="76">
        <f>IFERROR(__xludf.DUMMYFUNCTION("""COMPUTED_VALUE"""),120.0)</f>
        <v>120</v>
      </c>
      <c r="L63" s="76" t="str">
        <f>IFERROR(__xludf.DUMMYFUNCTION("""COMPUTED_VALUE"""),"Rồi")</f>
        <v>Rồi</v>
      </c>
      <c r="M63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63" s="76">
        <f>IFERROR(__xludf.DUMMYFUNCTION("""COMPUTED_VALUE"""),3.0)</f>
        <v>3</v>
      </c>
      <c r="O63" s="76" t="str">
        <f>IFERROR(__xludf.DUMMYFUNCTION("""COMPUTED_VALUE"""),"cam kết")</f>
        <v>cam kết</v>
      </c>
      <c r="P63" s="76"/>
      <c r="Q63" s="76"/>
      <c r="R63" s="76"/>
      <c r="S63" s="76" t="str">
        <f>IFERROR(__xludf.DUMMYFUNCTION("""COMPUTED_VALUE"""),"27/12/2024")</f>
        <v>27/12/2024</v>
      </c>
      <c r="T63" s="76"/>
      <c r="U63" s="102" t="str">
        <f>IFERROR(__xludf.DUMMYFUNCTION("""COMPUTED_VALUE"""),"Đoàn Minh Trí")</f>
        <v>Đoàn Minh Trí</v>
      </c>
      <c r="V63" s="76" t="str">
        <f>IFERROR(__xludf.DUMMYFUNCTION("""COMPUTED_VALUE"""),"Quản Trị Khách Sạn &amp; Nhà Hàng (Đại Học)")</f>
        <v>Quản Trị Khách Sạn &amp; Nhà Hàng (Đại Học)</v>
      </c>
      <c r="W63" s="76" t="str">
        <f>IFERROR(__xludf.DUMMYFUNCTION("""COMPUTED_VALUE"""),"Risemount Premier Resort Danang")</f>
        <v>Risemount Premier Resort Danang</v>
      </c>
      <c r="X63" s="76" t="str">
        <f>IFERROR(__xludf.DUMMYFUNCTION("""COMPUTED_VALUE"""),"Buồng phòng")</f>
        <v>Buồng phòng</v>
      </c>
      <c r="Y63" s="76" t="str">
        <f>IFERROR(__xludf.DUMMYFUNCTION("""COMPUTED_VALUE"""),"DUYỆT")</f>
        <v>DUYỆT</v>
      </c>
      <c r="Z63" s="76" t="str">
        <f>IFERROR(__xludf.DUMMYFUNCTION("""COMPUTED_VALUE"""),"CHUYÊN ĐỀ")</f>
        <v>CHUYÊN ĐỀ</v>
      </c>
      <c r="AA63" s="76" t="str">
        <f>IFERROR(__xludf.DUMMYFUNCTION("""COMPUTED_VALUE"""),"tridoan24h@gmail.com")</f>
        <v>tridoan24h@gmail.com</v>
      </c>
      <c r="AB63" s="76"/>
      <c r="AC63" s="76"/>
    </row>
    <row r="64">
      <c r="A64" s="100">
        <f>IFERROR(__xludf.DUMMYFUNCTION("""COMPUTED_VALUE"""),45651.69785275463)</f>
        <v>45651.69785</v>
      </c>
      <c r="B64" s="76" t="str">
        <f>IFERROR(__xludf.DUMMYFUNCTION("""COMPUTED_VALUE"""),"hieu030818@gmail.com")</f>
        <v>hieu030818@gmail.com</v>
      </c>
      <c r="C64" s="76">
        <f>IFERROR(__xludf.DUMMYFUNCTION("""COMPUTED_VALUE"""),2.7207143916E10)</f>
        <v>27207143916</v>
      </c>
      <c r="D64" s="76" t="str">
        <f>IFERROR(__xludf.DUMMYFUNCTION("""COMPUTED_VALUE"""),"Hồ Thị Hiếu")</f>
        <v>Hồ Thị Hiếu</v>
      </c>
      <c r="E64" s="101">
        <f>IFERROR(__xludf.DUMMYFUNCTION("""COMPUTED_VALUE"""),37851.0)</f>
        <v>37851</v>
      </c>
      <c r="F64" s="76" t="str">
        <f>IFERROR(__xludf.DUMMYFUNCTION("""COMPUTED_VALUE"""),"K27DLK2")</f>
        <v>K27DLK2</v>
      </c>
      <c r="G64" s="76" t="str">
        <f>IFERROR(__xludf.DUMMYFUNCTION("""COMPUTED_VALUE"""),"Quản trị Du lịch &amp; Khách sạn")</f>
        <v>Quản trị Du lịch &amp; Khách sạn</v>
      </c>
      <c r="H64" s="76" t="str">
        <f>IFERROR(__xludf.DUMMYFUNCTION("""COMPUTED_VALUE"""),"K27")</f>
        <v>K27</v>
      </c>
      <c r="I64" s="76" t="str">
        <f>IFERROR(__xludf.DUMMYFUNCTION("""COMPUTED_VALUE"""),"0869780430")</f>
        <v>0869780430</v>
      </c>
      <c r="J64" s="76">
        <f>IFERROR(__xludf.DUMMYFUNCTION("""COMPUTED_VALUE"""),3.06)</f>
        <v>3.06</v>
      </c>
      <c r="K64" s="76">
        <f>IFERROR(__xludf.DUMMYFUNCTION("""COMPUTED_VALUE"""),120.0)</f>
        <v>120</v>
      </c>
      <c r="L64" s="76" t="str">
        <f>IFERROR(__xludf.DUMMYFUNCTION("""COMPUTED_VALUE"""),"Rồi")</f>
        <v>Rồi</v>
      </c>
      <c r="M64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64" s="76">
        <f>IFERROR(__xludf.DUMMYFUNCTION("""COMPUTED_VALUE"""),4.0)</f>
        <v>4</v>
      </c>
      <c r="O64" s="76" t="str">
        <f>IFERROR(__xludf.DUMMYFUNCTION("""COMPUTED_VALUE"""),"cam kết")</f>
        <v>cam kết</v>
      </c>
      <c r="P64" s="76"/>
      <c r="Q64" s="76"/>
      <c r="R64" s="76"/>
      <c r="S64" s="76" t="str">
        <f>IFERROR(__xludf.DUMMYFUNCTION("""COMPUTED_VALUE"""),"27/12/2024")</f>
        <v>27/12/2024</v>
      </c>
      <c r="T64" s="76"/>
      <c r="U64" s="102" t="str">
        <f>IFERROR(__xludf.DUMMYFUNCTION("""COMPUTED_VALUE"""),"Hồ Thị Hiếu")</f>
        <v>Hồ Thị Hiếu</v>
      </c>
      <c r="V64" s="76" t="str">
        <f>IFERROR(__xludf.DUMMYFUNCTION("""COMPUTED_VALUE"""),"Quản Trị Khách Sạn &amp; Nhà Hàng (Đại Học)")</f>
        <v>Quản Trị Khách Sạn &amp; Nhà Hàng (Đại Học)</v>
      </c>
      <c r="W64" s="76" t="str">
        <f>IFERROR(__xludf.DUMMYFUNCTION("""COMPUTED_VALUE"""),"Canvas Hotel")</f>
        <v>Canvas Hotel</v>
      </c>
      <c r="X64" s="76" t="str">
        <f>IFERROR(__xludf.DUMMYFUNCTION("""COMPUTED_VALUE"""),"Buồng phòng")</f>
        <v>Buồng phòng</v>
      </c>
      <c r="Y64" s="76" t="str">
        <f>IFERROR(__xludf.DUMMYFUNCTION("""COMPUTED_VALUE"""),"DUYỆT")</f>
        <v>DUYỆT</v>
      </c>
      <c r="Z64" s="76" t="str">
        <f>IFERROR(__xludf.DUMMYFUNCTION("""COMPUTED_VALUE"""),"CHUYÊN ĐỀ")</f>
        <v>CHUYÊN ĐỀ</v>
      </c>
      <c r="AA64" s="76" t="str">
        <f>IFERROR(__xludf.DUMMYFUNCTION("""COMPUTED_VALUE"""),"hieu030818@gmail.com")</f>
        <v>hieu030818@gmail.com</v>
      </c>
      <c r="AB64" s="76"/>
      <c r="AC64" s="76"/>
    </row>
    <row r="65">
      <c r="A65" s="100">
        <f>IFERROR(__xludf.DUMMYFUNCTION("""COMPUTED_VALUE"""),45651.68299402778)</f>
        <v>45651.68299</v>
      </c>
      <c r="B65" s="76" t="str">
        <f>IFERROR(__xludf.DUMMYFUNCTION("""COMPUTED_VALUE"""),"dtth.801@gmail.com")</f>
        <v>dtth.801@gmail.com</v>
      </c>
      <c r="C65" s="76">
        <f>IFERROR(__xludf.DUMMYFUNCTION("""COMPUTED_VALUE"""),2.7207120147E10)</f>
        <v>27207120147</v>
      </c>
      <c r="D65" s="76" t="str">
        <f>IFERROR(__xludf.DUMMYFUNCTION("""COMPUTED_VALUE"""),"Đặng Thị Thu Hoài")</f>
        <v>Đặng Thị Thu Hoài</v>
      </c>
      <c r="E65" s="101">
        <f>IFERROR(__xludf.DUMMYFUNCTION("""COMPUTED_VALUE"""),37629.0)</f>
        <v>37629</v>
      </c>
      <c r="F65" s="76" t="str">
        <f>IFERROR(__xludf.DUMMYFUNCTION("""COMPUTED_VALUE"""),"K27DLK2")</f>
        <v>K27DLK2</v>
      </c>
      <c r="G65" s="76" t="str">
        <f>IFERROR(__xludf.DUMMYFUNCTION("""COMPUTED_VALUE"""),"Quản trị Du lịch &amp; Khách sạn")</f>
        <v>Quản trị Du lịch &amp; Khách sạn</v>
      </c>
      <c r="H65" s="76" t="str">
        <f>IFERROR(__xludf.DUMMYFUNCTION("""COMPUTED_VALUE"""),"K27")</f>
        <v>K27</v>
      </c>
      <c r="I65" s="76" t="str">
        <f>IFERROR(__xludf.DUMMYFUNCTION("""COMPUTED_VALUE"""),"0838868844")</f>
        <v>0838868844</v>
      </c>
      <c r="J65" s="76">
        <f>IFERROR(__xludf.DUMMYFUNCTION("""COMPUTED_VALUE"""),3.0)</f>
        <v>3</v>
      </c>
      <c r="K65" s="76">
        <f>IFERROR(__xludf.DUMMYFUNCTION("""COMPUTED_VALUE"""),114.0)</f>
        <v>114</v>
      </c>
      <c r="L65" s="76" t="str">
        <f>IFERROR(__xludf.DUMMYFUNCTION("""COMPUTED_VALUE"""),"Rồi")</f>
        <v>Rồi</v>
      </c>
      <c r="M65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65" s="76">
        <f>IFERROR(__xludf.DUMMYFUNCTION("""COMPUTED_VALUE"""),9.0)</f>
        <v>9</v>
      </c>
      <c r="O65" s="76" t="str">
        <f>IFERROR(__xludf.DUMMYFUNCTION("""COMPUTED_VALUE"""),"cam kết")</f>
        <v>cam kết</v>
      </c>
      <c r="P65" s="76"/>
      <c r="Q65" s="76"/>
      <c r="R65" s="76"/>
      <c r="S65" s="76" t="str">
        <f>IFERROR(__xludf.DUMMYFUNCTION("""COMPUTED_VALUE"""),"27/12/2024")</f>
        <v>27/12/2024</v>
      </c>
      <c r="T65" s="76"/>
      <c r="U65" s="102" t="str">
        <f>IFERROR(__xludf.DUMMYFUNCTION("""COMPUTED_VALUE"""),"Đặng Thị Thu Hoài")</f>
        <v>Đặng Thị Thu Hoài</v>
      </c>
      <c r="V65" s="76" t="str">
        <f>IFERROR(__xludf.DUMMYFUNCTION("""COMPUTED_VALUE"""),"Quản Trị Khách Sạn &amp; Nhà Hàng (Đại Học)")</f>
        <v>Quản Trị Khách Sạn &amp; Nhà Hàng (Đại Học)</v>
      </c>
      <c r="W65" s="76" t="str">
        <f>IFERROR(__xludf.DUMMYFUNCTION("""COMPUTED_VALUE"""),"Wyndham DaNang Golden Bay")</f>
        <v>Wyndham DaNang Golden Bay</v>
      </c>
      <c r="X65" s="76" t="str">
        <f>IFERROR(__xludf.DUMMYFUNCTION("""COMPUTED_VALUE"""),"Buồng phòng")</f>
        <v>Buồng phòng</v>
      </c>
      <c r="Y65" s="76" t="str">
        <f>IFERROR(__xludf.DUMMYFUNCTION("""COMPUTED_VALUE"""),"DUYỆT")</f>
        <v>DUYỆT</v>
      </c>
      <c r="Z65" s="76" t="str">
        <f>IFERROR(__xludf.DUMMYFUNCTION("""COMPUTED_VALUE"""),"CHUYÊN ĐỀ")</f>
        <v>CHUYÊN ĐỀ</v>
      </c>
      <c r="AA65" s="76" t="str">
        <f>IFERROR(__xludf.DUMMYFUNCTION("""COMPUTED_VALUE"""),"dtth.801@gmail.com")</f>
        <v>dtth.801@gmail.com</v>
      </c>
      <c r="AB65" s="76"/>
      <c r="AC65" s="76"/>
    </row>
    <row r="66">
      <c r="A66" s="100">
        <f>IFERROR(__xludf.DUMMYFUNCTION("""COMPUTED_VALUE"""),45650.45536065972)</f>
        <v>45650.45536</v>
      </c>
      <c r="B66" s="76" t="str">
        <f>IFERROR(__xludf.DUMMYFUNCTION("""COMPUTED_VALUE"""),"tuyetpham.260200@gmail.com")</f>
        <v>tuyetpham.260200@gmail.com</v>
      </c>
      <c r="C66" s="76">
        <f>IFERROR(__xludf.DUMMYFUNCTION("""COMPUTED_VALUE"""),2.7207101459E10)</f>
        <v>27207101459</v>
      </c>
      <c r="D66" s="76" t="str">
        <f>IFERROR(__xludf.DUMMYFUNCTION("""COMPUTED_VALUE"""),"Phạm Thị Ánh Tuyết")</f>
        <v>Phạm Thị Ánh Tuyết</v>
      </c>
      <c r="E66" s="101">
        <f>IFERROR(__xludf.DUMMYFUNCTION("""COMPUTED_VALUE"""),37678.0)</f>
        <v>37678</v>
      </c>
      <c r="F66" s="76" t="str">
        <f>IFERROR(__xludf.DUMMYFUNCTION("""COMPUTED_VALUE"""),"K27DLK3 ")</f>
        <v>K27DLK3 </v>
      </c>
      <c r="G66" s="76" t="str">
        <f>IFERROR(__xludf.DUMMYFUNCTION("""COMPUTED_VALUE"""),"Quản trị Du lịch &amp; Khách sạn")</f>
        <v>Quản trị Du lịch &amp; Khách sạn</v>
      </c>
      <c r="H66" s="76" t="str">
        <f>IFERROR(__xludf.DUMMYFUNCTION("""COMPUTED_VALUE"""),"K27")</f>
        <v>K27</v>
      </c>
      <c r="I66" s="76" t="str">
        <f>IFERROR(__xludf.DUMMYFUNCTION("""COMPUTED_VALUE"""),"0386874255")</f>
        <v>0386874255</v>
      </c>
      <c r="J66" s="76">
        <f>IFERROR(__xludf.DUMMYFUNCTION("""COMPUTED_VALUE"""),2.79)</f>
        <v>2.79</v>
      </c>
      <c r="K66" s="76">
        <f>IFERROR(__xludf.DUMMYFUNCTION("""COMPUTED_VALUE"""),119.0)</f>
        <v>119</v>
      </c>
      <c r="L66" s="76" t="str">
        <f>IFERROR(__xludf.DUMMYFUNCTION("""COMPUTED_VALUE"""),"Rồi")</f>
        <v>Rồi</v>
      </c>
      <c r="M66" s="76" t="str">
        <f>IFERROR(__xludf.DUMMYFUNCTION("""COMPUTED_VALUE"""),"Thực tập tốt nghiệp")</f>
        <v>Thực tập tốt nghiệp</v>
      </c>
      <c r="N66" s="76">
        <f>IFERROR(__xludf.DUMMYFUNCTION("""COMPUTED_VALUE"""),8.0)</f>
        <v>8</v>
      </c>
      <c r="O66" s="76" t="str">
        <f>IFERROR(__xludf.DUMMYFUNCTION("""COMPUTED_VALUE"""),"cam kết")</f>
        <v>cam kết</v>
      </c>
      <c r="P66" s="76"/>
      <c r="Q66" s="76"/>
      <c r="R66" s="76"/>
      <c r="S66" s="76" t="str">
        <f>IFERROR(__xludf.DUMMYFUNCTION("""COMPUTED_VALUE"""),"27/12/2024")</f>
        <v>27/12/2024</v>
      </c>
      <c r="T66" s="76"/>
      <c r="U66" s="102" t="str">
        <f>IFERROR(__xludf.DUMMYFUNCTION("""COMPUTED_VALUE"""),"Phạm Thị Ánh Tuyết")</f>
        <v>Phạm Thị Ánh Tuyết</v>
      </c>
      <c r="V66" s="76" t="str">
        <f>IFERROR(__xludf.DUMMYFUNCTION("""COMPUTED_VALUE"""),"Quản Trị Khách Sạn &amp; Nhà Hàng (Đại Học)")</f>
        <v>Quản Trị Khách Sạn &amp; Nhà Hàng (Đại Học)</v>
      </c>
      <c r="W66" s="76" t="str">
        <f>IFERROR(__xludf.DUMMYFUNCTION("""COMPUTED_VALUE"""),"Meliá Vinpearl Danang Riverfront")</f>
        <v>Meliá Vinpearl Danang Riverfront</v>
      </c>
      <c r="X66" s="76" t="str">
        <f>IFERROR(__xludf.DUMMYFUNCTION("""COMPUTED_VALUE"""),"Buồng phòng")</f>
        <v>Buồng phòng</v>
      </c>
      <c r="Y66" s="76" t="str">
        <f>IFERROR(__xludf.DUMMYFUNCTION("""COMPUTED_VALUE"""),"DUYỆT")</f>
        <v>DUYỆT</v>
      </c>
      <c r="Z66" s="76" t="str">
        <f>IFERROR(__xludf.DUMMYFUNCTION("""COMPUTED_VALUE"""),"CHUYÊN ĐỀ")</f>
        <v>CHUYÊN ĐỀ</v>
      </c>
      <c r="AA66" s="76" t="str">
        <f>IFERROR(__xludf.DUMMYFUNCTION("""COMPUTED_VALUE"""),"tuyetpham.260200@gmail.com")</f>
        <v>tuyetpham.260200@gmail.com</v>
      </c>
      <c r="AB66" s="76"/>
      <c r="AC66" s="76"/>
    </row>
    <row r="67">
      <c r="A67" s="100">
        <f>IFERROR(__xludf.DUMMYFUNCTION("""COMPUTED_VALUE"""),45650.458400578704)</f>
        <v>45650.4584</v>
      </c>
      <c r="B67" s="76" t="str">
        <f>IFERROR(__xludf.DUMMYFUNCTION("""COMPUTED_VALUE"""),"dinhmo33@gmail.com")</f>
        <v>dinhmo33@gmail.com</v>
      </c>
      <c r="C67" s="76">
        <f>IFERROR(__xludf.DUMMYFUNCTION("""COMPUTED_VALUE"""),2.7217143497E10)</f>
        <v>27217143497</v>
      </c>
      <c r="D67" s="76" t="str">
        <f>IFERROR(__xludf.DUMMYFUNCTION("""COMPUTED_VALUE"""),"Đinh Hoàng Mơ")</f>
        <v>Đinh Hoàng Mơ</v>
      </c>
      <c r="E67" s="101">
        <f>IFERROR(__xludf.DUMMYFUNCTION("""COMPUTED_VALUE"""),45650.0)</f>
        <v>45650</v>
      </c>
      <c r="F67" s="76" t="str">
        <f>IFERROR(__xludf.DUMMYFUNCTION("""COMPUTED_VALUE"""),"K27DLK1")</f>
        <v>K27DLK1</v>
      </c>
      <c r="G67" s="76" t="str">
        <f>IFERROR(__xludf.DUMMYFUNCTION("""COMPUTED_VALUE"""),"Quản trị Du lịch &amp; Khách sạn")</f>
        <v>Quản trị Du lịch &amp; Khách sạn</v>
      </c>
      <c r="H67" s="76" t="str">
        <f>IFERROR(__xludf.DUMMYFUNCTION("""COMPUTED_VALUE"""),"K27")</f>
        <v>K27</v>
      </c>
      <c r="I67" s="76" t="str">
        <f>IFERROR(__xludf.DUMMYFUNCTION("""COMPUTED_VALUE"""),"0377024521")</f>
        <v>0377024521</v>
      </c>
      <c r="J67" s="76">
        <f>IFERROR(__xludf.DUMMYFUNCTION("""COMPUTED_VALUE"""),3.32)</f>
        <v>3.32</v>
      </c>
      <c r="K67" s="76">
        <f>IFERROR(__xludf.DUMMYFUNCTION("""COMPUTED_VALUE"""),120.0)</f>
        <v>120</v>
      </c>
      <c r="L67" s="76" t="str">
        <f>IFERROR(__xludf.DUMMYFUNCTION("""COMPUTED_VALUE"""),"Rồi")</f>
        <v>Rồi</v>
      </c>
      <c r="M67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67" s="76">
        <f>IFERROR(__xludf.DUMMYFUNCTION("""COMPUTED_VALUE"""),3.0)</f>
        <v>3</v>
      </c>
      <c r="O67" s="76" t="str">
        <f>IFERROR(__xludf.DUMMYFUNCTION("""COMPUTED_VALUE"""),"cam kết")</f>
        <v>cam kết</v>
      </c>
      <c r="P67" s="76"/>
      <c r="Q67" s="76"/>
      <c r="R67" s="76"/>
      <c r="S67" s="76" t="str">
        <f>IFERROR(__xludf.DUMMYFUNCTION("""COMPUTED_VALUE"""),"27/12/2024")</f>
        <v>27/12/2024</v>
      </c>
      <c r="T67" s="76"/>
      <c r="U67" s="102" t="str">
        <f>IFERROR(__xludf.DUMMYFUNCTION("""COMPUTED_VALUE"""),"Đinh Hoàng Mơ")</f>
        <v>Đinh Hoàng Mơ</v>
      </c>
      <c r="V67" s="76" t="str">
        <f>IFERROR(__xludf.DUMMYFUNCTION("""COMPUTED_VALUE"""),"Quản Trị Khách Sạn &amp; Nhà Hàng (Đại Học)")</f>
        <v>Quản Trị Khách Sạn &amp; Nhà Hàng (Đại Học)</v>
      </c>
      <c r="W67" s="76" t="str">
        <f>IFERROR(__xludf.DUMMYFUNCTION("""COMPUTED_VALUE"""),"Sala Danang Beach Hotel")</f>
        <v>Sala Danang Beach Hotel</v>
      </c>
      <c r="X67" s="76" t="str">
        <f>IFERROR(__xludf.DUMMYFUNCTION("""COMPUTED_VALUE"""),"Nhà hàng")</f>
        <v>Nhà hàng</v>
      </c>
      <c r="Y67" s="76" t="str">
        <f>IFERROR(__xludf.DUMMYFUNCTION("""COMPUTED_VALUE"""),"DUYỆT")</f>
        <v>DUYỆT</v>
      </c>
      <c r="Z67" s="76" t="str">
        <f>IFERROR(__xludf.DUMMYFUNCTION("""COMPUTED_VALUE"""),"CHUYÊN ĐỀ")</f>
        <v>CHUYÊN ĐỀ</v>
      </c>
      <c r="AA67" s="76" t="str">
        <f>IFERROR(__xludf.DUMMYFUNCTION("""COMPUTED_VALUE"""),"dinhmo33@gmail.com")</f>
        <v>dinhmo33@gmail.com</v>
      </c>
      <c r="AB67" s="76" t="str">
        <f>IFERROR(__xludf.DUMMYFUNCTION("""COMPUTED_VALUE"""),"Đinh Hoàng Mơ")</f>
        <v>Đinh Hoàng Mơ</v>
      </c>
      <c r="AC67" s="76"/>
    </row>
    <row r="68">
      <c r="A68" s="100">
        <f>IFERROR(__xludf.DUMMYFUNCTION("""COMPUTED_VALUE"""),45650.459873182874)</f>
        <v>45650.45987</v>
      </c>
      <c r="B68" s="76" t="str">
        <f>IFERROR(__xludf.DUMMYFUNCTION("""COMPUTED_VALUE"""),"hoanmy2608@gmail.com")</f>
        <v>hoanmy2608@gmail.com</v>
      </c>
      <c r="C68" s="76">
        <f>IFERROR(__xludf.DUMMYFUNCTION("""COMPUTED_VALUE"""),2.7203841651E10)</f>
        <v>27203841651</v>
      </c>
      <c r="D68" s="76" t="str">
        <f>IFERROR(__xludf.DUMMYFUNCTION("""COMPUTED_VALUE"""),"Trần Thị Hoàn Mỹ ")</f>
        <v>Trần Thị Hoàn Mỹ </v>
      </c>
      <c r="E68" s="101">
        <f>IFERROR(__xludf.DUMMYFUNCTION("""COMPUTED_VALUE"""),37494.0)</f>
        <v>37494</v>
      </c>
      <c r="F68" s="76" t="str">
        <f>IFERROR(__xludf.DUMMYFUNCTION("""COMPUTED_VALUE"""),"K27DLK4")</f>
        <v>K27DLK4</v>
      </c>
      <c r="G68" s="76" t="str">
        <f>IFERROR(__xludf.DUMMYFUNCTION("""COMPUTED_VALUE"""),"Quản trị Du lịch &amp; Khách sạn")</f>
        <v>Quản trị Du lịch &amp; Khách sạn</v>
      </c>
      <c r="H68" s="76" t="str">
        <f>IFERROR(__xludf.DUMMYFUNCTION("""COMPUTED_VALUE"""),"K27")</f>
        <v>K27</v>
      </c>
      <c r="I68" s="76" t="str">
        <f>IFERROR(__xludf.DUMMYFUNCTION("""COMPUTED_VALUE"""),"0977499424")</f>
        <v>0977499424</v>
      </c>
      <c r="J68" s="76">
        <f>IFERROR(__xludf.DUMMYFUNCTION("""COMPUTED_VALUE"""),3.35)</f>
        <v>3.35</v>
      </c>
      <c r="K68" s="76">
        <f>IFERROR(__xludf.DUMMYFUNCTION("""COMPUTED_VALUE"""),123.0)</f>
        <v>123</v>
      </c>
      <c r="L68" s="76" t="str">
        <f>IFERROR(__xludf.DUMMYFUNCTION("""COMPUTED_VALUE"""),"Rồi")</f>
        <v>Rồi</v>
      </c>
      <c r="M68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68" s="76">
        <f>IFERROR(__xludf.DUMMYFUNCTION("""COMPUTED_VALUE"""),16.0)</f>
        <v>16</v>
      </c>
      <c r="O68" s="76" t="str">
        <f>IFERROR(__xludf.DUMMYFUNCTION("""COMPUTED_VALUE"""),"cam kết")</f>
        <v>cam kết</v>
      </c>
      <c r="P68" s="76"/>
      <c r="Q68" s="76"/>
      <c r="R68" s="76"/>
      <c r="S68" s="76" t="str">
        <f>IFERROR(__xludf.DUMMYFUNCTION("""COMPUTED_VALUE"""),"27/12/2024")</f>
        <v>27/12/2024</v>
      </c>
      <c r="T68" s="76"/>
      <c r="U68" s="102" t="str">
        <f>IFERROR(__xludf.DUMMYFUNCTION("""COMPUTED_VALUE"""),"Trần Thị Hoàn Mỹ")</f>
        <v>Trần Thị Hoàn Mỹ</v>
      </c>
      <c r="V68" s="76" t="str">
        <f>IFERROR(__xludf.DUMMYFUNCTION("""COMPUTED_VALUE"""),"Quản Trị Khách Sạn &amp; Nhà Hàng (Đại Học)")</f>
        <v>Quản Trị Khách Sạn &amp; Nhà Hàng (Đại Học)</v>
      </c>
      <c r="W68" s="76" t="str">
        <f>IFERROR(__xludf.DUMMYFUNCTION("""COMPUTED_VALUE"""),"Maximilan Danang Beach Hotel")</f>
        <v>Maximilan Danang Beach Hotel</v>
      </c>
      <c r="X68" s="76" t="str">
        <f>IFERROR(__xludf.DUMMYFUNCTION("""COMPUTED_VALUE"""),"Tiền sảnh")</f>
        <v>Tiền sảnh</v>
      </c>
      <c r="Y68" s="76" t="str">
        <f>IFERROR(__xludf.DUMMYFUNCTION("""COMPUTED_VALUE"""),"DUYỆT")</f>
        <v>DUYỆT</v>
      </c>
      <c r="Z68" s="76" t="str">
        <f>IFERROR(__xludf.DUMMYFUNCTION("""COMPUTED_VALUE"""),"không đủ điều kiện")</f>
        <v>không đủ điều kiện</v>
      </c>
      <c r="AA68" s="76" t="str">
        <f>IFERROR(__xludf.DUMMYFUNCTION("""COMPUTED_VALUE"""),"hoanmy2608@gmail.com")</f>
        <v>hoanmy2608@gmail.com</v>
      </c>
      <c r="AB68" s="76"/>
      <c r="AC68" s="76"/>
    </row>
    <row r="69">
      <c r="A69" s="100">
        <f>IFERROR(__xludf.DUMMYFUNCTION("""COMPUTED_VALUE"""),45650.45999888889)</f>
        <v>45650.46</v>
      </c>
      <c r="B69" s="76" t="str">
        <f>IFERROR(__xludf.DUMMYFUNCTION("""COMPUTED_VALUE"""),"nguyenvituong281@gmail.com")</f>
        <v>nguyenvituong281@gmail.com</v>
      </c>
      <c r="C69" s="76">
        <f>IFERROR(__xludf.DUMMYFUNCTION("""COMPUTED_VALUE"""),2.7207141051E10)</f>
        <v>27207141051</v>
      </c>
      <c r="D69" s="76" t="str">
        <f>IFERROR(__xludf.DUMMYFUNCTION("""COMPUTED_VALUE"""),"Nguyễn Vi Tường")</f>
        <v>Nguyễn Vi Tường</v>
      </c>
      <c r="E69" s="101">
        <f>IFERROR(__xludf.DUMMYFUNCTION("""COMPUTED_VALUE"""),37668.0)</f>
        <v>37668</v>
      </c>
      <c r="F69" s="76" t="str">
        <f>IFERROR(__xludf.DUMMYFUNCTION("""COMPUTED_VALUE"""),"K27DLK4")</f>
        <v>K27DLK4</v>
      </c>
      <c r="G69" s="76" t="str">
        <f>IFERROR(__xludf.DUMMYFUNCTION("""COMPUTED_VALUE"""),"Quản trị Du lịch &amp; Khách sạn")</f>
        <v>Quản trị Du lịch &amp; Khách sạn</v>
      </c>
      <c r="H69" s="76" t="str">
        <f>IFERROR(__xludf.DUMMYFUNCTION("""COMPUTED_VALUE"""),"K27")</f>
        <v>K27</v>
      </c>
      <c r="I69" s="76" t="str">
        <f>IFERROR(__xludf.DUMMYFUNCTION("""COMPUTED_VALUE"""),"0987820931")</f>
        <v>0987820931</v>
      </c>
      <c r="J69" s="76">
        <f>IFERROR(__xludf.DUMMYFUNCTION("""COMPUTED_VALUE"""),3.12)</f>
        <v>3.12</v>
      </c>
      <c r="K69" s="76">
        <f>IFERROR(__xludf.DUMMYFUNCTION("""COMPUTED_VALUE"""),114.0)</f>
        <v>114</v>
      </c>
      <c r="L69" s="76" t="str">
        <f>IFERROR(__xludf.DUMMYFUNCTION("""COMPUTED_VALUE"""),"Rồi")</f>
        <v>Rồi</v>
      </c>
      <c r="M69" s="76" t="str">
        <f>IFERROR(__xludf.DUMMYFUNCTION("""COMPUTED_VALUE"""),"Thực tập tốt nghiệp")</f>
        <v>Thực tập tốt nghiệp</v>
      </c>
      <c r="N69" s="76">
        <f>IFERROR(__xludf.DUMMYFUNCTION("""COMPUTED_VALUE"""),10.0)</f>
        <v>10</v>
      </c>
      <c r="O69" s="76" t="str">
        <f>IFERROR(__xludf.DUMMYFUNCTION("""COMPUTED_VALUE"""),"cam kết")</f>
        <v>cam kết</v>
      </c>
      <c r="P69" s="76"/>
      <c r="Q69" s="76"/>
      <c r="R69" s="76"/>
      <c r="S69" s="76" t="str">
        <f>IFERROR(__xludf.DUMMYFUNCTION("""COMPUTED_VALUE"""),"27/12/2024")</f>
        <v>27/12/2024</v>
      </c>
      <c r="T69" s="76"/>
      <c r="U69" s="102" t="str">
        <f>IFERROR(__xludf.DUMMYFUNCTION("""COMPUTED_VALUE"""),"Nguyễn Vi Tường")</f>
        <v>Nguyễn Vi Tường</v>
      </c>
      <c r="V69" s="76" t="str">
        <f>IFERROR(__xludf.DUMMYFUNCTION("""COMPUTED_VALUE"""),"Quản Trị Khách Sạn &amp; Nhà Hàng (Đại Học)")</f>
        <v>Quản Trị Khách Sạn &amp; Nhà Hàng (Đại Học)</v>
      </c>
      <c r="W69" s="76" t="str">
        <f>IFERROR(__xludf.DUMMYFUNCTION("""COMPUTED_VALUE"""),"Novotel DaNang Premier Han River")</f>
        <v>Novotel DaNang Premier Han River</v>
      </c>
      <c r="X69" s="76" t="str">
        <f>IFERROR(__xludf.DUMMYFUNCTION("""COMPUTED_VALUE"""),"Nhà hàng")</f>
        <v>Nhà hàng</v>
      </c>
      <c r="Y69" s="76" t="str">
        <f>IFERROR(__xludf.DUMMYFUNCTION("""COMPUTED_VALUE"""),"DUYỆT")</f>
        <v>DUYỆT</v>
      </c>
      <c r="Z69" s="76" t="str">
        <f>IFERROR(__xludf.DUMMYFUNCTION("""COMPUTED_VALUE"""),"CHUYÊN ĐỀ")</f>
        <v>CHUYÊN ĐỀ</v>
      </c>
      <c r="AA69" s="76" t="str">
        <f>IFERROR(__xludf.DUMMYFUNCTION("""COMPUTED_VALUE"""),"nguyenvituong281@gmail.com")</f>
        <v>nguyenvituong281@gmail.com</v>
      </c>
      <c r="AB69" s="76"/>
      <c r="AC69" s="76"/>
    </row>
    <row r="70">
      <c r="A70" s="100">
        <f>IFERROR(__xludf.DUMMYFUNCTION("""COMPUTED_VALUE"""),45650.46069452546)</f>
        <v>45650.46069</v>
      </c>
      <c r="B70" s="76" t="str">
        <f>IFERROR(__xludf.DUMMYFUNCTION("""COMPUTED_VALUE"""),"hongthunguyen811@gmail.com")</f>
        <v>hongthunguyen811@gmail.com</v>
      </c>
      <c r="C70" s="76">
        <f>IFERROR(__xludf.DUMMYFUNCTION("""COMPUTED_VALUE"""),2.7207100694E10)</f>
        <v>27207100694</v>
      </c>
      <c r="D70" s="76" t="str">
        <f>IFERROR(__xludf.DUMMYFUNCTION("""COMPUTED_VALUE"""),"Nguyễn Thị Hồng Thư ")</f>
        <v>Nguyễn Thị Hồng Thư </v>
      </c>
      <c r="E70" s="101">
        <f>IFERROR(__xludf.DUMMYFUNCTION("""COMPUTED_VALUE"""),37622.0)</f>
        <v>37622</v>
      </c>
      <c r="F70" s="76" t="str">
        <f>IFERROR(__xludf.DUMMYFUNCTION("""COMPUTED_VALUE"""),"K27DLK2")</f>
        <v>K27DLK2</v>
      </c>
      <c r="G70" s="76" t="str">
        <f>IFERROR(__xludf.DUMMYFUNCTION("""COMPUTED_VALUE"""),"Quản trị Du lịch &amp; Khách sạn")</f>
        <v>Quản trị Du lịch &amp; Khách sạn</v>
      </c>
      <c r="H70" s="76" t="str">
        <f>IFERROR(__xludf.DUMMYFUNCTION("""COMPUTED_VALUE"""),"K27")</f>
        <v>K27</v>
      </c>
      <c r="I70" s="76" t="str">
        <f>IFERROR(__xludf.DUMMYFUNCTION("""COMPUTED_VALUE"""),"0588917757")</f>
        <v>0588917757</v>
      </c>
      <c r="J70" s="76">
        <f>IFERROR(__xludf.DUMMYFUNCTION("""COMPUTED_VALUE"""),2.86)</f>
        <v>2.86</v>
      </c>
      <c r="K70" s="76">
        <f>IFERROR(__xludf.DUMMYFUNCTION("""COMPUTED_VALUE"""),114.0)</f>
        <v>114</v>
      </c>
      <c r="L70" s="76" t="str">
        <f>IFERROR(__xludf.DUMMYFUNCTION("""COMPUTED_VALUE"""),"Rồi")</f>
        <v>Rồi</v>
      </c>
      <c r="M70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70" s="76">
        <f>IFERROR(__xludf.DUMMYFUNCTION("""COMPUTED_VALUE"""),9.0)</f>
        <v>9</v>
      </c>
      <c r="O70" s="76" t="str">
        <f>IFERROR(__xludf.DUMMYFUNCTION("""COMPUTED_VALUE"""),"cam kết")</f>
        <v>cam kết</v>
      </c>
      <c r="P70" s="76"/>
      <c r="Q70" s="76"/>
      <c r="R70" s="76"/>
      <c r="S70" s="76" t="str">
        <f>IFERROR(__xludf.DUMMYFUNCTION("""COMPUTED_VALUE"""),"27/12/2024")</f>
        <v>27/12/2024</v>
      </c>
      <c r="T70" s="76"/>
      <c r="U70" s="102" t="str">
        <f>IFERROR(__xludf.DUMMYFUNCTION("""COMPUTED_VALUE"""),"Nguyễn Thị Hồng Thư")</f>
        <v>Nguyễn Thị Hồng Thư</v>
      </c>
      <c r="V70" s="76" t="str">
        <f>IFERROR(__xludf.DUMMYFUNCTION("""COMPUTED_VALUE"""),"Quản Trị Khách Sạn &amp; Nhà Hàng (Đại Học)")</f>
        <v>Quản Trị Khách Sạn &amp; Nhà Hàng (Đại Học)</v>
      </c>
      <c r="W70" s="76" t="str">
        <f>IFERROR(__xludf.DUMMYFUNCTION("""COMPUTED_VALUE"""),"Novotel DaNang Premier Han River")</f>
        <v>Novotel DaNang Premier Han River</v>
      </c>
      <c r="X70" s="76" t="str">
        <f>IFERROR(__xludf.DUMMYFUNCTION("""COMPUTED_VALUE"""),"Nhà hàng")</f>
        <v>Nhà hàng</v>
      </c>
      <c r="Y70" s="76" t="str">
        <f>IFERROR(__xludf.DUMMYFUNCTION("""COMPUTED_VALUE"""),"DUYỆT")</f>
        <v>DUYỆT</v>
      </c>
      <c r="Z70" s="76" t="str">
        <f>IFERROR(__xludf.DUMMYFUNCTION("""COMPUTED_VALUE"""),"CHUYÊN ĐỀ")</f>
        <v>CHUYÊN ĐỀ</v>
      </c>
      <c r="AA70" s="76" t="str">
        <f>IFERROR(__xludf.DUMMYFUNCTION("""COMPUTED_VALUE"""),"hongthunguyen811@gmail.com")</f>
        <v>hongthunguyen811@gmail.com</v>
      </c>
      <c r="AB70" s="76"/>
      <c r="AC70" s="76"/>
    </row>
    <row r="71">
      <c r="A71" s="100">
        <f>IFERROR(__xludf.DUMMYFUNCTION("""COMPUTED_VALUE"""),45651.92953494213)</f>
        <v>45651.92953</v>
      </c>
      <c r="B71" s="76" t="str">
        <f>IFERROR(__xludf.DUMMYFUNCTION("""COMPUTED_VALUE"""),"quan29092003@gmail.com")</f>
        <v>quan29092003@gmail.com</v>
      </c>
      <c r="C71" s="76">
        <f>IFERROR(__xludf.DUMMYFUNCTION("""COMPUTED_VALUE"""),2.7217139845E10)</f>
        <v>27217139845</v>
      </c>
      <c r="D71" s="76" t="str">
        <f>IFERROR(__xludf.DUMMYFUNCTION("""COMPUTED_VALUE"""),"Đặng Trần Minh Quân")</f>
        <v>Đặng Trần Minh Quân</v>
      </c>
      <c r="E71" s="101">
        <f>IFERROR(__xludf.DUMMYFUNCTION("""COMPUTED_VALUE"""),37893.0)</f>
        <v>37893</v>
      </c>
      <c r="F71" s="76" t="str">
        <f>IFERROR(__xludf.DUMMYFUNCTION("""COMPUTED_VALUE"""),"K27DLK6")</f>
        <v>K27DLK6</v>
      </c>
      <c r="G71" s="76" t="str">
        <f>IFERROR(__xludf.DUMMYFUNCTION("""COMPUTED_VALUE"""),"Quản trị Du lịch &amp; Khách sạn")</f>
        <v>Quản trị Du lịch &amp; Khách sạn</v>
      </c>
      <c r="H71" s="76" t="str">
        <f>IFERROR(__xludf.DUMMYFUNCTION("""COMPUTED_VALUE"""),"K27")</f>
        <v>K27</v>
      </c>
      <c r="I71" s="76" t="str">
        <f>IFERROR(__xludf.DUMMYFUNCTION("""COMPUTED_VALUE"""),"0926328637")</f>
        <v>0926328637</v>
      </c>
      <c r="J71" s="76">
        <f>IFERROR(__xludf.DUMMYFUNCTION("""COMPUTED_VALUE"""),2.63)</f>
        <v>2.63</v>
      </c>
      <c r="K71" s="76">
        <f>IFERROR(__xludf.DUMMYFUNCTION("""COMPUTED_VALUE"""),113.0)</f>
        <v>113</v>
      </c>
      <c r="L71" s="76" t="str">
        <f>IFERROR(__xludf.DUMMYFUNCTION("""COMPUTED_VALUE"""),"Rồi")</f>
        <v>Rồi</v>
      </c>
      <c r="M71" s="76" t="str">
        <f>IFERROR(__xludf.DUMMYFUNCTION("""COMPUTED_VALUE"""),"Thực tập tốt nghiệp, Thi tốt nghiệp")</f>
        <v>Thực tập tốt nghiệp, Thi tốt nghiệp</v>
      </c>
      <c r="N71" s="76">
        <f>IFERROR(__xludf.DUMMYFUNCTION("""COMPUTED_VALUE"""),0.0)</f>
        <v>0</v>
      </c>
      <c r="O71" s="76" t="str">
        <f>IFERROR(__xludf.DUMMYFUNCTION("""COMPUTED_VALUE"""),"cam kết")</f>
        <v>cam kết</v>
      </c>
      <c r="P71" s="76"/>
      <c r="Q71" s="76"/>
      <c r="R71" s="76"/>
      <c r="S71" s="76" t="str">
        <f>IFERROR(__xludf.DUMMYFUNCTION("""COMPUTED_VALUE"""),"27/12/2024")</f>
        <v>27/12/2024</v>
      </c>
      <c r="T71" s="76"/>
      <c r="U71" s="102" t="str">
        <f>IFERROR(__xludf.DUMMYFUNCTION("""COMPUTED_VALUE"""),"Đặng Trần Minh Quân")</f>
        <v>Đặng Trần Minh Quân</v>
      </c>
      <c r="V71" s="76" t="str">
        <f>IFERROR(__xludf.DUMMYFUNCTION("""COMPUTED_VALUE"""),"Quản Trị Khách Sạn &amp; Nhà Hàng (Đại Học)")</f>
        <v>Quản Trị Khách Sạn &amp; Nhà Hàng (Đại Học)</v>
      </c>
      <c r="W71" s="76" t="str">
        <f>IFERROR(__xludf.DUMMYFUNCTION("""COMPUTED_VALUE"""),"Grand Mercure Đà Nẵng")</f>
        <v>Grand Mercure Đà Nẵng</v>
      </c>
      <c r="X71" s="76" t="str">
        <f>IFERROR(__xludf.DUMMYFUNCTION("""COMPUTED_VALUE"""),"Nhà hàng")</f>
        <v>Nhà hàng</v>
      </c>
      <c r="Y71" s="76" t="str">
        <f>IFERROR(__xludf.DUMMYFUNCTION("""COMPUTED_VALUE"""),"DUYỆT")</f>
        <v>DUYỆT</v>
      </c>
      <c r="Z71" s="76" t="str">
        <f>IFERROR(__xludf.DUMMYFUNCTION("""COMPUTED_VALUE"""),"CHUYÊN ĐỀ")</f>
        <v>CHUYÊN ĐỀ</v>
      </c>
      <c r="AA71" s="76" t="str">
        <f>IFERROR(__xludf.DUMMYFUNCTION("""COMPUTED_VALUE"""),"quan29092003@gmail.com")</f>
        <v>quan29092003@gmail.com</v>
      </c>
      <c r="AB71" s="76"/>
      <c r="AC71" s="76"/>
    </row>
    <row r="72">
      <c r="A72" s="100">
        <f>IFERROR(__xludf.DUMMYFUNCTION("""COMPUTED_VALUE"""),45650.46532162037)</f>
        <v>45650.46532</v>
      </c>
      <c r="B72" s="76" t="str">
        <f>IFERROR(__xludf.DUMMYFUNCTION("""COMPUTED_VALUE"""),"quy042017@gmail.com")</f>
        <v>quy042017@gmail.com</v>
      </c>
      <c r="C72" s="76">
        <f>IFERROR(__xludf.DUMMYFUNCTION("""COMPUTED_VALUE"""),2.7207128427E10)</f>
        <v>27207128427</v>
      </c>
      <c r="D72" s="76" t="str">
        <f>IFERROR(__xludf.DUMMYFUNCTION("""COMPUTED_VALUE"""),"Lê Kim Quy")</f>
        <v>Lê Kim Quy</v>
      </c>
      <c r="E72" s="101">
        <f>IFERROR(__xludf.DUMMYFUNCTION("""COMPUTED_VALUE"""),37724.0)</f>
        <v>37724</v>
      </c>
      <c r="F72" s="76" t="str">
        <f>IFERROR(__xludf.DUMMYFUNCTION("""COMPUTED_VALUE"""),"K27PSUDLK 2")</f>
        <v>K27PSUDLK 2</v>
      </c>
      <c r="G72" s="76" t="str">
        <f>IFERROR(__xludf.DUMMYFUNCTION("""COMPUTED_VALUE"""),"Quản trị Du lịch &amp; Khách sạn chuẩn PSU")</f>
        <v>Quản trị Du lịch &amp; Khách sạn chuẩn PSU</v>
      </c>
      <c r="H72" s="76" t="str">
        <f>IFERROR(__xludf.DUMMYFUNCTION("""COMPUTED_VALUE"""),"K27")</f>
        <v>K27</v>
      </c>
      <c r="I72" s="76" t="str">
        <f>IFERROR(__xludf.DUMMYFUNCTION("""COMPUTED_VALUE"""),"0943742719")</f>
        <v>0943742719</v>
      </c>
      <c r="J72" s="76">
        <f>IFERROR(__xludf.DUMMYFUNCTION("""COMPUTED_VALUE"""),2.61)</f>
        <v>2.61</v>
      </c>
      <c r="K72" s="76">
        <f>IFERROR(__xludf.DUMMYFUNCTION("""COMPUTED_VALUE"""),109.0)</f>
        <v>109</v>
      </c>
      <c r="L72" s="76" t="str">
        <f>IFERROR(__xludf.DUMMYFUNCTION("""COMPUTED_VALUE"""),"Rồi")</f>
        <v>Rồi</v>
      </c>
      <c r="M72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72" s="76">
        <f>IFERROR(__xludf.DUMMYFUNCTION("""COMPUTED_VALUE"""),17.0)</f>
        <v>17</v>
      </c>
      <c r="O72" s="76" t="str">
        <f>IFERROR(__xludf.DUMMYFUNCTION("""COMPUTED_VALUE"""),"cam kết")</f>
        <v>cam kết</v>
      </c>
      <c r="P72" s="76"/>
      <c r="Q72" s="76"/>
      <c r="R72" s="76"/>
      <c r="S72" s="76" t="str">
        <f>IFERROR(__xludf.DUMMYFUNCTION("""COMPUTED_VALUE"""),"27/12/2024")</f>
        <v>27/12/2024</v>
      </c>
      <c r="T72" s="76"/>
      <c r="U72" s="102" t="str">
        <f>IFERROR(__xludf.DUMMYFUNCTION("""COMPUTED_VALUE"""),"Lê Kim Quy")</f>
        <v>Lê Kim Quy</v>
      </c>
      <c r="V72" s="76" t="str">
        <f>IFERROR(__xludf.DUMMYFUNCTION("""COMPUTED_VALUE"""),"Quản Trị Du Lịch &amp; Khách Sạn Chuẩn PSU (Đại Học)")</f>
        <v>Quản Trị Du Lịch &amp; Khách Sạn Chuẩn PSU (Đại Học)</v>
      </c>
      <c r="W72" s="76" t="str">
        <f>IFERROR(__xludf.DUMMYFUNCTION("""COMPUTED_VALUE"""),"Premier Village Danang Resort")</f>
        <v>Premier Village Danang Resort</v>
      </c>
      <c r="X72" s="76" t="str">
        <f>IFERROR(__xludf.DUMMYFUNCTION("""COMPUTED_VALUE"""),"Nhà hàng")</f>
        <v>Nhà hàng</v>
      </c>
      <c r="Y72" s="76" t="str">
        <f>IFERROR(__xludf.DUMMYFUNCTION("""COMPUTED_VALUE"""),"DUYỆT")</f>
        <v>DUYỆT</v>
      </c>
      <c r="Z72" s="76" t="str">
        <f>IFERROR(__xludf.DUMMYFUNCTION("""COMPUTED_VALUE"""),"CHUYÊN ĐỀ")</f>
        <v>CHUYÊN ĐỀ</v>
      </c>
      <c r="AA72" s="76" t="str">
        <f>IFERROR(__xludf.DUMMYFUNCTION("""COMPUTED_VALUE"""),"quy042017@gmail.com")</f>
        <v>quy042017@gmail.com</v>
      </c>
      <c r="AB72" s="76"/>
      <c r="AC72" s="76"/>
    </row>
    <row r="73">
      <c r="A73" s="100">
        <f>IFERROR(__xludf.DUMMYFUNCTION("""COMPUTED_VALUE"""),45650.46910295139)</f>
        <v>45650.4691</v>
      </c>
      <c r="B73" s="76" t="str">
        <f>IFERROR(__xludf.DUMMYFUNCTION("""COMPUTED_VALUE"""),"myduyentrinh32@gmail.com")</f>
        <v>myduyentrinh32@gmail.com</v>
      </c>
      <c r="C73" s="76">
        <f>IFERROR(__xludf.DUMMYFUNCTION("""COMPUTED_VALUE"""),2.5207101778E10)</f>
        <v>25207101778</v>
      </c>
      <c r="D73" s="76" t="str">
        <f>IFERROR(__xludf.DUMMYFUNCTION("""COMPUTED_VALUE"""),"Trịnh Thị Mỹ Duyên")</f>
        <v>Trịnh Thị Mỹ Duyên</v>
      </c>
      <c r="E73" s="101">
        <f>IFERROR(__xludf.DUMMYFUNCTION("""COMPUTED_VALUE"""),37188.0)</f>
        <v>37188</v>
      </c>
      <c r="F73" s="76" t="str">
        <f>IFERROR(__xludf.DUMMYFUNCTION("""COMPUTED_VALUE"""),"K25DLK14")</f>
        <v>K25DLK14</v>
      </c>
      <c r="G73" s="76" t="str">
        <f>IFERROR(__xludf.DUMMYFUNCTION("""COMPUTED_VALUE"""),"Quản trị Du lịch &amp; Khách sạn")</f>
        <v>Quản trị Du lịch &amp; Khách sạn</v>
      </c>
      <c r="H73" s="76" t="str">
        <f>IFERROR(__xludf.DUMMYFUNCTION("""COMPUTED_VALUE"""),"K26")</f>
        <v>K26</v>
      </c>
      <c r="I73" s="76" t="str">
        <f>IFERROR(__xludf.DUMMYFUNCTION("""COMPUTED_VALUE"""),"0826124677")</f>
        <v>0826124677</v>
      </c>
      <c r="J73" s="76">
        <f>IFERROR(__xludf.DUMMYFUNCTION("""COMPUTED_VALUE"""),2.87)</f>
        <v>2.87</v>
      </c>
      <c r="K73" s="76">
        <f>IFERROR(__xludf.DUMMYFUNCTION("""COMPUTED_VALUE"""),128.0)</f>
        <v>128</v>
      </c>
      <c r="L73" s="76" t="str">
        <f>IFERROR(__xludf.DUMMYFUNCTION("""COMPUTED_VALUE"""),"Rồi")</f>
        <v>Rồi</v>
      </c>
      <c r="M73" s="76" t="str">
        <f>IFERROR(__xludf.DUMMYFUNCTION("""COMPUTED_VALUE"""),"Thực tập tốt nghiệp")</f>
        <v>Thực tập tốt nghiệp</v>
      </c>
      <c r="N73" s="76">
        <f>IFERROR(__xludf.DUMMYFUNCTION("""COMPUTED_VALUE"""),0.0)</f>
        <v>0</v>
      </c>
      <c r="O73" s="76" t="str">
        <f>IFERROR(__xludf.DUMMYFUNCTION("""COMPUTED_VALUE"""),"cam kết")</f>
        <v>cam kết</v>
      </c>
      <c r="P73" s="76"/>
      <c r="Q73" s="76" t="str">
        <f>IFERROR(__xludf.DUMMYFUNCTION("""COMPUTED_VALUE"""),"ĐÃ NỘP")</f>
        <v>ĐÃ NỘP</v>
      </c>
      <c r="R73" s="76">
        <f>IFERROR(__xludf.DUMMYFUNCTION("""COMPUTED_VALUE"""),7.0)</f>
        <v>7</v>
      </c>
      <c r="S73" s="102">
        <f>IFERROR(__xludf.DUMMYFUNCTION("""COMPUTED_VALUE"""),45931.0)</f>
        <v>45931</v>
      </c>
      <c r="T73" s="76"/>
      <c r="U73" s="102" t="str">
        <f>IFERROR(__xludf.DUMMYFUNCTION("""COMPUTED_VALUE"""),"Trịnh Thị Mỹ Duyên")</f>
        <v>Trịnh Thị Mỹ Duyên</v>
      </c>
      <c r="V73" s="76" t="str">
        <f>IFERROR(__xludf.DUMMYFUNCTION("""COMPUTED_VALUE"""),"Quản Trị Khách Sạn &amp; Nhà Hàng (Đại Học)")</f>
        <v>Quản Trị Khách Sạn &amp; Nhà Hàng (Đại Học)</v>
      </c>
      <c r="W73" s="76" t="str">
        <f>IFERROR(__xludf.DUMMYFUNCTION("""COMPUTED_VALUE"""),"Grand Mercure Đà Nẵng")</f>
        <v>Grand Mercure Đà Nẵng</v>
      </c>
      <c r="X73" s="76" t="str">
        <f>IFERROR(__xludf.DUMMYFUNCTION("""COMPUTED_VALUE"""),"Lễ tân")</f>
        <v>Lễ tân</v>
      </c>
      <c r="Y73" s="76" t="str">
        <f>IFERROR(__xludf.DUMMYFUNCTION("""COMPUTED_VALUE"""),"DUYỆT")</f>
        <v>DUYỆT</v>
      </c>
      <c r="Z73" s="76" t="str">
        <f>IFERROR(__xludf.DUMMYFUNCTION("""COMPUTED_VALUE"""),"CHUYÊN ĐỀ")</f>
        <v>CHUYÊN ĐỀ</v>
      </c>
      <c r="AA73" s="76" t="str">
        <f>IFERROR(__xludf.DUMMYFUNCTION("""COMPUTED_VALUE"""),"myduyentrinh32@gmail.com")</f>
        <v>myduyentrinh32@gmail.com</v>
      </c>
      <c r="AB73" s="76"/>
      <c r="AC73" s="76"/>
    </row>
    <row r="74">
      <c r="A74" s="100">
        <f>IFERROR(__xludf.DUMMYFUNCTION("""COMPUTED_VALUE"""),45653.375374780095)</f>
        <v>45653.37537</v>
      </c>
      <c r="B74" s="76" t="str">
        <f>IFERROR(__xludf.DUMMYFUNCTION("""COMPUTED_VALUE"""),"trankhang232003@gmail.com")</f>
        <v>trankhang232003@gmail.com</v>
      </c>
      <c r="C74" s="76">
        <f>IFERROR(__xludf.DUMMYFUNCTION("""COMPUTED_VALUE"""),2.7217134003E10)</f>
        <v>27217134003</v>
      </c>
      <c r="D74" s="76" t="str">
        <f>IFERROR(__xludf.DUMMYFUNCTION("""COMPUTED_VALUE"""),"Trần Dỉnh Khang")</f>
        <v>Trần Dỉnh Khang</v>
      </c>
      <c r="E74" s="101">
        <f>IFERROR(__xludf.DUMMYFUNCTION("""COMPUTED_VALUE"""),37682.0)</f>
        <v>37682</v>
      </c>
      <c r="F74" s="76" t="str">
        <f>IFERROR(__xludf.DUMMYFUNCTION("""COMPUTED_VALUE"""),"K27DLK1")</f>
        <v>K27DLK1</v>
      </c>
      <c r="G74" s="76" t="str">
        <f>IFERROR(__xludf.DUMMYFUNCTION("""COMPUTED_VALUE"""),"Quản trị Du lịch &amp; Khách sạn")</f>
        <v>Quản trị Du lịch &amp; Khách sạn</v>
      </c>
      <c r="H74" s="76" t="str">
        <f>IFERROR(__xludf.DUMMYFUNCTION("""COMPUTED_VALUE"""),"K27")</f>
        <v>K27</v>
      </c>
      <c r="I74" s="76" t="str">
        <f>IFERROR(__xludf.DUMMYFUNCTION("""COMPUTED_VALUE"""),"0905655972")</f>
        <v>0905655972</v>
      </c>
      <c r="J74" s="76">
        <f>IFERROR(__xludf.DUMMYFUNCTION("""COMPUTED_VALUE"""),3.1)</f>
        <v>3.1</v>
      </c>
      <c r="K74" s="76">
        <f>IFERROR(__xludf.DUMMYFUNCTION("""COMPUTED_VALUE"""),107.0)</f>
        <v>107</v>
      </c>
      <c r="L74" s="76" t="str">
        <f>IFERROR(__xludf.DUMMYFUNCTION("""COMPUTED_VALUE"""),"Rồi")</f>
        <v>Rồi</v>
      </c>
      <c r="M74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74" s="76">
        <f>IFERROR(__xludf.DUMMYFUNCTION("""COMPUTED_VALUE"""),23.0)</f>
        <v>23</v>
      </c>
      <c r="O74" s="76" t="str">
        <f>IFERROR(__xludf.DUMMYFUNCTION("""COMPUTED_VALUE"""),"cam kết")</f>
        <v>cam kết</v>
      </c>
      <c r="P74" s="76"/>
      <c r="Q74" s="76"/>
      <c r="R74" s="76"/>
      <c r="S74" s="76" t="str">
        <f>IFERROR(__xludf.DUMMYFUNCTION("""COMPUTED_VALUE"""),"27/12/2024")</f>
        <v>27/12/2024</v>
      </c>
      <c r="T74" s="76"/>
      <c r="U74" s="102" t="str">
        <f>IFERROR(__xludf.DUMMYFUNCTION("""COMPUTED_VALUE"""),"Trần Dỉnh Khang")</f>
        <v>Trần Dỉnh Khang</v>
      </c>
      <c r="V74" s="76" t="str">
        <f>IFERROR(__xludf.DUMMYFUNCTION("""COMPUTED_VALUE"""),"Quản Trị Khách Sạn &amp; Nhà Hàng (Đại Học)")</f>
        <v>Quản Trị Khách Sạn &amp; Nhà Hàng (Đại Học)</v>
      </c>
      <c r="W74" s="76" t="str">
        <f>IFERROR(__xludf.DUMMYFUNCTION("""COMPUTED_VALUE"""),"Novotel DaNang Premier Han River")</f>
        <v>Novotel DaNang Premier Han River</v>
      </c>
      <c r="X74" s="76" t="str">
        <f>IFERROR(__xludf.DUMMYFUNCTION("""COMPUTED_VALUE"""),"Buồng phòng")</f>
        <v>Buồng phòng</v>
      </c>
      <c r="Y74" s="76" t="str">
        <f>IFERROR(__xludf.DUMMYFUNCTION("""COMPUTED_VALUE"""),"DUYỆT")</f>
        <v>DUYỆT</v>
      </c>
      <c r="Z74" s="76" t="str">
        <f>IFERROR(__xludf.DUMMYFUNCTION("""COMPUTED_VALUE"""),"CHUYÊN ĐỀ")</f>
        <v>CHUYÊN ĐỀ</v>
      </c>
      <c r="AA74" s="76" t="str">
        <f>IFERROR(__xludf.DUMMYFUNCTION("""COMPUTED_VALUE"""),"trankhang232003@gmail.com")</f>
        <v>trankhang232003@gmail.com</v>
      </c>
      <c r="AB74" s="76"/>
      <c r="AC74" s="76"/>
    </row>
    <row r="75">
      <c r="A75" s="100">
        <f>IFERROR(__xludf.DUMMYFUNCTION("""COMPUTED_VALUE"""),45650.469836041666)</f>
        <v>45650.46984</v>
      </c>
      <c r="B75" s="76" t="str">
        <f>IFERROR(__xludf.DUMMYFUNCTION("""COMPUTED_VALUE"""),"nguyenhoanganhtho05@gmail.com")</f>
        <v>nguyenhoanganhtho05@gmail.com</v>
      </c>
      <c r="C75" s="76">
        <f>IFERROR(__xludf.DUMMYFUNCTION("""COMPUTED_VALUE"""),2.5202108563E10)</f>
        <v>25202108563</v>
      </c>
      <c r="D75" s="76" t="str">
        <f>IFERROR(__xludf.DUMMYFUNCTION("""COMPUTED_VALUE"""),"Nguyễn Hoàng Anh Thơ")</f>
        <v>Nguyễn Hoàng Anh Thơ</v>
      </c>
      <c r="E75" s="101">
        <f>IFERROR(__xludf.DUMMYFUNCTION("""COMPUTED_VALUE"""),37169.0)</f>
        <v>37169</v>
      </c>
      <c r="F75" s="76" t="str">
        <f>IFERROR(__xludf.DUMMYFUNCTION("""COMPUTED_VALUE"""),"K27PSUDLK2 ")</f>
        <v>K27PSUDLK2 </v>
      </c>
      <c r="G75" s="76" t="str">
        <f>IFERROR(__xludf.DUMMYFUNCTION("""COMPUTED_VALUE"""),"Quản trị Du lịch &amp; Khách sạn chuẩn PSU")</f>
        <v>Quản trị Du lịch &amp; Khách sạn chuẩn PSU</v>
      </c>
      <c r="H75" s="76" t="str">
        <f>IFERROR(__xludf.DUMMYFUNCTION("""COMPUTED_VALUE"""),"K27")</f>
        <v>K27</v>
      </c>
      <c r="I75" s="76" t="str">
        <f>IFERROR(__xludf.DUMMYFUNCTION("""COMPUTED_VALUE"""),"0905830255")</f>
        <v>0905830255</v>
      </c>
      <c r="J75" s="76">
        <f>IFERROR(__xludf.DUMMYFUNCTION("""COMPUTED_VALUE"""),2.64)</f>
        <v>2.64</v>
      </c>
      <c r="K75" s="76">
        <f>IFERROR(__xludf.DUMMYFUNCTION("""COMPUTED_VALUE"""),133.0)</f>
        <v>133</v>
      </c>
      <c r="L75" s="76" t="str">
        <f>IFERROR(__xludf.DUMMYFUNCTION("""COMPUTED_VALUE"""),"Rồi")</f>
        <v>Rồi</v>
      </c>
      <c r="M75" s="76" t="str">
        <f>IFERROR(__xludf.DUMMYFUNCTION("""COMPUTED_VALUE"""),"Thực tập tốt nghiệp, Thi tốt nghiệp")</f>
        <v>Thực tập tốt nghiệp, Thi tốt nghiệp</v>
      </c>
      <c r="N75" s="76">
        <f>IFERROR(__xludf.DUMMYFUNCTION("""COMPUTED_VALUE"""),0.0)</f>
        <v>0</v>
      </c>
      <c r="O75" s="76" t="str">
        <f>IFERROR(__xludf.DUMMYFUNCTION("""COMPUTED_VALUE"""),"cam kết")</f>
        <v>cam kết</v>
      </c>
      <c r="P75" s="76" t="str">
        <f>IFERROR(__xludf.DUMMYFUNCTION("""COMPUTED_VALUE"""),"ĐÃ NỘP")</f>
        <v>ĐÃ NỘP</v>
      </c>
      <c r="Q75" s="76" t="str">
        <f>IFERROR(__xludf.DUMMYFUNCTION("""COMPUTED_VALUE"""),"ĐÃ NỘP")</f>
        <v>ĐÃ NỘP</v>
      </c>
      <c r="R75" s="76"/>
      <c r="S75" s="76" t="str">
        <f>IFERROR(__xludf.DUMMYFUNCTION("""COMPUTED_VALUE"""),"27/12/2024")</f>
        <v>27/12/2024</v>
      </c>
      <c r="T75" s="76"/>
      <c r="U75" s="102" t="str">
        <f>IFERROR(__xludf.DUMMYFUNCTION("""COMPUTED_VALUE"""),"Nguyễn Hoàng Anh Thơ")</f>
        <v>Nguyễn Hoàng Anh Thơ</v>
      </c>
      <c r="V75" s="76" t="str">
        <f>IFERROR(__xludf.DUMMYFUNCTION("""COMPUTED_VALUE"""),"Quản Trị Du Lịch &amp; Khách Sạn Chuẩn PSU (Đại Học)")</f>
        <v>Quản Trị Du Lịch &amp; Khách Sạn Chuẩn PSU (Đại Học)</v>
      </c>
      <c r="W75" s="76" t="str">
        <f>IFERROR(__xludf.DUMMYFUNCTION("""COMPUTED_VALUE"""),"Premier Village Danang Resort")</f>
        <v>Premier Village Danang Resort</v>
      </c>
      <c r="X75" s="76" t="str">
        <f>IFERROR(__xludf.DUMMYFUNCTION("""COMPUTED_VALUE"""),"Nhà hàng")</f>
        <v>Nhà hàng</v>
      </c>
      <c r="Y75" s="76" t="str">
        <f>IFERROR(__xludf.DUMMYFUNCTION("""COMPUTED_VALUE"""),"DUYỆT")</f>
        <v>DUYỆT</v>
      </c>
      <c r="Z75" s="76" t="str">
        <f>IFERROR(__xludf.DUMMYFUNCTION("""COMPUTED_VALUE"""),"CHUYÊN ĐỀ")</f>
        <v>CHUYÊN ĐỀ</v>
      </c>
      <c r="AA75" s="76" t="str">
        <f>IFERROR(__xludf.DUMMYFUNCTION("""COMPUTED_VALUE"""),"nguyenhoanganhtho05@gmail.com")</f>
        <v>nguyenhoanganhtho05@gmail.com</v>
      </c>
      <c r="AB75" s="76"/>
      <c r="AC75" s="76"/>
    </row>
    <row r="76">
      <c r="A76" s="100">
        <f>IFERROR(__xludf.DUMMYFUNCTION("""COMPUTED_VALUE"""),45650.927222025464)</f>
        <v>45650.92722</v>
      </c>
      <c r="B76" s="76" t="str">
        <f>IFERROR(__xludf.DUMMYFUNCTION("""COMPUTED_VALUE"""),"nhinhi780023@gmail.com")</f>
        <v>nhinhi780023@gmail.com</v>
      </c>
      <c r="C76" s="76">
        <f>IFERROR(__xludf.DUMMYFUNCTION("""COMPUTED_VALUE"""),2.7207101221E10)</f>
        <v>27207101221</v>
      </c>
      <c r="D76" s="76" t="str">
        <f>IFERROR(__xludf.DUMMYFUNCTION("""COMPUTED_VALUE"""),"Ngô Thị Tuyết Nhi")</f>
        <v>Ngô Thị Tuyết Nhi</v>
      </c>
      <c r="E76" s="101">
        <f>IFERROR(__xludf.DUMMYFUNCTION("""COMPUTED_VALUE"""),37840.0)</f>
        <v>37840</v>
      </c>
      <c r="F76" s="76" t="str">
        <f>IFERROR(__xludf.DUMMYFUNCTION("""COMPUTED_VALUE"""),"K27DLK 4")</f>
        <v>K27DLK 4</v>
      </c>
      <c r="G76" s="76" t="str">
        <f>IFERROR(__xludf.DUMMYFUNCTION("""COMPUTED_VALUE"""),"Quản trị Du lịch &amp; Khách sạn")</f>
        <v>Quản trị Du lịch &amp; Khách sạn</v>
      </c>
      <c r="H76" s="76" t="str">
        <f>IFERROR(__xludf.DUMMYFUNCTION("""COMPUTED_VALUE"""),"K27")</f>
        <v>K27</v>
      </c>
      <c r="I76" s="76" t="str">
        <f>IFERROR(__xludf.DUMMYFUNCTION("""COMPUTED_VALUE"""),"0796584786")</f>
        <v>0796584786</v>
      </c>
      <c r="J76" s="76">
        <f>IFERROR(__xludf.DUMMYFUNCTION("""COMPUTED_VALUE"""),3.12)</f>
        <v>3.12</v>
      </c>
      <c r="K76" s="76">
        <f>IFERROR(__xludf.DUMMYFUNCTION("""COMPUTED_VALUE"""),115.0)</f>
        <v>115</v>
      </c>
      <c r="L76" s="76" t="str">
        <f>IFERROR(__xludf.DUMMYFUNCTION("""COMPUTED_VALUE"""),"Rồi")</f>
        <v>Rồi</v>
      </c>
      <c r="M76" s="76" t="str">
        <f>IFERROR(__xludf.DUMMYFUNCTION("""COMPUTED_VALUE"""),"Thực tập tốt nghiệp")</f>
        <v>Thực tập tốt nghiệp</v>
      </c>
      <c r="N76" s="76">
        <f>IFERROR(__xludf.DUMMYFUNCTION("""COMPUTED_VALUE"""),8.0)</f>
        <v>8</v>
      </c>
      <c r="O76" s="76" t="str">
        <f>IFERROR(__xludf.DUMMYFUNCTION("""COMPUTED_VALUE"""),"cam kết")</f>
        <v>cam kết</v>
      </c>
      <c r="P76" s="76"/>
      <c r="Q76" s="76"/>
      <c r="R76" s="76"/>
      <c r="S76" s="76" t="str">
        <f>IFERROR(__xludf.DUMMYFUNCTION("""COMPUTED_VALUE"""),"27/12/2024")</f>
        <v>27/12/2024</v>
      </c>
      <c r="T76" s="76"/>
      <c r="U76" s="102" t="str">
        <f>IFERROR(__xludf.DUMMYFUNCTION("""COMPUTED_VALUE"""),"Ngô Thị Tuyết Nhi")</f>
        <v>Ngô Thị Tuyết Nhi</v>
      </c>
      <c r="V76" s="76" t="str">
        <f>IFERROR(__xludf.DUMMYFUNCTION("""COMPUTED_VALUE"""),"Quản Trị Khách Sạn &amp; Nhà Hàng (Đại Học)")</f>
        <v>Quản Trị Khách Sạn &amp; Nhà Hàng (Đại Học)</v>
      </c>
      <c r="W76" s="76" t="str">
        <f>IFERROR(__xludf.DUMMYFUNCTION("""COMPUTED_VALUE"""),"Meliá Vinpearl Danang Riverfront")</f>
        <v>Meliá Vinpearl Danang Riverfront</v>
      </c>
      <c r="X76" s="76" t="str">
        <f>IFERROR(__xludf.DUMMYFUNCTION("""COMPUTED_VALUE"""),"Buồng phòng")</f>
        <v>Buồng phòng</v>
      </c>
      <c r="Y76" s="76" t="str">
        <f>IFERROR(__xludf.DUMMYFUNCTION("""COMPUTED_VALUE"""),"DUYỆT")</f>
        <v>DUYỆT</v>
      </c>
      <c r="Z76" s="76" t="str">
        <f>IFERROR(__xludf.DUMMYFUNCTION("""COMPUTED_VALUE"""),"CHUYÊN ĐỀ")</f>
        <v>CHUYÊN ĐỀ</v>
      </c>
      <c r="AA76" s="76" t="str">
        <f>IFERROR(__xludf.DUMMYFUNCTION("""COMPUTED_VALUE"""),"nhinhi780023@gmail.com")</f>
        <v>nhinhi780023@gmail.com</v>
      </c>
      <c r="AB76" s="76"/>
      <c r="AC76" s="76"/>
    </row>
    <row r="77">
      <c r="A77" s="100">
        <f>IFERROR(__xludf.DUMMYFUNCTION("""COMPUTED_VALUE"""),45650.47664663194)</f>
        <v>45650.47665</v>
      </c>
      <c r="B77" s="76" t="str">
        <f>IFERROR(__xludf.DUMMYFUNCTION("""COMPUTED_VALUE"""),"thaothao2553@gmail.com")</f>
        <v>thaothao2553@gmail.com</v>
      </c>
      <c r="C77" s="76">
        <f>IFERROR(__xludf.DUMMYFUNCTION("""COMPUTED_VALUE"""),2.7217101217E10)</f>
        <v>27217101217</v>
      </c>
      <c r="D77" s="76" t="str">
        <f>IFERROR(__xludf.DUMMYFUNCTION("""COMPUTED_VALUE"""),"Hoàng Phương Thảo")</f>
        <v>Hoàng Phương Thảo</v>
      </c>
      <c r="E77" s="101">
        <f>IFERROR(__xludf.DUMMYFUNCTION("""COMPUTED_VALUE"""),37766.0)</f>
        <v>37766</v>
      </c>
      <c r="F77" s="76" t="str">
        <f>IFERROR(__xludf.DUMMYFUNCTION("""COMPUTED_VALUE"""),"K27DLK4")</f>
        <v>K27DLK4</v>
      </c>
      <c r="G77" s="76" t="str">
        <f>IFERROR(__xludf.DUMMYFUNCTION("""COMPUTED_VALUE"""),"Quản trị Du lịch &amp; Khách sạn")</f>
        <v>Quản trị Du lịch &amp; Khách sạn</v>
      </c>
      <c r="H77" s="76" t="str">
        <f>IFERROR(__xludf.DUMMYFUNCTION("""COMPUTED_VALUE"""),"K27")</f>
        <v>K27</v>
      </c>
      <c r="I77" s="76" t="str">
        <f>IFERROR(__xludf.DUMMYFUNCTION("""COMPUTED_VALUE"""),"0775445218")</f>
        <v>0775445218</v>
      </c>
      <c r="J77" s="76" t="str">
        <f>IFERROR(__xludf.DUMMYFUNCTION("""COMPUTED_VALUE"""),"2,81")</f>
        <v>2,81</v>
      </c>
      <c r="K77" s="76">
        <f>IFERROR(__xludf.DUMMYFUNCTION("""COMPUTED_VALUE"""),114.0)</f>
        <v>114</v>
      </c>
      <c r="L77" s="76" t="str">
        <f>IFERROR(__xludf.DUMMYFUNCTION("""COMPUTED_VALUE"""),"Rồi")</f>
        <v>Rồi</v>
      </c>
      <c r="M77" s="76" t="str">
        <f>IFERROR(__xludf.DUMMYFUNCTION("""COMPUTED_VALUE"""),"Thực tập tốt nghiệp, Thi tốt nghiệp")</f>
        <v>Thực tập tốt nghiệp, Thi tốt nghiệp</v>
      </c>
      <c r="N77" s="76">
        <f>IFERROR(__xludf.DUMMYFUNCTION("""COMPUTED_VALUE"""),8.0)</f>
        <v>8</v>
      </c>
      <c r="O77" s="76" t="str">
        <f>IFERROR(__xludf.DUMMYFUNCTION("""COMPUTED_VALUE"""),"cam kết")</f>
        <v>cam kết</v>
      </c>
      <c r="P77" s="76"/>
      <c r="Q77" s="76"/>
      <c r="R77" s="76"/>
      <c r="S77" s="76" t="str">
        <f>IFERROR(__xludf.DUMMYFUNCTION("""COMPUTED_VALUE"""),"27/12/2024")</f>
        <v>27/12/2024</v>
      </c>
      <c r="T77" s="76"/>
      <c r="U77" s="102" t="str">
        <f>IFERROR(__xludf.DUMMYFUNCTION("""COMPUTED_VALUE"""),"Hoàng Phương Thảo")</f>
        <v>Hoàng Phương Thảo</v>
      </c>
      <c r="V77" s="76" t="str">
        <f>IFERROR(__xludf.DUMMYFUNCTION("""COMPUTED_VALUE"""),"Quản Trị Khách Sạn &amp; Nhà Hàng (Đại Học)")</f>
        <v>Quản Trị Khách Sạn &amp; Nhà Hàng (Đại Học)</v>
      </c>
      <c r="W77" s="76" t="str">
        <f>IFERROR(__xludf.DUMMYFUNCTION("""COMPUTED_VALUE"""),"#N/A")</f>
        <v>#N/A</v>
      </c>
      <c r="X77" s="76" t="str">
        <f>IFERROR(__xludf.DUMMYFUNCTION("""COMPUTED_VALUE"""),"#N/A")</f>
        <v>#N/A</v>
      </c>
      <c r="Y77" s="76" t="str">
        <f>IFERROR(__xludf.DUMMYFUNCTION("""COMPUTED_VALUE"""),"#N/A")</f>
        <v>#N/A</v>
      </c>
      <c r="Z77" s="76" t="str">
        <f>IFERROR(__xludf.DUMMYFUNCTION("""COMPUTED_VALUE"""),"không đủ điều kiện")</f>
        <v>không đủ điều kiện</v>
      </c>
      <c r="AA77" s="76" t="str">
        <f>IFERROR(__xludf.DUMMYFUNCTION("""COMPUTED_VALUE"""),"thaothao2553@gmail.com")</f>
        <v>thaothao2553@gmail.com</v>
      </c>
      <c r="AB77" s="76"/>
      <c r="AC77" s="76"/>
    </row>
    <row r="78">
      <c r="A78" s="100">
        <f>IFERROR(__xludf.DUMMYFUNCTION("""COMPUTED_VALUE"""),45650.47846975694)</f>
        <v>45650.47847</v>
      </c>
      <c r="B78" s="76" t="str">
        <f>IFERROR(__xludf.DUMMYFUNCTION("""COMPUTED_VALUE"""),"btphnga1523@gmail.com")</f>
        <v>btphnga1523@gmail.com</v>
      </c>
      <c r="C78" s="76">
        <f>IFERROR(__xludf.DUMMYFUNCTION("""COMPUTED_VALUE"""),2.7207140573E10)</f>
        <v>27207140573</v>
      </c>
      <c r="D78" s="76" t="str">
        <f>IFERROR(__xludf.DUMMYFUNCTION("""COMPUTED_VALUE"""),"Bùi Thị Phương Nga ")</f>
        <v>Bùi Thị Phương Nga </v>
      </c>
      <c r="E78" s="101">
        <f>IFERROR(__xludf.DUMMYFUNCTION("""COMPUTED_VALUE"""),37742.0)</f>
        <v>37742</v>
      </c>
      <c r="F78" s="76" t="str">
        <f>IFERROR(__xludf.DUMMYFUNCTION("""COMPUTED_VALUE"""),"K27DLK4")</f>
        <v>K27DLK4</v>
      </c>
      <c r="G78" s="76" t="str">
        <f>IFERROR(__xludf.DUMMYFUNCTION("""COMPUTED_VALUE"""),"Quản trị Du lịch &amp; Khách sạn")</f>
        <v>Quản trị Du lịch &amp; Khách sạn</v>
      </c>
      <c r="H78" s="76" t="str">
        <f>IFERROR(__xludf.DUMMYFUNCTION("""COMPUTED_VALUE"""),"K27")</f>
        <v>K27</v>
      </c>
      <c r="I78" s="76" t="str">
        <f>IFERROR(__xludf.DUMMYFUNCTION("""COMPUTED_VALUE"""),"0774426268")</f>
        <v>0774426268</v>
      </c>
      <c r="J78" s="76">
        <f>IFERROR(__xludf.DUMMYFUNCTION("""COMPUTED_VALUE"""),127.0)</f>
        <v>127</v>
      </c>
      <c r="K78" s="76">
        <f>IFERROR(__xludf.DUMMYFUNCTION("""COMPUTED_VALUE"""),127.0)</f>
        <v>127</v>
      </c>
      <c r="L78" s="76" t="str">
        <f>IFERROR(__xludf.DUMMYFUNCTION("""COMPUTED_VALUE"""),"Rồi")</f>
        <v>Rồi</v>
      </c>
      <c r="M78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78" s="76">
        <f>IFERROR(__xludf.DUMMYFUNCTION("""COMPUTED_VALUE"""),3.0)</f>
        <v>3</v>
      </c>
      <c r="O78" s="76" t="str">
        <f>IFERROR(__xludf.DUMMYFUNCTION("""COMPUTED_VALUE"""),"cam kết")</f>
        <v>cam kết</v>
      </c>
      <c r="P78" s="76"/>
      <c r="Q78" s="76"/>
      <c r="R78" s="76"/>
      <c r="S78" s="76" t="str">
        <f>IFERROR(__xludf.DUMMYFUNCTION("""COMPUTED_VALUE"""),"27/12/2024")</f>
        <v>27/12/2024</v>
      </c>
      <c r="T78" s="76"/>
      <c r="U78" s="102" t="str">
        <f>IFERROR(__xludf.DUMMYFUNCTION("""COMPUTED_VALUE"""),"Bùi Thị Phương Nga")</f>
        <v>Bùi Thị Phương Nga</v>
      </c>
      <c r="V78" s="76" t="str">
        <f>IFERROR(__xludf.DUMMYFUNCTION("""COMPUTED_VALUE"""),"Quản Trị Khách Sạn &amp; Nhà Hàng (Đại Học)")</f>
        <v>Quản Trị Khách Sạn &amp; Nhà Hàng (Đại Học)</v>
      </c>
      <c r="W78" s="76" t="str">
        <f>IFERROR(__xludf.DUMMYFUNCTION("""COMPUTED_VALUE"""),"Vanda Hotel")</f>
        <v>Vanda Hotel</v>
      </c>
      <c r="X78" s="76" t="str">
        <f>IFERROR(__xludf.DUMMYFUNCTION("""COMPUTED_VALUE"""),"Tiền sảnh")</f>
        <v>Tiền sảnh</v>
      </c>
      <c r="Y78" s="76" t="str">
        <f>IFERROR(__xludf.DUMMYFUNCTION("""COMPUTED_VALUE"""),"DUYỆT")</f>
        <v>DUYỆT</v>
      </c>
      <c r="Z78" s="76" t="str">
        <f>IFERROR(__xludf.DUMMYFUNCTION("""COMPUTED_VALUE"""),"CHUYÊN ĐỀ")</f>
        <v>CHUYÊN ĐỀ</v>
      </c>
      <c r="AA78" s="76" t="str">
        <f>IFERROR(__xludf.DUMMYFUNCTION("""COMPUTED_VALUE"""),"btphnga1523@gmail.com")</f>
        <v>btphnga1523@gmail.com</v>
      </c>
      <c r="AB78" s="76"/>
      <c r="AC78" s="76"/>
    </row>
    <row r="79">
      <c r="A79" s="100">
        <f>IFERROR(__xludf.DUMMYFUNCTION("""COMPUTED_VALUE"""),45650.478473842595)</f>
        <v>45650.47847</v>
      </c>
      <c r="B79" s="76" t="str">
        <f>IFERROR(__xludf.DUMMYFUNCTION("""COMPUTED_VALUE"""),"yennhidangthi2003@gmail.com")</f>
        <v>yennhidangthi2003@gmail.com</v>
      </c>
      <c r="C79" s="76">
        <f>IFERROR(__xludf.DUMMYFUNCTION("""COMPUTED_VALUE"""),2.7203444311E10)</f>
        <v>27203444311</v>
      </c>
      <c r="D79" s="76" t="str">
        <f>IFERROR(__xludf.DUMMYFUNCTION("""COMPUTED_VALUE"""),"Đặng Thị Yến Nhi")</f>
        <v>Đặng Thị Yến Nhi</v>
      </c>
      <c r="E79" s="101">
        <f>IFERROR(__xludf.DUMMYFUNCTION("""COMPUTED_VALUE"""),37857.0)</f>
        <v>37857</v>
      </c>
      <c r="F79" s="76" t="str">
        <f>IFERROR(__xludf.DUMMYFUNCTION("""COMPUTED_VALUE"""),"K27DLK4")</f>
        <v>K27DLK4</v>
      </c>
      <c r="G79" s="76" t="str">
        <f>IFERROR(__xludf.DUMMYFUNCTION("""COMPUTED_VALUE"""),"Quản trị Du lịch &amp; Khách sạn")</f>
        <v>Quản trị Du lịch &amp; Khách sạn</v>
      </c>
      <c r="H79" s="76" t="str">
        <f>IFERROR(__xludf.DUMMYFUNCTION("""COMPUTED_VALUE"""),"K27")</f>
        <v>K27</v>
      </c>
      <c r="I79" s="76" t="str">
        <f>IFERROR(__xludf.DUMMYFUNCTION("""COMPUTED_VALUE"""),"0931639451")</f>
        <v>0931639451</v>
      </c>
      <c r="J79" s="76">
        <f>IFERROR(__xludf.DUMMYFUNCTION("""COMPUTED_VALUE"""),2.9)</f>
        <v>2.9</v>
      </c>
      <c r="K79" s="76">
        <f>IFERROR(__xludf.DUMMYFUNCTION("""COMPUTED_VALUE"""),118.0)</f>
        <v>118</v>
      </c>
      <c r="L79" s="76" t="str">
        <f>IFERROR(__xludf.DUMMYFUNCTION("""COMPUTED_VALUE"""),"Rồi")</f>
        <v>Rồi</v>
      </c>
      <c r="M79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79" s="76">
        <f>IFERROR(__xludf.DUMMYFUNCTION("""COMPUTED_VALUE"""),5.0)</f>
        <v>5</v>
      </c>
      <c r="O79" s="76" t="str">
        <f>IFERROR(__xludf.DUMMYFUNCTION("""COMPUTED_VALUE"""),"cam kết")</f>
        <v>cam kết</v>
      </c>
      <c r="P79" s="76"/>
      <c r="Q79" s="76"/>
      <c r="R79" s="76"/>
      <c r="S79" s="76" t="str">
        <f>IFERROR(__xludf.DUMMYFUNCTION("""COMPUTED_VALUE"""),"27/12/2024")</f>
        <v>27/12/2024</v>
      </c>
      <c r="T79" s="76"/>
      <c r="U79" s="102" t="str">
        <f>IFERROR(__xludf.DUMMYFUNCTION("""COMPUTED_VALUE"""),"Đặng Thị Yến Nhi")</f>
        <v>Đặng Thị Yến Nhi</v>
      </c>
      <c r="V79" s="76" t="str">
        <f>IFERROR(__xludf.DUMMYFUNCTION("""COMPUTED_VALUE"""),"Quản Trị Khách Sạn &amp; Nhà Hàng (Đại Học)")</f>
        <v>Quản Trị Khách Sạn &amp; Nhà Hàng (Đại Học)</v>
      </c>
      <c r="W79" s="76" t="str">
        <f>IFERROR(__xludf.DUMMYFUNCTION("""COMPUTED_VALUE"""),"Renaissance Hoi An Resort &amp; Spa")</f>
        <v>Renaissance Hoi An Resort &amp; Spa</v>
      </c>
      <c r="X79" s="76" t="str">
        <f>IFERROR(__xludf.DUMMYFUNCTION("""COMPUTED_VALUE"""),"Nhà hàng")</f>
        <v>Nhà hàng</v>
      </c>
      <c r="Y79" s="76" t="str">
        <f>IFERROR(__xludf.DUMMYFUNCTION("""COMPUTED_VALUE"""),"DUYỆT")</f>
        <v>DUYỆT</v>
      </c>
      <c r="Z79" s="76" t="str">
        <f>IFERROR(__xludf.DUMMYFUNCTION("""COMPUTED_VALUE"""),"CHUYÊN ĐỀ")</f>
        <v>CHUYÊN ĐỀ</v>
      </c>
      <c r="AA79" s="76" t="str">
        <f>IFERROR(__xludf.DUMMYFUNCTION("""COMPUTED_VALUE"""),"yennhidangthi2003@gmail.com")</f>
        <v>yennhidangthi2003@gmail.com</v>
      </c>
      <c r="AB79" s="76"/>
      <c r="AC79" s="76"/>
    </row>
    <row r="80">
      <c r="A80" s="100">
        <f>IFERROR(__xludf.DUMMYFUNCTION("""COMPUTED_VALUE"""),45651.73562092593)</f>
        <v>45651.73562</v>
      </c>
      <c r="B80" s="76" t="str">
        <f>IFERROR(__xludf.DUMMYFUNCTION("""COMPUTED_VALUE"""),"nhudtq2003@gmail.com")</f>
        <v>nhudtq2003@gmail.com</v>
      </c>
      <c r="C80" s="76">
        <f>IFERROR(__xludf.DUMMYFUNCTION("""COMPUTED_VALUE"""),2.7207142512E10)</f>
        <v>27207142512</v>
      </c>
      <c r="D80" s="76" t="str">
        <f>IFERROR(__xludf.DUMMYFUNCTION("""COMPUTED_VALUE"""),"Đặng Thị Quỳnh Như")</f>
        <v>Đặng Thị Quỳnh Như</v>
      </c>
      <c r="E80" s="101">
        <f>IFERROR(__xludf.DUMMYFUNCTION("""COMPUTED_VALUE"""),37749.0)</f>
        <v>37749</v>
      </c>
      <c r="F80" s="76" t="str">
        <f>IFERROR(__xludf.DUMMYFUNCTION("""COMPUTED_VALUE"""),"K27ldk2")</f>
        <v>K27ldk2</v>
      </c>
      <c r="G80" s="76" t="str">
        <f>IFERROR(__xludf.DUMMYFUNCTION("""COMPUTED_VALUE"""),"Quản trị Du lịch &amp; Khách sạn")</f>
        <v>Quản trị Du lịch &amp; Khách sạn</v>
      </c>
      <c r="H80" s="76" t="str">
        <f>IFERROR(__xludf.DUMMYFUNCTION("""COMPUTED_VALUE"""),"K27")</f>
        <v>K27</v>
      </c>
      <c r="I80" s="76" t="str">
        <f>IFERROR(__xludf.DUMMYFUNCTION("""COMPUTED_VALUE"""),"0975277852")</f>
        <v>0975277852</v>
      </c>
      <c r="J80" s="76" t="str">
        <f>IFERROR(__xludf.DUMMYFUNCTION("""COMPUTED_VALUE"""),"2,53")</f>
        <v>2,53</v>
      </c>
      <c r="K80" s="76">
        <f>IFERROR(__xludf.DUMMYFUNCTION("""COMPUTED_VALUE"""),111.0)</f>
        <v>111</v>
      </c>
      <c r="L80" s="76" t="str">
        <f>IFERROR(__xludf.DUMMYFUNCTION("""COMPUTED_VALUE"""),"Rồi")</f>
        <v>Rồi</v>
      </c>
      <c r="M80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80" s="76">
        <f>IFERROR(__xludf.DUMMYFUNCTION("""COMPUTED_VALUE"""),12.0)</f>
        <v>12</v>
      </c>
      <c r="O80" s="76" t="str">
        <f>IFERROR(__xludf.DUMMYFUNCTION("""COMPUTED_VALUE"""),"cam kết")</f>
        <v>cam kết</v>
      </c>
      <c r="P80" s="76"/>
      <c r="Q80" s="76"/>
      <c r="R80" s="76"/>
      <c r="S80" s="76" t="str">
        <f>IFERROR(__xludf.DUMMYFUNCTION("""COMPUTED_VALUE"""),"27/12/2024")</f>
        <v>27/12/2024</v>
      </c>
      <c r="T80" s="76"/>
      <c r="U80" s="102" t="str">
        <f>IFERROR(__xludf.DUMMYFUNCTION("""COMPUTED_VALUE"""),"Đặng Thị Quỳnh Như")</f>
        <v>Đặng Thị Quỳnh Như</v>
      </c>
      <c r="V80" s="76" t="str">
        <f>IFERROR(__xludf.DUMMYFUNCTION("""COMPUTED_VALUE"""),"Quản Trị Khách Sạn &amp; Nhà Hàng (Đại Học)")</f>
        <v>Quản Trị Khách Sạn &amp; Nhà Hàng (Đại Học)</v>
      </c>
      <c r="W80" s="76" t="str">
        <f>IFERROR(__xludf.DUMMYFUNCTION("""COMPUTED_VALUE"""),"Minh Toàn Galaxy Hotel Đà Nẵng")</f>
        <v>Minh Toàn Galaxy Hotel Đà Nẵng</v>
      </c>
      <c r="X80" s="76" t="str">
        <f>IFERROR(__xludf.DUMMYFUNCTION("""COMPUTED_VALUE"""),"Buồng phòng")</f>
        <v>Buồng phòng</v>
      </c>
      <c r="Y80" s="76" t="str">
        <f>IFERROR(__xludf.DUMMYFUNCTION("""COMPUTED_VALUE"""),"DUYỆT")</f>
        <v>DUYỆT</v>
      </c>
      <c r="Z80" s="76" t="str">
        <f>IFERROR(__xludf.DUMMYFUNCTION("""COMPUTED_VALUE"""),"CHUYÊN ĐỀ")</f>
        <v>CHUYÊN ĐỀ</v>
      </c>
      <c r="AA80" s="76" t="str">
        <f>IFERROR(__xludf.DUMMYFUNCTION("""COMPUTED_VALUE"""),"nhudtq2003@gmail.com")</f>
        <v>nhudtq2003@gmail.com</v>
      </c>
      <c r="AB80" s="76"/>
      <c r="AC80" s="76"/>
    </row>
    <row r="81">
      <c r="A81" s="100">
        <f>IFERROR(__xludf.DUMMYFUNCTION("""COMPUTED_VALUE"""),45650.485032916666)</f>
        <v>45650.48503</v>
      </c>
      <c r="B81" s="76" t="str">
        <f>IFERROR(__xludf.DUMMYFUNCTION("""COMPUTED_VALUE"""),"hothidiem31082003@gmail.com")</f>
        <v>hothidiem31082003@gmail.com</v>
      </c>
      <c r="C81" s="76">
        <f>IFERROR(__xludf.DUMMYFUNCTION("""COMPUTED_VALUE"""),2.7207142513E10)</f>
        <v>27207142513</v>
      </c>
      <c r="D81" s="76" t="str">
        <f>IFERROR(__xludf.DUMMYFUNCTION("""COMPUTED_VALUE"""),"Hồ Thị Diễm")</f>
        <v>Hồ Thị Diễm</v>
      </c>
      <c r="E81" s="101">
        <f>IFERROR(__xludf.DUMMYFUNCTION("""COMPUTED_VALUE"""),37864.0)</f>
        <v>37864</v>
      </c>
      <c r="F81" s="76" t="str">
        <f>IFERROR(__xludf.DUMMYFUNCTION("""COMPUTED_VALUE"""),"K27DLK5")</f>
        <v>K27DLK5</v>
      </c>
      <c r="G81" s="76" t="str">
        <f>IFERROR(__xludf.DUMMYFUNCTION("""COMPUTED_VALUE"""),"Quản trị Du lịch &amp; Khách sạn")</f>
        <v>Quản trị Du lịch &amp; Khách sạn</v>
      </c>
      <c r="H81" s="76" t="str">
        <f>IFERROR(__xludf.DUMMYFUNCTION("""COMPUTED_VALUE"""),"K27")</f>
        <v>K27</v>
      </c>
      <c r="I81" s="76" t="str">
        <f>IFERROR(__xludf.DUMMYFUNCTION("""COMPUTED_VALUE"""),"0325588074")</f>
        <v>0325588074</v>
      </c>
      <c r="J81" s="76" t="str">
        <f>IFERROR(__xludf.DUMMYFUNCTION("""COMPUTED_VALUE"""),"2,39")</f>
        <v>2,39</v>
      </c>
      <c r="K81" s="76">
        <f>IFERROR(__xludf.DUMMYFUNCTION("""COMPUTED_VALUE"""),116.0)</f>
        <v>116</v>
      </c>
      <c r="L81" s="76" t="str">
        <f>IFERROR(__xludf.DUMMYFUNCTION("""COMPUTED_VALUE"""),"Rồi")</f>
        <v>Rồi</v>
      </c>
      <c r="M81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81" s="76">
        <f>IFERROR(__xludf.DUMMYFUNCTION("""COMPUTED_VALUE"""),19.0)</f>
        <v>19</v>
      </c>
      <c r="O81" s="76" t="str">
        <f>IFERROR(__xludf.DUMMYFUNCTION("""COMPUTED_VALUE"""),"cam kết")</f>
        <v>cam kết</v>
      </c>
      <c r="P81" s="76"/>
      <c r="Q81" s="76"/>
      <c r="R81" s="76"/>
      <c r="S81" s="76" t="str">
        <f>IFERROR(__xludf.DUMMYFUNCTION("""COMPUTED_VALUE"""),"27/12/2024")</f>
        <v>27/12/2024</v>
      </c>
      <c r="T81" s="76"/>
      <c r="U81" s="102" t="str">
        <f>IFERROR(__xludf.DUMMYFUNCTION("""COMPUTED_VALUE"""),"Hồ Thị Diễm")</f>
        <v>Hồ Thị Diễm</v>
      </c>
      <c r="V81" s="76" t="str">
        <f>IFERROR(__xludf.DUMMYFUNCTION("""COMPUTED_VALUE"""),"Quản Trị Khách Sạn &amp; Nhà Hàng (Đại Học)")</f>
        <v>Quản Trị Khách Sạn &amp; Nhà Hàng (Đại Học)</v>
      </c>
      <c r="W81" s="76" t="str">
        <f>IFERROR(__xludf.DUMMYFUNCTION("""COMPUTED_VALUE"""),"Satya Danang Hotel")</f>
        <v>Satya Danang Hotel</v>
      </c>
      <c r="X81" s="76" t="str">
        <f>IFERROR(__xludf.DUMMYFUNCTION("""COMPUTED_VALUE"""),"Nhà hàng")</f>
        <v>Nhà hàng</v>
      </c>
      <c r="Y81" s="76" t="str">
        <f>IFERROR(__xludf.DUMMYFUNCTION("""COMPUTED_VALUE"""),"DUYỆT")</f>
        <v>DUYỆT</v>
      </c>
      <c r="Z81" s="76" t="str">
        <f>IFERROR(__xludf.DUMMYFUNCTION("""COMPUTED_VALUE"""),"CHUYÊN ĐỀ")</f>
        <v>CHUYÊN ĐỀ</v>
      </c>
      <c r="AA81" s="76" t="str">
        <f>IFERROR(__xludf.DUMMYFUNCTION("""COMPUTED_VALUE"""),"hothidiem31082003@gmail.com")</f>
        <v>hothidiem31082003@gmail.com</v>
      </c>
      <c r="AB81" s="76"/>
      <c r="AC81" s="76"/>
    </row>
    <row r="82">
      <c r="A82" s="100">
        <f>IFERROR(__xludf.DUMMYFUNCTION("""COMPUTED_VALUE"""),45652.6594649537)</f>
        <v>45652.65946</v>
      </c>
      <c r="B82" s="76" t="str">
        <f>IFERROR(__xludf.DUMMYFUNCTION("""COMPUTED_VALUE"""),"vanchunga10daklak@gmail.com")</f>
        <v>vanchunga10daklak@gmail.com</v>
      </c>
      <c r="C82" s="76">
        <f>IFERROR(__xludf.DUMMYFUNCTION("""COMPUTED_VALUE"""),2.7217152552E10)</f>
        <v>27217152552</v>
      </c>
      <c r="D82" s="76" t="str">
        <f>IFERROR(__xludf.DUMMYFUNCTION("""COMPUTED_VALUE"""),"Nguyễn Văn Chung")</f>
        <v>Nguyễn Văn Chung</v>
      </c>
      <c r="E82" s="101">
        <f>IFERROR(__xludf.DUMMYFUNCTION("""COMPUTED_VALUE"""),37940.0)</f>
        <v>37940</v>
      </c>
      <c r="F82" s="76" t="str">
        <f>IFERROR(__xludf.DUMMYFUNCTION("""COMPUTED_VALUE"""),"K27DLK7")</f>
        <v>K27DLK7</v>
      </c>
      <c r="G82" s="76" t="str">
        <f>IFERROR(__xludf.DUMMYFUNCTION("""COMPUTED_VALUE"""),"Quản trị Du lịch &amp; Khách sạn")</f>
        <v>Quản trị Du lịch &amp; Khách sạn</v>
      </c>
      <c r="H82" s="76" t="str">
        <f>IFERROR(__xludf.DUMMYFUNCTION("""COMPUTED_VALUE"""),"K27")</f>
        <v>K27</v>
      </c>
      <c r="I82" s="76" t="str">
        <f>IFERROR(__xludf.DUMMYFUNCTION("""COMPUTED_VALUE"""),"0326597052")</f>
        <v>0326597052</v>
      </c>
      <c r="J82" s="76">
        <f>IFERROR(__xludf.DUMMYFUNCTION("""COMPUTED_VALUE"""),2.66)</f>
        <v>2.66</v>
      </c>
      <c r="K82" s="76">
        <f>IFERROR(__xludf.DUMMYFUNCTION("""COMPUTED_VALUE"""),114.0)</f>
        <v>114</v>
      </c>
      <c r="L82" s="76" t="str">
        <f>IFERROR(__xludf.DUMMYFUNCTION("""COMPUTED_VALUE"""),"Rồi")</f>
        <v>Rồi</v>
      </c>
      <c r="M82" s="76" t="str">
        <f>IFERROR(__xludf.DUMMYFUNCTION("""COMPUTED_VALUE"""),"Thực tập tốt nghiệp")</f>
        <v>Thực tập tốt nghiệp</v>
      </c>
      <c r="N82" s="76">
        <f>IFERROR(__xludf.DUMMYFUNCTION("""COMPUTED_VALUE"""),13.0)</f>
        <v>13</v>
      </c>
      <c r="O82" s="76" t="str">
        <f>IFERROR(__xludf.DUMMYFUNCTION("""COMPUTED_VALUE"""),"cam kết")</f>
        <v>cam kết</v>
      </c>
      <c r="P82" s="76"/>
      <c r="Q82" s="76"/>
      <c r="R82" s="76"/>
      <c r="S82" s="76" t="str">
        <f>IFERROR(__xludf.DUMMYFUNCTION("""COMPUTED_VALUE"""),"27/12/2024")</f>
        <v>27/12/2024</v>
      </c>
      <c r="T82" s="76"/>
      <c r="U82" s="102" t="str">
        <f>IFERROR(__xludf.DUMMYFUNCTION("""COMPUTED_VALUE"""),"Nguyễn Văn Chung")</f>
        <v>Nguyễn Văn Chung</v>
      </c>
      <c r="V82" s="76" t="str">
        <f>IFERROR(__xludf.DUMMYFUNCTION("""COMPUTED_VALUE"""),"Quản Trị Khách Sạn &amp; Nhà Hàng (Đại Học)")</f>
        <v>Quản Trị Khách Sạn &amp; Nhà Hàng (Đại Học)</v>
      </c>
      <c r="W82" s="76" t="str">
        <f>IFERROR(__xludf.DUMMYFUNCTION("""COMPUTED_VALUE"""),"Hyatt regency DaNang Resort")</f>
        <v>Hyatt regency DaNang Resort</v>
      </c>
      <c r="X82" s="76" t="str">
        <f>IFERROR(__xludf.DUMMYFUNCTION("""COMPUTED_VALUE"""),"Nhà hàng")</f>
        <v>Nhà hàng</v>
      </c>
      <c r="Y82" s="76" t="str">
        <f>IFERROR(__xludf.DUMMYFUNCTION("""COMPUTED_VALUE"""),"DUYỆT")</f>
        <v>DUYỆT</v>
      </c>
      <c r="Z82" s="76" t="str">
        <f>IFERROR(__xludf.DUMMYFUNCTION("""COMPUTED_VALUE"""),"CHUYÊN ĐỀ")</f>
        <v>CHUYÊN ĐỀ</v>
      </c>
      <c r="AA82" s="76" t="str">
        <f>IFERROR(__xludf.DUMMYFUNCTION("""COMPUTED_VALUE"""),"vanchunga10daklak@gmail.com")</f>
        <v>vanchunga10daklak@gmail.com</v>
      </c>
      <c r="AB82" s="76"/>
      <c r="AC82" s="76"/>
    </row>
    <row r="83">
      <c r="A83" s="100">
        <f>IFERROR(__xludf.DUMMYFUNCTION("""COMPUTED_VALUE"""),45651.69070789352)</f>
        <v>45651.69071</v>
      </c>
      <c r="B83" s="76" t="str">
        <f>IFERROR(__xludf.DUMMYFUNCTION("""COMPUTED_VALUE"""),"lehuy7539@gmail.com")</f>
        <v>lehuy7539@gmail.com</v>
      </c>
      <c r="C83" s="76">
        <f>IFERROR(__xludf.DUMMYFUNCTION("""COMPUTED_VALUE"""),2.7217145233E10)</f>
        <v>27217145233</v>
      </c>
      <c r="D83" s="76" t="str">
        <f>IFERROR(__xludf.DUMMYFUNCTION("""COMPUTED_VALUE"""),"Lê Quốc Huy")</f>
        <v>Lê Quốc Huy</v>
      </c>
      <c r="E83" s="101">
        <f>IFERROR(__xludf.DUMMYFUNCTION("""COMPUTED_VALUE"""),37779.0)</f>
        <v>37779</v>
      </c>
      <c r="F83" s="76" t="str">
        <f>IFERROR(__xludf.DUMMYFUNCTION("""COMPUTED_VALUE"""),"K27DLK 2")</f>
        <v>K27DLK 2</v>
      </c>
      <c r="G83" s="76" t="str">
        <f>IFERROR(__xludf.DUMMYFUNCTION("""COMPUTED_VALUE"""),"Quản trị Du lịch &amp; Khách sạn")</f>
        <v>Quản trị Du lịch &amp; Khách sạn</v>
      </c>
      <c r="H83" s="76" t="str">
        <f>IFERROR(__xludf.DUMMYFUNCTION("""COMPUTED_VALUE"""),"K27")</f>
        <v>K27</v>
      </c>
      <c r="I83" s="76" t="str">
        <f>IFERROR(__xludf.DUMMYFUNCTION("""COMPUTED_VALUE"""),"0967453824")</f>
        <v>0967453824</v>
      </c>
      <c r="J83" s="76">
        <f>IFERROR(__xludf.DUMMYFUNCTION("""COMPUTED_VALUE"""),3.08)</f>
        <v>3.08</v>
      </c>
      <c r="K83" s="76">
        <f>IFERROR(__xludf.DUMMYFUNCTION("""COMPUTED_VALUE"""),111.0)</f>
        <v>111</v>
      </c>
      <c r="L83" s="76" t="str">
        <f>IFERROR(__xludf.DUMMYFUNCTION("""COMPUTED_VALUE"""),"Rồi")</f>
        <v>Rồi</v>
      </c>
      <c r="M83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83" s="76">
        <f>IFERROR(__xludf.DUMMYFUNCTION("""COMPUTED_VALUE"""),4.0)</f>
        <v>4</v>
      </c>
      <c r="O83" s="76" t="str">
        <f>IFERROR(__xludf.DUMMYFUNCTION("""COMPUTED_VALUE"""),"cam kết")</f>
        <v>cam kết</v>
      </c>
      <c r="P83" s="76"/>
      <c r="Q83" s="76"/>
      <c r="R83" s="76"/>
      <c r="S83" s="76" t="str">
        <f>IFERROR(__xludf.DUMMYFUNCTION("""COMPUTED_VALUE"""),"27/12/2024")</f>
        <v>27/12/2024</v>
      </c>
      <c r="T83" s="76"/>
      <c r="U83" s="102" t="str">
        <f>IFERROR(__xludf.DUMMYFUNCTION("""COMPUTED_VALUE"""),"Lê Quốc Huy")</f>
        <v>Lê Quốc Huy</v>
      </c>
      <c r="V83" s="76" t="str">
        <f>IFERROR(__xludf.DUMMYFUNCTION("""COMPUTED_VALUE"""),"Quản Trị Khách Sạn &amp; Nhà Hàng (Đại Học)")</f>
        <v>Quản Trị Khách Sạn &amp; Nhà Hàng (Đại Học)</v>
      </c>
      <c r="W83" s="76" t="str">
        <f>IFERROR(__xludf.DUMMYFUNCTION("""COMPUTED_VALUE"""),"Wyndham DaNang Golden Bay")</f>
        <v>Wyndham DaNang Golden Bay</v>
      </c>
      <c r="X83" s="76" t="str">
        <f>IFERROR(__xludf.DUMMYFUNCTION("""COMPUTED_VALUE"""),"Nhà hàng")</f>
        <v>Nhà hàng</v>
      </c>
      <c r="Y83" s="76" t="str">
        <f>IFERROR(__xludf.DUMMYFUNCTION("""COMPUTED_VALUE"""),"DUYỆT")</f>
        <v>DUYỆT</v>
      </c>
      <c r="Z83" s="76" t="str">
        <f>IFERROR(__xludf.DUMMYFUNCTION("""COMPUTED_VALUE"""),"không đủ điều kiện")</f>
        <v>không đủ điều kiện</v>
      </c>
      <c r="AA83" s="76" t="str">
        <f>IFERROR(__xludf.DUMMYFUNCTION("""COMPUTED_VALUE"""),"lehuy7539@gmail.com")</f>
        <v>lehuy7539@gmail.com</v>
      </c>
      <c r="AB83" s="76"/>
      <c r="AC83" s="76"/>
    </row>
    <row r="84">
      <c r="A84" s="100">
        <f>IFERROR(__xludf.DUMMYFUNCTION("""COMPUTED_VALUE"""),45650.50358655093)</f>
        <v>45650.50359</v>
      </c>
      <c r="B84" s="76" t="str">
        <f>IFERROR(__xludf.DUMMYFUNCTION("""COMPUTED_VALUE"""),"thanhthao811003@gmail.com")</f>
        <v>thanhthao811003@gmail.com</v>
      </c>
      <c r="C84" s="76">
        <f>IFERROR(__xludf.DUMMYFUNCTION("""COMPUTED_VALUE"""),2.7207137064E10)</f>
        <v>27207137064</v>
      </c>
      <c r="D84" s="76" t="str">
        <f>IFERROR(__xludf.DUMMYFUNCTION("""COMPUTED_VALUE"""),"Văn Thị Thanh Thảo")</f>
        <v>Văn Thị Thanh Thảo</v>
      </c>
      <c r="E84" s="101">
        <f>IFERROR(__xludf.DUMMYFUNCTION("""COMPUTED_VALUE"""),37933.0)</f>
        <v>37933</v>
      </c>
      <c r="F84" s="76" t="str">
        <f>IFERROR(__xludf.DUMMYFUNCTION("""COMPUTED_VALUE"""),"K27DLK3")</f>
        <v>K27DLK3</v>
      </c>
      <c r="G84" s="76" t="str">
        <f>IFERROR(__xludf.DUMMYFUNCTION("""COMPUTED_VALUE"""),"Quản trị Du lịch &amp; Khách sạn")</f>
        <v>Quản trị Du lịch &amp; Khách sạn</v>
      </c>
      <c r="H84" s="76" t="str">
        <f>IFERROR(__xludf.DUMMYFUNCTION("""COMPUTED_VALUE"""),"K27")</f>
        <v>K27</v>
      </c>
      <c r="I84" s="76" t="str">
        <f>IFERROR(__xludf.DUMMYFUNCTION("""COMPUTED_VALUE"""),"0707021742")</f>
        <v>0707021742</v>
      </c>
      <c r="J84" s="76">
        <f>IFERROR(__xludf.DUMMYFUNCTION("""COMPUTED_VALUE"""),2.75)</f>
        <v>2.75</v>
      </c>
      <c r="K84" s="76">
        <f>IFERROR(__xludf.DUMMYFUNCTION("""COMPUTED_VALUE"""),113.0)</f>
        <v>113</v>
      </c>
      <c r="L84" s="76" t="str">
        <f>IFERROR(__xludf.DUMMYFUNCTION("""COMPUTED_VALUE"""),"Rồi")</f>
        <v>Rồi</v>
      </c>
      <c r="M84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84" s="76">
        <f>IFERROR(__xludf.DUMMYFUNCTION("""COMPUTED_VALUE"""),9.0)</f>
        <v>9</v>
      </c>
      <c r="O84" s="76" t="str">
        <f>IFERROR(__xludf.DUMMYFUNCTION("""COMPUTED_VALUE"""),"cam kết")</f>
        <v>cam kết</v>
      </c>
      <c r="P84" s="76"/>
      <c r="Q84" s="76"/>
      <c r="R84" s="76"/>
      <c r="S84" s="76" t="str">
        <f>IFERROR(__xludf.DUMMYFUNCTION("""COMPUTED_VALUE"""),"27/12/2024")</f>
        <v>27/12/2024</v>
      </c>
      <c r="T84" s="76"/>
      <c r="U84" s="102" t="str">
        <f>IFERROR(__xludf.DUMMYFUNCTION("""COMPUTED_VALUE"""),"Văn Thị Thanh Thảo")</f>
        <v>Văn Thị Thanh Thảo</v>
      </c>
      <c r="V84" s="76" t="str">
        <f>IFERROR(__xludf.DUMMYFUNCTION("""COMPUTED_VALUE"""),"Quản Trị Khách Sạn &amp; Nhà Hàng (Đại Học)")</f>
        <v>Quản Trị Khách Sạn &amp; Nhà Hàng (Đại Học)</v>
      </c>
      <c r="W84" s="76" t="str">
        <f>IFERROR(__xludf.DUMMYFUNCTION("""COMPUTED_VALUE"""),"Khách sạn Shilla Monogram Quangnam Danang")</f>
        <v>Khách sạn Shilla Monogram Quangnam Danang</v>
      </c>
      <c r="X84" s="76" t="str">
        <f>IFERROR(__xludf.DUMMYFUNCTION("""COMPUTED_VALUE"""),"Nhà hàng")</f>
        <v>Nhà hàng</v>
      </c>
      <c r="Y84" s="76" t="str">
        <f>IFERROR(__xludf.DUMMYFUNCTION("""COMPUTED_VALUE"""),"DUYỆT")</f>
        <v>DUYỆT</v>
      </c>
      <c r="Z84" s="76" t="str">
        <f>IFERROR(__xludf.DUMMYFUNCTION("""COMPUTED_VALUE"""),"CHUYÊN ĐỀ")</f>
        <v>CHUYÊN ĐỀ</v>
      </c>
      <c r="AA84" s="76" t="str">
        <f>IFERROR(__xludf.DUMMYFUNCTION("""COMPUTED_VALUE"""),"thanhthao811003@gmail.com")</f>
        <v>thanhthao811003@gmail.com</v>
      </c>
      <c r="AB84" s="76"/>
      <c r="AC84" s="76"/>
    </row>
    <row r="85">
      <c r="A85" s="100">
        <f>IFERROR(__xludf.DUMMYFUNCTION("""COMPUTED_VALUE"""),45650.50999289352)</f>
        <v>45650.50999</v>
      </c>
      <c r="B85" s="76" t="str">
        <f>IFERROR(__xludf.DUMMYFUNCTION("""COMPUTED_VALUE"""),"ysuong308@gmail.com")</f>
        <v>ysuong308@gmail.com</v>
      </c>
      <c r="C85" s="76">
        <f>IFERROR(__xludf.DUMMYFUNCTION("""COMPUTED_VALUE"""),2.7207122499E10)</f>
        <v>27207122499</v>
      </c>
      <c r="D85" s="76" t="str">
        <f>IFERROR(__xludf.DUMMYFUNCTION("""COMPUTED_VALUE"""),"MAI THỊ YẾN SƯƠNG")</f>
        <v>MAI THỊ YẾN SƯƠNG</v>
      </c>
      <c r="E85" s="101">
        <f>IFERROR(__xludf.DUMMYFUNCTION("""COMPUTED_VALUE"""),37863.0)</f>
        <v>37863</v>
      </c>
      <c r="F85" s="76" t="str">
        <f>IFERROR(__xludf.DUMMYFUNCTION("""COMPUTED_VALUE"""),"K27DLK3")</f>
        <v>K27DLK3</v>
      </c>
      <c r="G85" s="76" t="str">
        <f>IFERROR(__xludf.DUMMYFUNCTION("""COMPUTED_VALUE"""),"Quản trị Du lịch &amp; Khách sạn")</f>
        <v>Quản trị Du lịch &amp; Khách sạn</v>
      </c>
      <c r="H85" s="76" t="str">
        <f>IFERROR(__xludf.DUMMYFUNCTION("""COMPUTED_VALUE"""),"K27")</f>
        <v>K27</v>
      </c>
      <c r="I85" s="76" t="str">
        <f>IFERROR(__xludf.DUMMYFUNCTION("""COMPUTED_VALUE"""),"0899202920")</f>
        <v>0899202920</v>
      </c>
      <c r="J85" s="76">
        <f>IFERROR(__xludf.DUMMYFUNCTION("""COMPUTED_VALUE"""),2.79)</f>
        <v>2.79</v>
      </c>
      <c r="K85" s="76">
        <f>IFERROR(__xludf.DUMMYFUNCTION("""COMPUTED_VALUE"""),116.0)</f>
        <v>116</v>
      </c>
      <c r="L85" s="76" t="str">
        <f>IFERROR(__xludf.DUMMYFUNCTION("""COMPUTED_VALUE"""),"Rồi")</f>
        <v>Rồi</v>
      </c>
      <c r="M85" s="76" t="str">
        <f>IFERROR(__xludf.DUMMYFUNCTION("""COMPUTED_VALUE"""),"Thực tập tốt nghiệp, Công nhận tốt nghiệp")</f>
        <v>Thực tập tốt nghiệp, Công nhận tốt nghiệp</v>
      </c>
      <c r="N85" s="76">
        <f>IFERROR(__xludf.DUMMYFUNCTION("""COMPUTED_VALUE"""),8.0)</f>
        <v>8</v>
      </c>
      <c r="O85" s="76" t="str">
        <f>IFERROR(__xludf.DUMMYFUNCTION("""COMPUTED_VALUE"""),"cam kết")</f>
        <v>cam kết</v>
      </c>
      <c r="P85" s="76"/>
      <c r="Q85" s="76"/>
      <c r="R85" s="76"/>
      <c r="S85" s="76" t="str">
        <f>IFERROR(__xludf.DUMMYFUNCTION("""COMPUTED_VALUE"""),"27/12/2024")</f>
        <v>27/12/2024</v>
      </c>
      <c r="T85" s="76"/>
      <c r="U85" s="102" t="str">
        <f>IFERROR(__xludf.DUMMYFUNCTION("""COMPUTED_VALUE"""),"Mai Thị Yến Sương")</f>
        <v>Mai Thị Yến Sương</v>
      </c>
      <c r="V85" s="76" t="str">
        <f>IFERROR(__xludf.DUMMYFUNCTION("""COMPUTED_VALUE"""),"Quản Trị Khách Sạn &amp; Nhà Hàng (Đại Học)")</f>
        <v>Quản Trị Khách Sạn &amp; Nhà Hàng (Đại Học)</v>
      </c>
      <c r="W85" s="76" t="str">
        <f>IFERROR(__xludf.DUMMYFUNCTION("""COMPUTED_VALUE"""),"Khách sạn Mandila Beach Đà Nẵng")</f>
        <v>Khách sạn Mandila Beach Đà Nẵng</v>
      </c>
      <c r="X85" s="76" t="str">
        <f>IFERROR(__xludf.DUMMYFUNCTION("""COMPUTED_VALUE"""),"Nhà hàng")</f>
        <v>Nhà hàng</v>
      </c>
      <c r="Y85" s="76" t="str">
        <f>IFERROR(__xludf.DUMMYFUNCTION("""COMPUTED_VALUE"""),"DUYỆT")</f>
        <v>DUYỆT</v>
      </c>
      <c r="Z85" s="76" t="str">
        <f>IFERROR(__xludf.DUMMYFUNCTION("""COMPUTED_VALUE"""),"CHUYÊN ĐỀ")</f>
        <v>CHUYÊN ĐỀ</v>
      </c>
      <c r="AA85" s="76" t="str">
        <f>IFERROR(__xludf.DUMMYFUNCTION("""COMPUTED_VALUE"""),"ysuong308@gmail.com")</f>
        <v>ysuong308@gmail.com</v>
      </c>
      <c r="AB85" s="76"/>
      <c r="AC85" s="76"/>
    </row>
    <row r="86">
      <c r="A86" s="100">
        <f>IFERROR(__xludf.DUMMYFUNCTION("""COMPUTED_VALUE"""),45650.511398310184)</f>
        <v>45650.5114</v>
      </c>
      <c r="B86" s="76" t="str">
        <f>IFERROR(__xludf.DUMMYFUNCTION("""COMPUTED_VALUE"""),"truonghoangngocnhi24052003@gmail.com")</f>
        <v>truonghoangngocnhi24052003@gmail.com</v>
      </c>
      <c r="C86" s="76">
        <f>IFERROR(__xludf.DUMMYFUNCTION("""COMPUTED_VALUE"""),2.7217200882E10)</f>
        <v>27217200882</v>
      </c>
      <c r="D86" s="76" t="str">
        <f>IFERROR(__xludf.DUMMYFUNCTION("""COMPUTED_VALUE"""),"Trương Hoàng Ngọc Nhi")</f>
        <v>Trương Hoàng Ngọc Nhi</v>
      </c>
      <c r="E86" s="101">
        <f>IFERROR(__xludf.DUMMYFUNCTION("""COMPUTED_VALUE"""),37765.0)</f>
        <v>37765</v>
      </c>
      <c r="F86" s="76" t="str">
        <f>IFERROR(__xludf.DUMMYFUNCTION("""COMPUTED_VALUE"""),"K27DLK4")</f>
        <v>K27DLK4</v>
      </c>
      <c r="G86" s="76" t="str">
        <f>IFERROR(__xludf.DUMMYFUNCTION("""COMPUTED_VALUE"""),"Quản trị Du lịch &amp; Khách sạn")</f>
        <v>Quản trị Du lịch &amp; Khách sạn</v>
      </c>
      <c r="H86" s="76" t="str">
        <f>IFERROR(__xludf.DUMMYFUNCTION("""COMPUTED_VALUE"""),"K27")</f>
        <v>K27</v>
      </c>
      <c r="I86" s="76" t="str">
        <f>IFERROR(__xludf.DUMMYFUNCTION("""COMPUTED_VALUE"""),"0826557727")</f>
        <v>0826557727</v>
      </c>
      <c r="J86" s="76">
        <f>IFERROR(__xludf.DUMMYFUNCTION("""COMPUTED_VALUE"""),2.7)</f>
        <v>2.7</v>
      </c>
      <c r="K86" s="76">
        <f>IFERROR(__xludf.DUMMYFUNCTION("""COMPUTED_VALUE"""),120.0)</f>
        <v>120</v>
      </c>
      <c r="L86" s="76" t="str">
        <f>IFERROR(__xludf.DUMMYFUNCTION("""COMPUTED_VALUE"""),"Rồi")</f>
        <v>Rồi</v>
      </c>
      <c r="M86" s="76" t="str">
        <f>IFERROR(__xludf.DUMMYFUNCTION("""COMPUTED_VALUE"""),"Thực tập tốt nghiệp")</f>
        <v>Thực tập tốt nghiệp</v>
      </c>
      <c r="N86" s="76">
        <f>IFERROR(__xludf.DUMMYFUNCTION("""COMPUTED_VALUE"""),3.0)</f>
        <v>3</v>
      </c>
      <c r="O86" s="76" t="str">
        <f>IFERROR(__xludf.DUMMYFUNCTION("""COMPUTED_VALUE"""),"cam kết")</f>
        <v>cam kết</v>
      </c>
      <c r="P86" s="76"/>
      <c r="Q86" s="76"/>
      <c r="R86" s="76"/>
      <c r="S86" s="76" t="str">
        <f>IFERROR(__xludf.DUMMYFUNCTION("""COMPUTED_VALUE"""),"27/12/2024")</f>
        <v>27/12/2024</v>
      </c>
      <c r="T86" s="76" t="str">
        <f>IFERROR(__xludf.DUMMYFUNCTION("""COMPUTED_VALUE"""),"sv chưa nhận GTT")</f>
        <v>sv chưa nhận GTT</v>
      </c>
      <c r="U86" s="102" t="str">
        <f>IFERROR(__xludf.DUMMYFUNCTION("""COMPUTED_VALUE"""),"Trương Hoàng Ngọc Nhi")</f>
        <v>Trương Hoàng Ngọc Nhi</v>
      </c>
      <c r="V86" s="76" t="str">
        <f>IFERROR(__xludf.DUMMYFUNCTION("""COMPUTED_VALUE"""),"Quản Trị Khách Sạn &amp; Nhà Hàng (Đại Học)")</f>
        <v>Quản Trị Khách Sạn &amp; Nhà Hàng (Đại Học)</v>
      </c>
      <c r="W86" s="76" t="str">
        <f>IFERROR(__xludf.DUMMYFUNCTION("""COMPUTED_VALUE"""),"Paracel Danang Hotel")</f>
        <v>Paracel Danang Hotel</v>
      </c>
      <c r="X86" s="76" t="str">
        <f>IFERROR(__xludf.DUMMYFUNCTION("""COMPUTED_VALUE"""),"Bếp")</f>
        <v>Bếp</v>
      </c>
      <c r="Y86" s="76" t="str">
        <f>IFERROR(__xludf.DUMMYFUNCTION("""COMPUTED_VALUE"""),"DUYỆT")</f>
        <v>DUYỆT</v>
      </c>
      <c r="Z86" s="76" t="str">
        <f>IFERROR(__xludf.DUMMYFUNCTION("""COMPUTED_VALUE"""),"CHUYÊN ĐỀ")</f>
        <v>CHUYÊN ĐỀ</v>
      </c>
      <c r="AA86" s="76" t="str">
        <f>IFERROR(__xludf.DUMMYFUNCTION("""COMPUTED_VALUE"""),"truonghoangngocnhi24052003@gmail.com")</f>
        <v>truonghoangngocnhi24052003@gmail.com</v>
      </c>
      <c r="AB86" s="76"/>
      <c r="AC86" s="76"/>
    </row>
    <row r="87">
      <c r="A87" s="100">
        <f>IFERROR(__xludf.DUMMYFUNCTION("""COMPUTED_VALUE"""),45650.51351635417)</f>
        <v>45650.51352</v>
      </c>
      <c r="B87" s="76" t="str">
        <f>IFERROR(__xludf.DUMMYFUNCTION("""COMPUTED_VALUE"""),"phuongyen110703@gmail.com")</f>
        <v>phuongyen110703@gmail.com</v>
      </c>
      <c r="C87" s="76">
        <f>IFERROR(__xludf.DUMMYFUNCTION("""COMPUTED_VALUE"""),2.7202139022E10)</f>
        <v>27202139022</v>
      </c>
      <c r="D87" s="76" t="str">
        <f>IFERROR(__xludf.DUMMYFUNCTION("""COMPUTED_VALUE"""),"Võ Lương Phương Yến ")</f>
        <v>Võ Lương Phương Yến </v>
      </c>
      <c r="E87" s="101">
        <f>IFERROR(__xludf.DUMMYFUNCTION("""COMPUTED_VALUE"""),37813.0)</f>
        <v>37813</v>
      </c>
      <c r="F87" s="76" t="str">
        <f>IFERROR(__xludf.DUMMYFUNCTION("""COMPUTED_VALUE"""),"K27DLK2")</f>
        <v>K27DLK2</v>
      </c>
      <c r="G87" s="76" t="str">
        <f>IFERROR(__xludf.DUMMYFUNCTION("""COMPUTED_VALUE"""),"Quản trị Du lịch &amp; Khách sạn")</f>
        <v>Quản trị Du lịch &amp; Khách sạn</v>
      </c>
      <c r="H87" s="76" t="str">
        <f>IFERROR(__xludf.DUMMYFUNCTION("""COMPUTED_VALUE"""),"K27")</f>
        <v>K27</v>
      </c>
      <c r="I87" s="76" t="str">
        <f>IFERROR(__xludf.DUMMYFUNCTION("""COMPUTED_VALUE"""),"0777556109")</f>
        <v>0777556109</v>
      </c>
      <c r="J87" s="76">
        <f>IFERROR(__xludf.DUMMYFUNCTION("""COMPUTED_VALUE"""),2.66)</f>
        <v>2.66</v>
      </c>
      <c r="K87" s="76">
        <f>IFERROR(__xludf.DUMMYFUNCTION("""COMPUTED_VALUE"""),122.0)</f>
        <v>122</v>
      </c>
      <c r="L87" s="76" t="str">
        <f>IFERROR(__xludf.DUMMYFUNCTION("""COMPUTED_VALUE"""),"Rồi")</f>
        <v>Rồi</v>
      </c>
      <c r="M87" s="76" t="str">
        <f>IFERROR(__xludf.DUMMYFUNCTION("""COMPUTED_VALUE"""),"Thực tập tốt nghiệp")</f>
        <v>Thực tập tốt nghiệp</v>
      </c>
      <c r="N87" s="76">
        <f>IFERROR(__xludf.DUMMYFUNCTION("""COMPUTED_VALUE"""),2.0)</f>
        <v>2</v>
      </c>
      <c r="O87" s="76" t="str">
        <f>IFERROR(__xludf.DUMMYFUNCTION("""COMPUTED_VALUE"""),"cam kết")</f>
        <v>cam kết</v>
      </c>
      <c r="P87" s="76"/>
      <c r="Q87" s="76"/>
      <c r="R87" s="76"/>
      <c r="S87" s="76" t="str">
        <f>IFERROR(__xludf.DUMMYFUNCTION("""COMPUTED_VALUE"""),"27/12/2024")</f>
        <v>27/12/2024</v>
      </c>
      <c r="T87" s="76"/>
      <c r="U87" s="102" t="str">
        <f>IFERROR(__xludf.DUMMYFUNCTION("""COMPUTED_VALUE"""),"Võ Lương Phương Yến")</f>
        <v>Võ Lương Phương Yến</v>
      </c>
      <c r="V87" s="76" t="str">
        <f>IFERROR(__xludf.DUMMYFUNCTION("""COMPUTED_VALUE"""),"Quản Trị Khách Sạn &amp; Nhà Hàng (Đại Học)")</f>
        <v>Quản Trị Khách Sạn &amp; Nhà Hàng (Đại Học)</v>
      </c>
      <c r="W87" s="76" t="str">
        <f>IFERROR(__xludf.DUMMYFUNCTION("""COMPUTED_VALUE"""),"Novotel DaNang Premier Han River")</f>
        <v>Novotel DaNang Premier Han River</v>
      </c>
      <c r="X87" s="76" t="str">
        <f>IFERROR(__xludf.DUMMYFUNCTION("""COMPUTED_VALUE"""),"Nhà hàng")</f>
        <v>Nhà hàng</v>
      </c>
      <c r="Y87" s="76" t="str">
        <f>IFERROR(__xludf.DUMMYFUNCTION("""COMPUTED_VALUE"""),"DUYỆT")</f>
        <v>DUYỆT</v>
      </c>
      <c r="Z87" s="76" t="str">
        <f>IFERROR(__xludf.DUMMYFUNCTION("""COMPUTED_VALUE"""),"CHUYÊN ĐỀ")</f>
        <v>CHUYÊN ĐỀ</v>
      </c>
      <c r="AA87" s="76" t="str">
        <f>IFERROR(__xludf.DUMMYFUNCTION("""COMPUTED_VALUE"""),"phuongyen110703@gmail.com")</f>
        <v>phuongyen110703@gmail.com</v>
      </c>
      <c r="AB87" s="76"/>
      <c r="AC87" s="76"/>
    </row>
    <row r="88">
      <c r="A88" s="100">
        <f>IFERROR(__xludf.DUMMYFUNCTION("""COMPUTED_VALUE"""),45650.523384444445)</f>
        <v>45650.52338</v>
      </c>
      <c r="B88" s="76" t="str">
        <f>IFERROR(__xludf.DUMMYFUNCTION("""COMPUTED_VALUE"""),"votranglak@gmail.com")</f>
        <v>votranglak@gmail.com</v>
      </c>
      <c r="C88" s="76">
        <f>IFERROR(__xludf.DUMMYFUNCTION("""COMPUTED_VALUE"""),2.7207139286E10)</f>
        <v>27207139286</v>
      </c>
      <c r="D88" s="76" t="str">
        <f>IFERROR(__xludf.DUMMYFUNCTION("""COMPUTED_VALUE"""),"Võ Hoàng Thu Trang")</f>
        <v>Võ Hoàng Thu Trang</v>
      </c>
      <c r="E88" s="101">
        <f>IFERROR(__xludf.DUMMYFUNCTION("""COMPUTED_VALUE"""),37915.0)</f>
        <v>37915</v>
      </c>
      <c r="F88" s="76" t="str">
        <f>IFERROR(__xludf.DUMMYFUNCTION("""COMPUTED_VALUE"""),"K27DLK4")</f>
        <v>K27DLK4</v>
      </c>
      <c r="G88" s="76" t="str">
        <f>IFERROR(__xludf.DUMMYFUNCTION("""COMPUTED_VALUE"""),"Quản trị Du lịch &amp; Khách sạn")</f>
        <v>Quản trị Du lịch &amp; Khách sạn</v>
      </c>
      <c r="H88" s="76" t="str">
        <f>IFERROR(__xludf.DUMMYFUNCTION("""COMPUTED_VALUE"""),"K27")</f>
        <v>K27</v>
      </c>
      <c r="I88" s="76" t="str">
        <f>IFERROR(__xludf.DUMMYFUNCTION("""COMPUTED_VALUE"""),"0363006817")</f>
        <v>0363006817</v>
      </c>
      <c r="J88" s="76">
        <f>IFERROR(__xludf.DUMMYFUNCTION("""COMPUTED_VALUE"""),2.8)</f>
        <v>2.8</v>
      </c>
      <c r="K88" s="76">
        <f>IFERROR(__xludf.DUMMYFUNCTION("""COMPUTED_VALUE"""),112.0)</f>
        <v>112</v>
      </c>
      <c r="L88" s="76" t="str">
        <f>IFERROR(__xludf.DUMMYFUNCTION("""COMPUTED_VALUE"""),"Rồi")</f>
        <v>Rồi</v>
      </c>
      <c r="M88" s="76" t="str">
        <f>IFERROR(__xludf.DUMMYFUNCTION("""COMPUTED_VALUE"""),"Thực tập tốt nghiệp")</f>
        <v>Thực tập tốt nghiệp</v>
      </c>
      <c r="N88" s="76">
        <f>IFERROR(__xludf.DUMMYFUNCTION("""COMPUTED_VALUE"""),11.0)</f>
        <v>11</v>
      </c>
      <c r="O88" s="76" t="str">
        <f>IFERROR(__xludf.DUMMYFUNCTION("""COMPUTED_VALUE"""),"cam kết")</f>
        <v>cam kết</v>
      </c>
      <c r="P88" s="76"/>
      <c r="Q88" s="76"/>
      <c r="R88" s="76"/>
      <c r="S88" s="76" t="str">
        <f>IFERROR(__xludf.DUMMYFUNCTION("""COMPUTED_VALUE"""),"27/12/2024")</f>
        <v>27/12/2024</v>
      </c>
      <c r="T88" s="76"/>
      <c r="U88" s="102" t="str">
        <f>IFERROR(__xludf.DUMMYFUNCTION("""COMPUTED_VALUE"""),"Võ Hoàng Thu Trang")</f>
        <v>Võ Hoàng Thu Trang</v>
      </c>
      <c r="V88" s="76" t="str">
        <f>IFERROR(__xludf.DUMMYFUNCTION("""COMPUTED_VALUE"""),"Quản Trị Khách Sạn &amp; Nhà Hàng (Đại Học)")</f>
        <v>Quản Trị Khách Sạn &amp; Nhà Hàng (Đại Học)</v>
      </c>
      <c r="W88" s="76" t="str">
        <f>IFERROR(__xludf.DUMMYFUNCTION("""COMPUTED_VALUE"""),"#N/A")</f>
        <v>#N/A</v>
      </c>
      <c r="X88" s="76" t="str">
        <f>IFERROR(__xludf.DUMMYFUNCTION("""COMPUTED_VALUE"""),"#N/A")</f>
        <v>#N/A</v>
      </c>
      <c r="Y88" s="76" t="str">
        <f>IFERROR(__xludf.DUMMYFUNCTION("""COMPUTED_VALUE"""),"#N/A")</f>
        <v>#N/A</v>
      </c>
      <c r="Z88" s="76" t="str">
        <f>IFERROR(__xludf.DUMMYFUNCTION("""COMPUTED_VALUE"""),"không đủ điều kiện")</f>
        <v>không đủ điều kiện</v>
      </c>
      <c r="AA88" s="76" t="str">
        <f>IFERROR(__xludf.DUMMYFUNCTION("""COMPUTED_VALUE"""),"votranglak@gmail.com")</f>
        <v>votranglak@gmail.com</v>
      </c>
      <c r="AB88" s="76"/>
      <c r="AC88" s="76"/>
    </row>
    <row r="89">
      <c r="A89" s="100">
        <f>IFERROR(__xludf.DUMMYFUNCTION("""COMPUTED_VALUE"""),45650.52416381944)</f>
        <v>45650.52416</v>
      </c>
      <c r="B89" s="76" t="str">
        <f>IFERROR(__xludf.DUMMYFUNCTION("""COMPUTED_VALUE"""),"jina230803@gmail.com")</f>
        <v>jina230803@gmail.com</v>
      </c>
      <c r="C89" s="76">
        <f>IFERROR(__xludf.DUMMYFUNCTION("""COMPUTED_VALUE"""),2.7207120519E10)</f>
        <v>27207120519</v>
      </c>
      <c r="D89" s="76" t="str">
        <f>IFERROR(__xludf.DUMMYFUNCTION("""COMPUTED_VALUE"""),"Trần Hoàng Thu Thuỷ")</f>
        <v>Trần Hoàng Thu Thuỷ</v>
      </c>
      <c r="E89" s="101">
        <f>IFERROR(__xludf.DUMMYFUNCTION("""COMPUTED_VALUE"""),37856.0)</f>
        <v>37856</v>
      </c>
      <c r="F89" s="76" t="str">
        <f>IFERROR(__xludf.DUMMYFUNCTION("""COMPUTED_VALUE"""),"K27DLK4")</f>
        <v>K27DLK4</v>
      </c>
      <c r="G89" s="76" t="str">
        <f>IFERROR(__xludf.DUMMYFUNCTION("""COMPUTED_VALUE"""),"Quản trị Du lịch &amp; Khách sạn")</f>
        <v>Quản trị Du lịch &amp; Khách sạn</v>
      </c>
      <c r="H89" s="76" t="str">
        <f>IFERROR(__xludf.DUMMYFUNCTION("""COMPUTED_VALUE"""),"K27")</f>
        <v>K27</v>
      </c>
      <c r="I89" s="76" t="str">
        <f>IFERROR(__xludf.DUMMYFUNCTION("""COMPUTED_VALUE"""),"0944956747")</f>
        <v>0944956747</v>
      </c>
      <c r="J89" s="76">
        <f>IFERROR(__xludf.DUMMYFUNCTION("""COMPUTED_VALUE"""),2.74)</f>
        <v>2.74</v>
      </c>
      <c r="K89" s="76">
        <f>IFERROR(__xludf.DUMMYFUNCTION("""COMPUTED_VALUE"""),113.0)</f>
        <v>113</v>
      </c>
      <c r="L89" s="76" t="str">
        <f>IFERROR(__xludf.DUMMYFUNCTION("""COMPUTED_VALUE"""),"Rồi")</f>
        <v>Rồi</v>
      </c>
      <c r="M89" s="76" t="str">
        <f>IFERROR(__xludf.DUMMYFUNCTION("""COMPUTED_VALUE"""),"Thực tập tốt nghiệp")</f>
        <v>Thực tập tốt nghiệp</v>
      </c>
      <c r="N89" s="76">
        <f>IFERROR(__xludf.DUMMYFUNCTION("""COMPUTED_VALUE"""),16.0)</f>
        <v>16</v>
      </c>
      <c r="O89" s="76" t="str">
        <f>IFERROR(__xludf.DUMMYFUNCTION("""COMPUTED_VALUE"""),"cam kết")</f>
        <v>cam kết</v>
      </c>
      <c r="P89" s="76"/>
      <c r="Q89" s="76"/>
      <c r="R89" s="76"/>
      <c r="S89" s="76" t="str">
        <f>IFERROR(__xludf.DUMMYFUNCTION("""COMPUTED_VALUE"""),"27/12/2024")</f>
        <v>27/12/2024</v>
      </c>
      <c r="T89" s="76"/>
      <c r="U89" s="102" t="str">
        <f>IFERROR(__xludf.DUMMYFUNCTION("""COMPUTED_VALUE"""),"Trần Hoàng Thu Thủy")</f>
        <v>Trần Hoàng Thu Thủy</v>
      </c>
      <c r="V89" s="76" t="str">
        <f>IFERROR(__xludf.DUMMYFUNCTION("""COMPUTED_VALUE"""),"Quản Trị Khách Sạn &amp; Nhà Hàng (Đại Học)")</f>
        <v>Quản Trị Khách Sạn &amp; Nhà Hàng (Đại Học)</v>
      </c>
      <c r="W89" s="76" t="str">
        <f>IFERROR(__xludf.DUMMYFUNCTION("""COMPUTED_VALUE"""),"#N/A")</f>
        <v>#N/A</v>
      </c>
      <c r="X89" s="76" t="str">
        <f>IFERROR(__xludf.DUMMYFUNCTION("""COMPUTED_VALUE"""),"#N/A")</f>
        <v>#N/A</v>
      </c>
      <c r="Y89" s="76" t="str">
        <f>IFERROR(__xludf.DUMMYFUNCTION("""COMPUTED_VALUE"""),"#N/A")</f>
        <v>#N/A</v>
      </c>
      <c r="Z89" s="76" t="str">
        <f>IFERROR(__xludf.DUMMYFUNCTION("""COMPUTED_VALUE"""),"CHUYÊN ĐỀ")</f>
        <v>CHUYÊN ĐỀ</v>
      </c>
      <c r="AA89" s="76" t="str">
        <f>IFERROR(__xludf.DUMMYFUNCTION("""COMPUTED_VALUE"""),"jina230803@gmail.com")</f>
        <v>jina230803@gmail.com</v>
      </c>
      <c r="AB89" s="76"/>
      <c r="AC89" s="76"/>
    </row>
    <row r="90">
      <c r="A90" s="100">
        <f>IFERROR(__xludf.DUMMYFUNCTION("""COMPUTED_VALUE"""),45650.56938828704)</f>
        <v>45650.56939</v>
      </c>
      <c r="B90" s="76" t="str">
        <f>IFERROR(__xludf.DUMMYFUNCTION("""COMPUTED_VALUE"""),"phungvantho2020@gmail.com")</f>
        <v>phungvantho2020@gmail.com</v>
      </c>
      <c r="C90" s="76">
        <f>IFERROR(__xludf.DUMMYFUNCTION("""COMPUTED_VALUE"""),2.7217140277E10)</f>
        <v>27217140277</v>
      </c>
      <c r="D90" s="76" t="str">
        <f>IFERROR(__xludf.DUMMYFUNCTION("""COMPUTED_VALUE"""),"Phùng Văn Thọ")</f>
        <v>Phùng Văn Thọ</v>
      </c>
      <c r="E90" s="101">
        <f>IFERROR(__xludf.DUMMYFUNCTION("""COMPUTED_VALUE"""),37882.0)</f>
        <v>37882</v>
      </c>
      <c r="F90" s="76" t="str">
        <f>IFERROR(__xludf.DUMMYFUNCTION("""COMPUTED_VALUE"""),"K27DLK5")</f>
        <v>K27DLK5</v>
      </c>
      <c r="G90" s="76" t="str">
        <f>IFERROR(__xludf.DUMMYFUNCTION("""COMPUTED_VALUE"""),"Quản trị Du lịch &amp; Khách sạn")</f>
        <v>Quản trị Du lịch &amp; Khách sạn</v>
      </c>
      <c r="H90" s="76" t="str">
        <f>IFERROR(__xludf.DUMMYFUNCTION("""COMPUTED_VALUE"""),"K27")</f>
        <v>K27</v>
      </c>
      <c r="I90" s="76" t="str">
        <f>IFERROR(__xludf.DUMMYFUNCTION("""COMPUTED_VALUE"""),"0905465510")</f>
        <v>0905465510</v>
      </c>
      <c r="J90" s="76" t="str">
        <f>IFERROR(__xludf.DUMMYFUNCTION("""COMPUTED_VALUE"""),"2,56")</f>
        <v>2,56</v>
      </c>
      <c r="K90" s="76">
        <f>IFERROR(__xludf.DUMMYFUNCTION("""COMPUTED_VALUE"""),112.0)</f>
        <v>112</v>
      </c>
      <c r="L90" s="76" t="str">
        <f>IFERROR(__xludf.DUMMYFUNCTION("""COMPUTED_VALUE"""),"Rồi")</f>
        <v>Rồi</v>
      </c>
      <c r="M90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90" s="76">
        <f>IFERROR(__xludf.DUMMYFUNCTION("""COMPUTED_VALUE"""),12.0)</f>
        <v>12</v>
      </c>
      <c r="O90" s="76" t="str">
        <f>IFERROR(__xludf.DUMMYFUNCTION("""COMPUTED_VALUE"""),"cam kết")</f>
        <v>cam kết</v>
      </c>
      <c r="P90" s="76"/>
      <c r="Q90" s="76"/>
      <c r="R90" s="76"/>
      <c r="S90" s="76" t="str">
        <f>IFERROR(__xludf.DUMMYFUNCTION("""COMPUTED_VALUE"""),"27/12/2024")</f>
        <v>27/12/2024</v>
      </c>
      <c r="T90" s="76"/>
      <c r="U90" s="102" t="str">
        <f>IFERROR(__xludf.DUMMYFUNCTION("""COMPUTED_VALUE"""),"Phùng Văn Thọ")</f>
        <v>Phùng Văn Thọ</v>
      </c>
      <c r="V90" s="76" t="str">
        <f>IFERROR(__xludf.DUMMYFUNCTION("""COMPUTED_VALUE"""),"Quản Trị Khách Sạn &amp; Nhà Hàng (Đại Học)")</f>
        <v>Quản Trị Khách Sạn &amp; Nhà Hàng (Đại Học)</v>
      </c>
      <c r="W90" s="76" t="str">
        <f>IFERROR(__xludf.DUMMYFUNCTION("""COMPUTED_VALUE"""),"Balcona Hotel &amp; Spa")</f>
        <v>Balcona Hotel &amp; Spa</v>
      </c>
      <c r="X90" s="76" t="str">
        <f>IFERROR(__xludf.DUMMYFUNCTION("""COMPUTED_VALUE"""),"Nhà hàng")</f>
        <v>Nhà hàng</v>
      </c>
      <c r="Y90" s="76" t="str">
        <f>IFERROR(__xludf.DUMMYFUNCTION("""COMPUTED_VALUE"""),"DUYỆT")</f>
        <v>DUYỆT</v>
      </c>
      <c r="Z90" s="76" t="str">
        <f>IFERROR(__xludf.DUMMYFUNCTION("""COMPUTED_VALUE"""),"CHUYÊN ĐỀ")</f>
        <v>CHUYÊN ĐỀ</v>
      </c>
      <c r="AA90" s="76" t="str">
        <f>IFERROR(__xludf.DUMMYFUNCTION("""COMPUTED_VALUE"""),"phungvantho2020@gmail.com")</f>
        <v>phungvantho2020@gmail.com</v>
      </c>
      <c r="AB90" s="76"/>
      <c r="AC90" s="76"/>
    </row>
    <row r="91">
      <c r="A91" s="100">
        <f>IFERROR(__xludf.DUMMYFUNCTION("""COMPUTED_VALUE"""),45650.52877662037)</f>
        <v>45650.52878</v>
      </c>
      <c r="B91" s="76" t="str">
        <f>IFERROR(__xludf.DUMMYFUNCTION("""COMPUTED_VALUE"""),"kimyen27112k3@gmail.com")</f>
        <v>kimyen27112k3@gmail.com</v>
      </c>
      <c r="C91" s="76">
        <f>IFERROR(__xludf.DUMMYFUNCTION("""COMPUTED_VALUE"""),2.720713301E10)</f>
        <v>27207133010</v>
      </c>
      <c r="D91" s="76" t="str">
        <f>IFERROR(__xludf.DUMMYFUNCTION("""COMPUTED_VALUE"""),"Nguyễn Thị Kim Yến ")</f>
        <v>Nguyễn Thị Kim Yến </v>
      </c>
      <c r="E91" s="101">
        <f>IFERROR(__xludf.DUMMYFUNCTION("""COMPUTED_VALUE"""),37952.0)</f>
        <v>37952</v>
      </c>
      <c r="F91" s="76" t="str">
        <f>IFERROR(__xludf.DUMMYFUNCTION("""COMPUTED_VALUE"""),"K27DLK2")</f>
        <v>K27DLK2</v>
      </c>
      <c r="G91" s="76" t="str">
        <f>IFERROR(__xludf.DUMMYFUNCTION("""COMPUTED_VALUE"""),"Quản trị Du lịch &amp; Khách sạn")</f>
        <v>Quản trị Du lịch &amp; Khách sạn</v>
      </c>
      <c r="H91" s="76" t="str">
        <f>IFERROR(__xludf.DUMMYFUNCTION("""COMPUTED_VALUE"""),"K27")</f>
        <v>K27</v>
      </c>
      <c r="I91" s="76" t="str">
        <f>IFERROR(__xludf.DUMMYFUNCTION("""COMPUTED_VALUE"""),"0328872782")</f>
        <v>0328872782</v>
      </c>
      <c r="J91" s="76" t="str">
        <f>IFERROR(__xludf.DUMMYFUNCTION("""COMPUTED_VALUE"""),"3,36")</f>
        <v>3,36</v>
      </c>
      <c r="K91" s="76">
        <f>IFERROR(__xludf.DUMMYFUNCTION("""COMPUTED_VALUE"""),112.0)</f>
        <v>112</v>
      </c>
      <c r="L91" s="76" t="str">
        <f>IFERROR(__xludf.DUMMYFUNCTION("""COMPUTED_VALUE"""),"Rồi")</f>
        <v>Rồi</v>
      </c>
      <c r="M91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91" s="76">
        <f>IFERROR(__xludf.DUMMYFUNCTION("""COMPUTED_VALUE"""),12.0)</f>
        <v>12</v>
      </c>
      <c r="O91" s="76" t="str">
        <f>IFERROR(__xludf.DUMMYFUNCTION("""COMPUTED_VALUE"""),"cam kết")</f>
        <v>cam kết</v>
      </c>
      <c r="P91" s="76"/>
      <c r="Q91" s="76"/>
      <c r="R91" s="76"/>
      <c r="S91" s="76" t="str">
        <f>IFERROR(__xludf.DUMMYFUNCTION("""COMPUTED_VALUE"""),"27/12/2024")</f>
        <v>27/12/2024</v>
      </c>
      <c r="T91" s="76"/>
      <c r="U91" s="102" t="str">
        <f>IFERROR(__xludf.DUMMYFUNCTION("""COMPUTED_VALUE"""),"Nguyễn Thị Kim Yến")</f>
        <v>Nguyễn Thị Kim Yến</v>
      </c>
      <c r="V91" s="76" t="str">
        <f>IFERROR(__xludf.DUMMYFUNCTION("""COMPUTED_VALUE"""),"Quản Trị Khách Sạn &amp; Nhà Hàng (Đại Học)")</f>
        <v>Quản Trị Khách Sạn &amp; Nhà Hàng (Đại Học)</v>
      </c>
      <c r="W91" s="76" t="str">
        <f>IFERROR(__xludf.DUMMYFUNCTION("""COMPUTED_VALUE"""),"Vanda Hotel")</f>
        <v>Vanda Hotel</v>
      </c>
      <c r="X91" s="76" t="str">
        <f>IFERROR(__xludf.DUMMYFUNCTION("""COMPUTED_VALUE"""),"Buồng phòng")</f>
        <v>Buồng phòng</v>
      </c>
      <c r="Y91" s="76" t="str">
        <f>IFERROR(__xludf.DUMMYFUNCTION("""COMPUTED_VALUE"""),"DUYỆT")</f>
        <v>DUYỆT</v>
      </c>
      <c r="Z91" s="76" t="str">
        <f>IFERROR(__xludf.DUMMYFUNCTION("""COMPUTED_VALUE"""),"CHUYÊN ĐỀ")</f>
        <v>CHUYÊN ĐỀ</v>
      </c>
      <c r="AA91" s="76" t="str">
        <f>IFERROR(__xludf.DUMMYFUNCTION("""COMPUTED_VALUE"""),"kimyen27112k3@gmail.com")</f>
        <v>kimyen27112k3@gmail.com</v>
      </c>
      <c r="AB91" s="76" t="str">
        <f>IFERROR(__xludf.DUMMYFUNCTION("""COMPUTED_VALUE"""),"Nguyễn Thị Kim Yến ")</f>
        <v>Nguyễn Thị Kim Yến </v>
      </c>
      <c r="AC91" s="76" t="str">
        <f>IFERROR(__xludf.DUMMYFUNCTION("""COMPUTED_VALUE"""),"ĐÃ NỘP")</f>
        <v>ĐÃ NỘP</v>
      </c>
    </row>
    <row r="92">
      <c r="A92" s="100">
        <f>IFERROR(__xludf.DUMMYFUNCTION("""COMPUTED_VALUE"""),45650.54579027778)</f>
        <v>45650.54579</v>
      </c>
      <c r="B92" s="76" t="str">
        <f>IFERROR(__xludf.DUMMYFUNCTION("""COMPUTED_VALUE"""),"duongkhanhvycmg@gmail.com")</f>
        <v>duongkhanhvycmg@gmail.com</v>
      </c>
      <c r="C92" s="76">
        <f>IFERROR(__xludf.DUMMYFUNCTION("""COMPUTED_VALUE"""),2.7207237015E10)</f>
        <v>27207237015</v>
      </c>
      <c r="D92" s="76" t="str">
        <f>IFERROR(__xludf.DUMMYFUNCTION("""COMPUTED_VALUE"""),"Dương Khánh Vy")</f>
        <v>Dương Khánh Vy</v>
      </c>
      <c r="E92" s="101">
        <f>IFERROR(__xludf.DUMMYFUNCTION("""COMPUTED_VALUE"""),37904.0)</f>
        <v>37904</v>
      </c>
      <c r="F92" s="76" t="str">
        <f>IFERROR(__xludf.DUMMYFUNCTION("""COMPUTED_VALUE"""),"K27DLK1")</f>
        <v>K27DLK1</v>
      </c>
      <c r="G92" s="76" t="str">
        <f>IFERROR(__xludf.DUMMYFUNCTION("""COMPUTED_VALUE"""),"Quản trị Du lịch &amp; Khách sạn")</f>
        <v>Quản trị Du lịch &amp; Khách sạn</v>
      </c>
      <c r="H92" s="76" t="str">
        <f>IFERROR(__xludf.DUMMYFUNCTION("""COMPUTED_VALUE"""),"K27")</f>
        <v>K27</v>
      </c>
      <c r="I92" s="76" t="str">
        <f>IFERROR(__xludf.DUMMYFUNCTION("""COMPUTED_VALUE"""),"0354100151")</f>
        <v>0354100151</v>
      </c>
      <c r="J92" s="76">
        <f>IFERROR(__xludf.DUMMYFUNCTION("""COMPUTED_VALUE"""),3.38)</f>
        <v>3.38</v>
      </c>
      <c r="K92" s="76">
        <f>IFERROR(__xludf.DUMMYFUNCTION("""COMPUTED_VALUE"""),120.0)</f>
        <v>120</v>
      </c>
      <c r="L92" s="76" t="str">
        <f>IFERROR(__xludf.DUMMYFUNCTION("""COMPUTED_VALUE"""),"Rồi")</f>
        <v>Rồi</v>
      </c>
      <c r="M92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92" s="76">
        <f>IFERROR(__xludf.DUMMYFUNCTION("""COMPUTED_VALUE"""),3.0)</f>
        <v>3</v>
      </c>
      <c r="O92" s="76" t="str">
        <f>IFERROR(__xludf.DUMMYFUNCTION("""COMPUTED_VALUE"""),"cam kết")</f>
        <v>cam kết</v>
      </c>
      <c r="P92" s="76"/>
      <c r="Q92" s="76"/>
      <c r="R92" s="76"/>
      <c r="S92" s="76" t="str">
        <f>IFERROR(__xludf.DUMMYFUNCTION("""COMPUTED_VALUE"""),"27/12/2024")</f>
        <v>27/12/2024</v>
      </c>
      <c r="T92" s="76"/>
      <c r="U92" s="102" t="str">
        <f>IFERROR(__xludf.DUMMYFUNCTION("""COMPUTED_VALUE"""),"Dương Khánh Vy")</f>
        <v>Dương Khánh Vy</v>
      </c>
      <c r="V92" s="76" t="str">
        <f>IFERROR(__xludf.DUMMYFUNCTION("""COMPUTED_VALUE"""),"Quản Trị Khách Sạn &amp; Nhà Hàng (Đại Học)")</f>
        <v>Quản Trị Khách Sạn &amp; Nhà Hàng (Đại Học)</v>
      </c>
      <c r="W92" s="76" t="str">
        <f>IFERROR(__xludf.DUMMYFUNCTION("""COMPUTED_VALUE"""),"Grand Mercure Đà Nẵng")</f>
        <v>Grand Mercure Đà Nẵng</v>
      </c>
      <c r="X92" s="76" t="str">
        <f>IFERROR(__xludf.DUMMYFUNCTION("""COMPUTED_VALUE"""),"Nhà hàng")</f>
        <v>Nhà hàng</v>
      </c>
      <c r="Y92" s="76" t="str">
        <f>IFERROR(__xludf.DUMMYFUNCTION("""COMPUTED_VALUE"""),"DUYỆT")</f>
        <v>DUYỆT</v>
      </c>
      <c r="Z92" s="76" t="str">
        <f>IFERROR(__xludf.DUMMYFUNCTION("""COMPUTED_VALUE"""),"CHUYÊN ĐỀ")</f>
        <v>CHUYÊN ĐỀ</v>
      </c>
      <c r="AA92" s="76" t="str">
        <f>IFERROR(__xludf.DUMMYFUNCTION("""COMPUTED_VALUE"""),"duongkhanhvycmg@gmail.com")</f>
        <v>duongkhanhvycmg@gmail.com</v>
      </c>
      <c r="AB92" s="76" t="str">
        <f>IFERROR(__xludf.DUMMYFUNCTION("""COMPUTED_VALUE"""),"Dương Khánh Vy")</f>
        <v>Dương Khánh Vy</v>
      </c>
      <c r="AC92" s="76"/>
    </row>
    <row r="93">
      <c r="A93" s="100">
        <f>IFERROR(__xludf.DUMMYFUNCTION("""COMPUTED_VALUE"""),45651.55640836805)</f>
        <v>45651.55641</v>
      </c>
      <c r="B93" s="76" t="str">
        <f>IFERROR(__xludf.DUMMYFUNCTION("""COMPUTED_VALUE"""),"hoangthuytienlop9a1718@gmail.com")</f>
        <v>hoangthuytienlop9a1718@gmail.com</v>
      </c>
      <c r="C93" s="76">
        <f>IFERROR(__xludf.DUMMYFUNCTION("""COMPUTED_VALUE"""),2.7207100134E10)</f>
        <v>27207100134</v>
      </c>
      <c r="D93" s="76" t="str">
        <f>IFERROR(__xludf.DUMMYFUNCTION("""COMPUTED_VALUE"""),"Hoàng Thị Thuỷ Tiên")</f>
        <v>Hoàng Thị Thuỷ Tiên</v>
      </c>
      <c r="E93" s="101">
        <f>IFERROR(__xludf.DUMMYFUNCTION("""COMPUTED_VALUE"""),37961.0)</f>
        <v>37961</v>
      </c>
      <c r="F93" s="76" t="str">
        <f>IFERROR(__xludf.DUMMYFUNCTION("""COMPUTED_VALUE"""),"K27DLK3")</f>
        <v>K27DLK3</v>
      </c>
      <c r="G93" s="76" t="str">
        <f>IFERROR(__xludf.DUMMYFUNCTION("""COMPUTED_VALUE"""),"Quản trị Du lịch &amp; Khách sạn")</f>
        <v>Quản trị Du lịch &amp; Khách sạn</v>
      </c>
      <c r="H93" s="76" t="str">
        <f>IFERROR(__xludf.DUMMYFUNCTION("""COMPUTED_VALUE"""),"K27")</f>
        <v>K27</v>
      </c>
      <c r="I93" s="76" t="str">
        <f>IFERROR(__xludf.DUMMYFUNCTION("""COMPUTED_VALUE"""),"0702792336")</f>
        <v>0702792336</v>
      </c>
      <c r="J93" s="76">
        <f>IFERROR(__xludf.DUMMYFUNCTION("""COMPUTED_VALUE"""),3.13)</f>
        <v>3.13</v>
      </c>
      <c r="K93" s="76">
        <f>IFERROR(__xludf.DUMMYFUNCTION("""COMPUTED_VALUE"""),114.0)</f>
        <v>114</v>
      </c>
      <c r="L93" s="76" t="str">
        <f>IFERROR(__xludf.DUMMYFUNCTION("""COMPUTED_VALUE"""),"Rồi")</f>
        <v>Rồi</v>
      </c>
      <c r="M93" s="76" t="str">
        <f>IFERROR(__xludf.DUMMYFUNCTION("""COMPUTED_VALUE"""),"Thực tập tốt nghiệp")</f>
        <v>Thực tập tốt nghiệp</v>
      </c>
      <c r="N93" s="76">
        <f>IFERROR(__xludf.DUMMYFUNCTION("""COMPUTED_VALUE"""),10.0)</f>
        <v>10</v>
      </c>
      <c r="O93" s="76" t="str">
        <f>IFERROR(__xludf.DUMMYFUNCTION("""COMPUTED_VALUE"""),"cam kết")</f>
        <v>cam kết</v>
      </c>
      <c r="P93" s="76"/>
      <c r="Q93" s="76"/>
      <c r="R93" s="76"/>
      <c r="S93" s="76" t="str">
        <f>IFERROR(__xludf.DUMMYFUNCTION("""COMPUTED_VALUE"""),"27/12/2024")</f>
        <v>27/12/2024</v>
      </c>
      <c r="T93" s="76"/>
      <c r="U93" s="102" t="str">
        <f>IFERROR(__xludf.DUMMYFUNCTION("""COMPUTED_VALUE"""),"Hoàng Thị Thủy Tiên")</f>
        <v>Hoàng Thị Thủy Tiên</v>
      </c>
      <c r="V93" s="76" t="str">
        <f>IFERROR(__xludf.DUMMYFUNCTION("""COMPUTED_VALUE"""),"Quản Trị Khách Sạn &amp; Nhà Hàng (Đại Học)")</f>
        <v>Quản Trị Khách Sạn &amp; Nhà Hàng (Đại Học)</v>
      </c>
      <c r="W93" s="76" t="str">
        <f>IFERROR(__xludf.DUMMYFUNCTION("""COMPUTED_VALUE"""),"Risemount Premier Resort Danang")</f>
        <v>Risemount Premier Resort Danang</v>
      </c>
      <c r="X93" s="76" t="str">
        <f>IFERROR(__xludf.DUMMYFUNCTION("""COMPUTED_VALUE"""),"Nhà hàng")</f>
        <v>Nhà hàng</v>
      </c>
      <c r="Y93" s="76" t="str">
        <f>IFERROR(__xludf.DUMMYFUNCTION("""COMPUTED_VALUE"""),"DUYỆT")</f>
        <v>DUYỆT</v>
      </c>
      <c r="Z93" s="76" t="str">
        <f>IFERROR(__xludf.DUMMYFUNCTION("""COMPUTED_VALUE"""),"CHUYÊN ĐỀ")</f>
        <v>CHUYÊN ĐỀ</v>
      </c>
      <c r="AA93" s="76" t="str">
        <f>IFERROR(__xludf.DUMMYFUNCTION("""COMPUTED_VALUE"""),"hoangthuytienlop9a1718@gmail.com")</f>
        <v>hoangthuytienlop9a1718@gmail.com</v>
      </c>
      <c r="AB93" s="76"/>
      <c r="AC93" s="76"/>
    </row>
    <row r="94">
      <c r="A94" s="100">
        <f>IFERROR(__xludf.DUMMYFUNCTION("""COMPUTED_VALUE"""),45650.553855798615)</f>
        <v>45650.55386</v>
      </c>
      <c r="B94" s="76" t="str">
        <f>IFERROR(__xludf.DUMMYFUNCTION("""COMPUTED_VALUE"""),"chaupham.04022002@gmail.com")</f>
        <v>chaupham.04022002@gmail.com</v>
      </c>
      <c r="C94" s="76">
        <f>IFERROR(__xludf.DUMMYFUNCTION("""COMPUTED_VALUE"""),2.6207142039E10)</f>
        <v>26207142039</v>
      </c>
      <c r="D94" s="76" t="str">
        <f>IFERROR(__xludf.DUMMYFUNCTION("""COMPUTED_VALUE"""),"Phạm Ngọc Châu")</f>
        <v>Phạm Ngọc Châu</v>
      </c>
      <c r="E94" s="101">
        <f>IFERROR(__xludf.DUMMYFUNCTION("""COMPUTED_VALUE"""),37291.0)</f>
        <v>37291</v>
      </c>
      <c r="F94" s="76" t="str">
        <f>IFERROR(__xludf.DUMMYFUNCTION("""COMPUTED_VALUE"""),"K26DLK15")</f>
        <v>K26DLK15</v>
      </c>
      <c r="G94" s="76" t="str">
        <f>IFERROR(__xludf.DUMMYFUNCTION("""COMPUTED_VALUE"""),"Quản trị Du lịch &amp; Khách sạn")</f>
        <v>Quản trị Du lịch &amp; Khách sạn</v>
      </c>
      <c r="H94" s="76" t="str">
        <f>IFERROR(__xludf.DUMMYFUNCTION("""COMPUTED_VALUE"""),"K26")</f>
        <v>K26</v>
      </c>
      <c r="I94" s="76" t="str">
        <f>IFERROR(__xludf.DUMMYFUNCTION("""COMPUTED_VALUE"""),"090 5851600")</f>
        <v>090 5851600</v>
      </c>
      <c r="J94" s="76">
        <f>IFERROR(__xludf.DUMMYFUNCTION("""COMPUTED_VALUE"""),2.55)</f>
        <v>2.55</v>
      </c>
      <c r="K94" s="76">
        <f>IFERROR(__xludf.DUMMYFUNCTION("""COMPUTED_VALUE"""),124.0)</f>
        <v>124</v>
      </c>
      <c r="L94" s="76" t="str">
        <f>IFERROR(__xludf.DUMMYFUNCTION("""COMPUTED_VALUE"""),"Rồi")</f>
        <v>Rồi</v>
      </c>
      <c r="M94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94" s="76" t="str">
        <f>IFERROR(__xludf.DUMMYFUNCTION("""COMPUTED_VALUE"""),"4 tín đang học HK1")</f>
        <v>4 tín đang học HK1</v>
      </c>
      <c r="O94" s="76" t="str">
        <f>IFERROR(__xludf.DUMMYFUNCTION("""COMPUTED_VALUE"""),"cam kết")</f>
        <v>cam kết</v>
      </c>
      <c r="P94" s="76" t="str">
        <f>IFERROR(__xludf.DUMMYFUNCTION("""COMPUTED_VALUE"""),"ĐÃ NỘP")</f>
        <v>ĐÃ NỘP</v>
      </c>
      <c r="Q94" s="76" t="str">
        <f>IFERROR(__xludf.DUMMYFUNCTION("""COMPUTED_VALUE"""),"ĐÃ NỘP")</f>
        <v>ĐÃ NỘP</v>
      </c>
      <c r="R94" s="76">
        <f>IFERROR(__xludf.DUMMYFUNCTION("""COMPUTED_VALUE"""),8.0)</f>
        <v>8</v>
      </c>
      <c r="S94" s="76" t="str">
        <f>IFERROR(__xludf.DUMMYFUNCTION("""COMPUTED_VALUE"""),"18/01/2025")</f>
        <v>18/01/2025</v>
      </c>
      <c r="T94" s="76"/>
      <c r="U94" s="102" t="str">
        <f>IFERROR(__xludf.DUMMYFUNCTION("""COMPUTED_VALUE"""),"Phạm Ngọc Châu")</f>
        <v>Phạm Ngọc Châu</v>
      </c>
      <c r="V94" s="76" t="str">
        <f>IFERROR(__xludf.DUMMYFUNCTION("""COMPUTED_VALUE"""),"Quản Trị Khách Sạn &amp; Nhà Hàng (Đại Học)")</f>
        <v>Quản Trị Khách Sạn &amp; Nhà Hàng (Đại Học)</v>
      </c>
      <c r="W94" s="76" t="str">
        <f>IFERROR(__xludf.DUMMYFUNCTION("""COMPUTED_VALUE"""),"ÊMM Hotel Hoi An")</f>
        <v>ÊMM Hotel Hoi An</v>
      </c>
      <c r="X94" s="76" t="str">
        <f>IFERROR(__xludf.DUMMYFUNCTION("""COMPUTED_VALUE"""),"Buồng phòng")</f>
        <v>Buồng phòng</v>
      </c>
      <c r="Y94" s="76" t="str">
        <f>IFERROR(__xludf.DUMMYFUNCTION("""COMPUTED_VALUE"""),"KHÔNG DUYỆT")</f>
        <v>KHÔNG DUYỆT</v>
      </c>
      <c r="Z94" s="76" t="str">
        <f>IFERROR(__xludf.DUMMYFUNCTION("""COMPUTED_VALUE"""),"CHUYÊN ĐỀ")</f>
        <v>CHUYÊN ĐỀ</v>
      </c>
      <c r="AA94" s="76" t="str">
        <f>IFERROR(__xludf.DUMMYFUNCTION("""COMPUTED_VALUE"""),"chaupham.04022002@gmail.com")</f>
        <v>chaupham.04022002@gmail.com</v>
      </c>
      <c r="AB94" s="76"/>
      <c r="AC94" s="76"/>
    </row>
    <row r="95">
      <c r="A95" s="100">
        <f>IFERROR(__xludf.DUMMYFUNCTION("""COMPUTED_VALUE"""),45651.694205011576)</f>
        <v>45651.69421</v>
      </c>
      <c r="B95" s="76" t="str">
        <f>IFERROR(__xludf.DUMMYFUNCTION("""COMPUTED_VALUE"""),"minhchauu296@gmail.com")</f>
        <v>minhchauu296@gmail.com</v>
      </c>
      <c r="C95" s="76">
        <f>IFERROR(__xludf.DUMMYFUNCTION("""COMPUTED_VALUE"""),2.7207152531E10)</f>
        <v>27207152531</v>
      </c>
      <c r="D95" s="76" t="str">
        <f>IFERROR(__xludf.DUMMYFUNCTION("""COMPUTED_VALUE"""),"Cao Nguyễn Minh Châu")</f>
        <v>Cao Nguyễn Minh Châu</v>
      </c>
      <c r="E95" s="101">
        <f>IFERROR(__xludf.DUMMYFUNCTION("""COMPUTED_VALUE"""),37801.0)</f>
        <v>37801</v>
      </c>
      <c r="F95" s="76" t="str">
        <f>IFERROR(__xludf.DUMMYFUNCTION("""COMPUTED_VALUE"""),"K27DLK1")</f>
        <v>K27DLK1</v>
      </c>
      <c r="G95" s="76" t="str">
        <f>IFERROR(__xludf.DUMMYFUNCTION("""COMPUTED_VALUE"""),"Quản trị Du lịch &amp; Khách sạn")</f>
        <v>Quản trị Du lịch &amp; Khách sạn</v>
      </c>
      <c r="H95" s="76" t="str">
        <f>IFERROR(__xludf.DUMMYFUNCTION("""COMPUTED_VALUE"""),"K27")</f>
        <v>K27</v>
      </c>
      <c r="I95" s="76" t="str">
        <f>IFERROR(__xludf.DUMMYFUNCTION("""COMPUTED_VALUE"""),"0853840102")</f>
        <v>0853840102</v>
      </c>
      <c r="J95" s="76">
        <f>IFERROR(__xludf.DUMMYFUNCTION("""COMPUTED_VALUE"""),3.77)</f>
        <v>3.77</v>
      </c>
      <c r="K95" s="76">
        <f>IFERROR(__xludf.DUMMYFUNCTION("""COMPUTED_VALUE"""),177.0)</f>
        <v>177</v>
      </c>
      <c r="L95" s="76" t="str">
        <f>IFERROR(__xludf.DUMMYFUNCTION("""COMPUTED_VALUE"""),"Rồi")</f>
        <v>Rồi</v>
      </c>
      <c r="M95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95" s="76">
        <f>IFERROR(__xludf.DUMMYFUNCTION("""COMPUTED_VALUE"""),6.0)</f>
        <v>6</v>
      </c>
      <c r="O95" s="76" t="str">
        <f>IFERROR(__xludf.DUMMYFUNCTION("""COMPUTED_VALUE"""),"cam kết")</f>
        <v>cam kết</v>
      </c>
      <c r="P95" s="76"/>
      <c r="Q95" s="76"/>
      <c r="R95" s="76"/>
      <c r="S95" s="76" t="str">
        <f>IFERROR(__xludf.DUMMYFUNCTION("""COMPUTED_VALUE"""),"27/12/2024")</f>
        <v>27/12/2024</v>
      </c>
      <c r="T95" s="76"/>
      <c r="U95" s="102" t="str">
        <f>IFERROR(__xludf.DUMMYFUNCTION("""COMPUTED_VALUE"""),"Cao Nguyễn Minh Châu")</f>
        <v>Cao Nguyễn Minh Châu</v>
      </c>
      <c r="V95" s="76" t="str">
        <f>IFERROR(__xludf.DUMMYFUNCTION("""COMPUTED_VALUE"""),"Quản Trị Khách Sạn &amp; Nhà Hàng (Đại Học)")</f>
        <v>Quản Trị Khách Sạn &amp; Nhà Hàng (Đại Học)</v>
      </c>
      <c r="W95" s="76" t="str">
        <f>IFERROR(__xludf.DUMMYFUNCTION("""COMPUTED_VALUE"""),"Wyndham DaNang Golden Bay")</f>
        <v>Wyndham DaNang Golden Bay</v>
      </c>
      <c r="X95" s="76" t="str">
        <f>IFERROR(__xludf.DUMMYFUNCTION("""COMPUTED_VALUE"""),"Buồng phòng")</f>
        <v>Buồng phòng</v>
      </c>
      <c r="Y95" s="76" t="str">
        <f>IFERROR(__xludf.DUMMYFUNCTION("""COMPUTED_VALUE"""),"DUYỆT")</f>
        <v>DUYỆT</v>
      </c>
      <c r="Z95" s="76" t="str">
        <f>IFERROR(__xludf.DUMMYFUNCTION("""COMPUTED_VALUE"""),"CHUYÊN ĐỀ")</f>
        <v>CHUYÊN ĐỀ</v>
      </c>
      <c r="AA95" s="76" t="str">
        <f>IFERROR(__xludf.DUMMYFUNCTION("""COMPUTED_VALUE"""),"minhchauu296@gmail.com")</f>
        <v>minhchauu296@gmail.com</v>
      </c>
      <c r="AB95" s="76" t="str">
        <f>IFERROR(__xludf.DUMMYFUNCTION("""COMPUTED_VALUE"""),"Cao Nguyễn Minh Châu")</f>
        <v>Cao Nguyễn Minh Châu</v>
      </c>
      <c r="AC95" s="76" t="str">
        <f>IFERROR(__xludf.DUMMYFUNCTION("""COMPUTED_VALUE"""),"ĐÃ NỘP")</f>
        <v>ĐÃ NỘP</v>
      </c>
    </row>
    <row r="96">
      <c r="A96" s="100">
        <f>IFERROR(__xludf.DUMMYFUNCTION("""COMPUTED_VALUE"""),45653.50607474537)</f>
        <v>45653.50607</v>
      </c>
      <c r="B96" s="76" t="str">
        <f>IFERROR(__xludf.DUMMYFUNCTION("""COMPUTED_VALUE"""),"thanhngan0705qng@gmail.com")</f>
        <v>thanhngan0705qng@gmail.com</v>
      </c>
      <c r="C96" s="76">
        <f>IFERROR(__xludf.DUMMYFUNCTION("""COMPUTED_VALUE"""),2.7207140181E10)</f>
        <v>27207140181</v>
      </c>
      <c r="D96" s="76" t="str">
        <f>IFERROR(__xludf.DUMMYFUNCTION("""COMPUTED_VALUE"""),"Bùi Phạm Thanh Ngân")</f>
        <v>Bùi Phạm Thanh Ngân</v>
      </c>
      <c r="E96" s="101">
        <f>IFERROR(__xludf.DUMMYFUNCTION("""COMPUTED_VALUE"""),37748.0)</f>
        <v>37748</v>
      </c>
      <c r="F96" s="76" t="str">
        <f>IFERROR(__xludf.DUMMYFUNCTION("""COMPUTED_VALUE"""),"K27DLK2")</f>
        <v>K27DLK2</v>
      </c>
      <c r="G96" s="76" t="str">
        <f>IFERROR(__xludf.DUMMYFUNCTION("""COMPUTED_VALUE"""),"Quản trị Du lịch &amp; Khách sạn")</f>
        <v>Quản trị Du lịch &amp; Khách sạn</v>
      </c>
      <c r="H96" s="76" t="str">
        <f>IFERROR(__xludf.DUMMYFUNCTION("""COMPUTED_VALUE"""),"K27")</f>
        <v>K27</v>
      </c>
      <c r="I96" s="76" t="str">
        <f>IFERROR(__xludf.DUMMYFUNCTION("""COMPUTED_VALUE"""),"0986348276")</f>
        <v>0986348276</v>
      </c>
      <c r="J96" s="76">
        <f>IFERROR(__xludf.DUMMYFUNCTION("""COMPUTED_VALUE"""),3.17)</f>
        <v>3.17</v>
      </c>
      <c r="K96" s="76">
        <f>IFERROR(__xludf.DUMMYFUNCTION("""COMPUTED_VALUE"""),114.0)</f>
        <v>114</v>
      </c>
      <c r="L96" s="76" t="str">
        <f>IFERROR(__xludf.DUMMYFUNCTION("""COMPUTED_VALUE"""),"Rồi")</f>
        <v>Rồi</v>
      </c>
      <c r="M96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96" s="76">
        <f>IFERROR(__xludf.DUMMYFUNCTION("""COMPUTED_VALUE"""),9.0)</f>
        <v>9</v>
      </c>
      <c r="O96" s="76" t="str">
        <f>IFERROR(__xludf.DUMMYFUNCTION("""COMPUTED_VALUE"""),"cam kết")</f>
        <v>cam kết</v>
      </c>
      <c r="P96" s="76"/>
      <c r="Q96" s="76"/>
      <c r="R96" s="76"/>
      <c r="S96" s="76" t="str">
        <f>IFERROR(__xludf.DUMMYFUNCTION("""COMPUTED_VALUE"""),"27/12/2024")</f>
        <v>27/12/2024</v>
      </c>
      <c r="T96" s="76"/>
      <c r="U96" s="102" t="str">
        <f>IFERROR(__xludf.DUMMYFUNCTION("""COMPUTED_VALUE"""),"Bùi Phạm Thanh Ngân")</f>
        <v>Bùi Phạm Thanh Ngân</v>
      </c>
      <c r="V96" s="76" t="str">
        <f>IFERROR(__xludf.DUMMYFUNCTION("""COMPUTED_VALUE"""),"Quản Trị Khách Sạn &amp; Nhà Hàng (Đại Học)")</f>
        <v>Quản Trị Khách Sạn &amp; Nhà Hàng (Đại Học)</v>
      </c>
      <c r="W96" s="76" t="str">
        <f>IFERROR(__xludf.DUMMYFUNCTION("""COMPUTED_VALUE"""),"Wyndham DaNang Golden Bay")</f>
        <v>Wyndham DaNang Golden Bay</v>
      </c>
      <c r="X96" s="76" t="str">
        <f>IFERROR(__xludf.DUMMYFUNCTION("""COMPUTED_VALUE"""),"Buồng phòng")</f>
        <v>Buồng phòng</v>
      </c>
      <c r="Y96" s="76" t="str">
        <f>IFERROR(__xludf.DUMMYFUNCTION("""COMPUTED_VALUE"""),"DUYỆT")</f>
        <v>DUYỆT</v>
      </c>
      <c r="Z96" s="76" t="str">
        <f>IFERROR(__xludf.DUMMYFUNCTION("""COMPUTED_VALUE"""),"CHUYÊN ĐỀ")</f>
        <v>CHUYÊN ĐỀ</v>
      </c>
      <c r="AA96" s="76" t="str">
        <f>IFERROR(__xludf.DUMMYFUNCTION("""COMPUTED_VALUE"""),"thanhngan0705qng@gmail.com")</f>
        <v>thanhngan0705qng@gmail.com</v>
      </c>
      <c r="AB96" s="76"/>
      <c r="AC96" s="76"/>
    </row>
    <row r="97">
      <c r="A97" s="100">
        <f>IFERROR(__xludf.DUMMYFUNCTION("""COMPUTED_VALUE"""),45651.77440702546)</f>
        <v>45651.77441</v>
      </c>
      <c r="B97" s="76" t="str">
        <f>IFERROR(__xludf.DUMMYFUNCTION("""COMPUTED_VALUE"""),"luongthiminhtam9@gmail.com")</f>
        <v>luongthiminhtam9@gmail.com</v>
      </c>
      <c r="C97" s="76">
        <f>IFERROR(__xludf.DUMMYFUNCTION("""COMPUTED_VALUE"""),2.720344975E10)</f>
        <v>27203449750</v>
      </c>
      <c r="D97" s="76" t="str">
        <f>IFERROR(__xludf.DUMMYFUNCTION("""COMPUTED_VALUE"""),"LƯƠNG THỊ MINH TÂM")</f>
        <v>LƯƠNG THỊ MINH TÂM</v>
      </c>
      <c r="E97" s="101">
        <f>IFERROR(__xludf.DUMMYFUNCTION("""COMPUTED_VALUE"""),37856.0)</f>
        <v>37856</v>
      </c>
      <c r="F97" s="76" t="str">
        <f>IFERROR(__xludf.DUMMYFUNCTION("""COMPUTED_VALUE"""),"K27DLK7")</f>
        <v>K27DLK7</v>
      </c>
      <c r="G97" s="76" t="str">
        <f>IFERROR(__xludf.DUMMYFUNCTION("""COMPUTED_VALUE"""),"Quản trị Du lịch &amp; Khách sạn")</f>
        <v>Quản trị Du lịch &amp; Khách sạn</v>
      </c>
      <c r="H97" s="76" t="str">
        <f>IFERROR(__xludf.DUMMYFUNCTION("""COMPUTED_VALUE"""),"K27")</f>
        <v>K27</v>
      </c>
      <c r="I97" s="76" t="str">
        <f>IFERROR(__xludf.DUMMYFUNCTION("""COMPUTED_VALUE"""),"0867775018")</f>
        <v>0867775018</v>
      </c>
      <c r="J97" s="76">
        <f>IFERROR(__xludf.DUMMYFUNCTION("""COMPUTED_VALUE"""),3.46)</f>
        <v>3.46</v>
      </c>
      <c r="K97" s="76">
        <f>IFERROR(__xludf.DUMMYFUNCTION("""COMPUTED_VALUE"""),116.0)</f>
        <v>116</v>
      </c>
      <c r="L97" s="76" t="str">
        <f>IFERROR(__xludf.DUMMYFUNCTION("""COMPUTED_VALUE"""),"Rồi")</f>
        <v>Rồi</v>
      </c>
      <c r="M97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97" s="76">
        <f>IFERROR(__xludf.DUMMYFUNCTION("""COMPUTED_VALUE"""),8.0)</f>
        <v>8</v>
      </c>
      <c r="O97" s="76" t="str">
        <f>IFERROR(__xludf.DUMMYFUNCTION("""COMPUTED_VALUE"""),"cam kết")</f>
        <v>cam kết</v>
      </c>
      <c r="P97" s="76"/>
      <c r="Q97" s="76"/>
      <c r="R97" s="76"/>
      <c r="S97" s="76" t="str">
        <f>IFERROR(__xludf.DUMMYFUNCTION("""COMPUTED_VALUE"""),"27/12/2024")</f>
        <v>27/12/2024</v>
      </c>
      <c r="T97" s="76"/>
      <c r="U97" s="102" t="str">
        <f>IFERROR(__xludf.DUMMYFUNCTION("""COMPUTED_VALUE"""),"Lương Thị Minh Tâm")</f>
        <v>Lương Thị Minh Tâm</v>
      </c>
      <c r="V97" s="76" t="str">
        <f>IFERROR(__xludf.DUMMYFUNCTION("""COMPUTED_VALUE"""),"Quản Trị Khách Sạn &amp; Nhà Hàng (Đại Học)")</f>
        <v>Quản Trị Khách Sạn &amp; Nhà Hàng (Đại Học)</v>
      </c>
      <c r="W97" s="76" t="str">
        <f>IFERROR(__xludf.DUMMYFUNCTION("""COMPUTED_VALUE"""),"Wyndham DaNang Golden Bay")</f>
        <v>Wyndham DaNang Golden Bay</v>
      </c>
      <c r="X97" s="76" t="str">
        <f>IFERROR(__xludf.DUMMYFUNCTION("""COMPUTED_VALUE"""),"Nhà hàng")</f>
        <v>Nhà hàng</v>
      </c>
      <c r="Y97" s="76" t="str">
        <f>IFERROR(__xludf.DUMMYFUNCTION("""COMPUTED_VALUE"""),"DUYỆT")</f>
        <v>DUYỆT</v>
      </c>
      <c r="Z97" s="76" t="str">
        <f>IFERROR(__xludf.DUMMYFUNCTION("""COMPUTED_VALUE"""),"CHUYÊN ĐỀ")</f>
        <v>CHUYÊN ĐỀ</v>
      </c>
      <c r="AA97" s="76" t="str">
        <f>IFERROR(__xludf.DUMMYFUNCTION("""COMPUTED_VALUE"""),"luongthiminhtam9@gmail.com")</f>
        <v>luongthiminhtam9@gmail.com</v>
      </c>
      <c r="AB97" s="76" t="str">
        <f>IFERROR(__xludf.DUMMYFUNCTION("""COMPUTED_VALUE"""),"Lương Thị Minh Tâm ")</f>
        <v>Lương Thị Minh Tâm </v>
      </c>
      <c r="AC97" s="76" t="str">
        <f>IFERROR(__xludf.DUMMYFUNCTION("""COMPUTED_VALUE"""),"ĐÃ NỘP")</f>
        <v>ĐÃ NỘP</v>
      </c>
    </row>
    <row r="98">
      <c r="A98" s="100">
        <f>IFERROR(__xludf.DUMMYFUNCTION("""COMPUTED_VALUE"""),45650.572190543986)</f>
        <v>45650.57219</v>
      </c>
      <c r="B98" s="76" t="str">
        <f>IFERROR(__xludf.DUMMYFUNCTION("""COMPUTED_VALUE"""),"hitpg606@gmail.com")</f>
        <v>hitpg606@gmail.com</v>
      </c>
      <c r="C98" s="76">
        <f>IFERROR(__xludf.DUMMYFUNCTION("""COMPUTED_VALUE"""),2.7217100262E10)</f>
        <v>27217100262</v>
      </c>
      <c r="D98" s="76" t="str">
        <f>IFERROR(__xludf.DUMMYFUNCTION("""COMPUTED_VALUE"""),"Huỳnh Đức Quý ")</f>
        <v>Huỳnh Đức Quý </v>
      </c>
      <c r="E98" s="101">
        <f>IFERROR(__xludf.DUMMYFUNCTION("""COMPUTED_VALUE"""),37778.0)</f>
        <v>37778</v>
      </c>
      <c r="F98" s="76" t="str">
        <f>IFERROR(__xludf.DUMMYFUNCTION("""COMPUTED_VALUE"""),"K27DLK4")</f>
        <v>K27DLK4</v>
      </c>
      <c r="G98" s="76" t="str">
        <f>IFERROR(__xludf.DUMMYFUNCTION("""COMPUTED_VALUE"""),"Quản trị Du lịch &amp; Khách sạn")</f>
        <v>Quản trị Du lịch &amp; Khách sạn</v>
      </c>
      <c r="H98" s="76" t="str">
        <f>IFERROR(__xludf.DUMMYFUNCTION("""COMPUTED_VALUE"""),"K27")</f>
        <v>K27</v>
      </c>
      <c r="I98" s="76" t="str">
        <f>IFERROR(__xludf.DUMMYFUNCTION("""COMPUTED_VALUE"""),"0898416049")</f>
        <v>0898416049</v>
      </c>
      <c r="J98" s="76">
        <f>IFERROR(__xludf.DUMMYFUNCTION("""COMPUTED_VALUE"""),2.72)</f>
        <v>2.72</v>
      </c>
      <c r="K98" s="76">
        <f>IFERROR(__xludf.DUMMYFUNCTION("""COMPUTED_VALUE"""),115.0)</f>
        <v>115</v>
      </c>
      <c r="L98" s="76" t="str">
        <f>IFERROR(__xludf.DUMMYFUNCTION("""COMPUTED_VALUE"""),"Rồi")</f>
        <v>Rồi</v>
      </c>
      <c r="M98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98" s="76">
        <f>IFERROR(__xludf.DUMMYFUNCTION("""COMPUTED_VALUE"""),14.0)</f>
        <v>14</v>
      </c>
      <c r="O98" s="76" t="str">
        <f>IFERROR(__xludf.DUMMYFUNCTION("""COMPUTED_VALUE"""),"cam kết")</f>
        <v>cam kết</v>
      </c>
      <c r="P98" s="76"/>
      <c r="Q98" s="76"/>
      <c r="R98" s="76"/>
      <c r="S98" s="76" t="str">
        <f>IFERROR(__xludf.DUMMYFUNCTION("""COMPUTED_VALUE"""),"27/12/2024")</f>
        <v>27/12/2024</v>
      </c>
      <c r="T98" s="76"/>
      <c r="U98" s="102" t="str">
        <f>IFERROR(__xludf.DUMMYFUNCTION("""COMPUTED_VALUE"""),"Huỳnh Đức Quý")</f>
        <v>Huỳnh Đức Quý</v>
      </c>
      <c r="V98" s="76" t="str">
        <f>IFERROR(__xludf.DUMMYFUNCTION("""COMPUTED_VALUE"""),"Quản Trị Khách Sạn &amp; Nhà Hàng (Đại Học)")</f>
        <v>Quản Trị Khách Sạn &amp; Nhà Hàng (Đại Học)</v>
      </c>
      <c r="W98" s="76" t="str">
        <f>IFERROR(__xludf.DUMMYFUNCTION("""COMPUTED_VALUE"""),"Balcona Hotel &amp; Spa")</f>
        <v>Balcona Hotel &amp; Spa</v>
      </c>
      <c r="X98" s="76" t="str">
        <f>IFERROR(__xludf.DUMMYFUNCTION("""COMPUTED_VALUE"""),"Nhà hàng")</f>
        <v>Nhà hàng</v>
      </c>
      <c r="Y98" s="76" t="str">
        <f>IFERROR(__xludf.DUMMYFUNCTION("""COMPUTED_VALUE"""),"DUYỆT")</f>
        <v>DUYỆT</v>
      </c>
      <c r="Z98" s="76" t="str">
        <f>IFERROR(__xludf.DUMMYFUNCTION("""COMPUTED_VALUE"""),"CHUYÊN ĐỀ")</f>
        <v>CHUYÊN ĐỀ</v>
      </c>
      <c r="AA98" s="76" t="str">
        <f>IFERROR(__xludf.DUMMYFUNCTION("""COMPUTED_VALUE"""),"hitpg606@gmail.com")</f>
        <v>hitpg606@gmail.com</v>
      </c>
      <c r="AB98" s="76"/>
      <c r="AC98" s="76"/>
    </row>
    <row r="99">
      <c r="A99" s="100">
        <f>IFERROR(__xludf.DUMMYFUNCTION("""COMPUTED_VALUE"""),45650.574355868055)</f>
        <v>45650.57436</v>
      </c>
      <c r="B99" s="76" t="str">
        <f>IFERROR(__xludf.DUMMYFUNCTION("""COMPUTED_VALUE"""),"nguyenductiencr7@gmail.com")</f>
        <v>nguyenductiencr7@gmail.com</v>
      </c>
      <c r="C99" s="76">
        <f>IFERROR(__xludf.DUMMYFUNCTION("""COMPUTED_VALUE"""),2.721712527E10)</f>
        <v>27217125270</v>
      </c>
      <c r="D99" s="76" t="str">
        <f>IFERROR(__xludf.DUMMYFUNCTION("""COMPUTED_VALUE"""),"Nguyễn Đức Tiến")</f>
        <v>Nguyễn Đức Tiến</v>
      </c>
      <c r="E99" s="101">
        <f>IFERROR(__xludf.DUMMYFUNCTION("""COMPUTED_VALUE"""),37659.0)</f>
        <v>37659</v>
      </c>
      <c r="F99" s="76" t="str">
        <f>IFERROR(__xludf.DUMMYFUNCTION("""COMPUTED_VALUE"""),"K27DLK 5")</f>
        <v>K27DLK 5</v>
      </c>
      <c r="G99" s="76" t="str">
        <f>IFERROR(__xludf.DUMMYFUNCTION("""COMPUTED_VALUE"""),"Quản trị Du lịch &amp; Khách sạn")</f>
        <v>Quản trị Du lịch &amp; Khách sạn</v>
      </c>
      <c r="H99" s="76" t="str">
        <f>IFERROR(__xludf.DUMMYFUNCTION("""COMPUTED_VALUE"""),"K27")</f>
        <v>K27</v>
      </c>
      <c r="I99" s="76" t="str">
        <f>IFERROR(__xludf.DUMMYFUNCTION("""COMPUTED_VALUE"""),"0928430157")</f>
        <v>0928430157</v>
      </c>
      <c r="J99" s="76">
        <f>IFERROR(__xludf.DUMMYFUNCTION("""COMPUTED_VALUE"""),2.59)</f>
        <v>2.59</v>
      </c>
      <c r="K99" s="76">
        <f>IFERROR(__xludf.DUMMYFUNCTION("""COMPUTED_VALUE"""),118.0)</f>
        <v>118</v>
      </c>
      <c r="L99" s="76" t="str">
        <f>IFERROR(__xludf.DUMMYFUNCTION("""COMPUTED_VALUE"""),"Rồi")</f>
        <v>Rồi</v>
      </c>
      <c r="M99" s="76" t="str">
        <f>IFERROR(__xludf.DUMMYFUNCTION("""COMPUTED_VALUE"""),"Thực tập tốt nghiệp")</f>
        <v>Thực tập tốt nghiệp</v>
      </c>
      <c r="N99" s="76">
        <f>IFERROR(__xludf.DUMMYFUNCTION("""COMPUTED_VALUE"""),3.0)</f>
        <v>3</v>
      </c>
      <c r="O99" s="76" t="str">
        <f>IFERROR(__xludf.DUMMYFUNCTION("""COMPUTED_VALUE"""),"cam kết")</f>
        <v>cam kết</v>
      </c>
      <c r="P99" s="76"/>
      <c r="Q99" s="76"/>
      <c r="R99" s="76"/>
      <c r="S99" s="76" t="str">
        <f>IFERROR(__xludf.DUMMYFUNCTION("""COMPUTED_VALUE"""),"27/12/2024")</f>
        <v>27/12/2024</v>
      </c>
      <c r="T99" s="76"/>
      <c r="U99" s="102" t="str">
        <f>IFERROR(__xludf.DUMMYFUNCTION("""COMPUTED_VALUE"""),"Nguyễn Đức Tiến")</f>
        <v>Nguyễn Đức Tiến</v>
      </c>
      <c r="V99" s="76" t="str">
        <f>IFERROR(__xludf.DUMMYFUNCTION("""COMPUTED_VALUE"""),"Quản Trị Khách Sạn &amp; Nhà Hàng (Đại Học)")</f>
        <v>Quản Trị Khách Sạn &amp; Nhà Hàng (Đại Học)</v>
      </c>
      <c r="W99" s="76" t="str">
        <f>IFERROR(__xludf.DUMMYFUNCTION("""COMPUTED_VALUE"""),"DaNang Marriott Resort &amp; Spa, Non Nuoc Beach Villas")</f>
        <v>DaNang Marriott Resort &amp; Spa, Non Nuoc Beach Villas</v>
      </c>
      <c r="X99" s="76" t="str">
        <f>IFERROR(__xludf.DUMMYFUNCTION("""COMPUTED_VALUE"""),"Nhà hàng")</f>
        <v>Nhà hàng</v>
      </c>
      <c r="Y99" s="76" t="str">
        <f>IFERROR(__xludf.DUMMYFUNCTION("""COMPUTED_VALUE"""),"DUYỆT")</f>
        <v>DUYỆT</v>
      </c>
      <c r="Z99" s="76" t="str">
        <f>IFERROR(__xludf.DUMMYFUNCTION("""COMPUTED_VALUE"""),"CHUYÊN ĐỀ")</f>
        <v>CHUYÊN ĐỀ</v>
      </c>
      <c r="AA99" s="76" t="str">
        <f>IFERROR(__xludf.DUMMYFUNCTION("""COMPUTED_VALUE"""),"nguyenductiencr7@gmail.com")</f>
        <v>nguyenductiencr7@gmail.com</v>
      </c>
      <c r="AB99" s="76"/>
      <c r="AC99" s="76"/>
    </row>
    <row r="100">
      <c r="A100" s="100">
        <f>IFERROR(__xludf.DUMMYFUNCTION("""COMPUTED_VALUE"""),45651.687311747686)</f>
        <v>45651.68731</v>
      </c>
      <c r="B100" s="76" t="str">
        <f>IFERROR(__xludf.DUMMYFUNCTION("""COMPUTED_VALUE"""),"huynhthitho193@gmail.com")</f>
        <v>huynhthitho193@gmail.com</v>
      </c>
      <c r="C100" s="76">
        <f>IFERROR(__xludf.DUMMYFUNCTION("""COMPUTED_VALUE"""),2.7217101593E10)</f>
        <v>27217101593</v>
      </c>
      <c r="D100" s="76" t="str">
        <f>IFERROR(__xludf.DUMMYFUNCTION("""COMPUTED_VALUE"""),"NGUYỄN HUỲNH THẢO NHI")</f>
        <v>NGUYỄN HUỲNH THẢO NHI</v>
      </c>
      <c r="E100" s="101">
        <f>IFERROR(__xludf.DUMMYFUNCTION("""COMPUTED_VALUE"""),37699.0)</f>
        <v>37699</v>
      </c>
      <c r="F100" s="76" t="str">
        <f>IFERROR(__xludf.DUMMYFUNCTION("""COMPUTED_VALUE"""),"K27DLK1")</f>
        <v>K27DLK1</v>
      </c>
      <c r="G100" s="76" t="str">
        <f>IFERROR(__xludf.DUMMYFUNCTION("""COMPUTED_VALUE"""),"Quản trị Du lịch &amp; Khách sạn")</f>
        <v>Quản trị Du lịch &amp; Khách sạn</v>
      </c>
      <c r="H100" s="76" t="str">
        <f>IFERROR(__xludf.DUMMYFUNCTION("""COMPUTED_VALUE"""),"K27")</f>
        <v>K27</v>
      </c>
      <c r="I100" s="76" t="str">
        <f>IFERROR(__xludf.DUMMYFUNCTION("""COMPUTED_VALUE"""),"0905816772")</f>
        <v>0905816772</v>
      </c>
      <c r="J100" s="76">
        <f>IFERROR(__xludf.DUMMYFUNCTION("""COMPUTED_VALUE"""),3.43)</f>
        <v>3.43</v>
      </c>
      <c r="K100" s="76">
        <f>IFERROR(__xludf.DUMMYFUNCTION("""COMPUTED_VALUE"""),120.0)</f>
        <v>120</v>
      </c>
      <c r="L100" s="76" t="str">
        <f>IFERROR(__xludf.DUMMYFUNCTION("""COMPUTED_VALUE"""),"Rồi")</f>
        <v>Rồi</v>
      </c>
      <c r="M100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00" s="76">
        <f>IFERROR(__xludf.DUMMYFUNCTION("""COMPUTED_VALUE"""),3.0)</f>
        <v>3</v>
      </c>
      <c r="O100" s="76" t="str">
        <f>IFERROR(__xludf.DUMMYFUNCTION("""COMPUTED_VALUE"""),"cam kết")</f>
        <v>cam kết</v>
      </c>
      <c r="P100" s="76"/>
      <c r="Q100" s="76"/>
      <c r="R100" s="76"/>
      <c r="S100" s="76" t="str">
        <f>IFERROR(__xludf.DUMMYFUNCTION("""COMPUTED_VALUE"""),"27/12/2024")</f>
        <v>27/12/2024</v>
      </c>
      <c r="T100" s="76"/>
      <c r="U100" s="102" t="str">
        <f>IFERROR(__xludf.DUMMYFUNCTION("""COMPUTED_VALUE"""),"Nguyễn Huỳnh Thảo Nhi")</f>
        <v>Nguyễn Huỳnh Thảo Nhi</v>
      </c>
      <c r="V100" s="76" t="str">
        <f>IFERROR(__xludf.DUMMYFUNCTION("""COMPUTED_VALUE"""),"Quản Trị Khách Sạn &amp; Nhà Hàng (Đại Học)")</f>
        <v>Quản Trị Khách Sạn &amp; Nhà Hàng (Đại Học)</v>
      </c>
      <c r="W100" s="76" t="str">
        <f>IFERROR(__xludf.DUMMYFUNCTION("""COMPUTED_VALUE"""),"Wyndham DaNang Golden Bay")</f>
        <v>Wyndham DaNang Golden Bay</v>
      </c>
      <c r="X100" s="76" t="str">
        <f>IFERROR(__xludf.DUMMYFUNCTION("""COMPUTED_VALUE"""),"Nhà hàng")</f>
        <v>Nhà hàng</v>
      </c>
      <c r="Y100" s="76" t="str">
        <f>IFERROR(__xludf.DUMMYFUNCTION("""COMPUTED_VALUE"""),"DUYỆT")</f>
        <v>DUYỆT</v>
      </c>
      <c r="Z100" s="76" t="str">
        <f>IFERROR(__xludf.DUMMYFUNCTION("""COMPUTED_VALUE"""),"CHUYÊN ĐỀ")</f>
        <v>CHUYÊN ĐỀ</v>
      </c>
      <c r="AA100" s="76" t="str">
        <f>IFERROR(__xludf.DUMMYFUNCTION("""COMPUTED_VALUE"""),"huynhthitho193@gmail.com")</f>
        <v>huynhthitho193@gmail.com</v>
      </c>
      <c r="AB100" s="76" t="str">
        <f>IFERROR(__xludf.DUMMYFUNCTION("""COMPUTED_VALUE"""),"Nguyễn Huỳnh Thảo Nhi ")</f>
        <v>Nguyễn Huỳnh Thảo Nhi </v>
      </c>
      <c r="AC100" s="76" t="str">
        <f>IFERROR(__xludf.DUMMYFUNCTION("""COMPUTED_VALUE"""),"ĐÃ NỘP")</f>
        <v>ĐÃ NỘP</v>
      </c>
    </row>
    <row r="101">
      <c r="A101" s="100">
        <f>IFERROR(__xludf.DUMMYFUNCTION("""COMPUTED_VALUE"""),45663.499920358794)</f>
        <v>45663.49992</v>
      </c>
      <c r="B101" s="76" t="str">
        <f>IFERROR(__xludf.DUMMYFUNCTION("""COMPUTED_VALUE"""),"trantamphuc2@gmail.com")</f>
        <v>trantamphuc2@gmail.com</v>
      </c>
      <c r="C101" s="76">
        <f>IFERROR(__xludf.DUMMYFUNCTION("""COMPUTED_VALUE"""),2.7207102577E10)</f>
        <v>27207102577</v>
      </c>
      <c r="D101" s="76" t="str">
        <f>IFERROR(__xludf.DUMMYFUNCTION("""COMPUTED_VALUE"""),"Trần Thị Tâm Phúc")</f>
        <v>Trần Thị Tâm Phúc</v>
      </c>
      <c r="E101" s="101">
        <f>IFERROR(__xludf.DUMMYFUNCTION("""COMPUTED_VALUE"""),37726.0)</f>
        <v>37726</v>
      </c>
      <c r="F101" s="76" t="str">
        <f>IFERROR(__xludf.DUMMYFUNCTION("""COMPUTED_VALUE"""),"K277DLK 7")</f>
        <v>K277DLK 7</v>
      </c>
      <c r="G101" s="76" t="str">
        <f>IFERROR(__xludf.DUMMYFUNCTION("""COMPUTED_VALUE"""),"Quản trị Du lịch &amp; Khách sạn")</f>
        <v>Quản trị Du lịch &amp; Khách sạn</v>
      </c>
      <c r="H101" s="76" t="str">
        <f>IFERROR(__xludf.DUMMYFUNCTION("""COMPUTED_VALUE"""),"K27")</f>
        <v>K27</v>
      </c>
      <c r="I101" s="76" t="str">
        <f>IFERROR(__xludf.DUMMYFUNCTION("""COMPUTED_VALUE"""),"0901133024")</f>
        <v>0901133024</v>
      </c>
      <c r="J101" s="76">
        <f>IFERROR(__xludf.DUMMYFUNCTION("""COMPUTED_VALUE"""),2.84)</f>
        <v>2.84</v>
      </c>
      <c r="K101" s="76">
        <f>IFERROR(__xludf.DUMMYFUNCTION("""COMPUTED_VALUE"""),115.0)</f>
        <v>115</v>
      </c>
      <c r="L101" s="76" t="str">
        <f>IFERROR(__xludf.DUMMYFUNCTION("""COMPUTED_VALUE"""),"Rồi")</f>
        <v>Rồi</v>
      </c>
      <c r="M101" s="76" t="str">
        <f>IFERROR(__xludf.DUMMYFUNCTION("""COMPUTED_VALUE"""),"Thực tập tốt nghiệp")</f>
        <v>Thực tập tốt nghiệp</v>
      </c>
      <c r="N101" s="76">
        <f>IFERROR(__xludf.DUMMYFUNCTION("""COMPUTED_VALUE"""),10.0)</f>
        <v>10</v>
      </c>
      <c r="O101" s="76" t="str">
        <f>IFERROR(__xludf.DUMMYFUNCTION("""COMPUTED_VALUE"""),"cam kết")</f>
        <v>cam kết</v>
      </c>
      <c r="P101" s="76"/>
      <c r="Q101" s="76"/>
      <c r="R101" s="76"/>
      <c r="S101" s="76" t="str">
        <f>IFERROR(__xludf.DUMMYFUNCTION("""COMPUTED_VALUE"""),"27/12/2024")</f>
        <v>27/12/2024</v>
      </c>
      <c r="T101" s="76"/>
      <c r="U101" s="102" t="str">
        <f>IFERROR(__xludf.DUMMYFUNCTION("""COMPUTED_VALUE"""),"Trần Thị Tâm Phúc")</f>
        <v>Trần Thị Tâm Phúc</v>
      </c>
      <c r="V101" s="76" t="str">
        <f>IFERROR(__xludf.DUMMYFUNCTION("""COMPUTED_VALUE"""),"Quản Trị Khách Sạn &amp; Nhà Hàng (Đại Học)")</f>
        <v>Quản Trị Khách Sạn &amp; Nhà Hàng (Đại Học)</v>
      </c>
      <c r="W101" s="76" t="str">
        <f>IFERROR(__xludf.DUMMYFUNCTION("""COMPUTED_VALUE"""),"Meliá Vinpearl Danang Riverfront")</f>
        <v>Meliá Vinpearl Danang Riverfront</v>
      </c>
      <c r="X101" s="76" t="str">
        <f>IFERROR(__xludf.DUMMYFUNCTION("""COMPUTED_VALUE"""),"Tiền sảnh")</f>
        <v>Tiền sảnh</v>
      </c>
      <c r="Y101" s="76" t="str">
        <f>IFERROR(__xludf.DUMMYFUNCTION("""COMPUTED_VALUE"""),"DUYỆT")</f>
        <v>DUYỆT</v>
      </c>
      <c r="Z101" s="76" t="str">
        <f>IFERROR(__xludf.DUMMYFUNCTION("""COMPUTED_VALUE"""),"CHUYÊN ĐỀ")</f>
        <v>CHUYÊN ĐỀ</v>
      </c>
      <c r="AA101" s="76" t="str">
        <f>IFERROR(__xludf.DUMMYFUNCTION("""COMPUTED_VALUE"""),"trantamphuc2@gmail.com")</f>
        <v>trantamphuc2@gmail.com</v>
      </c>
      <c r="AB101" s="76"/>
      <c r="AC101" s="76"/>
    </row>
    <row r="102">
      <c r="A102" s="100">
        <f>IFERROR(__xludf.DUMMYFUNCTION("""COMPUTED_VALUE"""),45650.58278457176)</f>
        <v>45650.58278</v>
      </c>
      <c r="B102" s="76" t="str">
        <f>IFERROR(__xludf.DUMMYFUNCTION("""COMPUTED_VALUE"""),"phamngochau2002@gmail.com")</f>
        <v>phamngochau2002@gmail.com</v>
      </c>
      <c r="C102" s="76">
        <f>IFERROR(__xludf.DUMMYFUNCTION("""COMPUTED_VALUE"""),2.6217135634E10)</f>
        <v>26217135634</v>
      </c>
      <c r="D102" s="76" t="str">
        <f>IFERROR(__xludf.DUMMYFUNCTION("""COMPUTED_VALUE"""),"Nguyễn Đức Hậu")</f>
        <v>Nguyễn Đức Hậu</v>
      </c>
      <c r="E102" s="101">
        <f>IFERROR(__xludf.DUMMYFUNCTION("""COMPUTED_VALUE"""),37396.0)</f>
        <v>37396</v>
      </c>
      <c r="F102" s="76" t="str">
        <f>IFERROR(__xludf.DUMMYFUNCTION("""COMPUTED_VALUE"""),"K26DLK2")</f>
        <v>K26DLK2</v>
      </c>
      <c r="G102" s="76" t="str">
        <f>IFERROR(__xludf.DUMMYFUNCTION("""COMPUTED_VALUE"""),"Quản trị Du lịch &amp; Khách sạn")</f>
        <v>Quản trị Du lịch &amp; Khách sạn</v>
      </c>
      <c r="H102" s="76" t="str">
        <f>IFERROR(__xludf.DUMMYFUNCTION("""COMPUTED_VALUE"""),"K26")</f>
        <v>K26</v>
      </c>
      <c r="I102" s="76" t="str">
        <f>IFERROR(__xludf.DUMMYFUNCTION("""COMPUTED_VALUE"""),"0916660275")</f>
        <v>0916660275</v>
      </c>
      <c r="J102" s="76">
        <f>IFERROR(__xludf.DUMMYFUNCTION("""COMPUTED_VALUE"""),1.92)</f>
        <v>1.92</v>
      </c>
      <c r="K102" s="76">
        <f>IFERROR(__xludf.DUMMYFUNCTION("""COMPUTED_VALUE"""),171.0)</f>
        <v>171</v>
      </c>
      <c r="L102" s="76" t="str">
        <f>IFERROR(__xludf.DUMMYFUNCTION("""COMPUTED_VALUE"""),"Rồi")</f>
        <v>Rồi</v>
      </c>
      <c r="M102" s="76" t="str">
        <f>IFERROR(__xludf.DUMMYFUNCTION("""COMPUTED_VALUE"""),"Thực tập tốt nghiệp")</f>
        <v>Thực tập tốt nghiệp</v>
      </c>
      <c r="N102" s="76">
        <f>IFERROR(__xludf.DUMMYFUNCTION("""COMPUTED_VALUE"""),133.0)</f>
        <v>133</v>
      </c>
      <c r="O102" s="76" t="str">
        <f>IFERROR(__xludf.DUMMYFUNCTION("""COMPUTED_VALUE"""),"cam kết")</f>
        <v>cam kết</v>
      </c>
      <c r="P102" s="76" t="str">
        <f>IFERROR(__xludf.DUMMYFUNCTION("""COMPUTED_VALUE"""),"ĐÃ NỘP")</f>
        <v>ĐÃ NỘP</v>
      </c>
      <c r="Q102" s="76" t="str">
        <f>IFERROR(__xludf.DUMMYFUNCTION("""COMPUTED_VALUE"""),"ĐÃ NỘP")</f>
        <v>ĐÃ NỘP</v>
      </c>
      <c r="R102" s="76">
        <f>IFERROR(__xludf.DUMMYFUNCTION("""COMPUTED_VALUE"""),9.0)</f>
        <v>9</v>
      </c>
      <c r="S102" s="76" t="str">
        <f>IFERROR(__xludf.DUMMYFUNCTION("""COMPUTED_VALUE"""),"20/01/2025")</f>
        <v>20/01/2025</v>
      </c>
      <c r="T102" s="76"/>
      <c r="U102" s="102" t="str">
        <f>IFERROR(__xludf.DUMMYFUNCTION("""COMPUTED_VALUE"""),"Nguyễn Đức Hậu")</f>
        <v>Nguyễn Đức Hậu</v>
      </c>
      <c r="V102" s="76" t="str">
        <f>IFERROR(__xludf.DUMMYFUNCTION("""COMPUTED_VALUE"""),"Quản Trị Khách Sạn &amp; Nhà Hàng (Đại Học)")</f>
        <v>Quản Trị Khách Sạn &amp; Nhà Hàng (Đại Học)</v>
      </c>
      <c r="W102" s="76" t="str">
        <f>IFERROR(__xludf.DUMMYFUNCTION("""COMPUTED_VALUE"""),"Hilton Garden Inn Danang")</f>
        <v>Hilton Garden Inn Danang</v>
      </c>
      <c r="X102" s="76" t="str">
        <f>IFERROR(__xludf.DUMMYFUNCTION("""COMPUTED_VALUE"""),"Buồng phòng")</f>
        <v>Buồng phòng</v>
      </c>
      <c r="Y102" s="76" t="str">
        <f>IFERROR(__xludf.DUMMYFUNCTION("""COMPUTED_VALUE"""),"DUYỆT")</f>
        <v>DUYỆT</v>
      </c>
      <c r="Z102" s="76" t="str">
        <f>IFERROR(__xludf.DUMMYFUNCTION("""COMPUTED_VALUE"""),"CHUYÊN ĐỀ")</f>
        <v>CHUYÊN ĐỀ</v>
      </c>
      <c r="AA102" s="76" t="str">
        <f>IFERROR(__xludf.DUMMYFUNCTION("""COMPUTED_VALUE"""),"phamngochau2002@gmail.com")</f>
        <v>phamngochau2002@gmail.com</v>
      </c>
      <c r="AB102" s="76"/>
      <c r="AC102" s="76"/>
    </row>
    <row r="103">
      <c r="A103" s="100">
        <f>IFERROR(__xludf.DUMMYFUNCTION("""COMPUTED_VALUE"""),45650.584725555556)</f>
        <v>45650.58473</v>
      </c>
      <c r="B103" s="76" t="str">
        <f>IFERROR(__xludf.DUMMYFUNCTION("""COMPUTED_VALUE"""),"luuvhamy@dtu.edu.vn")</f>
        <v>luuvhamy@dtu.edu.vn</v>
      </c>
      <c r="C103" s="76">
        <f>IFERROR(__xludf.DUMMYFUNCTION("""COMPUTED_VALUE"""),2.72133241E10)</f>
        <v>27213324100</v>
      </c>
      <c r="D103" s="76" t="str">
        <f>IFERROR(__xludf.DUMMYFUNCTION("""COMPUTED_VALUE"""),"Lưu Vương Hà My")</f>
        <v>Lưu Vương Hà My</v>
      </c>
      <c r="E103" s="101">
        <f>IFERROR(__xludf.DUMMYFUNCTION("""COMPUTED_VALUE"""),37826.0)</f>
        <v>37826</v>
      </c>
      <c r="F103" s="76" t="str">
        <f>IFERROR(__xludf.DUMMYFUNCTION("""COMPUTED_VALUE"""),"K27DLK7")</f>
        <v>K27DLK7</v>
      </c>
      <c r="G103" s="76" t="str">
        <f>IFERROR(__xludf.DUMMYFUNCTION("""COMPUTED_VALUE"""),"Quản trị Du lịch &amp; Khách sạn")</f>
        <v>Quản trị Du lịch &amp; Khách sạn</v>
      </c>
      <c r="H103" s="76" t="str">
        <f>IFERROR(__xludf.DUMMYFUNCTION("""COMPUTED_VALUE"""),"K27")</f>
        <v>K27</v>
      </c>
      <c r="I103" s="76" t="str">
        <f>IFERROR(__xludf.DUMMYFUNCTION("""COMPUTED_VALUE"""),"0359829347")</f>
        <v>0359829347</v>
      </c>
      <c r="J103" s="76">
        <f>IFERROR(__xludf.DUMMYFUNCTION("""COMPUTED_VALUE"""),2.99)</f>
        <v>2.99</v>
      </c>
      <c r="K103" s="76">
        <f>IFERROR(__xludf.DUMMYFUNCTION("""COMPUTED_VALUE"""),120.0)</f>
        <v>120</v>
      </c>
      <c r="L103" s="76" t="str">
        <f>IFERROR(__xludf.DUMMYFUNCTION("""COMPUTED_VALUE"""),"Rồi")</f>
        <v>Rồi</v>
      </c>
      <c r="M103" s="76" t="str">
        <f>IFERROR(__xludf.DUMMYFUNCTION("""COMPUTED_VALUE"""),"Thực tập tốt nghiệp")</f>
        <v>Thực tập tốt nghiệp</v>
      </c>
      <c r="N103" s="76">
        <f>IFERROR(__xludf.DUMMYFUNCTION("""COMPUTED_VALUE"""),3.0)</f>
        <v>3</v>
      </c>
      <c r="O103" s="76" t="str">
        <f>IFERROR(__xludf.DUMMYFUNCTION("""COMPUTED_VALUE"""),"cam kết")</f>
        <v>cam kết</v>
      </c>
      <c r="P103" s="76"/>
      <c r="Q103" s="76"/>
      <c r="R103" s="76"/>
      <c r="S103" s="76" t="str">
        <f>IFERROR(__xludf.DUMMYFUNCTION("""COMPUTED_VALUE"""),"27/12/2024")</f>
        <v>27/12/2024</v>
      </c>
      <c r="T103" s="76"/>
      <c r="U103" s="102" t="str">
        <f>IFERROR(__xludf.DUMMYFUNCTION("""COMPUTED_VALUE"""),"Lưu Vương Hà My")</f>
        <v>Lưu Vương Hà My</v>
      </c>
      <c r="V103" s="76" t="str">
        <f>IFERROR(__xludf.DUMMYFUNCTION("""COMPUTED_VALUE"""),"Quản Trị Khách Sạn &amp; Nhà Hàng (Đại Học)")</f>
        <v>Quản Trị Khách Sạn &amp; Nhà Hàng (Đại Học)</v>
      </c>
      <c r="W103" s="76" t="str">
        <f>IFERROR(__xludf.DUMMYFUNCTION("""COMPUTED_VALUE"""),"Khách sạn Shilla Monogram Quangnam Danang")</f>
        <v>Khách sạn Shilla Monogram Quangnam Danang</v>
      </c>
      <c r="X103" s="76" t="str">
        <f>IFERROR(__xludf.DUMMYFUNCTION("""COMPUTED_VALUE"""),"Nhà hàng")</f>
        <v>Nhà hàng</v>
      </c>
      <c r="Y103" s="76" t="str">
        <f>IFERROR(__xludf.DUMMYFUNCTION("""COMPUTED_VALUE"""),"DUYỆT")</f>
        <v>DUYỆT</v>
      </c>
      <c r="Z103" s="76" t="str">
        <f>IFERROR(__xludf.DUMMYFUNCTION("""COMPUTED_VALUE"""),"CHUYÊN ĐỀ")</f>
        <v>CHUYÊN ĐỀ</v>
      </c>
      <c r="AA103" s="76" t="str">
        <f>IFERROR(__xludf.DUMMYFUNCTION("""COMPUTED_VALUE"""),"luuvhamy@dtu.edu.vn")</f>
        <v>luuvhamy@dtu.edu.vn</v>
      </c>
      <c r="AB103" s="76"/>
      <c r="AC103" s="76"/>
    </row>
    <row r="104">
      <c r="A104" s="100">
        <f>IFERROR(__xludf.DUMMYFUNCTION("""COMPUTED_VALUE"""),45651.70460016203)</f>
        <v>45651.7046</v>
      </c>
      <c r="B104" s="76" t="str">
        <f>IFERROR(__xludf.DUMMYFUNCTION("""COMPUTED_VALUE"""),"tamthanhh.0510@gmail.com")</f>
        <v>tamthanhh.0510@gmail.com</v>
      </c>
      <c r="C104" s="76">
        <f>IFERROR(__xludf.DUMMYFUNCTION("""COMPUTED_VALUE"""),2.7207152986E10)</f>
        <v>27207152986</v>
      </c>
      <c r="D104" s="76" t="str">
        <f>IFERROR(__xludf.DUMMYFUNCTION("""COMPUTED_VALUE"""),"Ngô Thị Thanh Tâm ")</f>
        <v>Ngô Thị Thanh Tâm </v>
      </c>
      <c r="E104" s="101">
        <f>IFERROR(__xludf.DUMMYFUNCTION("""COMPUTED_VALUE"""),37899.0)</f>
        <v>37899</v>
      </c>
      <c r="F104" s="76" t="str">
        <f>IFERROR(__xludf.DUMMYFUNCTION("""COMPUTED_VALUE"""),"K27DLK6")</f>
        <v>K27DLK6</v>
      </c>
      <c r="G104" s="76" t="str">
        <f>IFERROR(__xludf.DUMMYFUNCTION("""COMPUTED_VALUE"""),"Quản trị Du lịch &amp; Khách sạn")</f>
        <v>Quản trị Du lịch &amp; Khách sạn</v>
      </c>
      <c r="H104" s="76" t="str">
        <f>IFERROR(__xludf.DUMMYFUNCTION("""COMPUTED_VALUE"""),"K27")</f>
        <v>K27</v>
      </c>
      <c r="I104" s="76" t="str">
        <f>IFERROR(__xludf.DUMMYFUNCTION("""COMPUTED_VALUE"""),"0905120615")</f>
        <v>0905120615</v>
      </c>
      <c r="J104" s="76">
        <f>IFERROR(__xludf.DUMMYFUNCTION("""COMPUTED_VALUE"""),3.55)</f>
        <v>3.55</v>
      </c>
      <c r="K104" s="76">
        <f>IFERROR(__xludf.DUMMYFUNCTION("""COMPUTED_VALUE"""),114.0)</f>
        <v>114</v>
      </c>
      <c r="L104" s="76" t="str">
        <f>IFERROR(__xludf.DUMMYFUNCTION("""COMPUTED_VALUE"""),"Rồi")</f>
        <v>Rồi</v>
      </c>
      <c r="M104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04" s="76">
        <f>IFERROR(__xludf.DUMMYFUNCTION("""COMPUTED_VALUE"""),9.0)</f>
        <v>9</v>
      </c>
      <c r="O104" s="76" t="str">
        <f>IFERROR(__xludf.DUMMYFUNCTION("""COMPUTED_VALUE"""),"cam kết")</f>
        <v>cam kết</v>
      </c>
      <c r="P104" s="76"/>
      <c r="Q104" s="76"/>
      <c r="R104" s="76"/>
      <c r="S104" s="76" t="str">
        <f>IFERROR(__xludf.DUMMYFUNCTION("""COMPUTED_VALUE"""),"27/12/2024")</f>
        <v>27/12/2024</v>
      </c>
      <c r="T104" s="76"/>
      <c r="U104" s="102" t="str">
        <f>IFERROR(__xludf.DUMMYFUNCTION("""COMPUTED_VALUE"""),"Ngô Thị Thanh Tâm")</f>
        <v>Ngô Thị Thanh Tâm</v>
      </c>
      <c r="V104" s="76" t="str">
        <f>IFERROR(__xludf.DUMMYFUNCTION("""COMPUTED_VALUE"""),"Quản Trị Khách Sạn &amp; Nhà Hàng (Đại Học)")</f>
        <v>Quản Trị Khách Sạn &amp; Nhà Hàng (Đại Học)</v>
      </c>
      <c r="W104" s="76" t="str">
        <f>IFERROR(__xludf.DUMMYFUNCTION("""COMPUTED_VALUE"""),"Hilton Garden Inn Danang")</f>
        <v>Hilton Garden Inn Danang</v>
      </c>
      <c r="X104" s="76" t="str">
        <f>IFERROR(__xludf.DUMMYFUNCTION("""COMPUTED_VALUE"""),"Nhà hàng")</f>
        <v>Nhà hàng</v>
      </c>
      <c r="Y104" s="76" t="str">
        <f>IFERROR(__xludf.DUMMYFUNCTION("""COMPUTED_VALUE"""),"DUYỆT")</f>
        <v>DUYỆT</v>
      </c>
      <c r="Z104" s="76" t="str">
        <f>IFERROR(__xludf.DUMMYFUNCTION("""COMPUTED_VALUE"""),"CHUYÊN ĐỀ")</f>
        <v>CHUYÊN ĐỀ</v>
      </c>
      <c r="AA104" s="76" t="str">
        <f>IFERROR(__xludf.DUMMYFUNCTION("""COMPUTED_VALUE"""),"tamthanhh.0510@gmail.com")</f>
        <v>tamthanhh.0510@gmail.com</v>
      </c>
      <c r="AB104" s="76" t="str">
        <f>IFERROR(__xludf.DUMMYFUNCTION("""COMPUTED_VALUE"""),"Ngô Thị Thanh Tâm ")</f>
        <v>Ngô Thị Thanh Tâm </v>
      </c>
      <c r="AC104" s="76" t="str">
        <f>IFERROR(__xludf.DUMMYFUNCTION("""COMPUTED_VALUE"""),"ĐÃ NỘP")</f>
        <v>ĐÃ NỘP</v>
      </c>
    </row>
    <row r="105">
      <c r="A105" s="100">
        <f>IFERROR(__xludf.DUMMYFUNCTION("""COMPUTED_VALUE"""),45700.886742627314)</f>
        <v>45700.88674</v>
      </c>
      <c r="B105" s="76" t="str">
        <f>IFERROR(__xludf.DUMMYFUNCTION("""COMPUTED_VALUE"""),"tranthithuytien151103@gmail.com")</f>
        <v>tranthithuytien151103@gmail.com</v>
      </c>
      <c r="C105" s="76">
        <f>IFERROR(__xludf.DUMMYFUNCTION("""COMPUTED_VALUE"""),2.7207102076E10)</f>
        <v>27207102076</v>
      </c>
      <c r="D105" s="76" t="str">
        <f>IFERROR(__xludf.DUMMYFUNCTION("""COMPUTED_VALUE"""),"Trần Thị Thủy Tiên ")</f>
        <v>Trần Thị Thủy Tiên </v>
      </c>
      <c r="E105" s="101">
        <f>IFERROR(__xludf.DUMMYFUNCTION("""COMPUTED_VALUE"""),37940.0)</f>
        <v>37940</v>
      </c>
      <c r="F105" s="76" t="str">
        <f>IFERROR(__xludf.DUMMYFUNCTION("""COMPUTED_VALUE"""),"K27DLK6")</f>
        <v>K27DLK6</v>
      </c>
      <c r="G105" s="76" t="str">
        <f>IFERROR(__xludf.DUMMYFUNCTION("""COMPUTED_VALUE"""),"Quản trị Du lịch &amp; Khách sạn")</f>
        <v>Quản trị Du lịch &amp; Khách sạn</v>
      </c>
      <c r="H105" s="76" t="str">
        <f>IFERROR(__xludf.DUMMYFUNCTION("""COMPUTED_VALUE"""),"K27")</f>
        <v>K27</v>
      </c>
      <c r="I105" s="76" t="str">
        <f>IFERROR(__xludf.DUMMYFUNCTION("""COMPUTED_VALUE"""),"0772557388")</f>
        <v>0772557388</v>
      </c>
      <c r="J105" s="76">
        <f>IFERROR(__xludf.DUMMYFUNCTION("""COMPUTED_VALUE"""),3.62)</f>
        <v>3.62</v>
      </c>
      <c r="K105" s="76">
        <f>IFERROR(__xludf.DUMMYFUNCTION("""COMPUTED_VALUE"""),122.0)</f>
        <v>122</v>
      </c>
      <c r="L105" s="76" t="str">
        <f>IFERROR(__xludf.DUMMYFUNCTION("""COMPUTED_VALUE"""),"Rồi")</f>
        <v>Rồi</v>
      </c>
      <c r="M105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05" s="76">
        <f>IFERROR(__xludf.DUMMYFUNCTION("""COMPUTED_VALUE"""),2.0)</f>
        <v>2</v>
      </c>
      <c r="O105" s="76" t="str">
        <f>IFERROR(__xludf.DUMMYFUNCTION("""COMPUTED_VALUE"""),"cam kết")</f>
        <v>cam kết</v>
      </c>
      <c r="P105" s="76"/>
      <c r="Q105" s="76"/>
      <c r="R105" s="76"/>
      <c r="S105" s="76" t="str">
        <f>IFERROR(__xludf.DUMMYFUNCTION("""COMPUTED_VALUE"""),"27/12/2024")</f>
        <v>27/12/2024</v>
      </c>
      <c r="T105" s="76"/>
      <c r="U105" s="102" t="str">
        <f>IFERROR(__xludf.DUMMYFUNCTION("""COMPUTED_VALUE"""),"Trần Thị Thủy Tiên")</f>
        <v>Trần Thị Thủy Tiên</v>
      </c>
      <c r="V105" s="76" t="str">
        <f>IFERROR(__xludf.DUMMYFUNCTION("""COMPUTED_VALUE"""),"Quản Trị Khách Sạn &amp; Nhà Hàng (Đại Học)")</f>
        <v>Quản Trị Khách Sạn &amp; Nhà Hàng (Đại Học)</v>
      </c>
      <c r="W105" s="76" t="str">
        <f>IFERROR(__xludf.DUMMYFUNCTION("""COMPUTED_VALUE"""),"Grand Mercure Đà Nẵng")</f>
        <v>Grand Mercure Đà Nẵng</v>
      </c>
      <c r="X105" s="76" t="str">
        <f>IFERROR(__xludf.DUMMYFUNCTION("""COMPUTED_VALUE"""),"Nhà hàng")</f>
        <v>Nhà hàng</v>
      </c>
      <c r="Y105" s="76" t="str">
        <f>IFERROR(__xludf.DUMMYFUNCTION("""COMPUTED_VALUE"""),"DUYỆT")</f>
        <v>DUYỆT</v>
      </c>
      <c r="Z105" s="76" t="str">
        <f>IFERROR(__xludf.DUMMYFUNCTION("""COMPUTED_VALUE"""),"CHUYÊN ĐỀ")</f>
        <v>CHUYÊN ĐỀ</v>
      </c>
      <c r="AA105" s="76" t="str">
        <f>IFERROR(__xludf.DUMMYFUNCTION("""COMPUTED_VALUE"""),"tranthithuytien151103@gmail.com")</f>
        <v>tranthithuytien151103@gmail.com</v>
      </c>
      <c r="AB105" s="76" t="str">
        <f>IFERROR(__xludf.DUMMYFUNCTION("""COMPUTED_VALUE"""),"Trần Thị Thủy Tiên")</f>
        <v>Trần Thị Thủy Tiên</v>
      </c>
      <c r="AC105" s="76" t="str">
        <f>IFERROR(__xludf.DUMMYFUNCTION("""COMPUTED_VALUE"""),"ĐÃ NỘP")</f>
        <v>ĐÃ NỘP</v>
      </c>
    </row>
    <row r="106">
      <c r="A106" s="100">
        <f>IFERROR(__xludf.DUMMYFUNCTION("""COMPUTED_VALUE"""),45651.51475178241)</f>
        <v>45651.51475</v>
      </c>
      <c r="B106" s="76" t="str">
        <f>IFERROR(__xludf.DUMMYFUNCTION("""COMPUTED_VALUE"""),"phtuongvy23@gmail.com")</f>
        <v>phtuongvy23@gmail.com</v>
      </c>
      <c r="C106" s="76">
        <f>IFERROR(__xludf.DUMMYFUNCTION("""COMPUTED_VALUE"""),2.7217135116E10)</f>
        <v>27217135116</v>
      </c>
      <c r="D106" s="76" t="str">
        <f>IFERROR(__xludf.DUMMYFUNCTION("""COMPUTED_VALUE"""),"Phạm Huỳnh Tường Vy")</f>
        <v>Phạm Huỳnh Tường Vy</v>
      </c>
      <c r="E106" s="101">
        <f>IFERROR(__xludf.DUMMYFUNCTION("""COMPUTED_VALUE"""),37705.0)</f>
        <v>37705</v>
      </c>
      <c r="F106" s="76" t="str">
        <f>IFERROR(__xludf.DUMMYFUNCTION("""COMPUTED_VALUE"""),"K27DLK3")</f>
        <v>K27DLK3</v>
      </c>
      <c r="G106" s="76" t="str">
        <f>IFERROR(__xludf.DUMMYFUNCTION("""COMPUTED_VALUE"""),"Quản trị Du lịch &amp; Khách sạn")</f>
        <v>Quản trị Du lịch &amp; Khách sạn</v>
      </c>
      <c r="H106" s="76" t="str">
        <f>IFERROR(__xludf.DUMMYFUNCTION("""COMPUTED_VALUE"""),"K27")</f>
        <v>K27</v>
      </c>
      <c r="I106" s="76" t="str">
        <f>IFERROR(__xludf.DUMMYFUNCTION("""COMPUTED_VALUE"""),"0708179364")</f>
        <v>0708179364</v>
      </c>
      <c r="J106" s="76" t="str">
        <f>IFERROR(__xludf.DUMMYFUNCTION("""COMPUTED_VALUE"""),"2,59")</f>
        <v>2,59</v>
      </c>
      <c r="K106" s="76">
        <f>IFERROR(__xludf.DUMMYFUNCTION("""COMPUTED_VALUE"""),110.0)</f>
        <v>110</v>
      </c>
      <c r="L106" s="76" t="str">
        <f>IFERROR(__xludf.DUMMYFUNCTION("""COMPUTED_VALUE"""),"Rồi")</f>
        <v>Rồi</v>
      </c>
      <c r="M106" s="76" t="str">
        <f>IFERROR(__xludf.DUMMYFUNCTION("""COMPUTED_VALUE"""),"Thực tập tốt nghiệp")</f>
        <v>Thực tập tốt nghiệp</v>
      </c>
      <c r="N106" s="76">
        <f>IFERROR(__xludf.DUMMYFUNCTION("""COMPUTED_VALUE"""),7.0)</f>
        <v>7</v>
      </c>
      <c r="O106" s="76" t="str">
        <f>IFERROR(__xludf.DUMMYFUNCTION("""COMPUTED_VALUE"""),"cam kết")</f>
        <v>cam kết</v>
      </c>
      <c r="P106" s="76"/>
      <c r="Q106" s="76"/>
      <c r="R106" s="76"/>
      <c r="S106" s="76" t="str">
        <f>IFERROR(__xludf.DUMMYFUNCTION("""COMPUTED_VALUE"""),"27/12/2024")</f>
        <v>27/12/2024</v>
      </c>
      <c r="T106" s="76"/>
      <c r="U106" s="102" t="str">
        <f>IFERROR(__xludf.DUMMYFUNCTION("""COMPUTED_VALUE"""),"Phạm Huỳnh Tường Vy")</f>
        <v>Phạm Huỳnh Tường Vy</v>
      </c>
      <c r="V106" s="76" t="str">
        <f>IFERROR(__xludf.DUMMYFUNCTION("""COMPUTED_VALUE"""),"Quản Trị Khách Sạn &amp; Nhà Hàng (Đại Học)")</f>
        <v>Quản Trị Khách Sạn &amp; Nhà Hàng (Đại Học)</v>
      </c>
      <c r="W106" s="76" t="str">
        <f>IFERROR(__xludf.DUMMYFUNCTION("""COMPUTED_VALUE"""),"Risemount Premier Resort Danang")</f>
        <v>Risemount Premier Resort Danang</v>
      </c>
      <c r="X106" s="76" t="str">
        <f>IFERROR(__xludf.DUMMYFUNCTION("""COMPUTED_VALUE"""),"Nhà hàng, Buồng phòng")</f>
        <v>Nhà hàng, Buồng phòng</v>
      </c>
      <c r="Y106" s="76" t="str">
        <f>IFERROR(__xludf.DUMMYFUNCTION("""COMPUTED_VALUE"""),"DUYỆT")</f>
        <v>DUYỆT</v>
      </c>
      <c r="Z106" s="76" t="str">
        <f>IFERROR(__xludf.DUMMYFUNCTION("""COMPUTED_VALUE"""),"không đủ điều kiện")</f>
        <v>không đủ điều kiện</v>
      </c>
      <c r="AA106" s="76" t="str">
        <f>IFERROR(__xludf.DUMMYFUNCTION("""COMPUTED_VALUE"""),"phtuongvy23@gmail.com")</f>
        <v>phtuongvy23@gmail.com</v>
      </c>
      <c r="AB106" s="76"/>
      <c r="AC106" s="76"/>
    </row>
    <row r="107">
      <c r="A107" s="100">
        <f>IFERROR(__xludf.DUMMYFUNCTION("""COMPUTED_VALUE"""),45650.59898879629)</f>
        <v>45650.59899</v>
      </c>
      <c r="B107" s="76" t="str">
        <f>IFERROR(__xludf.DUMMYFUNCTION("""COMPUTED_VALUE"""),"tranquocdang7713@gmail.com")</f>
        <v>tranquocdang7713@gmail.com</v>
      </c>
      <c r="C107" s="76">
        <f>IFERROR(__xludf.DUMMYFUNCTION("""COMPUTED_VALUE"""),2.7217146484E10)</f>
        <v>27217146484</v>
      </c>
      <c r="D107" s="76" t="str">
        <f>IFERROR(__xludf.DUMMYFUNCTION("""COMPUTED_VALUE"""),"Trần Quốc Đăng")</f>
        <v>Trần Quốc Đăng</v>
      </c>
      <c r="E107" s="101">
        <f>IFERROR(__xludf.DUMMYFUNCTION("""COMPUTED_VALUE"""),37603.0)</f>
        <v>37603</v>
      </c>
      <c r="F107" s="76" t="str">
        <f>IFERROR(__xludf.DUMMYFUNCTION("""COMPUTED_VALUE"""),"K27DLK1")</f>
        <v>K27DLK1</v>
      </c>
      <c r="G107" s="76" t="str">
        <f>IFERROR(__xludf.DUMMYFUNCTION("""COMPUTED_VALUE"""),"Quản trị Du lịch &amp; Khách sạn")</f>
        <v>Quản trị Du lịch &amp; Khách sạn</v>
      </c>
      <c r="H107" s="76" t="str">
        <f>IFERROR(__xludf.DUMMYFUNCTION("""COMPUTED_VALUE"""),"K27")</f>
        <v>K27</v>
      </c>
      <c r="I107" s="76" t="str">
        <f>IFERROR(__xludf.DUMMYFUNCTION("""COMPUTED_VALUE"""),"0377305613")</f>
        <v>0377305613</v>
      </c>
      <c r="J107" s="76">
        <f>IFERROR(__xludf.DUMMYFUNCTION("""COMPUTED_VALUE"""),3.6)</f>
        <v>3.6</v>
      </c>
      <c r="K107" s="76">
        <f>IFERROR(__xludf.DUMMYFUNCTION("""COMPUTED_VALUE"""),117.0)</f>
        <v>117</v>
      </c>
      <c r="L107" s="76" t="str">
        <f>IFERROR(__xludf.DUMMYFUNCTION("""COMPUTED_VALUE"""),"Rồi")</f>
        <v>Rồi</v>
      </c>
      <c r="M107" s="76" t="str">
        <f>IFERROR(__xludf.DUMMYFUNCTION("""COMPUTED_VALUE"""),"Thực tập tốt nghiệp")</f>
        <v>Thực tập tốt nghiệp</v>
      </c>
      <c r="N107" s="76">
        <f>IFERROR(__xludf.DUMMYFUNCTION("""COMPUTED_VALUE"""),7.0)</f>
        <v>7</v>
      </c>
      <c r="O107" s="76" t="str">
        <f>IFERROR(__xludf.DUMMYFUNCTION("""COMPUTED_VALUE"""),"cam kết")</f>
        <v>cam kết</v>
      </c>
      <c r="P107" s="76"/>
      <c r="Q107" s="76"/>
      <c r="R107" s="76"/>
      <c r="S107" s="76" t="str">
        <f>IFERROR(__xludf.DUMMYFUNCTION("""COMPUTED_VALUE"""),"27/12/2024")</f>
        <v>27/12/2024</v>
      </c>
      <c r="T107" s="76"/>
      <c r="U107" s="102" t="str">
        <f>IFERROR(__xludf.DUMMYFUNCTION("""COMPUTED_VALUE"""),"Trần Quốc Đăng")</f>
        <v>Trần Quốc Đăng</v>
      </c>
      <c r="V107" s="76" t="str">
        <f>IFERROR(__xludf.DUMMYFUNCTION("""COMPUTED_VALUE"""),"Quản Trị Khách Sạn &amp; Nhà Hàng (Đại Học)")</f>
        <v>Quản Trị Khách Sạn &amp; Nhà Hàng (Đại Học)</v>
      </c>
      <c r="W107" s="76" t="str">
        <f>IFERROR(__xludf.DUMMYFUNCTION("""COMPUTED_VALUE"""),"Diamond Sea Hotel")</f>
        <v>Diamond Sea Hotel</v>
      </c>
      <c r="X107" s="76" t="str">
        <f>IFERROR(__xludf.DUMMYFUNCTION("""COMPUTED_VALUE"""),"Nhà hàng")</f>
        <v>Nhà hàng</v>
      </c>
      <c r="Y107" s="76" t="str">
        <f>IFERROR(__xludf.DUMMYFUNCTION("""COMPUTED_VALUE"""),"DUYỆT")</f>
        <v>DUYỆT</v>
      </c>
      <c r="Z107" s="76" t="str">
        <f>IFERROR(__xludf.DUMMYFUNCTION("""COMPUTED_VALUE"""),"CHUYÊN ĐỀ")</f>
        <v>CHUYÊN ĐỀ</v>
      </c>
      <c r="AA107" s="76" t="str">
        <f>IFERROR(__xludf.DUMMYFUNCTION("""COMPUTED_VALUE"""),"tranquocdang7713@gmail.com")</f>
        <v>tranquocdang7713@gmail.com</v>
      </c>
      <c r="AB107" s="76" t="str">
        <f>IFERROR(__xludf.DUMMYFUNCTION("""COMPUTED_VALUE"""),"#N/A")</f>
        <v>#N/A</v>
      </c>
      <c r="AC107" s="76" t="str">
        <f>IFERROR(__xludf.DUMMYFUNCTION("""COMPUTED_VALUE"""),"#N/A")</f>
        <v>#N/A</v>
      </c>
    </row>
    <row r="108">
      <c r="A108" s="100">
        <f>IFERROR(__xludf.DUMMYFUNCTION("""COMPUTED_VALUE"""),45650.608315335645)</f>
        <v>45650.60832</v>
      </c>
      <c r="B108" s="76" t="str">
        <f>IFERROR(__xludf.DUMMYFUNCTION("""COMPUTED_VALUE"""),"giang186asd@gmail.com")</f>
        <v>giang186asd@gmail.com</v>
      </c>
      <c r="C108" s="76">
        <f>IFERROR(__xludf.DUMMYFUNCTION("""COMPUTED_VALUE"""),2.7207140437E10)</f>
        <v>27207140437</v>
      </c>
      <c r="D108" s="76" t="str">
        <f>IFERROR(__xludf.DUMMYFUNCTION("""COMPUTED_VALUE"""),"Huỳnh Phạm Hương Giang")</f>
        <v>Huỳnh Phạm Hương Giang</v>
      </c>
      <c r="E108" s="101">
        <f>IFERROR(__xludf.DUMMYFUNCTION("""COMPUTED_VALUE"""),37790.0)</f>
        <v>37790</v>
      </c>
      <c r="F108" s="76" t="str">
        <f>IFERROR(__xludf.DUMMYFUNCTION("""COMPUTED_VALUE"""),"K27DLK3")</f>
        <v>K27DLK3</v>
      </c>
      <c r="G108" s="76" t="str">
        <f>IFERROR(__xludf.DUMMYFUNCTION("""COMPUTED_VALUE"""),"Quản trị Du lịch &amp; Khách sạn")</f>
        <v>Quản trị Du lịch &amp; Khách sạn</v>
      </c>
      <c r="H108" s="76" t="str">
        <f>IFERROR(__xludf.DUMMYFUNCTION("""COMPUTED_VALUE"""),"K27")</f>
        <v>K27</v>
      </c>
      <c r="I108" s="76" t="str">
        <f>IFERROR(__xludf.DUMMYFUNCTION("""COMPUTED_VALUE"""),"0708010637")</f>
        <v>0708010637</v>
      </c>
      <c r="J108" s="76">
        <f>IFERROR(__xludf.DUMMYFUNCTION("""COMPUTED_VALUE"""),2.95)</f>
        <v>2.95</v>
      </c>
      <c r="K108" s="76">
        <f>IFERROR(__xludf.DUMMYFUNCTION("""COMPUTED_VALUE"""),119.0)</f>
        <v>119</v>
      </c>
      <c r="L108" s="76" t="str">
        <f>IFERROR(__xludf.DUMMYFUNCTION("""COMPUTED_VALUE"""),"Rồi")</f>
        <v>Rồi</v>
      </c>
      <c r="M108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08" s="76">
        <f>IFERROR(__xludf.DUMMYFUNCTION("""COMPUTED_VALUE"""),9.0)</f>
        <v>9</v>
      </c>
      <c r="O108" s="76" t="str">
        <f>IFERROR(__xludf.DUMMYFUNCTION("""COMPUTED_VALUE"""),"cam kết")</f>
        <v>cam kết</v>
      </c>
      <c r="P108" s="76"/>
      <c r="Q108" s="76"/>
      <c r="R108" s="76"/>
      <c r="S108" s="76" t="str">
        <f>IFERROR(__xludf.DUMMYFUNCTION("""COMPUTED_VALUE"""),"27/12/2024")</f>
        <v>27/12/2024</v>
      </c>
      <c r="T108" s="76"/>
      <c r="U108" s="102" t="str">
        <f>IFERROR(__xludf.DUMMYFUNCTION("""COMPUTED_VALUE"""),"Huỳnh Phạm Hương Giang")</f>
        <v>Huỳnh Phạm Hương Giang</v>
      </c>
      <c r="V108" s="76" t="str">
        <f>IFERROR(__xludf.DUMMYFUNCTION("""COMPUTED_VALUE"""),"Quản Trị Khách Sạn &amp; Nhà Hàng (Đại Học)")</f>
        <v>Quản Trị Khách Sạn &amp; Nhà Hàng (Đại Học)</v>
      </c>
      <c r="W108" s="76" t="str">
        <f>IFERROR(__xludf.DUMMYFUNCTION("""COMPUTED_VALUE"""),"Chicland Hotel")</f>
        <v>Chicland Hotel</v>
      </c>
      <c r="X108" s="76" t="str">
        <f>IFERROR(__xludf.DUMMYFUNCTION("""COMPUTED_VALUE"""),"Nhà hàng")</f>
        <v>Nhà hàng</v>
      </c>
      <c r="Y108" s="76" t="str">
        <f>IFERROR(__xludf.DUMMYFUNCTION("""COMPUTED_VALUE"""),"DUYỆT")</f>
        <v>DUYỆT</v>
      </c>
      <c r="Z108" s="76" t="str">
        <f>IFERROR(__xludf.DUMMYFUNCTION("""COMPUTED_VALUE"""),"CHUYÊN ĐỀ")</f>
        <v>CHUYÊN ĐỀ</v>
      </c>
      <c r="AA108" s="76" t="str">
        <f>IFERROR(__xludf.DUMMYFUNCTION("""COMPUTED_VALUE"""),"giang186asd@gmail.com")</f>
        <v>giang186asd@gmail.com</v>
      </c>
      <c r="AB108" s="76"/>
      <c r="AC108" s="76"/>
    </row>
    <row r="109">
      <c r="A109" s="100">
        <f>IFERROR(__xludf.DUMMYFUNCTION("""COMPUTED_VALUE"""),45650.6474883912)</f>
        <v>45650.64749</v>
      </c>
      <c r="B109" s="76" t="str">
        <f>IFERROR(__xludf.DUMMYFUNCTION("""COMPUTED_VALUE"""),"lekieutrinh23022@gmail.com")</f>
        <v>lekieutrinh23022@gmail.com</v>
      </c>
      <c r="C109" s="76">
        <f>IFERROR(__xludf.DUMMYFUNCTION("""COMPUTED_VALUE"""),2.7215131988E10)</f>
        <v>27215131988</v>
      </c>
      <c r="D109" s="76" t="str">
        <f>IFERROR(__xludf.DUMMYFUNCTION("""COMPUTED_VALUE"""),"Nguyễn Lê Kiều Trinh")</f>
        <v>Nguyễn Lê Kiều Trinh</v>
      </c>
      <c r="E109" s="101">
        <f>IFERROR(__xludf.DUMMYFUNCTION("""COMPUTED_VALUE"""),37675.0)</f>
        <v>37675</v>
      </c>
      <c r="F109" s="76" t="str">
        <f>IFERROR(__xludf.DUMMYFUNCTION("""COMPUTED_VALUE"""),"K27-DLK7")</f>
        <v>K27-DLK7</v>
      </c>
      <c r="G109" s="76" t="str">
        <f>IFERROR(__xludf.DUMMYFUNCTION("""COMPUTED_VALUE"""),"Quản trị Du lịch &amp; Khách sạn")</f>
        <v>Quản trị Du lịch &amp; Khách sạn</v>
      </c>
      <c r="H109" s="76" t="str">
        <f>IFERROR(__xludf.DUMMYFUNCTION("""COMPUTED_VALUE"""),"K27")</f>
        <v>K27</v>
      </c>
      <c r="I109" s="76" t="str">
        <f>IFERROR(__xludf.DUMMYFUNCTION("""COMPUTED_VALUE"""),"0389366431")</f>
        <v>0389366431</v>
      </c>
      <c r="J109" s="76">
        <f>IFERROR(__xludf.DUMMYFUNCTION("""COMPUTED_VALUE"""),3.15)</f>
        <v>3.15</v>
      </c>
      <c r="K109" s="76">
        <f>IFERROR(__xludf.DUMMYFUNCTION("""COMPUTED_VALUE"""),115.0)</f>
        <v>115</v>
      </c>
      <c r="L109" s="76" t="str">
        <f>IFERROR(__xludf.DUMMYFUNCTION("""COMPUTED_VALUE"""),"Rồi")</f>
        <v>Rồi</v>
      </c>
      <c r="M109" s="76" t="str">
        <f>IFERROR(__xludf.DUMMYFUNCTION("""COMPUTED_VALUE"""),"Thực tập tốt nghiệp")</f>
        <v>Thực tập tốt nghiệp</v>
      </c>
      <c r="N109" s="76">
        <f>IFERROR(__xludf.DUMMYFUNCTION("""COMPUTED_VALUE"""),8.0)</f>
        <v>8</v>
      </c>
      <c r="O109" s="76" t="str">
        <f>IFERROR(__xludf.DUMMYFUNCTION("""COMPUTED_VALUE"""),"cam kết")</f>
        <v>cam kết</v>
      </c>
      <c r="P109" s="76"/>
      <c r="Q109" s="76"/>
      <c r="R109" s="76"/>
      <c r="S109" s="76" t="str">
        <f>IFERROR(__xludf.DUMMYFUNCTION("""COMPUTED_VALUE"""),"27/12/2024")</f>
        <v>27/12/2024</v>
      </c>
      <c r="T109" s="76"/>
      <c r="U109" s="102" t="str">
        <f>IFERROR(__xludf.DUMMYFUNCTION("""COMPUTED_VALUE"""),"Nguyễn Lê Kiều Trinh")</f>
        <v>Nguyễn Lê Kiều Trinh</v>
      </c>
      <c r="V109" s="76" t="str">
        <f>IFERROR(__xludf.DUMMYFUNCTION("""COMPUTED_VALUE"""),"Quản Trị Khách Sạn &amp; Nhà Hàng (Đại Học)")</f>
        <v>Quản Trị Khách Sạn &amp; Nhà Hàng (Đại Học)</v>
      </c>
      <c r="W109" s="76" t="str">
        <f>IFERROR(__xludf.DUMMYFUNCTION("""COMPUTED_VALUE"""),"Diamond Sea Hotel")</f>
        <v>Diamond Sea Hotel</v>
      </c>
      <c r="X109" s="76" t="str">
        <f>IFERROR(__xludf.DUMMYFUNCTION("""COMPUTED_VALUE"""),"Nhà hàng")</f>
        <v>Nhà hàng</v>
      </c>
      <c r="Y109" s="76" t="str">
        <f>IFERROR(__xludf.DUMMYFUNCTION("""COMPUTED_VALUE"""),"DUYỆT")</f>
        <v>DUYỆT</v>
      </c>
      <c r="Z109" s="76" t="str">
        <f>IFERROR(__xludf.DUMMYFUNCTION("""COMPUTED_VALUE"""),"CHUYÊN ĐỀ")</f>
        <v>CHUYÊN ĐỀ</v>
      </c>
      <c r="AA109" s="76" t="str">
        <f>IFERROR(__xludf.DUMMYFUNCTION("""COMPUTED_VALUE"""),"lekieutrinh23022@gmail.com")</f>
        <v>lekieutrinh23022@gmail.com</v>
      </c>
      <c r="AB109" s="76"/>
      <c r="AC109" s="76"/>
    </row>
    <row r="110">
      <c r="A110" s="100">
        <f>IFERROR(__xludf.DUMMYFUNCTION("""COMPUTED_VALUE"""),45650.61849453703)</f>
        <v>45650.61849</v>
      </c>
      <c r="B110" s="76" t="str">
        <f>IFERROR(__xludf.DUMMYFUNCTION("""COMPUTED_VALUE"""),"quanchun002@gmail.com")</f>
        <v>quanchun002@gmail.com</v>
      </c>
      <c r="C110" s="76">
        <f>IFERROR(__xludf.DUMMYFUNCTION("""COMPUTED_VALUE"""),2.6217141046E10)</f>
        <v>26217141046</v>
      </c>
      <c r="D110" s="76" t="str">
        <f>IFERROR(__xludf.DUMMYFUNCTION("""COMPUTED_VALUE"""),"Hoàng Đình Quân")</f>
        <v>Hoàng Đình Quân</v>
      </c>
      <c r="E110" s="101">
        <f>IFERROR(__xludf.DUMMYFUNCTION("""COMPUTED_VALUE"""),37290.0)</f>
        <v>37290</v>
      </c>
      <c r="F110" s="76" t="str">
        <f>IFERROR(__xludf.DUMMYFUNCTION("""COMPUTED_VALUE"""),"K26DLK6")</f>
        <v>K26DLK6</v>
      </c>
      <c r="G110" s="76" t="str">
        <f>IFERROR(__xludf.DUMMYFUNCTION("""COMPUTED_VALUE"""),"Quản trị Du lịch &amp; Khách sạn")</f>
        <v>Quản trị Du lịch &amp; Khách sạn</v>
      </c>
      <c r="H110" s="76" t="str">
        <f>IFERROR(__xludf.DUMMYFUNCTION("""COMPUTED_VALUE"""),"K26")</f>
        <v>K26</v>
      </c>
      <c r="I110" s="76" t="str">
        <f>IFERROR(__xludf.DUMMYFUNCTION("""COMPUTED_VALUE"""),"0866161610")</f>
        <v>0866161610</v>
      </c>
      <c r="J110" s="76">
        <f>IFERROR(__xludf.DUMMYFUNCTION("""COMPUTED_VALUE"""),2.03)</f>
        <v>2.03</v>
      </c>
      <c r="K110" s="76">
        <f>IFERROR(__xludf.DUMMYFUNCTION("""COMPUTED_VALUE"""),125.0)</f>
        <v>125</v>
      </c>
      <c r="L110" s="76" t="str">
        <f>IFERROR(__xludf.DUMMYFUNCTION("""COMPUTED_VALUE"""),"Rồi")</f>
        <v>Rồi</v>
      </c>
      <c r="M110" s="76" t="str">
        <f>IFERROR(__xludf.DUMMYFUNCTION("""COMPUTED_VALUE"""),"Thực tập tốt nghiệp")</f>
        <v>Thực tập tốt nghiệp</v>
      </c>
      <c r="N110" s="76">
        <f>IFERROR(__xludf.DUMMYFUNCTION("""COMPUTED_VALUE"""),8.0)</f>
        <v>8</v>
      </c>
      <c r="O110" s="76" t="str">
        <f>IFERROR(__xludf.DUMMYFUNCTION("""COMPUTED_VALUE"""),"cam kết")</f>
        <v>cam kết</v>
      </c>
      <c r="P110" s="76"/>
      <c r="Q110" s="76" t="str">
        <f>IFERROR(__xludf.DUMMYFUNCTION("""COMPUTED_VALUE"""),"CHƯA NỘP")</f>
        <v>CHƯA NỘP</v>
      </c>
      <c r="R110" s="76">
        <f>IFERROR(__xludf.DUMMYFUNCTION("""COMPUTED_VALUE"""),10.0)</f>
        <v>10</v>
      </c>
      <c r="S110" s="76"/>
      <c r="T110" s="76"/>
      <c r="U110" s="102" t="str">
        <f>IFERROR(__xludf.DUMMYFUNCTION("""COMPUTED_VALUE"""),"Hoàng Đình Quân")</f>
        <v>Hoàng Đình Quân</v>
      </c>
      <c r="V110" s="76" t="str">
        <f>IFERROR(__xludf.DUMMYFUNCTION("""COMPUTED_VALUE"""),"Quản Trị Khách Sạn &amp; Nhà Hàng (Đại Học)")</f>
        <v>Quản Trị Khách Sạn &amp; Nhà Hàng (Đại Học)</v>
      </c>
      <c r="W110" s="76" t="str">
        <f>IFERROR(__xludf.DUMMYFUNCTION("""COMPUTED_VALUE"""),"#N/A")</f>
        <v>#N/A</v>
      </c>
      <c r="X110" s="76" t="str">
        <f>IFERROR(__xludf.DUMMYFUNCTION("""COMPUTED_VALUE"""),"#N/A")</f>
        <v>#N/A</v>
      </c>
      <c r="Y110" s="76" t="str">
        <f>IFERROR(__xludf.DUMMYFUNCTION("""COMPUTED_VALUE"""),"#N/A")</f>
        <v>#N/A</v>
      </c>
      <c r="Z110" s="76" t="str">
        <f>IFERROR(__xludf.DUMMYFUNCTION("""COMPUTED_VALUE"""),"HỦY HỒ SƠ ĐĂNG KÝ THAM DỰ TỐT NGHIỆP ĐỢT 06/2025")</f>
        <v>HỦY HỒ SƠ ĐĂNG KÝ THAM DỰ TỐT NGHIỆP ĐỢT 06/2025</v>
      </c>
      <c r="AA110" s="76" t="str">
        <f>IFERROR(__xludf.DUMMYFUNCTION("""COMPUTED_VALUE"""),"quanchun002@gmail.com")</f>
        <v>quanchun002@gmail.com</v>
      </c>
      <c r="AB110" s="76"/>
      <c r="AC110" s="76"/>
    </row>
    <row r="111">
      <c r="A111" s="100">
        <f>IFERROR(__xludf.DUMMYFUNCTION("""COMPUTED_VALUE"""),45650.62755355324)</f>
        <v>45650.62755</v>
      </c>
      <c r="B111" s="76" t="str">
        <f>IFERROR(__xludf.DUMMYFUNCTION("""COMPUTED_VALUE"""),"phunhannguyen1003@gmail.com")</f>
        <v>phunhannguyen1003@gmail.com</v>
      </c>
      <c r="C111" s="76">
        <f>IFERROR(__xludf.DUMMYFUNCTION("""COMPUTED_VALUE"""),2.7217120413E10)</f>
        <v>27217120413</v>
      </c>
      <c r="D111" s="76" t="str">
        <f>IFERROR(__xludf.DUMMYFUNCTION("""COMPUTED_VALUE"""),"Nguyễn Phú Nhân")</f>
        <v>Nguyễn Phú Nhân</v>
      </c>
      <c r="E111" s="101">
        <f>IFERROR(__xludf.DUMMYFUNCTION("""COMPUTED_VALUE"""),37325.0)</f>
        <v>37325</v>
      </c>
      <c r="F111" s="76" t="str">
        <f>IFERROR(__xludf.DUMMYFUNCTION("""COMPUTED_VALUE"""),"K27DLK 1")</f>
        <v>K27DLK 1</v>
      </c>
      <c r="G111" s="76" t="str">
        <f>IFERROR(__xludf.DUMMYFUNCTION("""COMPUTED_VALUE"""),"Quản trị Du lịch &amp; Khách sạn")</f>
        <v>Quản trị Du lịch &amp; Khách sạn</v>
      </c>
      <c r="H111" s="76" t="str">
        <f>IFERROR(__xludf.DUMMYFUNCTION("""COMPUTED_VALUE"""),"K27")</f>
        <v>K27</v>
      </c>
      <c r="I111" s="76" t="str">
        <f>IFERROR(__xludf.DUMMYFUNCTION("""COMPUTED_VALUE"""),"0905936118")</f>
        <v>0905936118</v>
      </c>
      <c r="J111" s="76">
        <f>IFERROR(__xludf.DUMMYFUNCTION("""COMPUTED_VALUE"""),3.44)</f>
        <v>3.44</v>
      </c>
      <c r="K111" s="76">
        <f>IFERROR(__xludf.DUMMYFUNCTION("""COMPUTED_VALUE"""),120.0)</f>
        <v>120</v>
      </c>
      <c r="L111" s="76" t="str">
        <f>IFERROR(__xludf.DUMMYFUNCTION("""COMPUTED_VALUE"""),"Rồi")</f>
        <v>Rồi</v>
      </c>
      <c r="M111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11" s="76">
        <f>IFERROR(__xludf.DUMMYFUNCTION("""COMPUTED_VALUE"""),3.0)</f>
        <v>3</v>
      </c>
      <c r="O111" s="76" t="str">
        <f>IFERROR(__xludf.DUMMYFUNCTION("""COMPUTED_VALUE"""),"cam kết")</f>
        <v>cam kết</v>
      </c>
      <c r="P111" s="76"/>
      <c r="Q111" s="76"/>
      <c r="R111" s="76"/>
      <c r="S111" s="76" t="str">
        <f>IFERROR(__xludf.DUMMYFUNCTION("""COMPUTED_VALUE"""),"27/12/2024")</f>
        <v>27/12/2024</v>
      </c>
      <c r="T111" s="76"/>
      <c r="U111" s="102" t="str">
        <f>IFERROR(__xludf.DUMMYFUNCTION("""COMPUTED_VALUE"""),"Nguyễn Phú Nhân")</f>
        <v>Nguyễn Phú Nhân</v>
      </c>
      <c r="V111" s="76" t="str">
        <f>IFERROR(__xludf.DUMMYFUNCTION("""COMPUTED_VALUE"""),"Quản Trị Khách Sạn &amp; Nhà Hàng (Đại Học)")</f>
        <v>Quản Trị Khách Sạn &amp; Nhà Hàng (Đại Học)</v>
      </c>
      <c r="W111" s="76" t="str">
        <f>IFERROR(__xludf.DUMMYFUNCTION("""COMPUTED_VALUE"""),"Wyndham DaNang Golden Bay")</f>
        <v>Wyndham DaNang Golden Bay</v>
      </c>
      <c r="X111" s="76" t="str">
        <f>IFERROR(__xludf.DUMMYFUNCTION("""COMPUTED_VALUE"""),"Nhà hàng")</f>
        <v>Nhà hàng</v>
      </c>
      <c r="Y111" s="76" t="str">
        <f>IFERROR(__xludf.DUMMYFUNCTION("""COMPUTED_VALUE"""),"DUYỆT")</f>
        <v>DUYỆT</v>
      </c>
      <c r="Z111" s="76" t="str">
        <f>IFERROR(__xludf.DUMMYFUNCTION("""COMPUTED_VALUE"""),"CHUYÊN ĐỀ")</f>
        <v>CHUYÊN ĐỀ</v>
      </c>
      <c r="AA111" s="76" t="str">
        <f>IFERROR(__xludf.DUMMYFUNCTION("""COMPUTED_VALUE"""),"phunhannguyen1003@gmail.com")</f>
        <v>phunhannguyen1003@gmail.com</v>
      </c>
      <c r="AB111" s="76" t="str">
        <f>IFERROR(__xludf.DUMMYFUNCTION("""COMPUTED_VALUE"""),"Nguyễn Phú Nhân")</f>
        <v>Nguyễn Phú Nhân</v>
      </c>
      <c r="AC111" s="76" t="str">
        <f>IFERROR(__xludf.DUMMYFUNCTION("""COMPUTED_VALUE"""),"ĐÃ NỘP")</f>
        <v>ĐÃ NỘP</v>
      </c>
    </row>
    <row r="112">
      <c r="A112" s="100">
        <f>IFERROR(__xludf.DUMMYFUNCTION("""COMPUTED_VALUE"""),45650.62872197917)</f>
        <v>45650.62872</v>
      </c>
      <c r="B112" s="76" t="str">
        <f>IFERROR(__xludf.DUMMYFUNCTION("""COMPUTED_VALUE"""),"huynhaily03@gmail.com")</f>
        <v>huynhaily03@gmail.com</v>
      </c>
      <c r="C112" s="76">
        <f>IFERROR(__xludf.DUMMYFUNCTION("""COMPUTED_VALUE"""),2.7207140635E10)</f>
        <v>27207140635</v>
      </c>
      <c r="D112" s="76" t="str">
        <f>IFERROR(__xludf.DUMMYFUNCTION("""COMPUTED_VALUE"""),"Nguyễn Huỳnh Ái Ly")</f>
        <v>Nguyễn Huỳnh Ái Ly</v>
      </c>
      <c r="E112" s="101">
        <f>IFERROR(__xludf.DUMMYFUNCTION("""COMPUTED_VALUE"""),37908.0)</f>
        <v>37908</v>
      </c>
      <c r="F112" s="76" t="str">
        <f>IFERROR(__xludf.DUMMYFUNCTION("""COMPUTED_VALUE"""),"K27DLK4")</f>
        <v>K27DLK4</v>
      </c>
      <c r="G112" s="76" t="str">
        <f>IFERROR(__xludf.DUMMYFUNCTION("""COMPUTED_VALUE"""),"Quản trị Du lịch &amp; Khách sạn")</f>
        <v>Quản trị Du lịch &amp; Khách sạn</v>
      </c>
      <c r="H112" s="76" t="str">
        <f>IFERROR(__xludf.DUMMYFUNCTION("""COMPUTED_VALUE"""),"K27")</f>
        <v>K27</v>
      </c>
      <c r="I112" s="76" t="str">
        <f>IFERROR(__xludf.DUMMYFUNCTION("""COMPUTED_VALUE"""),"0334808343")</f>
        <v>0334808343</v>
      </c>
      <c r="J112" s="76">
        <f>IFERROR(__xludf.DUMMYFUNCTION("""COMPUTED_VALUE"""),2.78)</f>
        <v>2.78</v>
      </c>
      <c r="K112" s="76">
        <f>IFERROR(__xludf.DUMMYFUNCTION("""COMPUTED_VALUE"""),123.0)</f>
        <v>123</v>
      </c>
      <c r="L112" s="76" t="str">
        <f>IFERROR(__xludf.DUMMYFUNCTION("""COMPUTED_VALUE"""),"Rồi")</f>
        <v>Rồi</v>
      </c>
      <c r="M112" s="76" t="str">
        <f>IFERROR(__xludf.DUMMYFUNCTION("""COMPUTED_VALUE"""),"Thực tập tốt nghiệp")</f>
        <v>Thực tập tốt nghiệp</v>
      </c>
      <c r="N112" s="76">
        <f>IFERROR(__xludf.DUMMYFUNCTION("""COMPUTED_VALUE"""),9.0)</f>
        <v>9</v>
      </c>
      <c r="O112" s="76" t="str">
        <f>IFERROR(__xludf.DUMMYFUNCTION("""COMPUTED_VALUE"""),"cam kết")</f>
        <v>cam kết</v>
      </c>
      <c r="P112" s="76"/>
      <c r="Q112" s="76"/>
      <c r="R112" s="76"/>
      <c r="S112" s="76" t="str">
        <f>IFERROR(__xludf.DUMMYFUNCTION("""COMPUTED_VALUE"""),"27/12/2024")</f>
        <v>27/12/2024</v>
      </c>
      <c r="T112" s="76"/>
      <c r="U112" s="102" t="str">
        <f>IFERROR(__xludf.DUMMYFUNCTION("""COMPUTED_VALUE"""),"Nguyễn Huỳnh Ái Ly")</f>
        <v>Nguyễn Huỳnh Ái Ly</v>
      </c>
      <c r="V112" s="76" t="str">
        <f>IFERROR(__xludf.DUMMYFUNCTION("""COMPUTED_VALUE"""),"Quản Trị Khách Sạn &amp; Nhà Hàng (Đại Học)")</f>
        <v>Quản Trị Khách Sạn &amp; Nhà Hàng (Đại Học)</v>
      </c>
      <c r="W112" s="76" t="str">
        <f>IFERROR(__xludf.DUMMYFUNCTION("""COMPUTED_VALUE"""),"Maximilan Danang Beach Hotel")</f>
        <v>Maximilan Danang Beach Hotel</v>
      </c>
      <c r="X112" s="76" t="str">
        <f>IFERROR(__xludf.DUMMYFUNCTION("""COMPUTED_VALUE"""),"Buồng phòng")</f>
        <v>Buồng phòng</v>
      </c>
      <c r="Y112" s="76" t="str">
        <f>IFERROR(__xludf.DUMMYFUNCTION("""COMPUTED_VALUE"""),"DUYỆT")</f>
        <v>DUYỆT</v>
      </c>
      <c r="Z112" s="76" t="str">
        <f>IFERROR(__xludf.DUMMYFUNCTION("""COMPUTED_VALUE"""),"CHUYÊN ĐỀ")</f>
        <v>CHUYÊN ĐỀ</v>
      </c>
      <c r="AA112" s="76" t="str">
        <f>IFERROR(__xludf.DUMMYFUNCTION("""COMPUTED_VALUE"""),"huynhaily03@gmail.com")</f>
        <v>huynhaily03@gmail.com</v>
      </c>
      <c r="AB112" s="76"/>
      <c r="AC112" s="76"/>
    </row>
    <row r="113">
      <c r="A113" s="100">
        <f>IFERROR(__xludf.DUMMYFUNCTION("""COMPUTED_VALUE"""),45651.686986574074)</f>
        <v>45651.68699</v>
      </c>
      <c r="B113" s="76" t="str">
        <f>IFERROR(__xludf.DUMMYFUNCTION("""COMPUTED_VALUE"""),"tramy9a4cva@gmail.com")</f>
        <v>tramy9a4cva@gmail.com</v>
      </c>
      <c r="C113" s="76">
        <f>IFERROR(__xludf.DUMMYFUNCTION("""COMPUTED_VALUE"""),2.7207101634E10)</f>
        <v>27207101634</v>
      </c>
      <c r="D113" s="76" t="str">
        <f>IFERROR(__xludf.DUMMYFUNCTION("""COMPUTED_VALUE"""),"Lê Thị Trà My")</f>
        <v>Lê Thị Trà My</v>
      </c>
      <c r="E113" s="101">
        <f>IFERROR(__xludf.DUMMYFUNCTION("""COMPUTED_VALUE"""),37726.0)</f>
        <v>37726</v>
      </c>
      <c r="F113" s="76" t="str">
        <f>IFERROR(__xludf.DUMMYFUNCTION("""COMPUTED_VALUE"""),"K27DLK1")</f>
        <v>K27DLK1</v>
      </c>
      <c r="G113" s="76" t="str">
        <f>IFERROR(__xludf.DUMMYFUNCTION("""COMPUTED_VALUE"""),"Quản trị Du lịch &amp; Khách sạn")</f>
        <v>Quản trị Du lịch &amp; Khách sạn</v>
      </c>
      <c r="H113" s="76" t="str">
        <f>IFERROR(__xludf.DUMMYFUNCTION("""COMPUTED_VALUE"""),"K27")</f>
        <v>K27</v>
      </c>
      <c r="I113" s="76" t="str">
        <f>IFERROR(__xludf.DUMMYFUNCTION("""COMPUTED_VALUE"""),"0942138349")</f>
        <v>0942138349</v>
      </c>
      <c r="J113" s="76" t="str">
        <f>IFERROR(__xludf.DUMMYFUNCTION("""COMPUTED_VALUE"""),"3,71")</f>
        <v>3,71</v>
      </c>
      <c r="K113" s="76">
        <f>IFERROR(__xludf.DUMMYFUNCTION("""COMPUTED_VALUE"""),118.0)</f>
        <v>118</v>
      </c>
      <c r="L113" s="76" t="str">
        <f>IFERROR(__xludf.DUMMYFUNCTION("""COMPUTED_VALUE"""),"Rồi")</f>
        <v>Rồi</v>
      </c>
      <c r="M113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13" s="76">
        <f>IFERROR(__xludf.DUMMYFUNCTION("""COMPUTED_VALUE"""),5.0)</f>
        <v>5</v>
      </c>
      <c r="O113" s="76" t="str">
        <f>IFERROR(__xludf.DUMMYFUNCTION("""COMPUTED_VALUE"""),"cam kết")</f>
        <v>cam kết</v>
      </c>
      <c r="P113" s="76"/>
      <c r="Q113" s="76"/>
      <c r="R113" s="76"/>
      <c r="S113" s="76" t="str">
        <f>IFERROR(__xludf.DUMMYFUNCTION("""COMPUTED_VALUE"""),"27/12/2024")</f>
        <v>27/12/2024</v>
      </c>
      <c r="T113" s="76"/>
      <c r="U113" s="102" t="str">
        <f>IFERROR(__xludf.DUMMYFUNCTION("""COMPUTED_VALUE"""),"Lê Thị Trà My")</f>
        <v>Lê Thị Trà My</v>
      </c>
      <c r="V113" s="76" t="str">
        <f>IFERROR(__xludf.DUMMYFUNCTION("""COMPUTED_VALUE"""),"Quản Trị Khách Sạn &amp; Nhà Hàng (Đại Học)")</f>
        <v>Quản Trị Khách Sạn &amp; Nhà Hàng (Đại Học)</v>
      </c>
      <c r="W113" s="76" t="str">
        <f>IFERROR(__xludf.DUMMYFUNCTION("""COMPUTED_VALUE"""),"Wyndham DaNang Golden Bay")</f>
        <v>Wyndham DaNang Golden Bay</v>
      </c>
      <c r="X113" s="76" t="str">
        <f>IFERROR(__xludf.DUMMYFUNCTION("""COMPUTED_VALUE"""),"Nhà hàng")</f>
        <v>Nhà hàng</v>
      </c>
      <c r="Y113" s="76" t="str">
        <f>IFERROR(__xludf.DUMMYFUNCTION("""COMPUTED_VALUE"""),"DUYỆT")</f>
        <v>DUYỆT</v>
      </c>
      <c r="Z113" s="76" t="str">
        <f>IFERROR(__xludf.DUMMYFUNCTION("""COMPUTED_VALUE"""),"CHUYÊN ĐỀ")</f>
        <v>CHUYÊN ĐỀ</v>
      </c>
      <c r="AA113" s="76" t="str">
        <f>IFERROR(__xludf.DUMMYFUNCTION("""COMPUTED_VALUE"""),"tramy9a4cva@gmail.com")</f>
        <v>tramy9a4cva@gmail.com</v>
      </c>
      <c r="AB113" s="76" t="str">
        <f>IFERROR(__xludf.DUMMYFUNCTION("""COMPUTED_VALUE"""),"Lê Thị Trà My")</f>
        <v>Lê Thị Trà My</v>
      </c>
      <c r="AC113" s="76" t="str">
        <f>IFERROR(__xludf.DUMMYFUNCTION("""COMPUTED_VALUE"""),"ĐÃ NỘP")</f>
        <v>ĐÃ NỘP</v>
      </c>
    </row>
    <row r="114">
      <c r="A114" s="100">
        <f>IFERROR(__xludf.DUMMYFUNCTION("""COMPUTED_VALUE"""),45651.7560527662)</f>
        <v>45651.75605</v>
      </c>
      <c r="B114" s="76" t="str">
        <f>IFERROR(__xludf.DUMMYFUNCTION("""COMPUTED_VALUE"""),"anhphan.260203@gmail.com")</f>
        <v>anhphan.260203@gmail.com</v>
      </c>
      <c r="C114" s="76">
        <f>IFERROR(__xludf.DUMMYFUNCTION("""COMPUTED_VALUE"""),2.7217144395E10)</f>
        <v>27217144395</v>
      </c>
      <c r="D114" s="76" t="str">
        <f>IFERROR(__xludf.DUMMYFUNCTION("""COMPUTED_VALUE"""),"Phan Ngọc Nguyên Anh")</f>
        <v>Phan Ngọc Nguyên Anh</v>
      </c>
      <c r="E114" s="101">
        <f>IFERROR(__xludf.DUMMYFUNCTION("""COMPUTED_VALUE"""),37678.0)</f>
        <v>37678</v>
      </c>
      <c r="F114" s="76" t="str">
        <f>IFERROR(__xludf.DUMMYFUNCTION("""COMPUTED_VALUE"""),"K27DLK6")</f>
        <v>K27DLK6</v>
      </c>
      <c r="G114" s="76" t="str">
        <f>IFERROR(__xludf.DUMMYFUNCTION("""COMPUTED_VALUE"""),"Quản trị Du lịch &amp; Khách sạn")</f>
        <v>Quản trị Du lịch &amp; Khách sạn</v>
      </c>
      <c r="H114" s="76" t="str">
        <f>IFERROR(__xludf.DUMMYFUNCTION("""COMPUTED_VALUE"""),"K27")</f>
        <v>K27</v>
      </c>
      <c r="I114" s="76" t="str">
        <f>IFERROR(__xludf.DUMMYFUNCTION("""COMPUTED_VALUE"""),"0934947827")</f>
        <v>0934947827</v>
      </c>
      <c r="J114" s="76">
        <f>IFERROR(__xludf.DUMMYFUNCTION("""COMPUTED_VALUE"""),2.92)</f>
        <v>2.92</v>
      </c>
      <c r="K114" s="76">
        <f>IFERROR(__xludf.DUMMYFUNCTION("""COMPUTED_VALUE"""),112.0)</f>
        <v>112</v>
      </c>
      <c r="L114" s="76" t="str">
        <f>IFERROR(__xludf.DUMMYFUNCTION("""COMPUTED_VALUE"""),"Rồi")</f>
        <v>Rồi</v>
      </c>
      <c r="M114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14" s="76">
        <f>IFERROR(__xludf.DUMMYFUNCTION("""COMPUTED_VALUE"""),12.0)</f>
        <v>12</v>
      </c>
      <c r="O114" s="76" t="str">
        <f>IFERROR(__xludf.DUMMYFUNCTION("""COMPUTED_VALUE"""),"cam kết")</f>
        <v>cam kết</v>
      </c>
      <c r="P114" s="76"/>
      <c r="Q114" s="76"/>
      <c r="R114" s="76"/>
      <c r="S114" s="76" t="str">
        <f>IFERROR(__xludf.DUMMYFUNCTION("""COMPUTED_VALUE"""),"27/12/2024")</f>
        <v>27/12/2024</v>
      </c>
      <c r="T114" s="76"/>
      <c r="U114" s="102" t="str">
        <f>IFERROR(__xludf.DUMMYFUNCTION("""COMPUTED_VALUE"""),"Phan Ngọc Nguyên Anh")</f>
        <v>Phan Ngọc Nguyên Anh</v>
      </c>
      <c r="V114" s="76" t="str">
        <f>IFERROR(__xludf.DUMMYFUNCTION("""COMPUTED_VALUE"""),"Quản Trị Khách Sạn &amp; Nhà Hàng (Đại Học)")</f>
        <v>Quản Trị Khách Sạn &amp; Nhà Hàng (Đại Học)</v>
      </c>
      <c r="W114" s="76" t="str">
        <f>IFERROR(__xludf.DUMMYFUNCTION("""COMPUTED_VALUE"""),"Wyndham DaNang Golden Bay")</f>
        <v>Wyndham DaNang Golden Bay</v>
      </c>
      <c r="X114" s="76" t="str">
        <f>IFERROR(__xludf.DUMMYFUNCTION("""COMPUTED_VALUE"""),"Buồng phòng")</f>
        <v>Buồng phòng</v>
      </c>
      <c r="Y114" s="76" t="str">
        <f>IFERROR(__xludf.DUMMYFUNCTION("""COMPUTED_VALUE"""),"DUYỆT")</f>
        <v>DUYỆT</v>
      </c>
      <c r="Z114" s="76" t="str">
        <f>IFERROR(__xludf.DUMMYFUNCTION("""COMPUTED_VALUE"""),"CHUYÊN ĐỀ")</f>
        <v>CHUYÊN ĐỀ</v>
      </c>
      <c r="AA114" s="76" t="str">
        <f>IFERROR(__xludf.DUMMYFUNCTION("""COMPUTED_VALUE"""),"anhphan.260203@gmail.com")</f>
        <v>anhphan.260203@gmail.com</v>
      </c>
      <c r="AB114" s="76"/>
      <c r="AC114" s="76"/>
    </row>
    <row r="115">
      <c r="A115" s="100">
        <f>IFERROR(__xludf.DUMMYFUNCTION("""COMPUTED_VALUE"""),45652.83816716435)</f>
        <v>45652.83817</v>
      </c>
      <c r="B115" s="76" t="str">
        <f>IFERROR(__xludf.DUMMYFUNCTION("""COMPUTED_VALUE"""),"thungoc.transuyen1@gmail.com")</f>
        <v>thungoc.transuyen1@gmail.com</v>
      </c>
      <c r="C115" s="76">
        <f>IFERROR(__xludf.DUMMYFUNCTION("""COMPUTED_VALUE"""),2.7207101865E10)</f>
        <v>27207101865</v>
      </c>
      <c r="D115" s="76" t="str">
        <f>IFERROR(__xludf.DUMMYFUNCTION("""COMPUTED_VALUE"""),"Lê Thị Thu Ngọc ")</f>
        <v>Lê Thị Thu Ngọc </v>
      </c>
      <c r="E115" s="101">
        <f>IFERROR(__xludf.DUMMYFUNCTION("""COMPUTED_VALUE"""),37951.0)</f>
        <v>37951</v>
      </c>
      <c r="F115" s="76" t="str">
        <f>IFERROR(__xludf.DUMMYFUNCTION("""COMPUTED_VALUE"""),"K27-DLK7 ")</f>
        <v>K27-DLK7 </v>
      </c>
      <c r="G115" s="76" t="str">
        <f>IFERROR(__xludf.DUMMYFUNCTION("""COMPUTED_VALUE"""),"Quản trị Du lịch &amp; Khách sạn")</f>
        <v>Quản trị Du lịch &amp; Khách sạn</v>
      </c>
      <c r="H115" s="76" t="str">
        <f>IFERROR(__xludf.DUMMYFUNCTION("""COMPUTED_VALUE"""),"K27")</f>
        <v>K27</v>
      </c>
      <c r="I115" s="76" t="str">
        <f>IFERROR(__xludf.DUMMYFUNCTION("""COMPUTED_VALUE"""),"0934751273")</f>
        <v>0934751273</v>
      </c>
      <c r="J115" s="76">
        <f>IFERROR(__xludf.DUMMYFUNCTION("""COMPUTED_VALUE"""),2.21)</f>
        <v>2.21</v>
      </c>
      <c r="K115" s="76">
        <f>IFERROR(__xludf.DUMMYFUNCTION("""COMPUTED_VALUE"""),115.0)</f>
        <v>115</v>
      </c>
      <c r="L115" s="76" t="str">
        <f>IFERROR(__xludf.DUMMYFUNCTION("""COMPUTED_VALUE"""),"Rồi")</f>
        <v>Rồi</v>
      </c>
      <c r="M115" s="76" t="str">
        <f>IFERROR(__xludf.DUMMYFUNCTION("""COMPUTED_VALUE"""),"Thực tập tốt nghiệp")</f>
        <v>Thực tập tốt nghiệp</v>
      </c>
      <c r="N115" s="76">
        <f>IFERROR(__xludf.DUMMYFUNCTION("""COMPUTED_VALUE"""),11.0)</f>
        <v>11</v>
      </c>
      <c r="O115" s="76" t="str">
        <f>IFERROR(__xludf.DUMMYFUNCTION("""COMPUTED_VALUE"""),"cam kết")</f>
        <v>cam kết</v>
      </c>
      <c r="P115" s="76"/>
      <c r="Q115" s="76"/>
      <c r="R115" s="76"/>
      <c r="S115" s="76" t="str">
        <f>IFERROR(__xludf.DUMMYFUNCTION("""COMPUTED_VALUE"""),"27/12/2024")</f>
        <v>27/12/2024</v>
      </c>
      <c r="T115" s="76"/>
      <c r="U115" s="102" t="str">
        <f>IFERROR(__xludf.DUMMYFUNCTION("""COMPUTED_VALUE"""),"Lê Thị Thu Ngọc")</f>
        <v>Lê Thị Thu Ngọc</v>
      </c>
      <c r="V115" s="76" t="str">
        <f>IFERROR(__xludf.DUMMYFUNCTION("""COMPUTED_VALUE"""),"Quản Trị Khách Sạn &amp; Nhà Hàng (Đại Học)")</f>
        <v>Quản Trị Khách Sạn &amp; Nhà Hàng (Đại Học)</v>
      </c>
      <c r="W115" s="76" t="str">
        <f>IFERROR(__xludf.DUMMYFUNCTION("""COMPUTED_VALUE"""),"Wyndham DaNang Golden Bay")</f>
        <v>Wyndham DaNang Golden Bay</v>
      </c>
      <c r="X115" s="76" t="str">
        <f>IFERROR(__xludf.DUMMYFUNCTION("""COMPUTED_VALUE"""),"Nhà hàng")</f>
        <v>Nhà hàng</v>
      </c>
      <c r="Y115" s="76" t="str">
        <f>IFERROR(__xludf.DUMMYFUNCTION("""COMPUTED_VALUE"""),"DUYỆT")</f>
        <v>DUYỆT</v>
      </c>
      <c r="Z115" s="76" t="str">
        <f>IFERROR(__xludf.DUMMYFUNCTION("""COMPUTED_VALUE"""),"CHUYÊN ĐỀ")</f>
        <v>CHUYÊN ĐỀ</v>
      </c>
      <c r="AA115" s="76" t="str">
        <f>IFERROR(__xludf.DUMMYFUNCTION("""COMPUTED_VALUE"""),"thungoc.transuyen1@gmail.com")</f>
        <v>thungoc.transuyen1@gmail.com</v>
      </c>
      <c r="AB115" s="76"/>
      <c r="AC115" s="76"/>
    </row>
    <row r="116">
      <c r="A116" s="100">
        <f>IFERROR(__xludf.DUMMYFUNCTION("""COMPUTED_VALUE"""),45650.70877254629)</f>
        <v>45650.70877</v>
      </c>
      <c r="B116" s="76" t="str">
        <f>IFERROR(__xludf.DUMMYFUNCTION("""COMPUTED_VALUE"""),"hominhquyen100399@gmail.com")</f>
        <v>hominhquyen100399@gmail.com</v>
      </c>
      <c r="C116" s="76">
        <f>IFERROR(__xludf.DUMMYFUNCTION("""COMPUTED_VALUE"""),2.320712286E9)</f>
        <v>2320712286</v>
      </c>
      <c r="D116" s="76" t="str">
        <f>IFERROR(__xludf.DUMMYFUNCTION("""COMPUTED_VALUE"""),"Hồ Minh Quyên ")</f>
        <v>Hồ Minh Quyên </v>
      </c>
      <c r="E116" s="101">
        <f>IFERROR(__xludf.DUMMYFUNCTION("""COMPUTED_VALUE"""),36229.0)</f>
        <v>36229</v>
      </c>
      <c r="F116" s="76" t="str">
        <f>IFERROR(__xludf.DUMMYFUNCTION("""COMPUTED_VALUE"""),"K23PSUDLK1")</f>
        <v>K23PSUDLK1</v>
      </c>
      <c r="G116" s="76" t="str">
        <f>IFERROR(__xludf.DUMMYFUNCTION("""COMPUTED_VALUE"""),"Quản trị Du lịch &amp; Khách sạn chuẩn PSU")</f>
        <v>Quản trị Du lịch &amp; Khách sạn chuẩn PSU</v>
      </c>
      <c r="H116" s="76" t="str">
        <f>IFERROR(__xludf.DUMMYFUNCTION("""COMPUTED_VALUE"""),"K23")</f>
        <v>K23</v>
      </c>
      <c r="I116" s="76" t="str">
        <f>IFERROR(__xludf.DUMMYFUNCTION("""COMPUTED_VALUE"""),"0868860734")</f>
        <v>0868860734</v>
      </c>
      <c r="J116" s="76">
        <f>IFERROR(__xludf.DUMMYFUNCTION("""COMPUTED_VALUE"""),2.29)</f>
        <v>2.29</v>
      </c>
      <c r="K116" s="76">
        <f>IFERROR(__xludf.DUMMYFUNCTION("""COMPUTED_VALUE"""),148.0)</f>
        <v>148</v>
      </c>
      <c r="L116" s="76" t="str">
        <f>IFERROR(__xludf.DUMMYFUNCTION("""COMPUTED_VALUE"""),"Rồi")</f>
        <v>Rồi</v>
      </c>
      <c r="M116" s="76" t="str">
        <f>IFERROR(__xludf.DUMMYFUNCTION("""COMPUTED_VALUE"""),"Thực tập tốt nghiệp")</f>
        <v>Thực tập tốt nghiệp</v>
      </c>
      <c r="N116" s="76">
        <f>IFERROR(__xludf.DUMMYFUNCTION("""COMPUTED_VALUE"""),0.0)</f>
        <v>0</v>
      </c>
      <c r="O116" s="76" t="str">
        <f>IFERROR(__xludf.DUMMYFUNCTION("""COMPUTED_VALUE"""),"cam kết")</f>
        <v>cam kết</v>
      </c>
      <c r="P116" s="76"/>
      <c r="Q116" s="76" t="str">
        <f>IFERROR(__xludf.DUMMYFUNCTION("""COMPUTED_VALUE"""),"CHƯA NỘP")</f>
        <v>CHƯA NỘP</v>
      </c>
      <c r="R116" s="76">
        <f>IFERROR(__xludf.DUMMYFUNCTION("""COMPUTED_VALUE"""),11.0)</f>
        <v>11</v>
      </c>
      <c r="S116" s="76"/>
      <c r="T116" s="76"/>
      <c r="U116" s="102" t="str">
        <f>IFERROR(__xludf.DUMMYFUNCTION("""COMPUTED_VALUE"""),"Hồ Minh Quyên")</f>
        <v>Hồ Minh Quyên</v>
      </c>
      <c r="V116" s="76" t="str">
        <f>IFERROR(__xludf.DUMMYFUNCTION("""COMPUTED_VALUE"""),"Quản Trị Du Lịch &amp; Khách Sạn Chuẩn PSU (Đại Học)")</f>
        <v>Quản Trị Du Lịch &amp; Khách Sạn Chuẩn PSU (Đại Học)</v>
      </c>
      <c r="W116" s="76" t="str">
        <f>IFERROR(__xludf.DUMMYFUNCTION("""COMPUTED_VALUE"""),"#N/A")</f>
        <v>#N/A</v>
      </c>
      <c r="X116" s="76" t="str">
        <f>IFERROR(__xludf.DUMMYFUNCTION("""COMPUTED_VALUE"""),"#N/A")</f>
        <v>#N/A</v>
      </c>
      <c r="Y116" s="76" t="str">
        <f>IFERROR(__xludf.DUMMYFUNCTION("""COMPUTED_VALUE"""),"#N/A")</f>
        <v>#N/A</v>
      </c>
      <c r="Z116" s="76" t="str">
        <f>IFERROR(__xludf.DUMMYFUNCTION("""COMPUTED_VALUE"""),"HỦY HỒ SƠ ĐĂNG KÝ THAM DỰ TỐT NGHIỆP ĐỢT 06/2025")</f>
        <v>HỦY HỒ SƠ ĐĂNG KÝ THAM DỰ TỐT NGHIỆP ĐỢT 06/2025</v>
      </c>
      <c r="AA116" s="76" t="str">
        <f>IFERROR(__xludf.DUMMYFUNCTION("""COMPUTED_VALUE"""),"hominhquyen100399@gmail.com")</f>
        <v>hominhquyen100399@gmail.com</v>
      </c>
      <c r="AB116" s="76"/>
      <c r="AC116" s="76"/>
    </row>
    <row r="117">
      <c r="A117" s="100">
        <f>IFERROR(__xludf.DUMMYFUNCTION("""COMPUTED_VALUE"""),45650.722335555554)</f>
        <v>45650.72234</v>
      </c>
      <c r="B117" s="76" t="str">
        <f>IFERROR(__xludf.DUMMYFUNCTION("""COMPUTED_VALUE"""),"kieunhuks1@gmail.com")</f>
        <v>kieunhuks1@gmail.com</v>
      </c>
      <c r="C117" s="76">
        <f>IFERROR(__xludf.DUMMYFUNCTION("""COMPUTED_VALUE"""),2.720710065E10)</f>
        <v>27207100650</v>
      </c>
      <c r="D117" s="76" t="str">
        <f>IFERROR(__xludf.DUMMYFUNCTION("""COMPUTED_VALUE"""),"Lê Thị Kiều Như")</f>
        <v>Lê Thị Kiều Như</v>
      </c>
      <c r="E117" s="101">
        <f>IFERROR(__xludf.DUMMYFUNCTION("""COMPUTED_VALUE"""),37178.0)</f>
        <v>37178</v>
      </c>
      <c r="F117" s="76" t="str">
        <f>IFERROR(__xludf.DUMMYFUNCTION("""COMPUTED_VALUE"""),"K27DLK5")</f>
        <v>K27DLK5</v>
      </c>
      <c r="G117" s="76" t="str">
        <f>IFERROR(__xludf.DUMMYFUNCTION("""COMPUTED_VALUE"""),"Quản trị Du lịch &amp; Khách sạn")</f>
        <v>Quản trị Du lịch &amp; Khách sạn</v>
      </c>
      <c r="H117" s="76" t="str">
        <f>IFERROR(__xludf.DUMMYFUNCTION("""COMPUTED_VALUE"""),"K27")</f>
        <v>K27</v>
      </c>
      <c r="I117" s="76" t="str">
        <f>IFERROR(__xludf.DUMMYFUNCTION("""COMPUTED_VALUE"""),"0352916132")</f>
        <v>0352916132</v>
      </c>
      <c r="J117" s="76">
        <f>IFERROR(__xludf.DUMMYFUNCTION("""COMPUTED_VALUE"""),2.55)</f>
        <v>2.55</v>
      </c>
      <c r="K117" s="76">
        <f>IFERROR(__xludf.DUMMYFUNCTION("""COMPUTED_VALUE"""),115.0)</f>
        <v>115</v>
      </c>
      <c r="L117" s="76" t="str">
        <f>IFERROR(__xludf.DUMMYFUNCTION("""COMPUTED_VALUE"""),"Rồi")</f>
        <v>Rồi</v>
      </c>
      <c r="M117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17" s="76">
        <f>IFERROR(__xludf.DUMMYFUNCTION("""COMPUTED_VALUE"""),8.0)</f>
        <v>8</v>
      </c>
      <c r="O117" s="76" t="str">
        <f>IFERROR(__xludf.DUMMYFUNCTION("""COMPUTED_VALUE"""),"cam kết")</f>
        <v>cam kết</v>
      </c>
      <c r="P117" s="76"/>
      <c r="Q117" s="76"/>
      <c r="R117" s="76"/>
      <c r="S117" s="76" t="str">
        <f>IFERROR(__xludf.DUMMYFUNCTION("""COMPUTED_VALUE"""),"27/12/2024")</f>
        <v>27/12/2024</v>
      </c>
      <c r="T117" s="76"/>
      <c r="U117" s="102" t="str">
        <f>IFERROR(__xludf.DUMMYFUNCTION("""COMPUTED_VALUE"""),"Lê Thị Kiều Như")</f>
        <v>Lê Thị Kiều Như</v>
      </c>
      <c r="V117" s="76" t="str">
        <f>IFERROR(__xludf.DUMMYFUNCTION("""COMPUTED_VALUE"""),"Quản Trị Khách Sạn &amp; Nhà Hàng (Đại Học)")</f>
        <v>Quản Trị Khách Sạn &amp; Nhà Hàng (Đại Học)</v>
      </c>
      <c r="W117" s="76" t="str">
        <f>IFERROR(__xludf.DUMMYFUNCTION("""COMPUTED_VALUE"""),"Chicland Hotel")</f>
        <v>Chicland Hotel</v>
      </c>
      <c r="X117" s="76" t="str">
        <f>IFERROR(__xludf.DUMMYFUNCTION("""COMPUTED_VALUE"""),"Buồng phòng")</f>
        <v>Buồng phòng</v>
      </c>
      <c r="Y117" s="76" t="str">
        <f>IFERROR(__xludf.DUMMYFUNCTION("""COMPUTED_VALUE"""),"DUYỆT")</f>
        <v>DUYỆT</v>
      </c>
      <c r="Z117" s="76" t="str">
        <f>IFERROR(__xludf.DUMMYFUNCTION("""COMPUTED_VALUE"""),"CHUYÊN ĐỀ")</f>
        <v>CHUYÊN ĐỀ</v>
      </c>
      <c r="AA117" s="76" t="str">
        <f>IFERROR(__xludf.DUMMYFUNCTION("""COMPUTED_VALUE"""),"kieunhuks1@gmail.com")</f>
        <v>kieunhuks1@gmail.com</v>
      </c>
      <c r="AB117" s="76"/>
      <c r="AC117" s="76"/>
    </row>
    <row r="118">
      <c r="A118" s="100">
        <f>IFERROR(__xludf.DUMMYFUNCTION("""COMPUTED_VALUE"""),45650.745946828705)</f>
        <v>45650.74595</v>
      </c>
      <c r="B118" s="76" t="str">
        <f>IFERROR(__xludf.DUMMYFUNCTION("""COMPUTED_VALUE"""),"hienlovetea1995@gmail.com")</f>
        <v>hienlovetea1995@gmail.com</v>
      </c>
      <c r="C118" s="76">
        <f>IFERROR(__xludf.DUMMYFUNCTION("""COMPUTED_VALUE"""),2.7202225386E10)</f>
        <v>27202225386</v>
      </c>
      <c r="D118" s="76" t="str">
        <f>IFERROR(__xludf.DUMMYFUNCTION("""COMPUTED_VALUE"""),"Lê Tống Thu Hiền")</f>
        <v>Lê Tống Thu Hiền</v>
      </c>
      <c r="E118" s="101">
        <f>IFERROR(__xludf.DUMMYFUNCTION("""COMPUTED_VALUE"""),37666.0)</f>
        <v>37666</v>
      </c>
      <c r="F118" s="76" t="str">
        <f>IFERROR(__xludf.DUMMYFUNCTION("""COMPUTED_VALUE"""),"K27PSUDLK1")</f>
        <v>K27PSUDLK1</v>
      </c>
      <c r="G118" s="76" t="str">
        <f>IFERROR(__xludf.DUMMYFUNCTION("""COMPUTED_VALUE"""),"Quản trị Du lịch &amp; Khách sạn chuẩn PSU")</f>
        <v>Quản trị Du lịch &amp; Khách sạn chuẩn PSU</v>
      </c>
      <c r="H118" s="76" t="str">
        <f>IFERROR(__xludf.DUMMYFUNCTION("""COMPUTED_VALUE"""),"K27")</f>
        <v>K27</v>
      </c>
      <c r="I118" s="76" t="str">
        <f>IFERROR(__xludf.DUMMYFUNCTION("""COMPUTED_VALUE"""),"0779511590")</f>
        <v>0779511590</v>
      </c>
      <c r="J118" s="76">
        <f>IFERROR(__xludf.DUMMYFUNCTION("""COMPUTED_VALUE"""),2.81)</f>
        <v>2.81</v>
      </c>
      <c r="K118" s="76">
        <f>IFERROR(__xludf.DUMMYFUNCTION("""COMPUTED_VALUE"""),109.0)</f>
        <v>109</v>
      </c>
      <c r="L118" s="76" t="str">
        <f>IFERROR(__xludf.DUMMYFUNCTION("""COMPUTED_VALUE"""),"Rồi")</f>
        <v>Rồi</v>
      </c>
      <c r="M118" s="76" t="str">
        <f>IFERROR(__xludf.DUMMYFUNCTION("""COMPUTED_VALUE"""),"Thực tập tốt nghiệp")</f>
        <v>Thực tập tốt nghiệp</v>
      </c>
      <c r="N118" s="76">
        <f>IFERROR(__xludf.DUMMYFUNCTION("""COMPUTED_VALUE"""),23.0)</f>
        <v>23</v>
      </c>
      <c r="O118" s="76" t="str">
        <f>IFERROR(__xludf.DUMMYFUNCTION("""COMPUTED_VALUE"""),"cam kết")</f>
        <v>cam kết</v>
      </c>
      <c r="P118" s="76"/>
      <c r="Q118" s="76"/>
      <c r="R118" s="76"/>
      <c r="S118" s="76" t="str">
        <f>IFERROR(__xludf.DUMMYFUNCTION("""COMPUTED_VALUE"""),"27/12/2024")</f>
        <v>27/12/2024</v>
      </c>
      <c r="T118" s="76" t="str">
        <f>IFERROR(__xludf.DUMMYFUNCTION("""COMPUTED_VALUE"""),"sv chưa nhận GTT")</f>
        <v>sv chưa nhận GTT</v>
      </c>
      <c r="U118" s="102" t="str">
        <f>IFERROR(__xludf.DUMMYFUNCTION("""COMPUTED_VALUE"""),"Lê Tống Thu Hiền")</f>
        <v>Lê Tống Thu Hiền</v>
      </c>
      <c r="V118" s="76" t="str">
        <f>IFERROR(__xludf.DUMMYFUNCTION("""COMPUTED_VALUE"""),"Quản Trị Du Lịch &amp; Khách Sạn Chuẩn PSU (Đại Học)")</f>
        <v>Quản Trị Du Lịch &amp; Khách Sạn Chuẩn PSU (Đại Học)</v>
      </c>
      <c r="W118" s="76" t="str">
        <f>IFERROR(__xludf.DUMMYFUNCTION("""COMPUTED_VALUE"""),"#N/A")</f>
        <v>#N/A</v>
      </c>
      <c r="X118" s="76" t="str">
        <f>IFERROR(__xludf.DUMMYFUNCTION("""COMPUTED_VALUE"""),"#N/A")</f>
        <v>#N/A</v>
      </c>
      <c r="Y118" s="76" t="str">
        <f>IFERROR(__xludf.DUMMYFUNCTION("""COMPUTED_VALUE"""),"#N/A")</f>
        <v>#N/A</v>
      </c>
      <c r="Z118" s="76" t="str">
        <f>IFERROR(__xludf.DUMMYFUNCTION("""COMPUTED_VALUE"""),"CHUYÊN ĐỀ")</f>
        <v>CHUYÊN ĐỀ</v>
      </c>
      <c r="AA118" s="76" t="str">
        <f>IFERROR(__xludf.DUMMYFUNCTION("""COMPUTED_VALUE"""),"hienlovetea1995@gmail.com")</f>
        <v>hienlovetea1995@gmail.com</v>
      </c>
      <c r="AB118" s="76"/>
      <c r="AC118" s="76"/>
    </row>
    <row r="119">
      <c r="A119" s="100">
        <f>IFERROR(__xludf.DUMMYFUNCTION("""COMPUTED_VALUE"""),45650.778794259255)</f>
        <v>45650.77879</v>
      </c>
      <c r="B119" s="76" t="str">
        <f>IFERROR(__xludf.DUMMYFUNCTION("""COMPUTED_VALUE"""),"tamlogang@gmail.com")</f>
        <v>tamlogang@gmail.com</v>
      </c>
      <c r="C119" s="76">
        <f>IFERROR(__xludf.DUMMYFUNCTION("""COMPUTED_VALUE"""),2.721712848E10)</f>
        <v>27217128480</v>
      </c>
      <c r="D119" s="76" t="str">
        <f>IFERROR(__xludf.DUMMYFUNCTION("""COMPUTED_VALUE"""),"Y Tâm Hwing")</f>
        <v>Y Tâm Hwing</v>
      </c>
      <c r="E119" s="101">
        <f>IFERROR(__xludf.DUMMYFUNCTION("""COMPUTED_VALUE"""),37958.0)</f>
        <v>37958</v>
      </c>
      <c r="F119" s="76" t="str">
        <f>IFERROR(__xludf.DUMMYFUNCTION("""COMPUTED_VALUE"""),"K27DLK6")</f>
        <v>K27DLK6</v>
      </c>
      <c r="G119" s="76" t="str">
        <f>IFERROR(__xludf.DUMMYFUNCTION("""COMPUTED_VALUE"""),"Quản trị Du lịch &amp; Khách sạn")</f>
        <v>Quản trị Du lịch &amp; Khách sạn</v>
      </c>
      <c r="H119" s="76" t="str">
        <f>IFERROR(__xludf.DUMMYFUNCTION("""COMPUTED_VALUE"""),"K27")</f>
        <v>K27</v>
      </c>
      <c r="I119" s="76" t="str">
        <f>IFERROR(__xludf.DUMMYFUNCTION("""COMPUTED_VALUE"""),"0947506358")</f>
        <v>0947506358</v>
      </c>
      <c r="J119" s="76">
        <f>IFERROR(__xludf.DUMMYFUNCTION("""COMPUTED_VALUE"""),2.83)</f>
        <v>2.83</v>
      </c>
      <c r="K119" s="76">
        <f>IFERROR(__xludf.DUMMYFUNCTION("""COMPUTED_VALUE"""),108.0)</f>
        <v>108</v>
      </c>
      <c r="L119" s="76" t="str">
        <f>IFERROR(__xludf.DUMMYFUNCTION("""COMPUTED_VALUE"""),"Rồi")</f>
        <v>Rồi</v>
      </c>
      <c r="M119" s="76" t="str">
        <f>IFERROR(__xludf.DUMMYFUNCTION("""COMPUTED_VALUE"""),"Thực tập tốt nghiệp")</f>
        <v>Thực tập tốt nghiệp</v>
      </c>
      <c r="N119" s="76">
        <f>IFERROR(__xludf.DUMMYFUNCTION("""COMPUTED_VALUE"""),15.0)</f>
        <v>15</v>
      </c>
      <c r="O119" s="76" t="str">
        <f>IFERROR(__xludf.DUMMYFUNCTION("""COMPUTED_VALUE"""),"cam kết")</f>
        <v>cam kết</v>
      </c>
      <c r="P119" s="76"/>
      <c r="Q119" s="76"/>
      <c r="R119" s="76"/>
      <c r="S119" s="76" t="str">
        <f>IFERROR(__xludf.DUMMYFUNCTION("""COMPUTED_VALUE"""),"27/12/2024")</f>
        <v>27/12/2024</v>
      </c>
      <c r="T119" s="76"/>
      <c r="U119" s="102" t="str">
        <f>IFERROR(__xludf.DUMMYFUNCTION("""COMPUTED_VALUE"""),"Y Tâm Hwing")</f>
        <v>Y Tâm Hwing</v>
      </c>
      <c r="V119" s="76" t="str">
        <f>IFERROR(__xludf.DUMMYFUNCTION("""COMPUTED_VALUE"""),"Quản Trị Khách Sạn &amp; Nhà Hàng (Đại Học)")</f>
        <v>Quản Trị Khách Sạn &amp; Nhà Hàng (Đại Học)</v>
      </c>
      <c r="W119" s="76" t="str">
        <f>IFERROR(__xludf.DUMMYFUNCTION("""COMPUTED_VALUE"""),"Vanda Hotel")</f>
        <v>Vanda Hotel</v>
      </c>
      <c r="X119" s="76" t="str">
        <f>IFERROR(__xludf.DUMMYFUNCTION("""COMPUTED_VALUE"""),"Nhà hàng")</f>
        <v>Nhà hàng</v>
      </c>
      <c r="Y119" s="76" t="str">
        <f>IFERROR(__xludf.DUMMYFUNCTION("""COMPUTED_VALUE"""),"DUYỆT")</f>
        <v>DUYỆT</v>
      </c>
      <c r="Z119" s="76" t="str">
        <f>IFERROR(__xludf.DUMMYFUNCTION("""COMPUTED_VALUE"""),"CHUYÊN ĐỀ")</f>
        <v>CHUYÊN ĐỀ</v>
      </c>
      <c r="AA119" s="76" t="str">
        <f>IFERROR(__xludf.DUMMYFUNCTION("""COMPUTED_VALUE"""),"tamlogang@gmail.com")</f>
        <v>tamlogang@gmail.com</v>
      </c>
      <c r="AB119" s="76"/>
      <c r="AC119" s="76"/>
    </row>
    <row r="120">
      <c r="A120" s="100">
        <f>IFERROR(__xludf.DUMMYFUNCTION("""COMPUTED_VALUE"""),45650.80343068287)</f>
        <v>45650.80343</v>
      </c>
      <c r="B120" s="76" t="str">
        <f>IFERROR(__xludf.DUMMYFUNCTION("""COMPUTED_VALUE"""),"Hoquy1309@gmail.com")</f>
        <v>Hoquy1309@gmail.com</v>
      </c>
      <c r="C120" s="76">
        <f>IFERROR(__xludf.DUMMYFUNCTION("""COMPUTED_VALUE"""),2.7207131271E10)</f>
        <v>27207131271</v>
      </c>
      <c r="D120" s="76" t="str">
        <f>IFERROR(__xludf.DUMMYFUNCTION("""COMPUTED_VALUE"""),"Hồ Thị Quý")</f>
        <v>Hồ Thị Quý</v>
      </c>
      <c r="E120" s="101">
        <f>IFERROR(__xludf.DUMMYFUNCTION("""COMPUTED_VALUE"""),37877.0)</f>
        <v>37877</v>
      </c>
      <c r="F120" s="76" t="str">
        <f>IFERROR(__xludf.DUMMYFUNCTION("""COMPUTED_VALUE"""),"K27DLK3")</f>
        <v>K27DLK3</v>
      </c>
      <c r="G120" s="76" t="str">
        <f>IFERROR(__xludf.DUMMYFUNCTION("""COMPUTED_VALUE"""),"Quản trị Du lịch &amp; Khách sạn")</f>
        <v>Quản trị Du lịch &amp; Khách sạn</v>
      </c>
      <c r="H120" s="76" t="str">
        <f>IFERROR(__xludf.DUMMYFUNCTION("""COMPUTED_VALUE"""),"K27")</f>
        <v>K27</v>
      </c>
      <c r="I120" s="76" t="str">
        <f>IFERROR(__xludf.DUMMYFUNCTION("""COMPUTED_VALUE"""),"0352521309")</f>
        <v>0352521309</v>
      </c>
      <c r="J120" s="76">
        <f>IFERROR(__xludf.DUMMYFUNCTION("""COMPUTED_VALUE"""),2.71)</f>
        <v>2.71</v>
      </c>
      <c r="K120" s="76">
        <f>IFERROR(__xludf.DUMMYFUNCTION("""COMPUTED_VALUE"""),123.0)</f>
        <v>123</v>
      </c>
      <c r="L120" s="76" t="str">
        <f>IFERROR(__xludf.DUMMYFUNCTION("""COMPUTED_VALUE"""),"Rồi")</f>
        <v>Rồi</v>
      </c>
      <c r="M120" s="76" t="str">
        <f>IFERROR(__xludf.DUMMYFUNCTION("""COMPUTED_VALUE"""),"Thực tập tốt nghiệp")</f>
        <v>Thực tập tốt nghiệp</v>
      </c>
      <c r="N120" s="76">
        <f>IFERROR(__xludf.DUMMYFUNCTION("""COMPUTED_VALUE"""),4.0)</f>
        <v>4</v>
      </c>
      <c r="O120" s="76" t="str">
        <f>IFERROR(__xludf.DUMMYFUNCTION("""COMPUTED_VALUE"""),"cam kết")</f>
        <v>cam kết</v>
      </c>
      <c r="P120" s="76"/>
      <c r="Q120" s="76"/>
      <c r="R120" s="76"/>
      <c r="S120" s="76" t="str">
        <f>IFERROR(__xludf.DUMMYFUNCTION("""COMPUTED_VALUE"""),"27/12/2024")</f>
        <v>27/12/2024</v>
      </c>
      <c r="T120" s="76"/>
      <c r="U120" s="102" t="str">
        <f>IFERROR(__xludf.DUMMYFUNCTION("""COMPUTED_VALUE"""),"Hồ Thị Quý")</f>
        <v>Hồ Thị Quý</v>
      </c>
      <c r="V120" s="76" t="str">
        <f>IFERROR(__xludf.DUMMYFUNCTION("""COMPUTED_VALUE"""),"Quản Trị Khách Sạn &amp; Nhà Hàng (Đại Học)")</f>
        <v>Quản Trị Khách Sạn &amp; Nhà Hàng (Đại Học)</v>
      </c>
      <c r="W120" s="76" t="str">
        <f>IFERROR(__xludf.DUMMYFUNCTION("""COMPUTED_VALUE"""),"Da Nang Mikazuki Japanese Resorts &amp; Spa")</f>
        <v>Da Nang Mikazuki Japanese Resorts &amp; Spa</v>
      </c>
      <c r="X120" s="76" t="str">
        <f>IFERROR(__xludf.DUMMYFUNCTION("""COMPUTED_VALUE"""),"Nhà hàng")</f>
        <v>Nhà hàng</v>
      </c>
      <c r="Y120" s="76" t="str">
        <f>IFERROR(__xludf.DUMMYFUNCTION("""COMPUTED_VALUE"""),"DUYỆT")</f>
        <v>DUYỆT</v>
      </c>
      <c r="Z120" s="76" t="str">
        <f>IFERROR(__xludf.DUMMYFUNCTION("""COMPUTED_VALUE"""),"CHUYÊN ĐỀ")</f>
        <v>CHUYÊN ĐỀ</v>
      </c>
      <c r="AA120" s="76" t="str">
        <f>IFERROR(__xludf.DUMMYFUNCTION("""COMPUTED_VALUE"""),"Hoquy1309@gmail.com")</f>
        <v>Hoquy1309@gmail.com</v>
      </c>
      <c r="AB120" s="76"/>
      <c r="AC120" s="76"/>
    </row>
    <row r="121">
      <c r="A121" s="100">
        <f>IFERROR(__xludf.DUMMYFUNCTION("""COMPUTED_VALUE"""),45651.76910967592)</f>
        <v>45651.76911</v>
      </c>
      <c r="B121" s="76" t="str">
        <f>IFERROR(__xludf.DUMMYFUNCTION("""COMPUTED_VALUE"""),"Tranthithanhle2003@gmail.com")</f>
        <v>Tranthithanhle2003@gmail.com</v>
      </c>
      <c r="C121" s="76">
        <f>IFERROR(__xludf.DUMMYFUNCTION("""COMPUTED_VALUE"""),2.7207123321E10)</f>
        <v>27207123321</v>
      </c>
      <c r="D121" s="76" t="str">
        <f>IFERROR(__xludf.DUMMYFUNCTION("""COMPUTED_VALUE"""),"Trần Thị Thanh Lê")</f>
        <v>Trần Thị Thanh Lê</v>
      </c>
      <c r="E121" s="101">
        <f>IFERROR(__xludf.DUMMYFUNCTION("""COMPUTED_VALUE"""),37666.0)</f>
        <v>37666</v>
      </c>
      <c r="F121" s="76" t="str">
        <f>IFERROR(__xludf.DUMMYFUNCTION("""COMPUTED_VALUE"""),"K27DLK1")</f>
        <v>K27DLK1</v>
      </c>
      <c r="G121" s="76" t="str">
        <f>IFERROR(__xludf.DUMMYFUNCTION("""COMPUTED_VALUE"""),"Quản trị Du lịch &amp; Khách sạn")</f>
        <v>Quản trị Du lịch &amp; Khách sạn</v>
      </c>
      <c r="H121" s="76" t="str">
        <f>IFERROR(__xludf.DUMMYFUNCTION("""COMPUTED_VALUE"""),"K27")</f>
        <v>K27</v>
      </c>
      <c r="I121" s="76" t="str">
        <f>IFERROR(__xludf.DUMMYFUNCTION("""COMPUTED_VALUE"""),"0388924829")</f>
        <v>0388924829</v>
      </c>
      <c r="J121" s="76">
        <f>IFERROR(__xludf.DUMMYFUNCTION("""COMPUTED_VALUE"""),3.29)</f>
        <v>3.29</v>
      </c>
      <c r="K121" s="76">
        <f>IFERROR(__xludf.DUMMYFUNCTION("""COMPUTED_VALUE"""),117.0)</f>
        <v>117</v>
      </c>
      <c r="L121" s="76" t="str">
        <f>IFERROR(__xludf.DUMMYFUNCTION("""COMPUTED_VALUE"""),"Rồi")</f>
        <v>Rồi</v>
      </c>
      <c r="M121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21" s="76">
        <f>IFERROR(__xludf.DUMMYFUNCTION("""COMPUTED_VALUE"""),6.0)</f>
        <v>6</v>
      </c>
      <c r="O121" s="76" t="str">
        <f>IFERROR(__xludf.DUMMYFUNCTION("""COMPUTED_VALUE"""),"cam kết")</f>
        <v>cam kết</v>
      </c>
      <c r="P121" s="76"/>
      <c r="Q121" s="76"/>
      <c r="R121" s="76"/>
      <c r="S121" s="76" t="str">
        <f>IFERROR(__xludf.DUMMYFUNCTION("""COMPUTED_VALUE"""),"27/12/2024")</f>
        <v>27/12/2024</v>
      </c>
      <c r="T121" s="76"/>
      <c r="U121" s="102" t="str">
        <f>IFERROR(__xludf.DUMMYFUNCTION("""COMPUTED_VALUE"""),"Trần Thị Thanh Lê")</f>
        <v>Trần Thị Thanh Lê</v>
      </c>
      <c r="V121" s="76" t="str">
        <f>IFERROR(__xludf.DUMMYFUNCTION("""COMPUTED_VALUE"""),"Quản Trị Khách Sạn &amp; Nhà Hàng (Đại Học)")</f>
        <v>Quản Trị Khách Sạn &amp; Nhà Hàng (Đại Học)</v>
      </c>
      <c r="W121" s="76" t="str">
        <f>IFERROR(__xludf.DUMMYFUNCTION("""COMPUTED_VALUE"""),"Wyndham DaNang Golden Bay")</f>
        <v>Wyndham DaNang Golden Bay</v>
      </c>
      <c r="X121" s="76" t="str">
        <f>IFERROR(__xludf.DUMMYFUNCTION("""COMPUTED_VALUE"""),"Buồng phòng")</f>
        <v>Buồng phòng</v>
      </c>
      <c r="Y121" s="76" t="str">
        <f>IFERROR(__xludf.DUMMYFUNCTION("""COMPUTED_VALUE"""),"DUYỆT")</f>
        <v>DUYỆT</v>
      </c>
      <c r="Z121" s="76" t="str">
        <f>IFERROR(__xludf.DUMMYFUNCTION("""COMPUTED_VALUE"""),"CHUYÊN ĐỀ")</f>
        <v>CHUYÊN ĐỀ</v>
      </c>
      <c r="AA121" s="76" t="str">
        <f>IFERROR(__xludf.DUMMYFUNCTION("""COMPUTED_VALUE"""),"Tranthithanhle2003@gmail.com")</f>
        <v>Tranthithanhle2003@gmail.com</v>
      </c>
      <c r="AB121" s="76" t="str">
        <f>IFERROR(__xludf.DUMMYFUNCTION("""COMPUTED_VALUE"""),"Trần Thị Thanh Lê")</f>
        <v>Trần Thị Thanh Lê</v>
      </c>
      <c r="AC121" s="76" t="str">
        <f>IFERROR(__xludf.DUMMYFUNCTION("""COMPUTED_VALUE"""),"ĐÃ NỘP")</f>
        <v>ĐÃ NỘP</v>
      </c>
    </row>
    <row r="122">
      <c r="A122" s="100">
        <f>IFERROR(__xludf.DUMMYFUNCTION("""COMPUTED_VALUE"""),45665.40037715278)</f>
        <v>45665.40038</v>
      </c>
      <c r="B122" s="76" t="str">
        <f>IFERROR(__xludf.DUMMYFUNCTION("""COMPUTED_VALUE"""),"kurot1910@gmail.com")</f>
        <v>kurot1910@gmail.com</v>
      </c>
      <c r="C122" s="76">
        <f>IFERROR(__xludf.DUMMYFUNCTION("""COMPUTED_VALUE"""),2.6217135177E10)</f>
        <v>26217135177</v>
      </c>
      <c r="D122" s="76" t="str">
        <f>IFERROR(__xludf.DUMMYFUNCTION("""COMPUTED_VALUE"""),"Nguyễn Ngọc Nhân")</f>
        <v>Nguyễn Ngọc Nhân</v>
      </c>
      <c r="E122" s="101">
        <f>IFERROR(__xludf.DUMMYFUNCTION("""COMPUTED_VALUE"""),37548.0)</f>
        <v>37548</v>
      </c>
      <c r="F122" s="76" t="str">
        <f>IFERROR(__xludf.DUMMYFUNCTION("""COMPUTED_VALUE"""),"K26DLK16")</f>
        <v>K26DLK16</v>
      </c>
      <c r="G122" s="76" t="str">
        <f>IFERROR(__xludf.DUMMYFUNCTION("""COMPUTED_VALUE"""),"Quản trị Du lịch &amp; Khách sạn")</f>
        <v>Quản trị Du lịch &amp; Khách sạn</v>
      </c>
      <c r="H122" s="76" t="str">
        <f>IFERROR(__xludf.DUMMYFUNCTION("""COMPUTED_VALUE"""),"K26")</f>
        <v>K26</v>
      </c>
      <c r="I122" s="76" t="str">
        <f>IFERROR(__xludf.DUMMYFUNCTION("""COMPUTED_VALUE"""),"0905510617")</f>
        <v>0905510617</v>
      </c>
      <c r="J122" s="76">
        <f>IFERROR(__xludf.DUMMYFUNCTION("""COMPUTED_VALUE"""),2.43)</f>
        <v>2.43</v>
      </c>
      <c r="K122" s="76">
        <f>IFERROR(__xludf.DUMMYFUNCTION("""COMPUTED_VALUE"""),124.0)</f>
        <v>124</v>
      </c>
      <c r="L122" s="76" t="str">
        <f>IFERROR(__xludf.DUMMYFUNCTION("""COMPUTED_VALUE"""),"Rồi")</f>
        <v>Rồi</v>
      </c>
      <c r="M122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22" s="76" t="str">
        <f>IFERROR(__xludf.DUMMYFUNCTION("""COMPUTED_VALUE"""),"Đã hoàn thành hết tín chỉ")</f>
        <v>Đã hoàn thành hết tín chỉ</v>
      </c>
      <c r="O122" s="76" t="str">
        <f>IFERROR(__xludf.DUMMYFUNCTION("""COMPUTED_VALUE"""),"cam kết")</f>
        <v>cam kết</v>
      </c>
      <c r="P122" s="76" t="str">
        <f>IFERROR(__xludf.DUMMYFUNCTION("""COMPUTED_VALUE"""),"ĐÃ NỘP")</f>
        <v>ĐÃ NỘP</v>
      </c>
      <c r="Q122" s="76" t="str">
        <f>IFERROR(__xludf.DUMMYFUNCTION("""COMPUTED_VALUE"""),"ĐÃ NỘP")</f>
        <v>ĐÃ NỘP</v>
      </c>
      <c r="R122" s="76">
        <f>IFERROR(__xludf.DUMMYFUNCTION("""COMPUTED_VALUE"""),12.0)</f>
        <v>12</v>
      </c>
      <c r="S122" s="76"/>
      <c r="T122" s="76" t="str">
        <f>IFERROR(__xludf.DUMMYFUNCTION("""COMPUTED_VALUE"""),"đã nộp phiếu tiếp nhận sv tt")</f>
        <v>đã nộp phiếu tiếp nhận sv tt</v>
      </c>
      <c r="U122" s="102" t="str">
        <f>IFERROR(__xludf.DUMMYFUNCTION("""COMPUTED_VALUE"""),"Nguyễn Ngọc Nhân")</f>
        <v>Nguyễn Ngọc Nhân</v>
      </c>
      <c r="V122" s="76" t="str">
        <f>IFERROR(__xludf.DUMMYFUNCTION("""COMPUTED_VALUE"""),"Quản Trị Khách Sạn &amp; Nhà Hàng (Đại Học)")</f>
        <v>Quản Trị Khách Sạn &amp; Nhà Hàng (Đại Học)</v>
      </c>
      <c r="W122" s="76" t="str">
        <f>IFERROR(__xludf.DUMMYFUNCTION("""COMPUTED_VALUE"""),"Le Sands Oceanfront Da Nang Hotel")</f>
        <v>Le Sands Oceanfront Da Nang Hotel</v>
      </c>
      <c r="X122" s="76" t="str">
        <f>IFERROR(__xludf.DUMMYFUNCTION("""COMPUTED_VALUE"""),"Nhà hàng")</f>
        <v>Nhà hàng</v>
      </c>
      <c r="Y122" s="76" t="str">
        <f>IFERROR(__xludf.DUMMYFUNCTION("""COMPUTED_VALUE"""),"DUYỆT")</f>
        <v>DUYỆT</v>
      </c>
      <c r="Z122" s="76" t="str">
        <f>IFERROR(__xludf.DUMMYFUNCTION("""COMPUTED_VALUE"""),"CHUYÊN ĐỀ")</f>
        <v>CHUYÊN ĐỀ</v>
      </c>
      <c r="AA122" s="76" t="str">
        <f>IFERROR(__xludf.DUMMYFUNCTION("""COMPUTED_VALUE"""),"kurot1910@gmail.com")</f>
        <v>kurot1910@gmail.com</v>
      </c>
      <c r="AB122" s="76"/>
      <c r="AC122" s="76"/>
    </row>
    <row r="123">
      <c r="A123" s="100">
        <f>IFERROR(__xludf.DUMMYFUNCTION("""COMPUTED_VALUE"""),45651.753252002316)</f>
        <v>45651.75325</v>
      </c>
      <c r="B123" s="76" t="str">
        <f>IFERROR(__xludf.DUMMYFUNCTION("""COMPUTED_VALUE"""),"nguyenthituyettram652003@gmail.com")</f>
        <v>nguyenthituyettram652003@gmail.com</v>
      </c>
      <c r="C123" s="76">
        <f>IFERROR(__xludf.DUMMYFUNCTION("""COMPUTED_VALUE"""),2.720714344E10)</f>
        <v>27207143440</v>
      </c>
      <c r="D123" s="76" t="str">
        <f>IFERROR(__xludf.DUMMYFUNCTION("""COMPUTED_VALUE"""),"Nguyễn Thị Tuyết Trâm")</f>
        <v>Nguyễn Thị Tuyết Trâm</v>
      </c>
      <c r="E123" s="101">
        <f>IFERROR(__xludf.DUMMYFUNCTION("""COMPUTED_VALUE"""),37747.0)</f>
        <v>37747</v>
      </c>
      <c r="F123" s="76" t="str">
        <f>IFERROR(__xludf.DUMMYFUNCTION("""COMPUTED_VALUE"""),"K27DLK5")</f>
        <v>K27DLK5</v>
      </c>
      <c r="G123" s="76" t="str">
        <f>IFERROR(__xludf.DUMMYFUNCTION("""COMPUTED_VALUE"""),"Quản trị Du lịch &amp; Khách sạn")</f>
        <v>Quản trị Du lịch &amp; Khách sạn</v>
      </c>
      <c r="H123" s="76" t="str">
        <f>IFERROR(__xludf.DUMMYFUNCTION("""COMPUTED_VALUE"""),"K27")</f>
        <v>K27</v>
      </c>
      <c r="I123" s="76" t="str">
        <f>IFERROR(__xludf.DUMMYFUNCTION("""COMPUTED_VALUE"""),"0383228364")</f>
        <v>0383228364</v>
      </c>
      <c r="J123" s="76">
        <f>IFERROR(__xludf.DUMMYFUNCTION("""COMPUTED_VALUE"""),2.93)</f>
        <v>2.93</v>
      </c>
      <c r="K123" s="76">
        <f>IFERROR(__xludf.DUMMYFUNCTION("""COMPUTED_VALUE"""),118.0)</f>
        <v>118</v>
      </c>
      <c r="L123" s="76" t="str">
        <f>IFERROR(__xludf.DUMMYFUNCTION("""COMPUTED_VALUE"""),"Rồi")</f>
        <v>Rồi</v>
      </c>
      <c r="M123" s="76" t="str">
        <f>IFERROR(__xludf.DUMMYFUNCTION("""COMPUTED_VALUE"""),"Thực tập tốt nghiệp, Thi tốt nghiệp")</f>
        <v>Thực tập tốt nghiệp, Thi tốt nghiệp</v>
      </c>
      <c r="N123" s="76">
        <f>IFERROR(__xludf.DUMMYFUNCTION("""COMPUTED_VALUE"""),11.0)</f>
        <v>11</v>
      </c>
      <c r="O123" s="76" t="str">
        <f>IFERROR(__xludf.DUMMYFUNCTION("""COMPUTED_VALUE"""),"cam kết")</f>
        <v>cam kết</v>
      </c>
      <c r="P123" s="76"/>
      <c r="Q123" s="76"/>
      <c r="R123" s="76"/>
      <c r="S123" s="76" t="str">
        <f>IFERROR(__xludf.DUMMYFUNCTION("""COMPUTED_VALUE"""),"27/12/2024")</f>
        <v>27/12/2024</v>
      </c>
      <c r="T123" s="76"/>
      <c r="U123" s="102" t="str">
        <f>IFERROR(__xludf.DUMMYFUNCTION("""COMPUTED_VALUE"""),"Nguyễn Thị Tuyết Trâm")</f>
        <v>Nguyễn Thị Tuyết Trâm</v>
      </c>
      <c r="V123" s="76" t="str">
        <f>IFERROR(__xludf.DUMMYFUNCTION("""COMPUTED_VALUE"""),"Quản Trị Khách Sạn &amp; Nhà Hàng (Đại Học)")</f>
        <v>Quản Trị Khách Sạn &amp; Nhà Hàng (Đại Học)</v>
      </c>
      <c r="W123" s="76" t="str">
        <f>IFERROR(__xludf.DUMMYFUNCTION("""COMPUTED_VALUE"""),"Khách sạn Mandila Beach Đà Nẵng")</f>
        <v>Khách sạn Mandila Beach Đà Nẵng</v>
      </c>
      <c r="X123" s="76" t="str">
        <f>IFERROR(__xludf.DUMMYFUNCTION("""COMPUTED_VALUE"""),"Nhà hàng")</f>
        <v>Nhà hàng</v>
      </c>
      <c r="Y123" s="76" t="str">
        <f>IFERROR(__xludf.DUMMYFUNCTION("""COMPUTED_VALUE"""),"DUYỆT")</f>
        <v>DUYỆT</v>
      </c>
      <c r="Z123" s="76" t="str">
        <f>IFERROR(__xludf.DUMMYFUNCTION("""COMPUTED_VALUE"""),"CHUYÊN ĐỀ")</f>
        <v>CHUYÊN ĐỀ</v>
      </c>
      <c r="AA123" s="76" t="str">
        <f>IFERROR(__xludf.DUMMYFUNCTION("""COMPUTED_VALUE"""),"nguyenthituyettram652003@gmail.com")</f>
        <v>nguyenthituyettram652003@gmail.com</v>
      </c>
      <c r="AB123" s="76"/>
      <c r="AC123" s="76"/>
    </row>
    <row r="124">
      <c r="A124" s="100">
        <f>IFERROR(__xludf.DUMMYFUNCTION("""COMPUTED_VALUE"""),45663.10237886574)</f>
        <v>45663.10238</v>
      </c>
      <c r="B124" s="76" t="str">
        <f>IFERROR(__xludf.DUMMYFUNCTION("""COMPUTED_VALUE"""),"nhatyenpd.73@gmail.com")</f>
        <v>nhatyenpd.73@gmail.com</v>
      </c>
      <c r="C124" s="76">
        <f>IFERROR(__xludf.DUMMYFUNCTION("""COMPUTED_VALUE"""),2.6207126132E10)</f>
        <v>26207126132</v>
      </c>
      <c r="D124" s="76" t="str">
        <f>IFERROR(__xludf.DUMMYFUNCTION("""COMPUTED_VALUE"""),"Nguyễn Lương Nhật Yến ")</f>
        <v>Nguyễn Lương Nhật Yến </v>
      </c>
      <c r="E124" s="101">
        <f>IFERROR(__xludf.DUMMYFUNCTION("""COMPUTED_VALUE"""),37560.0)</f>
        <v>37560</v>
      </c>
      <c r="F124" s="76" t="str">
        <f>IFERROR(__xludf.DUMMYFUNCTION("""COMPUTED_VALUE"""),"K26DLK7")</f>
        <v>K26DLK7</v>
      </c>
      <c r="G124" s="76" t="str">
        <f>IFERROR(__xludf.DUMMYFUNCTION("""COMPUTED_VALUE"""),"Quản trị Du lịch &amp; Khách sạn")</f>
        <v>Quản trị Du lịch &amp; Khách sạn</v>
      </c>
      <c r="H124" s="76" t="str">
        <f>IFERROR(__xludf.DUMMYFUNCTION("""COMPUTED_VALUE"""),"K26")</f>
        <v>K26</v>
      </c>
      <c r="I124" s="76" t="str">
        <f>IFERROR(__xludf.DUMMYFUNCTION("""COMPUTED_VALUE"""),"0378099134")</f>
        <v>0378099134</v>
      </c>
      <c r="J124" s="76">
        <f>IFERROR(__xludf.DUMMYFUNCTION("""COMPUTED_VALUE"""),2.41)</f>
        <v>2.41</v>
      </c>
      <c r="K124" s="76">
        <f>IFERROR(__xludf.DUMMYFUNCTION("""COMPUTED_VALUE"""),128.0)</f>
        <v>128</v>
      </c>
      <c r="L124" s="76" t="str">
        <f>IFERROR(__xludf.DUMMYFUNCTION("""COMPUTED_VALUE"""),"Rồi")</f>
        <v>Rồi</v>
      </c>
      <c r="M124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24" s="76">
        <f>IFERROR(__xludf.DUMMYFUNCTION("""COMPUTED_VALUE"""),5.0)</f>
        <v>5</v>
      </c>
      <c r="O124" s="76" t="str">
        <f>IFERROR(__xludf.DUMMYFUNCTION("""COMPUTED_VALUE"""),"cam kết")</f>
        <v>cam kết</v>
      </c>
      <c r="P124" s="76"/>
      <c r="Q124" s="76" t="str">
        <f>IFERROR(__xludf.DUMMYFUNCTION("""COMPUTED_VALUE"""),"ĐÃ NỘP")</f>
        <v>ĐÃ NỘP</v>
      </c>
      <c r="R124" s="76">
        <f>IFERROR(__xludf.DUMMYFUNCTION("""COMPUTED_VALUE"""),13.0)</f>
        <v>13</v>
      </c>
      <c r="S124" s="76" t="str">
        <f>IFERROR(__xludf.DUMMYFUNCTION("""COMPUTED_VALUE"""),"14/01/2025")</f>
        <v>14/01/2025</v>
      </c>
      <c r="T124" s="76"/>
      <c r="U124" s="102" t="str">
        <f>IFERROR(__xludf.DUMMYFUNCTION("""COMPUTED_VALUE"""),"Nguyễn Lương Nhật Yến")</f>
        <v>Nguyễn Lương Nhật Yến</v>
      </c>
      <c r="V124" s="76" t="str">
        <f>IFERROR(__xludf.DUMMYFUNCTION("""COMPUTED_VALUE"""),"Quản Trị Khách Sạn &amp; Nhà Hàng (Đại Học)")</f>
        <v>Quản Trị Khách Sạn &amp; Nhà Hàng (Đại Học)</v>
      </c>
      <c r="W124" s="76" t="str">
        <f>IFERROR(__xludf.DUMMYFUNCTION("""COMPUTED_VALUE"""),"Vinh Hung Riverside Resort &amp; Spa")</f>
        <v>Vinh Hung Riverside Resort &amp; Spa</v>
      </c>
      <c r="X124" s="76" t="str">
        <f>IFERROR(__xludf.DUMMYFUNCTION("""COMPUTED_VALUE"""),"Tiền sảnh")</f>
        <v>Tiền sảnh</v>
      </c>
      <c r="Y124" s="76" t="str">
        <f>IFERROR(__xludf.DUMMYFUNCTION("""COMPUTED_VALUE"""),"DUYỆT")</f>
        <v>DUYỆT</v>
      </c>
      <c r="Z124" s="76" t="str">
        <f>IFERROR(__xludf.DUMMYFUNCTION("""COMPUTED_VALUE"""),"CHUYÊN ĐỀ")</f>
        <v>CHUYÊN ĐỀ</v>
      </c>
      <c r="AA124" s="76" t="str">
        <f>IFERROR(__xludf.DUMMYFUNCTION("""COMPUTED_VALUE"""),"nhatyenpd.73@gmail.com")</f>
        <v>nhatyenpd.73@gmail.com</v>
      </c>
      <c r="AB124" s="76"/>
      <c r="AC124" s="76"/>
    </row>
    <row r="125">
      <c r="A125" s="100">
        <f>IFERROR(__xludf.DUMMYFUNCTION("""COMPUTED_VALUE"""),45650.87988489583)</f>
        <v>45650.87988</v>
      </c>
      <c r="B125" s="76" t="str">
        <f>IFERROR(__xludf.DUMMYFUNCTION("""COMPUTED_VALUE"""),"nguyenphuc30102002@gmail.com")</f>
        <v>nguyenphuc30102002@gmail.com</v>
      </c>
      <c r="C125" s="76">
        <f>IFERROR(__xludf.DUMMYFUNCTION("""COMPUTED_VALUE"""),2.6217241667E10)</f>
        <v>26217241667</v>
      </c>
      <c r="D125" s="76" t="str">
        <f>IFERROR(__xludf.DUMMYFUNCTION("""COMPUTED_VALUE"""),"Nguyễn Phúc")</f>
        <v>Nguyễn Phúc</v>
      </c>
      <c r="E125" s="101">
        <f>IFERROR(__xludf.DUMMYFUNCTION("""COMPUTED_VALUE"""),37559.0)</f>
        <v>37559</v>
      </c>
      <c r="F125" s="76" t="str">
        <f>IFERROR(__xludf.DUMMYFUNCTION("""COMPUTED_VALUE"""),"K27DLK6")</f>
        <v>K27DLK6</v>
      </c>
      <c r="G125" s="76" t="str">
        <f>IFERROR(__xludf.DUMMYFUNCTION("""COMPUTED_VALUE"""),"Quản trị Du lịch &amp; Khách sạn")</f>
        <v>Quản trị Du lịch &amp; Khách sạn</v>
      </c>
      <c r="H125" s="76" t="str">
        <f>IFERROR(__xludf.DUMMYFUNCTION("""COMPUTED_VALUE"""),"K27")</f>
        <v>K27</v>
      </c>
      <c r="I125" s="76" t="str">
        <f>IFERROR(__xludf.DUMMYFUNCTION("""COMPUTED_VALUE"""),"0938741507")</f>
        <v>0938741507</v>
      </c>
      <c r="J125" s="76">
        <f>IFERROR(__xludf.DUMMYFUNCTION("""COMPUTED_VALUE"""),3.61)</f>
        <v>3.61</v>
      </c>
      <c r="K125" s="76">
        <f>IFERROR(__xludf.DUMMYFUNCTION("""COMPUTED_VALUE"""),126.0)</f>
        <v>126</v>
      </c>
      <c r="L125" s="76" t="str">
        <f>IFERROR(__xludf.DUMMYFUNCTION("""COMPUTED_VALUE"""),"Rồi")</f>
        <v>Rồi</v>
      </c>
      <c r="M125" s="76" t="str">
        <f>IFERROR(__xludf.DUMMYFUNCTION("""COMPUTED_VALUE"""),"Thực tập tốt nghiệp, Thi tốt nghiệp")</f>
        <v>Thực tập tốt nghiệp, Thi tốt nghiệp</v>
      </c>
      <c r="N125" s="76">
        <f>IFERROR(__xludf.DUMMYFUNCTION("""COMPUTED_VALUE"""),0.0)</f>
        <v>0</v>
      </c>
      <c r="O125" s="76" t="str">
        <f>IFERROR(__xludf.DUMMYFUNCTION("""COMPUTED_VALUE"""),"cam kết")</f>
        <v>cam kết</v>
      </c>
      <c r="P125" s="76"/>
      <c r="Q125" s="76"/>
      <c r="R125" s="76"/>
      <c r="S125" s="76" t="str">
        <f>IFERROR(__xludf.DUMMYFUNCTION("""COMPUTED_VALUE"""),"27/12/2024")</f>
        <v>27/12/2024</v>
      </c>
      <c r="T125" s="76"/>
      <c r="U125" s="102" t="str">
        <f>IFERROR(__xludf.DUMMYFUNCTION("""COMPUTED_VALUE"""),"Nguyễn Phúc")</f>
        <v>Nguyễn Phúc</v>
      </c>
      <c r="V125" s="76" t="str">
        <f>IFERROR(__xludf.DUMMYFUNCTION("""COMPUTED_VALUE"""),"Quản Trị Khách Sạn &amp; Nhà Hàng (Đại Học)")</f>
        <v>Quản Trị Khách Sạn &amp; Nhà Hàng (Đại Học)</v>
      </c>
      <c r="W125" s="76" t="str">
        <f>IFERROR(__xludf.DUMMYFUNCTION("""COMPUTED_VALUE"""),"Hyatt regency DaNang Resort")</f>
        <v>Hyatt regency DaNang Resort</v>
      </c>
      <c r="X125" s="76" t="str">
        <f>IFERROR(__xludf.DUMMYFUNCTION("""COMPUTED_VALUE"""),"Nhà hàng")</f>
        <v>Nhà hàng</v>
      </c>
      <c r="Y125" s="76" t="str">
        <f>IFERROR(__xludf.DUMMYFUNCTION("""COMPUTED_VALUE"""),"DUYỆT")</f>
        <v>DUYỆT</v>
      </c>
      <c r="Z125" s="76" t="str">
        <f>IFERROR(__xludf.DUMMYFUNCTION("""COMPUTED_VALUE"""),"CHUYÊN ĐỀ")</f>
        <v>CHUYÊN ĐỀ</v>
      </c>
      <c r="AA125" s="76" t="str">
        <f>IFERROR(__xludf.DUMMYFUNCTION("""COMPUTED_VALUE"""),"nguyenphuc30102002@gmail.com")</f>
        <v>nguyenphuc30102002@gmail.com</v>
      </c>
      <c r="AB125" s="76" t="str">
        <f>IFERROR(__xludf.DUMMYFUNCTION("""COMPUTED_VALUE"""),"#N/A")</f>
        <v>#N/A</v>
      </c>
      <c r="AC125" s="76" t="str">
        <f>IFERROR(__xludf.DUMMYFUNCTION("""COMPUTED_VALUE"""),"#N/A")</f>
        <v>#N/A</v>
      </c>
    </row>
    <row r="126">
      <c r="A126" s="100">
        <f>IFERROR(__xludf.DUMMYFUNCTION("""COMPUTED_VALUE"""),45650.88185371528)</f>
        <v>45650.88185</v>
      </c>
      <c r="B126" s="76" t="str">
        <f>IFERROR(__xludf.DUMMYFUNCTION("""COMPUTED_VALUE"""),"lethanhhieu012@gmail.com")</f>
        <v>lethanhhieu012@gmail.com</v>
      </c>
      <c r="C126" s="76">
        <f>IFERROR(__xludf.DUMMYFUNCTION("""COMPUTED_VALUE"""),2.7217102218E10)</f>
        <v>27217102218</v>
      </c>
      <c r="D126" s="76" t="str">
        <f>IFERROR(__xludf.DUMMYFUNCTION("""COMPUTED_VALUE"""),"Lê Thanh Hiếu")</f>
        <v>Lê Thanh Hiếu</v>
      </c>
      <c r="E126" s="101">
        <f>IFERROR(__xludf.DUMMYFUNCTION("""COMPUTED_VALUE"""),37847.0)</f>
        <v>37847</v>
      </c>
      <c r="F126" s="76" t="str">
        <f>IFERROR(__xludf.DUMMYFUNCTION("""COMPUTED_VALUE"""),"K27DLK7")</f>
        <v>K27DLK7</v>
      </c>
      <c r="G126" s="76" t="str">
        <f>IFERROR(__xludf.DUMMYFUNCTION("""COMPUTED_VALUE"""),"Quản trị Du lịch &amp; Khách sạn")</f>
        <v>Quản trị Du lịch &amp; Khách sạn</v>
      </c>
      <c r="H126" s="76" t="str">
        <f>IFERROR(__xludf.DUMMYFUNCTION("""COMPUTED_VALUE"""),"K27")</f>
        <v>K27</v>
      </c>
      <c r="I126" s="76" t="str">
        <f>IFERROR(__xludf.DUMMYFUNCTION("""COMPUTED_VALUE"""),"0982299727")</f>
        <v>0982299727</v>
      </c>
      <c r="J126" s="76">
        <f>IFERROR(__xludf.DUMMYFUNCTION("""COMPUTED_VALUE"""),2.71)</f>
        <v>2.71</v>
      </c>
      <c r="K126" s="76">
        <f>IFERROR(__xludf.DUMMYFUNCTION("""COMPUTED_VALUE"""),114.0)</f>
        <v>114</v>
      </c>
      <c r="L126" s="76" t="str">
        <f>IFERROR(__xludf.DUMMYFUNCTION("""COMPUTED_VALUE"""),"Rồi")</f>
        <v>Rồi</v>
      </c>
      <c r="M126" s="76" t="str">
        <f>IFERROR(__xludf.DUMMYFUNCTION("""COMPUTED_VALUE"""),"Thực tập tốt nghiệp")</f>
        <v>Thực tập tốt nghiệp</v>
      </c>
      <c r="N126" s="76">
        <f>IFERROR(__xludf.DUMMYFUNCTION("""COMPUTED_VALUE"""),4.0)</f>
        <v>4</v>
      </c>
      <c r="O126" s="76" t="str">
        <f>IFERROR(__xludf.DUMMYFUNCTION("""COMPUTED_VALUE"""),"cam kết")</f>
        <v>cam kết</v>
      </c>
      <c r="P126" s="76"/>
      <c r="Q126" s="76"/>
      <c r="R126" s="76"/>
      <c r="S126" s="76" t="str">
        <f>IFERROR(__xludf.DUMMYFUNCTION("""COMPUTED_VALUE"""),"27/12/2024")</f>
        <v>27/12/2024</v>
      </c>
      <c r="T126" s="76"/>
      <c r="U126" s="102" t="str">
        <f>IFERROR(__xludf.DUMMYFUNCTION("""COMPUTED_VALUE"""),"Lê Thanh Hiếu")</f>
        <v>Lê Thanh Hiếu</v>
      </c>
      <c r="V126" s="76" t="str">
        <f>IFERROR(__xludf.DUMMYFUNCTION("""COMPUTED_VALUE"""),"Quản Trị Khách Sạn &amp; Nhà Hàng (Đại Học)")</f>
        <v>Quản Trị Khách Sạn &amp; Nhà Hàng (Đại Học)</v>
      </c>
      <c r="W126" s="76" t="str">
        <f>IFERROR(__xludf.DUMMYFUNCTION("""COMPUTED_VALUE"""),"Diamond Sea Hotel")</f>
        <v>Diamond Sea Hotel</v>
      </c>
      <c r="X126" s="76" t="str">
        <f>IFERROR(__xludf.DUMMYFUNCTION("""COMPUTED_VALUE"""),"Buồng phòng")</f>
        <v>Buồng phòng</v>
      </c>
      <c r="Y126" s="76" t="str">
        <f>IFERROR(__xludf.DUMMYFUNCTION("""COMPUTED_VALUE"""),"DUYỆT")</f>
        <v>DUYỆT</v>
      </c>
      <c r="Z126" s="76" t="str">
        <f>IFERROR(__xludf.DUMMYFUNCTION("""COMPUTED_VALUE"""),"CHUYÊN ĐỀ")</f>
        <v>CHUYÊN ĐỀ</v>
      </c>
      <c r="AA126" s="76" t="str">
        <f>IFERROR(__xludf.DUMMYFUNCTION("""COMPUTED_VALUE"""),"lethanhhieu012@gmail.com")</f>
        <v>lethanhhieu012@gmail.com</v>
      </c>
      <c r="AB126" s="76"/>
      <c r="AC126" s="76"/>
    </row>
    <row r="127">
      <c r="A127" s="100">
        <f>IFERROR(__xludf.DUMMYFUNCTION("""COMPUTED_VALUE"""),45651.69079502315)</f>
        <v>45651.6908</v>
      </c>
      <c r="B127" s="76" t="str">
        <f>IFERROR(__xludf.DUMMYFUNCTION("""COMPUTED_VALUE"""),"nguyenthithuyhien9630@gmail.com")</f>
        <v>nguyenthithuyhien9630@gmail.com</v>
      </c>
      <c r="C127" s="76">
        <f>IFERROR(__xludf.DUMMYFUNCTION("""COMPUTED_VALUE"""),2.7207133735E10)</f>
        <v>27207133735</v>
      </c>
      <c r="D127" s="76" t="str">
        <f>IFERROR(__xludf.DUMMYFUNCTION("""COMPUTED_VALUE"""),"Nguyễn Thị Thuý Hiền ")</f>
        <v>Nguyễn Thị Thuý Hiền </v>
      </c>
      <c r="E127" s="101">
        <f>IFERROR(__xludf.DUMMYFUNCTION("""COMPUTED_VALUE"""),37953.0)</f>
        <v>37953</v>
      </c>
      <c r="F127" s="76" t="str">
        <f>IFERROR(__xludf.DUMMYFUNCTION("""COMPUTED_VALUE"""),"K27DLK1")</f>
        <v>K27DLK1</v>
      </c>
      <c r="G127" s="76" t="str">
        <f>IFERROR(__xludf.DUMMYFUNCTION("""COMPUTED_VALUE"""),"Quản trị Du lịch &amp; Khách sạn")</f>
        <v>Quản trị Du lịch &amp; Khách sạn</v>
      </c>
      <c r="H127" s="76" t="str">
        <f>IFERROR(__xludf.DUMMYFUNCTION("""COMPUTED_VALUE"""),"K27")</f>
        <v>K27</v>
      </c>
      <c r="I127" s="76" t="str">
        <f>IFERROR(__xludf.DUMMYFUNCTION("""COMPUTED_VALUE"""),"0379479630")</f>
        <v>0379479630</v>
      </c>
      <c r="J127" s="76" t="str">
        <f>IFERROR(__xludf.DUMMYFUNCTION("""COMPUTED_VALUE"""),"3,67")</f>
        <v>3,67</v>
      </c>
      <c r="K127" s="76">
        <f>IFERROR(__xludf.DUMMYFUNCTION("""COMPUTED_VALUE"""),115.0)</f>
        <v>115</v>
      </c>
      <c r="L127" s="76" t="str">
        <f>IFERROR(__xludf.DUMMYFUNCTION("""COMPUTED_VALUE"""),"Rồi")</f>
        <v>Rồi</v>
      </c>
      <c r="M127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27" s="76">
        <f>IFERROR(__xludf.DUMMYFUNCTION("""COMPUTED_VALUE"""),9.0)</f>
        <v>9</v>
      </c>
      <c r="O127" s="76" t="str">
        <f>IFERROR(__xludf.DUMMYFUNCTION("""COMPUTED_VALUE"""),"cam kết")</f>
        <v>cam kết</v>
      </c>
      <c r="P127" s="76"/>
      <c r="Q127" s="76"/>
      <c r="R127" s="76"/>
      <c r="S127" s="76" t="str">
        <f>IFERROR(__xludf.DUMMYFUNCTION("""COMPUTED_VALUE"""),"27/12/2024")</f>
        <v>27/12/2024</v>
      </c>
      <c r="T127" s="76"/>
      <c r="U127" s="102" t="str">
        <f>IFERROR(__xludf.DUMMYFUNCTION("""COMPUTED_VALUE"""),"Nguyễn Thị Thúy Hiền")</f>
        <v>Nguyễn Thị Thúy Hiền</v>
      </c>
      <c r="V127" s="76" t="str">
        <f>IFERROR(__xludf.DUMMYFUNCTION("""COMPUTED_VALUE"""),"Quản Trị Khách Sạn &amp; Nhà Hàng (Đại Học)")</f>
        <v>Quản Trị Khách Sạn &amp; Nhà Hàng (Đại Học)</v>
      </c>
      <c r="W127" s="76" t="str">
        <f>IFERROR(__xludf.DUMMYFUNCTION("""COMPUTED_VALUE"""),"Wyndham DaNang Golden Bay")</f>
        <v>Wyndham DaNang Golden Bay</v>
      </c>
      <c r="X127" s="76" t="str">
        <f>IFERROR(__xludf.DUMMYFUNCTION("""COMPUTED_VALUE"""),"Tiền sảnh")</f>
        <v>Tiền sảnh</v>
      </c>
      <c r="Y127" s="76" t="str">
        <f>IFERROR(__xludf.DUMMYFUNCTION("""COMPUTED_VALUE"""),"DUYỆT")</f>
        <v>DUYỆT</v>
      </c>
      <c r="Z127" s="76" t="str">
        <f>IFERROR(__xludf.DUMMYFUNCTION("""COMPUTED_VALUE"""),"CHUYÊN ĐỀ")</f>
        <v>CHUYÊN ĐỀ</v>
      </c>
      <c r="AA127" s="76" t="str">
        <f>IFERROR(__xludf.DUMMYFUNCTION("""COMPUTED_VALUE"""),"nguyenthithuyhien9630@gmail.com")</f>
        <v>nguyenthithuyhien9630@gmail.com</v>
      </c>
      <c r="AB127" s="76" t="str">
        <f>IFERROR(__xludf.DUMMYFUNCTION("""COMPUTED_VALUE"""),"Nguyễn Thị Thúy Hiền ")</f>
        <v>Nguyễn Thị Thúy Hiền </v>
      </c>
      <c r="AC127" s="76" t="str">
        <f>IFERROR(__xludf.DUMMYFUNCTION("""COMPUTED_VALUE"""),"ĐÃ NỘP")</f>
        <v>ĐÃ NỘP</v>
      </c>
    </row>
    <row r="128">
      <c r="A128" s="100">
        <f>IFERROR(__xludf.DUMMYFUNCTION("""COMPUTED_VALUE"""),45651.69036601852)</f>
        <v>45651.69037</v>
      </c>
      <c r="B128" s="76" t="str">
        <f>IFERROR(__xludf.DUMMYFUNCTION("""COMPUTED_VALUE"""),"vantutran11103@gmail.com")</f>
        <v>vantutran11103@gmail.com</v>
      </c>
      <c r="C128" s="76">
        <f>IFERROR(__xludf.DUMMYFUNCTION("""COMPUTED_VALUE"""),2.7217130071E10)</f>
        <v>27217130071</v>
      </c>
      <c r="D128" s="76" t="str">
        <f>IFERROR(__xludf.DUMMYFUNCTION("""COMPUTED_VALUE"""),"Trần Văn Tứ ")</f>
        <v>Trần Văn Tứ </v>
      </c>
      <c r="E128" s="101">
        <f>IFERROR(__xludf.DUMMYFUNCTION("""COMPUTED_VALUE"""),37926.0)</f>
        <v>37926</v>
      </c>
      <c r="F128" s="76" t="str">
        <f>IFERROR(__xludf.DUMMYFUNCTION("""COMPUTED_VALUE"""),"K27DLK1")</f>
        <v>K27DLK1</v>
      </c>
      <c r="G128" s="76" t="str">
        <f>IFERROR(__xludf.DUMMYFUNCTION("""COMPUTED_VALUE"""),"Quản trị Du lịch &amp; Khách sạn")</f>
        <v>Quản trị Du lịch &amp; Khách sạn</v>
      </c>
      <c r="H128" s="76" t="str">
        <f>IFERROR(__xludf.DUMMYFUNCTION("""COMPUTED_VALUE"""),"K27")</f>
        <v>K27</v>
      </c>
      <c r="I128" s="76">
        <f>IFERROR(__xludf.DUMMYFUNCTION("""COMPUTED_VALUE"""),3.84249205E8)</f>
        <v>384249205</v>
      </c>
      <c r="J128" s="76">
        <f>IFERROR(__xludf.DUMMYFUNCTION("""COMPUTED_VALUE"""),3.48)</f>
        <v>3.48</v>
      </c>
      <c r="K128" s="76">
        <f>IFERROR(__xludf.DUMMYFUNCTION("""COMPUTED_VALUE"""),115.0)</f>
        <v>115</v>
      </c>
      <c r="L128" s="76" t="str">
        <f>IFERROR(__xludf.DUMMYFUNCTION("""COMPUTED_VALUE"""),"Rồi")</f>
        <v>Rồi</v>
      </c>
      <c r="M128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28" s="76">
        <f>IFERROR(__xludf.DUMMYFUNCTION("""COMPUTED_VALUE"""),9.0)</f>
        <v>9</v>
      </c>
      <c r="O128" s="76" t="str">
        <f>IFERROR(__xludf.DUMMYFUNCTION("""COMPUTED_VALUE"""),"cam kết")</f>
        <v>cam kết</v>
      </c>
      <c r="P128" s="76"/>
      <c r="Q128" s="76"/>
      <c r="R128" s="76"/>
      <c r="S128" s="76" t="str">
        <f>IFERROR(__xludf.DUMMYFUNCTION("""COMPUTED_VALUE"""),"27/12/2024")</f>
        <v>27/12/2024</v>
      </c>
      <c r="T128" s="76"/>
      <c r="U128" s="102" t="str">
        <f>IFERROR(__xludf.DUMMYFUNCTION("""COMPUTED_VALUE"""),"Trần Văn Tứ")</f>
        <v>Trần Văn Tứ</v>
      </c>
      <c r="V128" s="76" t="str">
        <f>IFERROR(__xludf.DUMMYFUNCTION("""COMPUTED_VALUE"""),"Quản Trị Khách Sạn &amp; Nhà Hàng (Đại Học)")</f>
        <v>Quản Trị Khách Sạn &amp; Nhà Hàng (Đại Học)</v>
      </c>
      <c r="W128" s="76" t="str">
        <f>IFERROR(__xludf.DUMMYFUNCTION("""COMPUTED_VALUE"""),"Meliá Vinpearl Danang Riverfront")</f>
        <v>Meliá Vinpearl Danang Riverfront</v>
      </c>
      <c r="X128" s="76" t="str">
        <f>IFERROR(__xludf.DUMMYFUNCTION("""COMPUTED_VALUE"""),"Buồng phòng")</f>
        <v>Buồng phòng</v>
      </c>
      <c r="Y128" s="76" t="str">
        <f>IFERROR(__xludf.DUMMYFUNCTION("""COMPUTED_VALUE"""),"DUYỆT")</f>
        <v>DUYỆT</v>
      </c>
      <c r="Z128" s="76" t="str">
        <f>IFERROR(__xludf.DUMMYFUNCTION("""COMPUTED_VALUE"""),"CHUYÊN ĐỀ")</f>
        <v>CHUYÊN ĐỀ</v>
      </c>
      <c r="AA128" s="76" t="str">
        <f>IFERROR(__xludf.DUMMYFUNCTION("""COMPUTED_VALUE"""),"vantutran11103@gmail.com")</f>
        <v>vantutran11103@gmail.com</v>
      </c>
      <c r="AB128" s="76" t="str">
        <f>IFERROR(__xludf.DUMMYFUNCTION("""COMPUTED_VALUE"""),"Trần Văn Tứ ")</f>
        <v>Trần Văn Tứ </v>
      </c>
      <c r="AC128" s="76" t="str">
        <f>IFERROR(__xludf.DUMMYFUNCTION("""COMPUTED_VALUE"""),"ĐÃ NỘP")</f>
        <v>ĐÃ NỘP</v>
      </c>
    </row>
    <row r="129">
      <c r="A129" s="100">
        <f>IFERROR(__xludf.DUMMYFUNCTION("""COMPUTED_VALUE"""),45651.453825752316)</f>
        <v>45651.45383</v>
      </c>
      <c r="B129" s="76" t="str">
        <f>IFERROR(__xludf.DUMMYFUNCTION("""COMPUTED_VALUE"""),"nongthuhoai692@gmail.com")</f>
        <v>nongthuhoai692@gmail.com</v>
      </c>
      <c r="C129" s="76">
        <f>IFERROR(__xludf.DUMMYFUNCTION("""COMPUTED_VALUE"""),2.7207142571E10)</f>
        <v>27207142571</v>
      </c>
      <c r="D129" s="76" t="str">
        <f>IFERROR(__xludf.DUMMYFUNCTION("""COMPUTED_VALUE"""),"Nông Thị Thu Hoài ")</f>
        <v>Nông Thị Thu Hoài </v>
      </c>
      <c r="E129" s="101">
        <f>IFERROR(__xludf.DUMMYFUNCTION("""COMPUTED_VALUE"""),37892.0)</f>
        <v>37892</v>
      </c>
      <c r="F129" s="76" t="str">
        <f>IFERROR(__xludf.DUMMYFUNCTION("""COMPUTED_VALUE"""),"K27DLK1")</f>
        <v>K27DLK1</v>
      </c>
      <c r="G129" s="76" t="str">
        <f>IFERROR(__xludf.DUMMYFUNCTION("""COMPUTED_VALUE"""),"Quản trị Du lịch &amp; Khách sạn")</f>
        <v>Quản trị Du lịch &amp; Khách sạn</v>
      </c>
      <c r="H129" s="76" t="str">
        <f>IFERROR(__xludf.DUMMYFUNCTION("""COMPUTED_VALUE"""),"K27")</f>
        <v>K27</v>
      </c>
      <c r="I129" s="76" t="str">
        <f>IFERROR(__xludf.DUMMYFUNCTION("""COMPUTED_VALUE"""),"0345741424")</f>
        <v>0345741424</v>
      </c>
      <c r="J129" s="76">
        <f>IFERROR(__xludf.DUMMYFUNCTION("""COMPUTED_VALUE"""),3.16)</f>
        <v>3.16</v>
      </c>
      <c r="K129" s="76">
        <f>IFERROR(__xludf.DUMMYFUNCTION("""COMPUTED_VALUE"""),110.0)</f>
        <v>110</v>
      </c>
      <c r="L129" s="76" t="str">
        <f>IFERROR(__xludf.DUMMYFUNCTION("""COMPUTED_VALUE"""),"Rồi")</f>
        <v>Rồi</v>
      </c>
      <c r="M129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29" s="76">
        <f>IFERROR(__xludf.DUMMYFUNCTION("""COMPUTED_VALUE"""),13.0)</f>
        <v>13</v>
      </c>
      <c r="O129" s="76" t="str">
        <f>IFERROR(__xludf.DUMMYFUNCTION("""COMPUTED_VALUE"""),"cam kết")</f>
        <v>cam kết</v>
      </c>
      <c r="P129" s="76"/>
      <c r="Q129" s="76"/>
      <c r="R129" s="76"/>
      <c r="S129" s="76" t="str">
        <f>IFERROR(__xludf.DUMMYFUNCTION("""COMPUTED_VALUE"""),"27/12/2024")</f>
        <v>27/12/2024</v>
      </c>
      <c r="T129" s="76"/>
      <c r="U129" s="102" t="str">
        <f>IFERROR(__xludf.DUMMYFUNCTION("""COMPUTED_VALUE"""),"Nông Thị Thu Hoài")</f>
        <v>Nông Thị Thu Hoài</v>
      </c>
      <c r="V129" s="76" t="str">
        <f>IFERROR(__xludf.DUMMYFUNCTION("""COMPUTED_VALUE"""),"Quản Trị Khách Sạn &amp; Nhà Hàng (Đại Học)")</f>
        <v>Quản Trị Khách Sạn &amp; Nhà Hàng (Đại Học)</v>
      </c>
      <c r="W129" s="76" t="str">
        <f>IFERROR(__xludf.DUMMYFUNCTION("""COMPUTED_VALUE"""),"Le Sands Oceanfront Da Nang Hotel")</f>
        <v>Le Sands Oceanfront Da Nang Hotel</v>
      </c>
      <c r="X129" s="76" t="str">
        <f>IFERROR(__xludf.DUMMYFUNCTION("""COMPUTED_VALUE"""),"Nhà hàng")</f>
        <v>Nhà hàng</v>
      </c>
      <c r="Y129" s="76" t="str">
        <f>IFERROR(__xludf.DUMMYFUNCTION("""COMPUTED_VALUE"""),"DUYỆT")</f>
        <v>DUYỆT</v>
      </c>
      <c r="Z129" s="76" t="str">
        <f>IFERROR(__xludf.DUMMYFUNCTION("""COMPUTED_VALUE"""),"CHUYÊN ĐỀ")</f>
        <v>CHUYÊN ĐỀ</v>
      </c>
      <c r="AA129" s="76" t="str">
        <f>IFERROR(__xludf.DUMMYFUNCTION("""COMPUTED_VALUE"""),"nongthuhoai692@gmail.com")</f>
        <v>nongthuhoai692@gmail.com</v>
      </c>
      <c r="AB129" s="76"/>
      <c r="AC129" s="76"/>
    </row>
    <row r="130">
      <c r="A130" s="100">
        <f>IFERROR(__xludf.DUMMYFUNCTION("""COMPUTED_VALUE"""),45651.30957525463)</f>
        <v>45651.30958</v>
      </c>
      <c r="B130" s="76" t="str">
        <f>IFERROR(__xludf.DUMMYFUNCTION("""COMPUTED_VALUE"""),"kieuduyen081003@gmail.com")</f>
        <v>kieuduyen081003@gmail.com</v>
      </c>
      <c r="C130" s="76">
        <f>IFERROR(__xludf.DUMMYFUNCTION("""COMPUTED_VALUE"""),2.7207103184E10)</f>
        <v>27207103184</v>
      </c>
      <c r="D130" s="76" t="str">
        <f>IFERROR(__xludf.DUMMYFUNCTION("""COMPUTED_VALUE"""),"Trần Thị Kiều Duyên ")</f>
        <v>Trần Thị Kiều Duyên </v>
      </c>
      <c r="E130" s="101">
        <f>IFERROR(__xludf.DUMMYFUNCTION("""COMPUTED_VALUE"""),37902.0)</f>
        <v>37902</v>
      </c>
      <c r="F130" s="76" t="str">
        <f>IFERROR(__xludf.DUMMYFUNCTION("""COMPUTED_VALUE"""),"K27DLK 7")</f>
        <v>K27DLK 7</v>
      </c>
      <c r="G130" s="76" t="str">
        <f>IFERROR(__xludf.DUMMYFUNCTION("""COMPUTED_VALUE"""),"Quản trị Du lịch &amp; Khách sạn")</f>
        <v>Quản trị Du lịch &amp; Khách sạn</v>
      </c>
      <c r="H130" s="76" t="str">
        <f>IFERROR(__xludf.DUMMYFUNCTION("""COMPUTED_VALUE"""),"K27")</f>
        <v>K27</v>
      </c>
      <c r="I130" s="76" t="str">
        <f>IFERROR(__xludf.DUMMYFUNCTION("""COMPUTED_VALUE"""),"0906571524")</f>
        <v>0906571524</v>
      </c>
      <c r="J130" s="76">
        <f>IFERROR(__xludf.DUMMYFUNCTION("""COMPUTED_VALUE"""),3.34)</f>
        <v>3.34</v>
      </c>
      <c r="K130" s="76">
        <f>IFERROR(__xludf.DUMMYFUNCTION("""COMPUTED_VALUE"""),117.0)</f>
        <v>117</v>
      </c>
      <c r="L130" s="76" t="str">
        <f>IFERROR(__xludf.DUMMYFUNCTION("""COMPUTED_VALUE"""),"Rồi")</f>
        <v>Rồi</v>
      </c>
      <c r="M130" s="76" t="str">
        <f>IFERROR(__xludf.DUMMYFUNCTION("""COMPUTED_VALUE"""),"Thực tập tốt nghiệp, Thi tốt nghiệp")</f>
        <v>Thực tập tốt nghiệp, Thi tốt nghiệp</v>
      </c>
      <c r="N130" s="76">
        <f>IFERROR(__xludf.DUMMYFUNCTION("""COMPUTED_VALUE"""),7.0)</f>
        <v>7</v>
      </c>
      <c r="O130" s="76" t="str">
        <f>IFERROR(__xludf.DUMMYFUNCTION("""COMPUTED_VALUE"""),"cam kết")</f>
        <v>cam kết</v>
      </c>
      <c r="P130" s="76"/>
      <c r="Q130" s="76"/>
      <c r="R130" s="76"/>
      <c r="S130" s="76" t="str">
        <f>IFERROR(__xludf.DUMMYFUNCTION("""COMPUTED_VALUE"""),"27/12/2024")</f>
        <v>27/12/2024</v>
      </c>
      <c r="T130" s="76"/>
      <c r="U130" s="102" t="str">
        <f>IFERROR(__xludf.DUMMYFUNCTION("""COMPUTED_VALUE"""),"Trần Thị Kiều Duyên")</f>
        <v>Trần Thị Kiều Duyên</v>
      </c>
      <c r="V130" s="76" t="str">
        <f>IFERROR(__xludf.DUMMYFUNCTION("""COMPUTED_VALUE"""),"Quản Trị Khách Sạn &amp; Nhà Hàng (Đại Học)")</f>
        <v>Quản Trị Khách Sạn &amp; Nhà Hàng (Đại Học)</v>
      </c>
      <c r="W130" s="76" t="str">
        <f>IFERROR(__xludf.DUMMYFUNCTION("""COMPUTED_VALUE"""),"Hoi An Historic Hotel")</f>
        <v>Hoi An Historic Hotel</v>
      </c>
      <c r="X130" s="76" t="str">
        <f>IFERROR(__xludf.DUMMYFUNCTION("""COMPUTED_VALUE"""),"Tiền sảnh")</f>
        <v>Tiền sảnh</v>
      </c>
      <c r="Y130" s="76" t="str">
        <f>IFERROR(__xludf.DUMMYFUNCTION("""COMPUTED_VALUE"""),"DUYỆT")</f>
        <v>DUYỆT</v>
      </c>
      <c r="Z130" s="76" t="str">
        <f>IFERROR(__xludf.DUMMYFUNCTION("""COMPUTED_VALUE"""),"CHUYÊN ĐỀ")</f>
        <v>CHUYÊN ĐỀ</v>
      </c>
      <c r="AA130" s="76" t="str">
        <f>IFERROR(__xludf.DUMMYFUNCTION("""COMPUTED_VALUE"""),"kieuduyen081003@gmail.com")</f>
        <v>kieuduyen081003@gmail.com</v>
      </c>
      <c r="AB130" s="76" t="str">
        <f>IFERROR(__xludf.DUMMYFUNCTION("""COMPUTED_VALUE"""),"Trần Thị Kiều Duyên")</f>
        <v>Trần Thị Kiều Duyên</v>
      </c>
      <c r="AC130" s="76" t="str">
        <f>IFERROR(__xludf.DUMMYFUNCTION("""COMPUTED_VALUE"""),"ĐÃ NỘP")</f>
        <v>ĐÃ NỘP</v>
      </c>
    </row>
    <row r="131">
      <c r="A131" s="100">
        <f>IFERROR(__xludf.DUMMYFUNCTION("""COMPUTED_VALUE"""),45651.50695258102)</f>
        <v>45651.50695</v>
      </c>
      <c r="B131" s="76" t="str">
        <f>IFERROR(__xludf.DUMMYFUNCTION("""COMPUTED_VALUE"""),"huynhngocaly@gmail.com")</f>
        <v>huynhngocaly@gmail.com</v>
      </c>
      <c r="C131" s="76">
        <f>IFERROR(__xludf.DUMMYFUNCTION("""COMPUTED_VALUE"""),2.7217126224E10)</f>
        <v>27217126224</v>
      </c>
      <c r="D131" s="76" t="str">
        <f>IFERROR(__xludf.DUMMYFUNCTION("""COMPUTED_VALUE"""),"Huỳnh Ngọc A Ly")</f>
        <v>Huỳnh Ngọc A Ly</v>
      </c>
      <c r="E131" s="101">
        <f>IFERROR(__xludf.DUMMYFUNCTION("""COMPUTED_VALUE"""),37777.0)</f>
        <v>37777</v>
      </c>
      <c r="F131" s="76" t="str">
        <f>IFERROR(__xludf.DUMMYFUNCTION("""COMPUTED_VALUE"""),"K27DLK1")</f>
        <v>K27DLK1</v>
      </c>
      <c r="G131" s="76" t="str">
        <f>IFERROR(__xludf.DUMMYFUNCTION("""COMPUTED_VALUE"""),"Quản trị Du lịch &amp; Khách sạn")</f>
        <v>Quản trị Du lịch &amp; Khách sạn</v>
      </c>
      <c r="H131" s="76" t="str">
        <f>IFERROR(__xludf.DUMMYFUNCTION("""COMPUTED_VALUE"""),"K27")</f>
        <v>K27</v>
      </c>
      <c r="I131" s="76" t="str">
        <f>IFERROR(__xludf.DUMMYFUNCTION("""COMPUTED_VALUE"""),"0911343144")</f>
        <v>0911343144</v>
      </c>
      <c r="J131" s="76">
        <f>IFERROR(__xludf.DUMMYFUNCTION("""COMPUTED_VALUE"""),2.59)</f>
        <v>2.59</v>
      </c>
      <c r="K131" s="76">
        <f>IFERROR(__xludf.DUMMYFUNCTION("""COMPUTED_VALUE"""),104.0)</f>
        <v>104</v>
      </c>
      <c r="L131" s="76" t="str">
        <f>IFERROR(__xludf.DUMMYFUNCTION("""COMPUTED_VALUE"""),"Rồi")</f>
        <v>Rồi</v>
      </c>
      <c r="M131" s="76" t="str">
        <f>IFERROR(__xludf.DUMMYFUNCTION("""COMPUTED_VALUE"""),"Thực tập tốt nghiệp")</f>
        <v>Thực tập tốt nghiệp</v>
      </c>
      <c r="N131" s="76">
        <f>IFERROR(__xludf.DUMMYFUNCTION("""COMPUTED_VALUE"""),30.0)</f>
        <v>30</v>
      </c>
      <c r="O131" s="76" t="str">
        <f>IFERROR(__xludf.DUMMYFUNCTION("""COMPUTED_VALUE"""),"cam kết")</f>
        <v>cam kết</v>
      </c>
      <c r="P131" s="76"/>
      <c r="Q131" s="76"/>
      <c r="R131" s="76"/>
      <c r="S131" s="76" t="str">
        <f>IFERROR(__xludf.DUMMYFUNCTION("""COMPUTED_VALUE"""),"27/12/2024")</f>
        <v>27/12/2024</v>
      </c>
      <c r="T131" s="76" t="str">
        <f>IFERROR(__xludf.DUMMYFUNCTION("""COMPUTED_VALUE"""),"sv chưa nhận GTT")</f>
        <v>sv chưa nhận GTT</v>
      </c>
      <c r="U131" s="102" t="str">
        <f>IFERROR(__xludf.DUMMYFUNCTION("""COMPUTED_VALUE"""),"Huỳnh Ngọc A Ly")</f>
        <v>Huỳnh Ngọc A Ly</v>
      </c>
      <c r="V131" s="76" t="str">
        <f>IFERROR(__xludf.DUMMYFUNCTION("""COMPUTED_VALUE"""),"Quản Trị Khách Sạn &amp; Nhà Hàng (Đại Học)")</f>
        <v>Quản Trị Khách Sạn &amp; Nhà Hàng (Đại Học)</v>
      </c>
      <c r="W131" s="76" t="str">
        <f>IFERROR(__xludf.DUMMYFUNCTION("""COMPUTED_VALUE"""),"#N/A")</f>
        <v>#N/A</v>
      </c>
      <c r="X131" s="76" t="str">
        <f>IFERROR(__xludf.DUMMYFUNCTION("""COMPUTED_VALUE"""),"#N/A")</f>
        <v>#N/A</v>
      </c>
      <c r="Y131" s="76" t="str">
        <f>IFERROR(__xludf.DUMMYFUNCTION("""COMPUTED_VALUE"""),"#N/A")</f>
        <v>#N/A</v>
      </c>
      <c r="Z131" s="76" t="str">
        <f>IFERROR(__xludf.DUMMYFUNCTION("""COMPUTED_VALUE"""),"không đủ điều kiện")</f>
        <v>không đủ điều kiện</v>
      </c>
      <c r="AA131" s="76" t="str">
        <f>IFERROR(__xludf.DUMMYFUNCTION("""COMPUTED_VALUE"""),"huynhngocaly@gmail.com")</f>
        <v>huynhngocaly@gmail.com</v>
      </c>
      <c r="AB131" s="76"/>
      <c r="AC131" s="76"/>
    </row>
    <row r="132">
      <c r="A132" s="100">
        <f>IFERROR(__xludf.DUMMYFUNCTION("""COMPUTED_VALUE"""),45651.52539224537)</f>
        <v>45651.52539</v>
      </c>
      <c r="B132" s="76" t="str">
        <f>IFERROR(__xludf.DUMMYFUNCTION("""COMPUTED_VALUE"""),"nguyenthingocnhi12092003@gmail.com")</f>
        <v>nguyenthingocnhi12092003@gmail.com</v>
      </c>
      <c r="C132" s="76">
        <f>IFERROR(__xludf.DUMMYFUNCTION("""COMPUTED_VALUE"""),2.7207128195E10)</f>
        <v>27207128195</v>
      </c>
      <c r="D132" s="76" t="str">
        <f>IFERROR(__xludf.DUMMYFUNCTION("""COMPUTED_VALUE"""),"Nguyễn Thị Ngọc Nhi")</f>
        <v>Nguyễn Thị Ngọc Nhi</v>
      </c>
      <c r="E132" s="101">
        <f>IFERROR(__xludf.DUMMYFUNCTION("""COMPUTED_VALUE"""),37876.0)</f>
        <v>37876</v>
      </c>
      <c r="F132" s="76" t="str">
        <f>IFERROR(__xludf.DUMMYFUNCTION("""COMPUTED_VALUE"""),"K27DLK5")</f>
        <v>K27DLK5</v>
      </c>
      <c r="G132" s="76" t="str">
        <f>IFERROR(__xludf.DUMMYFUNCTION("""COMPUTED_VALUE"""),"Quản trị Du lịch &amp; Khách sạn")</f>
        <v>Quản trị Du lịch &amp; Khách sạn</v>
      </c>
      <c r="H132" s="76" t="str">
        <f>IFERROR(__xludf.DUMMYFUNCTION("""COMPUTED_VALUE"""),"K27")</f>
        <v>K27</v>
      </c>
      <c r="I132" s="76" t="str">
        <f>IFERROR(__xludf.DUMMYFUNCTION("""COMPUTED_VALUE"""),"0898450230")</f>
        <v>0898450230</v>
      </c>
      <c r="J132" s="76">
        <f>IFERROR(__xludf.DUMMYFUNCTION("""COMPUTED_VALUE"""),2.62)</f>
        <v>2.62</v>
      </c>
      <c r="K132" s="76">
        <f>IFERROR(__xludf.DUMMYFUNCTION("""COMPUTED_VALUE"""),124.0)</f>
        <v>124</v>
      </c>
      <c r="L132" s="76" t="str">
        <f>IFERROR(__xludf.DUMMYFUNCTION("""COMPUTED_VALUE"""),"Rồi")</f>
        <v>Rồi</v>
      </c>
      <c r="M132" s="76" t="str">
        <f>IFERROR(__xludf.DUMMYFUNCTION("""COMPUTED_VALUE"""),"Thực tập tốt nghiệp")</f>
        <v>Thực tập tốt nghiệp</v>
      </c>
      <c r="N132" s="76">
        <f>IFERROR(__xludf.DUMMYFUNCTION("""COMPUTED_VALUE"""),5.0)</f>
        <v>5</v>
      </c>
      <c r="O132" s="76" t="str">
        <f>IFERROR(__xludf.DUMMYFUNCTION("""COMPUTED_VALUE"""),"cam kết")</f>
        <v>cam kết</v>
      </c>
      <c r="P132" s="76"/>
      <c r="Q132" s="76"/>
      <c r="R132" s="76"/>
      <c r="S132" s="76" t="str">
        <f>IFERROR(__xludf.DUMMYFUNCTION("""COMPUTED_VALUE"""),"27/12/2024")</f>
        <v>27/12/2024</v>
      </c>
      <c r="T132" s="76"/>
      <c r="U132" s="102" t="str">
        <f>IFERROR(__xludf.DUMMYFUNCTION("""COMPUTED_VALUE"""),"Nguyễn Thị Ngọc Nhi")</f>
        <v>Nguyễn Thị Ngọc Nhi</v>
      </c>
      <c r="V132" s="76" t="str">
        <f>IFERROR(__xludf.DUMMYFUNCTION("""COMPUTED_VALUE"""),"Quản Trị Khách Sạn &amp; Nhà Hàng (Đại Học)")</f>
        <v>Quản Trị Khách Sạn &amp; Nhà Hàng (Đại Học)</v>
      </c>
      <c r="W132" s="76" t="str">
        <f>IFERROR(__xludf.DUMMYFUNCTION("""COMPUTED_VALUE"""),"New Orient Hotel Đà Nẵng")</f>
        <v>New Orient Hotel Đà Nẵng</v>
      </c>
      <c r="X132" s="76" t="str">
        <f>IFERROR(__xludf.DUMMYFUNCTION("""COMPUTED_VALUE"""),"Tiền sảnh")</f>
        <v>Tiền sảnh</v>
      </c>
      <c r="Y132" s="76" t="str">
        <f>IFERROR(__xludf.DUMMYFUNCTION("""COMPUTED_VALUE"""),"DUYỆT")</f>
        <v>DUYỆT</v>
      </c>
      <c r="Z132" s="76" t="str">
        <f>IFERROR(__xludf.DUMMYFUNCTION("""COMPUTED_VALUE"""),"CHUYÊN ĐỀ")</f>
        <v>CHUYÊN ĐỀ</v>
      </c>
      <c r="AA132" s="76" t="str">
        <f>IFERROR(__xludf.DUMMYFUNCTION("""COMPUTED_VALUE"""),"nguyenthingocnhi12092003@gmail.com")</f>
        <v>nguyenthingocnhi12092003@gmail.com</v>
      </c>
      <c r="AB132" s="76"/>
      <c r="AC132" s="76"/>
    </row>
    <row r="133">
      <c r="A133" s="100">
        <f>IFERROR(__xludf.DUMMYFUNCTION("""COMPUTED_VALUE"""),45656.4630946875)</f>
        <v>45656.46309</v>
      </c>
      <c r="B133" s="76" t="str">
        <f>IFERROR(__xludf.DUMMYFUNCTION("""COMPUTED_VALUE"""),"myduyen420592@gmail.com")</f>
        <v>myduyen420592@gmail.com</v>
      </c>
      <c r="C133" s="76">
        <f>IFERROR(__xludf.DUMMYFUNCTION("""COMPUTED_VALUE"""),2.7207102765E10)</f>
        <v>27207102765</v>
      </c>
      <c r="D133" s="76" t="str">
        <f>IFERROR(__xludf.DUMMYFUNCTION("""COMPUTED_VALUE"""),"Nguyễn Thị Mỹ Duyên ")</f>
        <v>Nguyễn Thị Mỹ Duyên </v>
      </c>
      <c r="E133" s="101">
        <f>IFERROR(__xludf.DUMMYFUNCTION("""COMPUTED_VALUE"""),37692.0)</f>
        <v>37692</v>
      </c>
      <c r="F133" s="76" t="str">
        <f>IFERROR(__xludf.DUMMYFUNCTION("""COMPUTED_VALUE"""),"K27DLK 3")</f>
        <v>K27DLK 3</v>
      </c>
      <c r="G133" s="76" t="str">
        <f>IFERROR(__xludf.DUMMYFUNCTION("""COMPUTED_VALUE"""),"Quản trị Du lịch &amp; Khách sạn")</f>
        <v>Quản trị Du lịch &amp; Khách sạn</v>
      </c>
      <c r="H133" s="76" t="str">
        <f>IFERROR(__xludf.DUMMYFUNCTION("""COMPUTED_VALUE"""),"K27")</f>
        <v>K27</v>
      </c>
      <c r="I133" s="76" t="str">
        <f>IFERROR(__xludf.DUMMYFUNCTION("""COMPUTED_VALUE"""),"0702540263")</f>
        <v>0702540263</v>
      </c>
      <c r="J133" s="76">
        <f>IFERROR(__xludf.DUMMYFUNCTION("""COMPUTED_VALUE"""),3.41)</f>
        <v>3.41</v>
      </c>
      <c r="K133" s="76">
        <f>IFERROR(__xludf.DUMMYFUNCTION("""COMPUTED_VALUE"""),112.0)</f>
        <v>112</v>
      </c>
      <c r="L133" s="76" t="str">
        <f>IFERROR(__xludf.DUMMYFUNCTION("""COMPUTED_VALUE"""),"Rồi")</f>
        <v>Rồi</v>
      </c>
      <c r="M133" s="76" t="str">
        <f>IFERROR(__xludf.DUMMYFUNCTION("""COMPUTED_VALUE"""),"Thực tập tốt nghiệp")</f>
        <v>Thực tập tốt nghiệp</v>
      </c>
      <c r="N133" s="76">
        <f>IFERROR(__xludf.DUMMYFUNCTION("""COMPUTED_VALUE"""),12.0)</f>
        <v>12</v>
      </c>
      <c r="O133" s="76" t="str">
        <f>IFERROR(__xludf.DUMMYFUNCTION("""COMPUTED_VALUE"""),"cam kết")</f>
        <v>cam kết</v>
      </c>
      <c r="P133" s="76"/>
      <c r="Q133" s="76"/>
      <c r="R133" s="76"/>
      <c r="S133" s="76" t="str">
        <f>IFERROR(__xludf.DUMMYFUNCTION("""COMPUTED_VALUE"""),"27/12/2024")</f>
        <v>27/12/2024</v>
      </c>
      <c r="T133" s="76"/>
      <c r="U133" s="102" t="str">
        <f>IFERROR(__xludf.DUMMYFUNCTION("""COMPUTED_VALUE"""),"Nguyễn Thị Mỹ Duyên")</f>
        <v>Nguyễn Thị Mỹ Duyên</v>
      </c>
      <c r="V133" s="76" t="str">
        <f>IFERROR(__xludf.DUMMYFUNCTION("""COMPUTED_VALUE"""),"Quản Trị Khách Sạn &amp; Nhà Hàng (Đại Học)")</f>
        <v>Quản Trị Khách Sạn &amp; Nhà Hàng (Đại Học)</v>
      </c>
      <c r="W133" s="76" t="str">
        <f>IFERROR(__xludf.DUMMYFUNCTION("""COMPUTED_VALUE"""),"Hyatt regency DaNang Resort")</f>
        <v>Hyatt regency DaNang Resort</v>
      </c>
      <c r="X133" s="76" t="str">
        <f>IFERROR(__xludf.DUMMYFUNCTION("""COMPUTED_VALUE"""),"Nhà hàng")</f>
        <v>Nhà hàng</v>
      </c>
      <c r="Y133" s="76" t="str">
        <f>IFERROR(__xludf.DUMMYFUNCTION("""COMPUTED_VALUE"""),"DUYỆT")</f>
        <v>DUYỆT</v>
      </c>
      <c r="Z133" s="76" t="str">
        <f>IFERROR(__xludf.DUMMYFUNCTION("""COMPUTED_VALUE"""),"KHÓA LUẬN")</f>
        <v>KHÓA LUẬN</v>
      </c>
      <c r="AA133" s="76" t="str">
        <f>IFERROR(__xludf.DUMMYFUNCTION("""COMPUTED_VALUE"""),"myduyen420592@gmail.com")</f>
        <v>myduyen420592@gmail.com</v>
      </c>
      <c r="AB133" s="76" t="str">
        <f>IFERROR(__xludf.DUMMYFUNCTION("""COMPUTED_VALUE"""),"#N/A")</f>
        <v>#N/A</v>
      </c>
      <c r="AC133" s="76" t="str">
        <f>IFERROR(__xludf.DUMMYFUNCTION("""COMPUTED_VALUE"""),"#N/A")</f>
        <v>#N/A</v>
      </c>
    </row>
    <row r="134">
      <c r="A134" s="100">
        <f>IFERROR(__xludf.DUMMYFUNCTION("""COMPUTED_VALUE"""),45651.542395717595)</f>
        <v>45651.5424</v>
      </c>
      <c r="B134" s="76" t="str">
        <f>IFERROR(__xludf.DUMMYFUNCTION("""COMPUTED_VALUE"""),"phuongdiem1323@gmail.com")</f>
        <v>phuongdiem1323@gmail.com</v>
      </c>
      <c r="C134" s="76">
        <f>IFERROR(__xludf.DUMMYFUNCTION("""COMPUTED_VALUE"""),2.7217133907E10)</f>
        <v>27217133907</v>
      </c>
      <c r="D134" s="76" t="str">
        <f>IFERROR(__xludf.DUMMYFUNCTION("""COMPUTED_VALUE"""),"Trần Phương Diễm")</f>
        <v>Trần Phương Diễm</v>
      </c>
      <c r="E134" s="101">
        <f>IFERROR(__xludf.DUMMYFUNCTION("""COMPUTED_VALUE"""),37754.0)</f>
        <v>37754</v>
      </c>
      <c r="F134" s="76" t="str">
        <f>IFERROR(__xludf.DUMMYFUNCTION("""COMPUTED_VALUE"""),"K27DLK6")</f>
        <v>K27DLK6</v>
      </c>
      <c r="G134" s="76" t="str">
        <f>IFERROR(__xludf.DUMMYFUNCTION("""COMPUTED_VALUE"""),"Quản trị Du lịch &amp; Khách sạn")</f>
        <v>Quản trị Du lịch &amp; Khách sạn</v>
      </c>
      <c r="H134" s="76" t="str">
        <f>IFERROR(__xludf.DUMMYFUNCTION("""COMPUTED_VALUE"""),"K27")</f>
        <v>K27</v>
      </c>
      <c r="I134" s="76" t="str">
        <f>IFERROR(__xludf.DUMMYFUNCTION("""COMPUTED_VALUE"""),"0354526023")</f>
        <v>0354526023</v>
      </c>
      <c r="J134" s="76">
        <f>IFERROR(__xludf.DUMMYFUNCTION("""COMPUTED_VALUE"""),2.81)</f>
        <v>2.81</v>
      </c>
      <c r="K134" s="76">
        <f>IFERROR(__xludf.DUMMYFUNCTION("""COMPUTED_VALUE"""),114.0)</f>
        <v>114</v>
      </c>
      <c r="L134" s="76" t="str">
        <f>IFERROR(__xludf.DUMMYFUNCTION("""COMPUTED_VALUE"""),"Rồi")</f>
        <v>Rồi</v>
      </c>
      <c r="M134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34" s="76">
        <f>IFERROR(__xludf.DUMMYFUNCTION("""COMPUTED_VALUE"""),11.0)</f>
        <v>11</v>
      </c>
      <c r="O134" s="76" t="str">
        <f>IFERROR(__xludf.DUMMYFUNCTION("""COMPUTED_VALUE"""),"cam kết")</f>
        <v>cam kết</v>
      </c>
      <c r="P134" s="76"/>
      <c r="Q134" s="76"/>
      <c r="R134" s="76"/>
      <c r="S134" s="76" t="str">
        <f>IFERROR(__xludf.DUMMYFUNCTION("""COMPUTED_VALUE"""),"27/12/2024")</f>
        <v>27/12/2024</v>
      </c>
      <c r="T134" s="76"/>
      <c r="U134" s="102" t="str">
        <f>IFERROR(__xludf.DUMMYFUNCTION("""COMPUTED_VALUE"""),"Trần Phương Diễm")</f>
        <v>Trần Phương Diễm</v>
      </c>
      <c r="V134" s="76" t="str">
        <f>IFERROR(__xludf.DUMMYFUNCTION("""COMPUTED_VALUE"""),"Quản Trị Khách Sạn &amp; Nhà Hàng (Đại Học)")</f>
        <v>Quản Trị Khách Sạn &amp; Nhà Hàng (Đại Học)</v>
      </c>
      <c r="W134" s="76" t="str">
        <f>IFERROR(__xludf.DUMMYFUNCTION("""COMPUTED_VALUE"""),"Khách sạn Như Minh Plaza")</f>
        <v>Khách sạn Như Minh Plaza</v>
      </c>
      <c r="X134" s="76" t="str">
        <f>IFERROR(__xludf.DUMMYFUNCTION("""COMPUTED_VALUE"""),"Tiền sảnh")</f>
        <v>Tiền sảnh</v>
      </c>
      <c r="Y134" s="76" t="str">
        <f>IFERROR(__xludf.DUMMYFUNCTION("""COMPUTED_VALUE"""),"DUYỆT")</f>
        <v>DUYỆT</v>
      </c>
      <c r="Z134" s="76" t="str">
        <f>IFERROR(__xludf.DUMMYFUNCTION("""COMPUTED_VALUE"""),"CHUYÊN ĐỀ")</f>
        <v>CHUYÊN ĐỀ</v>
      </c>
      <c r="AA134" s="76" t="str">
        <f>IFERROR(__xludf.DUMMYFUNCTION("""COMPUTED_VALUE"""),"phuongdiem1323@gmail.com")</f>
        <v>phuongdiem1323@gmail.com</v>
      </c>
      <c r="AB134" s="76"/>
      <c r="AC134" s="76"/>
    </row>
    <row r="135">
      <c r="A135" s="100">
        <f>IFERROR(__xludf.DUMMYFUNCTION("""COMPUTED_VALUE"""),45651.55001585648)</f>
        <v>45651.55002</v>
      </c>
      <c r="B135" s="76" t="str">
        <f>IFERROR(__xludf.DUMMYFUNCTION("""COMPUTED_VALUE"""),"vietha19112002@gmail.com")</f>
        <v>vietha19112002@gmail.com</v>
      </c>
      <c r="C135" s="76">
        <f>IFERROR(__xludf.DUMMYFUNCTION("""COMPUTED_VALUE"""),2.7207124538E10)</f>
        <v>27207124538</v>
      </c>
      <c r="D135" s="76" t="str">
        <f>IFERROR(__xludf.DUMMYFUNCTION("""COMPUTED_VALUE"""),"Nguyễn Việt Hà")</f>
        <v>Nguyễn Việt Hà</v>
      </c>
      <c r="E135" s="101">
        <f>IFERROR(__xludf.DUMMYFUNCTION("""COMPUTED_VALUE"""),37627.0)</f>
        <v>37627</v>
      </c>
      <c r="F135" s="76" t="str">
        <f>IFERROR(__xludf.DUMMYFUNCTION("""COMPUTED_VALUE"""),"K27DLK 6")</f>
        <v>K27DLK 6</v>
      </c>
      <c r="G135" s="76" t="str">
        <f>IFERROR(__xludf.DUMMYFUNCTION("""COMPUTED_VALUE"""),"Quản trị Du lịch &amp; Khách sạn")</f>
        <v>Quản trị Du lịch &amp; Khách sạn</v>
      </c>
      <c r="H135" s="76" t="str">
        <f>IFERROR(__xludf.DUMMYFUNCTION("""COMPUTED_VALUE"""),"K27")</f>
        <v>K27</v>
      </c>
      <c r="I135" s="76" t="str">
        <f>IFERROR(__xludf.DUMMYFUNCTION("""COMPUTED_VALUE"""),"0963072146")</f>
        <v>0963072146</v>
      </c>
      <c r="J135" s="76">
        <f>IFERROR(__xludf.DUMMYFUNCTION("""COMPUTED_VALUE"""),3.36)</f>
        <v>3.36</v>
      </c>
      <c r="K135" s="76">
        <f>IFERROR(__xludf.DUMMYFUNCTION("""COMPUTED_VALUE"""),105.0)</f>
        <v>105</v>
      </c>
      <c r="L135" s="76" t="str">
        <f>IFERROR(__xludf.DUMMYFUNCTION("""COMPUTED_VALUE"""),"Rồi")</f>
        <v>Rồi</v>
      </c>
      <c r="M135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35" s="76">
        <f>IFERROR(__xludf.DUMMYFUNCTION("""COMPUTED_VALUE"""),24.0)</f>
        <v>24</v>
      </c>
      <c r="O135" s="76" t="str">
        <f>IFERROR(__xludf.DUMMYFUNCTION("""COMPUTED_VALUE"""),"cam kết")</f>
        <v>cam kết</v>
      </c>
      <c r="P135" s="76"/>
      <c r="Q135" s="76"/>
      <c r="R135" s="76"/>
      <c r="S135" s="76" t="str">
        <f>IFERROR(__xludf.DUMMYFUNCTION("""COMPUTED_VALUE"""),"27/12/2024")</f>
        <v>27/12/2024</v>
      </c>
      <c r="T135" s="76"/>
      <c r="U135" s="102" t="str">
        <f>IFERROR(__xludf.DUMMYFUNCTION("""COMPUTED_VALUE"""),"Nguyễn Việt Hà")</f>
        <v>Nguyễn Việt Hà</v>
      </c>
      <c r="V135" s="76" t="str">
        <f>IFERROR(__xludf.DUMMYFUNCTION("""COMPUTED_VALUE"""),"Quản Trị Khách Sạn &amp; Nhà Hàng (Đại Học)")</f>
        <v>Quản Trị Khách Sạn &amp; Nhà Hàng (Đại Học)</v>
      </c>
      <c r="W135" s="76" t="str">
        <f>IFERROR(__xludf.DUMMYFUNCTION("""COMPUTED_VALUE"""),"Khách sạn Như Minh Plaza")</f>
        <v>Khách sạn Như Minh Plaza</v>
      </c>
      <c r="X135" s="76" t="str">
        <f>IFERROR(__xludf.DUMMYFUNCTION("""COMPUTED_VALUE"""),"Tiền sảnh")</f>
        <v>Tiền sảnh</v>
      </c>
      <c r="Y135" s="76" t="str">
        <f>IFERROR(__xludf.DUMMYFUNCTION("""COMPUTED_VALUE"""),"DUYỆT")</f>
        <v>DUYỆT</v>
      </c>
      <c r="Z135" s="76" t="str">
        <f>IFERROR(__xludf.DUMMYFUNCTION("""COMPUTED_VALUE"""),"không đủ điều kiện")</f>
        <v>không đủ điều kiện</v>
      </c>
      <c r="AA135" s="76" t="str">
        <f>IFERROR(__xludf.DUMMYFUNCTION("""COMPUTED_VALUE"""),"vietha19112002@gmail.com")</f>
        <v>vietha19112002@gmail.com</v>
      </c>
      <c r="AB135" s="76"/>
      <c r="AC135" s="76"/>
    </row>
    <row r="136">
      <c r="A136" s="100">
        <f>IFERROR(__xludf.DUMMYFUNCTION("""COMPUTED_VALUE"""),45652.82897070602)</f>
        <v>45652.82897</v>
      </c>
      <c r="B136" s="76" t="str">
        <f>IFERROR(__xludf.DUMMYFUNCTION("""COMPUTED_VALUE"""),"ctu17102003@gmail.com")</f>
        <v>ctu17102003@gmail.com</v>
      </c>
      <c r="C136" s="76">
        <f>IFERROR(__xludf.DUMMYFUNCTION("""COMPUTED_VALUE"""),2.7207142712E10)</f>
        <v>27207142712</v>
      </c>
      <c r="D136" s="76" t="str">
        <f>IFERROR(__xludf.DUMMYFUNCTION("""COMPUTED_VALUE"""),"NGUYỄN THỊ CẨM TÚ ")</f>
        <v>NGUYỄN THỊ CẨM TÚ </v>
      </c>
      <c r="E136" s="101">
        <f>IFERROR(__xludf.DUMMYFUNCTION("""COMPUTED_VALUE"""),37911.0)</f>
        <v>37911</v>
      </c>
      <c r="F136" s="76" t="str">
        <f>IFERROR(__xludf.DUMMYFUNCTION("""COMPUTED_VALUE"""),"K27DLK1")</f>
        <v>K27DLK1</v>
      </c>
      <c r="G136" s="76" t="str">
        <f>IFERROR(__xludf.DUMMYFUNCTION("""COMPUTED_VALUE"""),"Quản trị Du lịch &amp; Khách sạn")</f>
        <v>Quản trị Du lịch &amp; Khách sạn</v>
      </c>
      <c r="H136" s="76" t="str">
        <f>IFERROR(__xludf.DUMMYFUNCTION("""COMPUTED_VALUE"""),"K27")</f>
        <v>K27</v>
      </c>
      <c r="I136" s="76" t="str">
        <f>IFERROR(__xludf.DUMMYFUNCTION("""COMPUTED_VALUE"""),"0935440401")</f>
        <v>0935440401</v>
      </c>
      <c r="J136" s="76">
        <f>IFERROR(__xludf.DUMMYFUNCTION("""COMPUTED_VALUE"""),2.74)</f>
        <v>2.74</v>
      </c>
      <c r="K136" s="76">
        <f>IFERROR(__xludf.DUMMYFUNCTION("""COMPUTED_VALUE"""),114.0)</f>
        <v>114</v>
      </c>
      <c r="L136" s="76" t="str">
        <f>IFERROR(__xludf.DUMMYFUNCTION("""COMPUTED_VALUE"""),"Rồi")</f>
        <v>Rồi</v>
      </c>
      <c r="M136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36" s="76">
        <f>IFERROR(__xludf.DUMMYFUNCTION("""COMPUTED_VALUE"""),11.0)</f>
        <v>11</v>
      </c>
      <c r="O136" s="76" t="str">
        <f>IFERROR(__xludf.DUMMYFUNCTION("""COMPUTED_VALUE"""),"cam kết")</f>
        <v>cam kết</v>
      </c>
      <c r="P136" s="76"/>
      <c r="Q136" s="76"/>
      <c r="R136" s="76"/>
      <c r="S136" s="76" t="str">
        <f>IFERROR(__xludf.DUMMYFUNCTION("""COMPUTED_VALUE"""),"27/12/2024")</f>
        <v>27/12/2024</v>
      </c>
      <c r="T136" s="76"/>
      <c r="U136" s="102" t="str">
        <f>IFERROR(__xludf.DUMMYFUNCTION("""COMPUTED_VALUE"""),"Nguyễn Thị Cẩm Tú")</f>
        <v>Nguyễn Thị Cẩm Tú</v>
      </c>
      <c r="V136" s="76" t="str">
        <f>IFERROR(__xludf.DUMMYFUNCTION("""COMPUTED_VALUE"""),"Quản Trị Khách Sạn &amp; Nhà Hàng (Đại Học)")</f>
        <v>Quản Trị Khách Sạn &amp; Nhà Hàng (Đại Học)</v>
      </c>
      <c r="W136" s="76" t="str">
        <f>IFERROR(__xludf.DUMMYFUNCTION("""COMPUTED_VALUE"""),"Grand Mercure Đà Nẵng")</f>
        <v>Grand Mercure Đà Nẵng</v>
      </c>
      <c r="X136" s="76" t="str">
        <f>IFERROR(__xludf.DUMMYFUNCTION("""COMPUTED_VALUE"""),"Nhà hàng")</f>
        <v>Nhà hàng</v>
      </c>
      <c r="Y136" s="76" t="str">
        <f>IFERROR(__xludf.DUMMYFUNCTION("""COMPUTED_VALUE"""),"DUYỆT")</f>
        <v>DUYỆT</v>
      </c>
      <c r="Z136" s="76" t="str">
        <f>IFERROR(__xludf.DUMMYFUNCTION("""COMPUTED_VALUE"""),"CHUYÊN ĐỀ")</f>
        <v>CHUYÊN ĐỀ</v>
      </c>
      <c r="AA136" s="76" t="str">
        <f>IFERROR(__xludf.DUMMYFUNCTION("""COMPUTED_VALUE"""),"ctu17102003@gmail.com")</f>
        <v>ctu17102003@gmail.com</v>
      </c>
      <c r="AB136" s="76"/>
      <c r="AC136" s="76"/>
    </row>
    <row r="137">
      <c r="A137" s="100">
        <f>IFERROR(__xludf.DUMMYFUNCTION("""COMPUTED_VALUE"""),45651.57433454861)</f>
        <v>45651.57433</v>
      </c>
      <c r="B137" s="76" t="str">
        <f>IFERROR(__xludf.DUMMYFUNCTION("""COMPUTED_VALUE"""),"tth23532@gmail.com")</f>
        <v>tth23532@gmail.com</v>
      </c>
      <c r="C137" s="76">
        <f>IFERROR(__xludf.DUMMYFUNCTION("""COMPUTED_VALUE"""),2.7207140629E10)</f>
        <v>27207140629</v>
      </c>
      <c r="D137" s="76" t="str">
        <f>IFERROR(__xludf.DUMMYFUNCTION("""COMPUTED_VALUE"""),"Trần Thị Hương")</f>
        <v>Trần Thị Hương</v>
      </c>
      <c r="E137" s="101">
        <f>IFERROR(__xludf.DUMMYFUNCTION("""COMPUTED_VALUE"""),37764.0)</f>
        <v>37764</v>
      </c>
      <c r="F137" s="76" t="str">
        <f>IFERROR(__xludf.DUMMYFUNCTION("""COMPUTED_VALUE"""),"K27DLK5")</f>
        <v>K27DLK5</v>
      </c>
      <c r="G137" s="76" t="str">
        <f>IFERROR(__xludf.DUMMYFUNCTION("""COMPUTED_VALUE"""),"Quản trị Du lịch &amp; Khách sạn")</f>
        <v>Quản trị Du lịch &amp; Khách sạn</v>
      </c>
      <c r="H137" s="76" t="str">
        <f>IFERROR(__xludf.DUMMYFUNCTION("""COMPUTED_VALUE"""),"K27")</f>
        <v>K27</v>
      </c>
      <c r="I137" s="76" t="str">
        <f>IFERROR(__xludf.DUMMYFUNCTION("""COMPUTED_VALUE"""),"0346402430")</f>
        <v>0346402430</v>
      </c>
      <c r="J137" s="76" t="str">
        <f>IFERROR(__xludf.DUMMYFUNCTION("""COMPUTED_VALUE"""),"3,43")</f>
        <v>3,43</v>
      </c>
      <c r="K137" s="76">
        <f>IFERROR(__xludf.DUMMYFUNCTION("""COMPUTED_VALUE"""),113.0)</f>
        <v>113</v>
      </c>
      <c r="L137" s="76" t="str">
        <f>IFERROR(__xludf.DUMMYFUNCTION("""COMPUTED_VALUE"""),"Rồi")</f>
        <v>Rồi</v>
      </c>
      <c r="M137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37" s="76">
        <f>IFERROR(__xludf.DUMMYFUNCTION("""COMPUTED_VALUE"""),13.0)</f>
        <v>13</v>
      </c>
      <c r="O137" s="76" t="str">
        <f>IFERROR(__xludf.DUMMYFUNCTION("""COMPUTED_VALUE"""),"cam kết")</f>
        <v>cam kết</v>
      </c>
      <c r="P137" s="76"/>
      <c r="Q137" s="76"/>
      <c r="R137" s="76"/>
      <c r="S137" s="76" t="str">
        <f>IFERROR(__xludf.DUMMYFUNCTION("""COMPUTED_VALUE"""),"27/12/2024")</f>
        <v>27/12/2024</v>
      </c>
      <c r="T137" s="76"/>
      <c r="U137" s="102" t="str">
        <f>IFERROR(__xludf.DUMMYFUNCTION("""COMPUTED_VALUE"""),"Trần Thị Hương")</f>
        <v>Trần Thị Hương</v>
      </c>
      <c r="V137" s="76" t="str">
        <f>IFERROR(__xludf.DUMMYFUNCTION("""COMPUTED_VALUE"""),"Quản Trị Khách Sạn &amp; Nhà Hàng (Đại Học)")</f>
        <v>Quản Trị Khách Sạn &amp; Nhà Hàng (Đại Học)</v>
      </c>
      <c r="W137" s="76" t="str">
        <f>IFERROR(__xludf.DUMMYFUNCTION("""COMPUTED_VALUE"""),"Meliá Danang Beach Resort")</f>
        <v>Meliá Danang Beach Resort</v>
      </c>
      <c r="X137" s="76" t="str">
        <f>IFERROR(__xludf.DUMMYFUNCTION("""COMPUTED_VALUE"""),"Tiền sảnh")</f>
        <v>Tiền sảnh</v>
      </c>
      <c r="Y137" s="76" t="str">
        <f>IFERROR(__xludf.DUMMYFUNCTION("""COMPUTED_VALUE"""),"DUYỆT")</f>
        <v>DUYỆT</v>
      </c>
      <c r="Z137" s="76" t="str">
        <f>IFERROR(__xludf.DUMMYFUNCTION("""COMPUTED_VALUE"""),"CHUYÊN ĐỀ")</f>
        <v>CHUYÊN ĐỀ</v>
      </c>
      <c r="AA137" s="76" t="str">
        <f>IFERROR(__xludf.DUMMYFUNCTION("""COMPUTED_VALUE"""),"tth23532@gmail.com")</f>
        <v>tth23532@gmail.com</v>
      </c>
      <c r="AB137" s="76" t="str">
        <f>IFERROR(__xludf.DUMMYFUNCTION("""COMPUTED_VALUE"""),"Trần Thị Hương")</f>
        <v>Trần Thị Hương</v>
      </c>
      <c r="AC137" s="76" t="str">
        <f>IFERROR(__xludf.DUMMYFUNCTION("""COMPUTED_VALUE"""),"ĐÃ NỘP")</f>
        <v>ĐÃ NỘP</v>
      </c>
    </row>
    <row r="138">
      <c r="A138" s="100">
        <f>IFERROR(__xludf.DUMMYFUNCTION("""COMPUTED_VALUE"""),45651.57713194445)</f>
        <v>45651.57713</v>
      </c>
      <c r="B138" s="76" t="str">
        <f>IFERROR(__xludf.DUMMYFUNCTION("""COMPUTED_VALUE"""),"hongvannguyenthi1708@gmail.com")</f>
        <v>hongvannguyenthi1708@gmail.com</v>
      </c>
      <c r="C138" s="76">
        <f>IFERROR(__xludf.DUMMYFUNCTION("""COMPUTED_VALUE"""),2.7207120272E10)</f>
        <v>27207120272</v>
      </c>
      <c r="D138" s="76" t="str">
        <f>IFERROR(__xludf.DUMMYFUNCTION("""COMPUTED_VALUE"""),"Nguyễn Thị Hồng Vân")</f>
        <v>Nguyễn Thị Hồng Vân</v>
      </c>
      <c r="E138" s="101">
        <f>IFERROR(__xludf.DUMMYFUNCTION("""COMPUTED_VALUE"""),37939.0)</f>
        <v>37939</v>
      </c>
      <c r="F138" s="76" t="str">
        <f>IFERROR(__xludf.DUMMYFUNCTION("""COMPUTED_VALUE"""),"K27DLK1")</f>
        <v>K27DLK1</v>
      </c>
      <c r="G138" s="76" t="str">
        <f>IFERROR(__xludf.DUMMYFUNCTION("""COMPUTED_VALUE"""),"Quản trị Du lịch &amp; Khách sạn")</f>
        <v>Quản trị Du lịch &amp; Khách sạn</v>
      </c>
      <c r="H138" s="76" t="str">
        <f>IFERROR(__xludf.DUMMYFUNCTION("""COMPUTED_VALUE"""),"K27")</f>
        <v>K27</v>
      </c>
      <c r="I138" s="76" t="str">
        <f>IFERROR(__xludf.DUMMYFUNCTION("""COMPUTED_VALUE"""),"0822532154")</f>
        <v>0822532154</v>
      </c>
      <c r="J138" s="76">
        <f>IFERROR(__xludf.DUMMYFUNCTION("""COMPUTED_VALUE"""),3.74)</f>
        <v>3.74</v>
      </c>
      <c r="K138" s="76">
        <f>IFERROR(__xludf.DUMMYFUNCTION("""COMPUTED_VALUE"""),120.0)</f>
        <v>120</v>
      </c>
      <c r="L138" s="76" t="str">
        <f>IFERROR(__xludf.DUMMYFUNCTION("""COMPUTED_VALUE"""),"Rồi")</f>
        <v>Rồi</v>
      </c>
      <c r="M138" s="76" t="str">
        <f>IFERROR(__xludf.DUMMYFUNCTION("""COMPUTED_VALUE"""),"Thực tập tốt nghiệp")</f>
        <v>Thực tập tốt nghiệp</v>
      </c>
      <c r="N138" s="76">
        <f>IFERROR(__xludf.DUMMYFUNCTION("""COMPUTED_VALUE"""),3.0)</f>
        <v>3</v>
      </c>
      <c r="O138" s="76" t="str">
        <f>IFERROR(__xludf.DUMMYFUNCTION("""COMPUTED_VALUE"""),"cam kết")</f>
        <v>cam kết</v>
      </c>
      <c r="P138" s="76"/>
      <c r="Q138" s="76"/>
      <c r="R138" s="76"/>
      <c r="S138" s="76" t="str">
        <f>IFERROR(__xludf.DUMMYFUNCTION("""COMPUTED_VALUE"""),"27/12/2024")</f>
        <v>27/12/2024</v>
      </c>
      <c r="T138" s="76"/>
      <c r="U138" s="102" t="str">
        <f>IFERROR(__xludf.DUMMYFUNCTION("""COMPUTED_VALUE"""),"Nguyễn Thị Hồng Vân")</f>
        <v>Nguyễn Thị Hồng Vân</v>
      </c>
      <c r="V138" s="76" t="str">
        <f>IFERROR(__xludf.DUMMYFUNCTION("""COMPUTED_VALUE"""),"Quản Trị Khách Sạn &amp; Nhà Hàng (Đại Học)")</f>
        <v>Quản Trị Khách Sạn &amp; Nhà Hàng (Đại Học)</v>
      </c>
      <c r="W138" s="76" t="str">
        <f>IFERROR(__xludf.DUMMYFUNCTION("""COMPUTED_VALUE"""),"Wyndham DaNang Golden Bay")</f>
        <v>Wyndham DaNang Golden Bay</v>
      </c>
      <c r="X138" s="76" t="str">
        <f>IFERROR(__xludf.DUMMYFUNCTION("""COMPUTED_VALUE"""),"Nhà hàng")</f>
        <v>Nhà hàng</v>
      </c>
      <c r="Y138" s="76" t="str">
        <f>IFERROR(__xludf.DUMMYFUNCTION("""COMPUTED_VALUE"""),"DUYỆT")</f>
        <v>DUYỆT</v>
      </c>
      <c r="Z138" s="76" t="str">
        <f>IFERROR(__xludf.DUMMYFUNCTION("""COMPUTED_VALUE"""),"CHUYÊN ĐỀ")</f>
        <v>CHUYÊN ĐỀ</v>
      </c>
      <c r="AA138" s="76" t="str">
        <f>IFERROR(__xludf.DUMMYFUNCTION("""COMPUTED_VALUE"""),"hongvannguyenthi1708@gmail.com")</f>
        <v>hongvannguyenthi1708@gmail.com</v>
      </c>
      <c r="AB138" s="76" t="str">
        <f>IFERROR(__xludf.DUMMYFUNCTION("""COMPUTED_VALUE"""),"Nguyễn Thị Hồng Vân")</f>
        <v>Nguyễn Thị Hồng Vân</v>
      </c>
      <c r="AC138" s="76" t="str">
        <f>IFERROR(__xludf.DUMMYFUNCTION("""COMPUTED_VALUE"""),"ĐÃ NỘP")</f>
        <v>ĐÃ NỘP</v>
      </c>
    </row>
    <row r="139">
      <c r="A139" s="100">
        <f>IFERROR(__xludf.DUMMYFUNCTION("""COMPUTED_VALUE"""),45651.6055444213)</f>
        <v>45651.60554</v>
      </c>
      <c r="B139" s="76" t="str">
        <f>IFERROR(__xludf.DUMMYFUNCTION("""COMPUTED_VALUE"""),"linhnguyentruc2424@gmail.com")</f>
        <v>linhnguyentruc2424@gmail.com</v>
      </c>
      <c r="C139" s="76">
        <f>IFERROR(__xludf.DUMMYFUNCTION("""COMPUTED_VALUE"""),2.6207133639E10)</f>
        <v>26207133639</v>
      </c>
      <c r="D139" s="76" t="str">
        <f>IFERROR(__xludf.DUMMYFUNCTION("""COMPUTED_VALUE"""),"NGUYỄN TRÚC LINH")</f>
        <v>NGUYỄN TRÚC LINH</v>
      </c>
      <c r="E139" s="101">
        <f>IFERROR(__xludf.DUMMYFUNCTION("""COMPUTED_VALUE"""),37400.0)</f>
        <v>37400</v>
      </c>
      <c r="F139" s="76" t="str">
        <f>IFERROR(__xludf.DUMMYFUNCTION("""COMPUTED_VALUE"""),"K26DLK13")</f>
        <v>K26DLK13</v>
      </c>
      <c r="G139" s="76" t="str">
        <f>IFERROR(__xludf.DUMMYFUNCTION("""COMPUTED_VALUE"""),"Quản trị Du lịch &amp; Khách sạn")</f>
        <v>Quản trị Du lịch &amp; Khách sạn</v>
      </c>
      <c r="H139" s="76" t="str">
        <f>IFERROR(__xludf.DUMMYFUNCTION("""COMPUTED_VALUE"""),"K26")</f>
        <v>K26</v>
      </c>
      <c r="I139" s="76" t="str">
        <f>IFERROR(__xludf.DUMMYFUNCTION("""COMPUTED_VALUE"""),"0378634540")</f>
        <v>0378634540</v>
      </c>
      <c r="J139" s="76">
        <f>IFERROR(__xludf.DUMMYFUNCTION("""COMPUTED_VALUE"""),2.31)</f>
        <v>2.31</v>
      </c>
      <c r="K139" s="76">
        <f>IFERROR(__xludf.DUMMYFUNCTION("""COMPUTED_VALUE"""),131.0)</f>
        <v>131</v>
      </c>
      <c r="L139" s="76" t="str">
        <f>IFERROR(__xludf.DUMMYFUNCTION("""COMPUTED_VALUE"""),"Rồi")</f>
        <v>Rồi</v>
      </c>
      <c r="M139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39" s="76">
        <f>IFERROR(__xludf.DUMMYFUNCTION("""COMPUTED_VALUE"""),6.0)</f>
        <v>6</v>
      </c>
      <c r="O139" s="76" t="str">
        <f>IFERROR(__xludf.DUMMYFUNCTION("""COMPUTED_VALUE"""),"cam kết")</f>
        <v>cam kết</v>
      </c>
      <c r="P139" s="76" t="str">
        <f>IFERROR(__xludf.DUMMYFUNCTION("""COMPUTED_VALUE"""),"ĐÃ NỘP")</f>
        <v>ĐÃ NỘP</v>
      </c>
      <c r="Q139" s="76" t="str">
        <f>IFERROR(__xludf.DUMMYFUNCTION("""COMPUTED_VALUE"""),"ĐÃ NỘP")</f>
        <v>ĐÃ NỘP</v>
      </c>
      <c r="R139" s="76">
        <f>IFERROR(__xludf.DUMMYFUNCTION("""COMPUTED_VALUE"""),14.0)</f>
        <v>14</v>
      </c>
      <c r="S139" s="76" t="str">
        <f>IFERROR(__xludf.DUMMYFUNCTION("""COMPUTED_VALUE"""),"14/01/2025")</f>
        <v>14/01/2025</v>
      </c>
      <c r="T139" s="76"/>
      <c r="U139" s="102" t="str">
        <f>IFERROR(__xludf.DUMMYFUNCTION("""COMPUTED_VALUE"""),"Nguyễn Trúc Linh")</f>
        <v>Nguyễn Trúc Linh</v>
      </c>
      <c r="V139" s="76" t="str">
        <f>IFERROR(__xludf.DUMMYFUNCTION("""COMPUTED_VALUE"""),"Quản Trị Khách Sạn &amp; Nhà Hàng (Đại Học)")</f>
        <v>Quản Trị Khách Sạn &amp; Nhà Hàng (Đại Học)</v>
      </c>
      <c r="W139" s="76" t="str">
        <f>IFERROR(__xludf.DUMMYFUNCTION("""COMPUTED_VALUE"""),"New Orient Hotel Đà Nẵng")</f>
        <v>New Orient Hotel Đà Nẵng</v>
      </c>
      <c r="X139" s="76" t="str">
        <f>IFERROR(__xludf.DUMMYFUNCTION("""COMPUTED_VALUE"""),"Buồng phòng")</f>
        <v>Buồng phòng</v>
      </c>
      <c r="Y139" s="76" t="str">
        <f>IFERROR(__xludf.DUMMYFUNCTION("""COMPUTED_VALUE"""),"DUYỆT")</f>
        <v>DUYỆT</v>
      </c>
      <c r="Z139" s="76" t="str">
        <f>IFERROR(__xludf.DUMMYFUNCTION("""COMPUTED_VALUE"""),"CHUYÊN ĐỀ")</f>
        <v>CHUYÊN ĐỀ</v>
      </c>
      <c r="AA139" s="76" t="str">
        <f>IFERROR(__xludf.DUMMYFUNCTION("""COMPUTED_VALUE"""),"linhnguyentruc2424@gmail.com")</f>
        <v>linhnguyentruc2424@gmail.com</v>
      </c>
      <c r="AB139" s="76"/>
      <c r="AC139" s="76"/>
    </row>
    <row r="140">
      <c r="A140" s="100">
        <f>IFERROR(__xludf.DUMMYFUNCTION("""COMPUTED_VALUE"""),45651.69630200231)</f>
        <v>45651.6963</v>
      </c>
      <c r="B140" s="76" t="str">
        <f>IFERROR(__xludf.DUMMYFUNCTION("""COMPUTED_VALUE"""),"nnkk.262003@gmail.com")</f>
        <v>nnkk.262003@gmail.com</v>
      </c>
      <c r="C140" s="76">
        <f>IFERROR(__xludf.DUMMYFUNCTION("""COMPUTED_VALUE"""),2.7207141751E10)</f>
        <v>27207141751</v>
      </c>
      <c r="D140" s="76" t="str">
        <f>IFERROR(__xludf.DUMMYFUNCTION("""COMPUTED_VALUE"""),"Nguyễn Ngọc Kim Khánh")</f>
        <v>Nguyễn Ngọc Kim Khánh</v>
      </c>
      <c r="E140" s="101">
        <f>IFERROR(__xludf.DUMMYFUNCTION("""COMPUTED_VALUE"""),37774.0)</f>
        <v>37774</v>
      </c>
      <c r="F140" s="76" t="str">
        <f>IFERROR(__xludf.DUMMYFUNCTION("""COMPUTED_VALUE"""),"K27DLK1")</f>
        <v>K27DLK1</v>
      </c>
      <c r="G140" s="76" t="str">
        <f>IFERROR(__xludf.DUMMYFUNCTION("""COMPUTED_VALUE"""),"Quản trị Du lịch &amp; Khách sạn")</f>
        <v>Quản trị Du lịch &amp; Khách sạn</v>
      </c>
      <c r="H140" s="76" t="str">
        <f>IFERROR(__xludf.DUMMYFUNCTION("""COMPUTED_VALUE"""),"K27")</f>
        <v>K27</v>
      </c>
      <c r="I140" s="76" t="str">
        <f>IFERROR(__xludf.DUMMYFUNCTION("""COMPUTED_VALUE"""),"0905807687")</f>
        <v>0905807687</v>
      </c>
      <c r="J140" s="76">
        <f>IFERROR(__xludf.DUMMYFUNCTION("""COMPUTED_VALUE"""),3.55)</f>
        <v>3.55</v>
      </c>
      <c r="K140" s="76">
        <f>IFERROR(__xludf.DUMMYFUNCTION("""COMPUTED_VALUE"""),112.0)</f>
        <v>112</v>
      </c>
      <c r="L140" s="76" t="str">
        <f>IFERROR(__xludf.DUMMYFUNCTION("""COMPUTED_VALUE"""),"Rồi")</f>
        <v>Rồi</v>
      </c>
      <c r="M140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40" s="76">
        <f>IFERROR(__xludf.DUMMYFUNCTION("""COMPUTED_VALUE"""),11.0)</f>
        <v>11</v>
      </c>
      <c r="O140" s="76" t="str">
        <f>IFERROR(__xludf.DUMMYFUNCTION("""COMPUTED_VALUE"""),"cam kết")</f>
        <v>cam kết</v>
      </c>
      <c r="P140" s="76"/>
      <c r="Q140" s="76"/>
      <c r="R140" s="76"/>
      <c r="S140" s="76" t="str">
        <f>IFERROR(__xludf.DUMMYFUNCTION("""COMPUTED_VALUE"""),"27/12/2024")</f>
        <v>27/12/2024</v>
      </c>
      <c r="T140" s="76"/>
      <c r="U140" s="102" t="str">
        <f>IFERROR(__xludf.DUMMYFUNCTION("""COMPUTED_VALUE"""),"Nguyễn Ngọc Kim Khánh")</f>
        <v>Nguyễn Ngọc Kim Khánh</v>
      </c>
      <c r="V140" s="76" t="str">
        <f>IFERROR(__xludf.DUMMYFUNCTION("""COMPUTED_VALUE"""),"Quản Trị Khách Sạn &amp; Nhà Hàng (Đại Học)")</f>
        <v>Quản Trị Khách Sạn &amp; Nhà Hàng (Đại Học)</v>
      </c>
      <c r="W140" s="76" t="str">
        <f>IFERROR(__xludf.DUMMYFUNCTION("""COMPUTED_VALUE"""),"Meliá Vinpearl Danang Riverfront")</f>
        <v>Meliá Vinpearl Danang Riverfront</v>
      </c>
      <c r="X140" s="76" t="str">
        <f>IFERROR(__xludf.DUMMYFUNCTION("""COMPUTED_VALUE"""),"Nhà hàng")</f>
        <v>Nhà hàng</v>
      </c>
      <c r="Y140" s="76" t="str">
        <f>IFERROR(__xludf.DUMMYFUNCTION("""COMPUTED_VALUE"""),"DUYỆT")</f>
        <v>DUYỆT</v>
      </c>
      <c r="Z140" s="76" t="str">
        <f>IFERROR(__xludf.DUMMYFUNCTION("""COMPUTED_VALUE"""),"CHUYÊN ĐỀ")</f>
        <v>CHUYÊN ĐỀ</v>
      </c>
      <c r="AA140" s="76" t="str">
        <f>IFERROR(__xludf.DUMMYFUNCTION("""COMPUTED_VALUE"""),"nnkk.262003@gmail.com")</f>
        <v>nnkk.262003@gmail.com</v>
      </c>
      <c r="AB140" s="76" t="str">
        <f>IFERROR(__xludf.DUMMYFUNCTION("""COMPUTED_VALUE"""),"Nguyễn Ngọc Kim Khánh")</f>
        <v>Nguyễn Ngọc Kim Khánh</v>
      </c>
      <c r="AC140" s="76" t="str">
        <f>IFERROR(__xludf.DUMMYFUNCTION("""COMPUTED_VALUE"""),"ĐÃ NỘP")</f>
        <v>ĐÃ NỘP</v>
      </c>
    </row>
    <row r="141">
      <c r="A141" s="100">
        <f>IFERROR(__xludf.DUMMYFUNCTION("""COMPUTED_VALUE"""),45652.9654144213)</f>
        <v>45652.96541</v>
      </c>
      <c r="B141" s="76" t="str">
        <f>IFERROR(__xludf.DUMMYFUNCTION("""COMPUTED_VALUE"""),"thanhthao19092003@gmail.com")</f>
        <v>thanhthao19092003@gmail.com</v>
      </c>
      <c r="C141" s="76">
        <f>IFERROR(__xludf.DUMMYFUNCTION("""COMPUTED_VALUE"""),2.7207120879E10)</f>
        <v>27207120879</v>
      </c>
      <c r="D141" s="76" t="str">
        <f>IFERROR(__xludf.DUMMYFUNCTION("""COMPUTED_VALUE"""),"Nguyễn Thị Thanh Thảo")</f>
        <v>Nguyễn Thị Thanh Thảo</v>
      </c>
      <c r="E141" s="101">
        <f>IFERROR(__xludf.DUMMYFUNCTION("""COMPUTED_VALUE"""),37883.0)</f>
        <v>37883</v>
      </c>
      <c r="F141" s="76" t="str">
        <f>IFERROR(__xludf.DUMMYFUNCTION("""COMPUTED_VALUE"""),"K27DLK2")</f>
        <v>K27DLK2</v>
      </c>
      <c r="G141" s="76" t="str">
        <f>IFERROR(__xludf.DUMMYFUNCTION("""COMPUTED_VALUE"""),"Quản trị Du lịch &amp; Khách sạn")</f>
        <v>Quản trị Du lịch &amp; Khách sạn</v>
      </c>
      <c r="H141" s="76" t="str">
        <f>IFERROR(__xludf.DUMMYFUNCTION("""COMPUTED_VALUE"""),"K27")</f>
        <v>K27</v>
      </c>
      <c r="I141" s="76" t="str">
        <f>IFERROR(__xludf.DUMMYFUNCTION("""COMPUTED_VALUE"""),"0708061703")</f>
        <v>0708061703</v>
      </c>
      <c r="J141" s="76">
        <f>IFERROR(__xludf.DUMMYFUNCTION("""COMPUTED_VALUE"""),3.47)</f>
        <v>3.47</v>
      </c>
      <c r="K141" s="76">
        <f>IFERROR(__xludf.DUMMYFUNCTION("""COMPUTED_VALUE"""),111.0)</f>
        <v>111</v>
      </c>
      <c r="L141" s="76" t="str">
        <f>IFERROR(__xludf.DUMMYFUNCTION("""COMPUTED_VALUE"""),"Rồi")</f>
        <v>Rồi</v>
      </c>
      <c r="M141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41" s="76">
        <f>IFERROR(__xludf.DUMMYFUNCTION("""COMPUTED_VALUE"""),12.0)</f>
        <v>12</v>
      </c>
      <c r="O141" s="76" t="str">
        <f>IFERROR(__xludf.DUMMYFUNCTION("""COMPUTED_VALUE"""),"cam kết")</f>
        <v>cam kết</v>
      </c>
      <c r="P141" s="76"/>
      <c r="Q141" s="76"/>
      <c r="R141" s="76"/>
      <c r="S141" s="76" t="str">
        <f>IFERROR(__xludf.DUMMYFUNCTION("""COMPUTED_VALUE"""),"27/12/2024")</f>
        <v>27/12/2024</v>
      </c>
      <c r="T141" s="76"/>
      <c r="U141" s="102" t="str">
        <f>IFERROR(__xludf.DUMMYFUNCTION("""COMPUTED_VALUE"""),"Nguyễn Thị Thanh Thảo")</f>
        <v>Nguyễn Thị Thanh Thảo</v>
      </c>
      <c r="V141" s="76" t="str">
        <f>IFERROR(__xludf.DUMMYFUNCTION("""COMPUTED_VALUE"""),"Quản Trị Khách Sạn &amp; Nhà Hàng (Đại Học)")</f>
        <v>Quản Trị Khách Sạn &amp; Nhà Hàng (Đại Học)</v>
      </c>
      <c r="W141" s="76" t="str">
        <f>IFERROR(__xludf.DUMMYFUNCTION("""COMPUTED_VALUE"""),"Meliá Vinpearl Danang Riverfront")</f>
        <v>Meliá Vinpearl Danang Riverfront</v>
      </c>
      <c r="X141" s="76" t="str">
        <f>IFERROR(__xludf.DUMMYFUNCTION("""COMPUTED_VALUE"""),"Nhà hàng")</f>
        <v>Nhà hàng</v>
      </c>
      <c r="Y141" s="76" t="str">
        <f>IFERROR(__xludf.DUMMYFUNCTION("""COMPUTED_VALUE"""),"DUYỆT")</f>
        <v>DUYỆT</v>
      </c>
      <c r="Z141" s="76" t="str">
        <f>IFERROR(__xludf.DUMMYFUNCTION("""COMPUTED_VALUE"""),"CHUYÊN ĐỀ")</f>
        <v>CHUYÊN ĐỀ</v>
      </c>
      <c r="AA141" s="76" t="str">
        <f>IFERROR(__xludf.DUMMYFUNCTION("""COMPUTED_VALUE"""),"thanhthao19092003@gmail.com")</f>
        <v>thanhthao19092003@gmail.com</v>
      </c>
      <c r="AB141" s="76" t="str">
        <f>IFERROR(__xludf.DUMMYFUNCTION("""COMPUTED_VALUE"""),"Nguyễn Thị Thanh Thảo")</f>
        <v>Nguyễn Thị Thanh Thảo</v>
      </c>
      <c r="AC141" s="76" t="str">
        <f>IFERROR(__xludf.DUMMYFUNCTION("""COMPUTED_VALUE"""),"ĐÃ NỘP")</f>
        <v>ĐÃ NỘP</v>
      </c>
    </row>
    <row r="142">
      <c r="A142" s="100">
        <f>IFERROR(__xludf.DUMMYFUNCTION("""COMPUTED_VALUE"""),45651.65675721064)</f>
        <v>45651.65676</v>
      </c>
      <c r="B142" s="76" t="str">
        <f>IFERROR(__xludf.DUMMYFUNCTION("""COMPUTED_VALUE"""),"kimyhoang2107@gmail.com")</f>
        <v>kimyhoang2107@gmail.com</v>
      </c>
      <c r="C142" s="76">
        <f>IFERROR(__xludf.DUMMYFUNCTION("""COMPUTED_VALUE"""),2.7207128316E10)</f>
        <v>27207128316</v>
      </c>
      <c r="D142" s="76" t="str">
        <f>IFERROR(__xludf.DUMMYFUNCTION("""COMPUTED_VALUE"""),"Hoàng Thị Kim Ý")</f>
        <v>Hoàng Thị Kim Ý</v>
      </c>
      <c r="E142" s="101">
        <f>IFERROR(__xludf.DUMMYFUNCTION("""COMPUTED_VALUE"""),37823.0)</f>
        <v>37823</v>
      </c>
      <c r="F142" s="76" t="str">
        <f>IFERROR(__xludf.DUMMYFUNCTION("""COMPUTED_VALUE"""),"K27DLK7")</f>
        <v>K27DLK7</v>
      </c>
      <c r="G142" s="76" t="str">
        <f>IFERROR(__xludf.DUMMYFUNCTION("""COMPUTED_VALUE"""),"Quản trị Du lịch &amp; Khách sạn")</f>
        <v>Quản trị Du lịch &amp; Khách sạn</v>
      </c>
      <c r="H142" s="76" t="str">
        <f>IFERROR(__xludf.DUMMYFUNCTION("""COMPUTED_VALUE"""),"K27")</f>
        <v>K27</v>
      </c>
      <c r="I142" s="76" t="str">
        <f>IFERROR(__xludf.DUMMYFUNCTION("""COMPUTED_VALUE"""),"0779805613")</f>
        <v>0779805613</v>
      </c>
      <c r="J142" s="76">
        <f>IFERROR(__xludf.DUMMYFUNCTION("""COMPUTED_VALUE"""),2.45)</f>
        <v>2.45</v>
      </c>
      <c r="K142" s="76">
        <f>IFERROR(__xludf.DUMMYFUNCTION("""COMPUTED_VALUE"""),120.0)</f>
        <v>120</v>
      </c>
      <c r="L142" s="76" t="str">
        <f>IFERROR(__xludf.DUMMYFUNCTION("""COMPUTED_VALUE"""),"Rồi")</f>
        <v>Rồi</v>
      </c>
      <c r="M142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42" s="76">
        <f>IFERROR(__xludf.DUMMYFUNCTION("""COMPUTED_VALUE"""),11.0)</f>
        <v>11</v>
      </c>
      <c r="O142" s="76" t="str">
        <f>IFERROR(__xludf.DUMMYFUNCTION("""COMPUTED_VALUE"""),"cam kết")</f>
        <v>cam kết</v>
      </c>
      <c r="P142" s="76"/>
      <c r="Q142" s="76"/>
      <c r="R142" s="76"/>
      <c r="S142" s="76" t="str">
        <f>IFERROR(__xludf.DUMMYFUNCTION("""COMPUTED_VALUE"""),"27/12/2024")</f>
        <v>27/12/2024</v>
      </c>
      <c r="T142" s="76"/>
      <c r="U142" s="102" t="str">
        <f>IFERROR(__xludf.DUMMYFUNCTION("""COMPUTED_VALUE"""),"Hoàng Thị Kim Ý")</f>
        <v>Hoàng Thị Kim Ý</v>
      </c>
      <c r="V142" s="76" t="str">
        <f>IFERROR(__xludf.DUMMYFUNCTION("""COMPUTED_VALUE"""),"Quản Trị Khách Sạn &amp; Nhà Hàng (Đại Học)")</f>
        <v>Quản Trị Khách Sạn &amp; Nhà Hàng (Đại Học)</v>
      </c>
      <c r="W142" s="76" t="str">
        <f>IFERROR(__xludf.DUMMYFUNCTION("""COMPUTED_VALUE"""),"Crowne Plaza Danang City Centre")</f>
        <v>Crowne Plaza Danang City Centre</v>
      </c>
      <c r="X142" s="76" t="str">
        <f>IFERROR(__xludf.DUMMYFUNCTION("""COMPUTED_VALUE"""),"Nhà hàng")</f>
        <v>Nhà hàng</v>
      </c>
      <c r="Y142" s="76" t="str">
        <f>IFERROR(__xludf.DUMMYFUNCTION("""COMPUTED_VALUE"""),"DUYỆT")</f>
        <v>DUYỆT</v>
      </c>
      <c r="Z142" s="76" t="str">
        <f>IFERROR(__xludf.DUMMYFUNCTION("""COMPUTED_VALUE"""),"CHUYÊN ĐỀ")</f>
        <v>CHUYÊN ĐỀ</v>
      </c>
      <c r="AA142" s="76" t="str">
        <f>IFERROR(__xludf.DUMMYFUNCTION("""COMPUTED_VALUE"""),"kimyhoang2107@gmail.com")</f>
        <v>kimyhoang2107@gmail.com</v>
      </c>
      <c r="AB142" s="76"/>
      <c r="AC142" s="76"/>
    </row>
    <row r="143">
      <c r="A143" s="100">
        <f>IFERROR(__xludf.DUMMYFUNCTION("""COMPUTED_VALUE"""),45651.66496336806)</f>
        <v>45651.66496</v>
      </c>
      <c r="B143" s="76" t="str">
        <f>IFERROR(__xludf.DUMMYFUNCTION("""COMPUTED_VALUE"""),"uyennguyen.050203@gmail.com")</f>
        <v>uyennguyen.050203@gmail.com</v>
      </c>
      <c r="C143" s="76">
        <f>IFERROR(__xludf.DUMMYFUNCTION("""COMPUTED_VALUE"""),2.7207138757E10)</f>
        <v>27207138757</v>
      </c>
      <c r="D143" s="76" t="str">
        <f>IFERROR(__xludf.DUMMYFUNCTION("""COMPUTED_VALUE"""),"Nguyễn Thị Phương Uyên")</f>
        <v>Nguyễn Thị Phương Uyên</v>
      </c>
      <c r="E143" s="101">
        <f>IFERROR(__xludf.DUMMYFUNCTION("""COMPUTED_VALUE"""),37657.0)</f>
        <v>37657</v>
      </c>
      <c r="F143" s="76" t="str">
        <f>IFERROR(__xludf.DUMMYFUNCTION("""COMPUTED_VALUE"""),"K27DLK7")</f>
        <v>K27DLK7</v>
      </c>
      <c r="G143" s="76" t="str">
        <f>IFERROR(__xludf.DUMMYFUNCTION("""COMPUTED_VALUE"""),"Quản trị Du lịch &amp; Khách sạn")</f>
        <v>Quản trị Du lịch &amp; Khách sạn</v>
      </c>
      <c r="H143" s="76" t="str">
        <f>IFERROR(__xludf.DUMMYFUNCTION("""COMPUTED_VALUE"""),"K27")</f>
        <v>K27</v>
      </c>
      <c r="I143" s="76" t="str">
        <f>IFERROR(__xludf.DUMMYFUNCTION("""COMPUTED_VALUE"""),"0787517656")</f>
        <v>0787517656</v>
      </c>
      <c r="J143" s="76" t="str">
        <f>IFERROR(__xludf.DUMMYFUNCTION("""COMPUTED_VALUE"""),"2,66")</f>
        <v>2,66</v>
      </c>
      <c r="K143" s="76">
        <f>IFERROR(__xludf.DUMMYFUNCTION("""COMPUTED_VALUE"""),116.0)</f>
        <v>116</v>
      </c>
      <c r="L143" s="76" t="str">
        <f>IFERROR(__xludf.DUMMYFUNCTION("""COMPUTED_VALUE"""),"Rồi")</f>
        <v>Rồi</v>
      </c>
      <c r="M143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43" s="76">
        <f>IFERROR(__xludf.DUMMYFUNCTION("""COMPUTED_VALUE"""),8.0)</f>
        <v>8</v>
      </c>
      <c r="O143" s="76" t="str">
        <f>IFERROR(__xludf.DUMMYFUNCTION("""COMPUTED_VALUE"""),"cam kết")</f>
        <v>cam kết</v>
      </c>
      <c r="P143" s="76"/>
      <c r="Q143" s="76"/>
      <c r="R143" s="76"/>
      <c r="S143" s="76" t="str">
        <f>IFERROR(__xludf.DUMMYFUNCTION("""COMPUTED_VALUE"""),"27/12/2024")</f>
        <v>27/12/2024</v>
      </c>
      <c r="T143" s="76"/>
      <c r="U143" s="102" t="str">
        <f>IFERROR(__xludf.DUMMYFUNCTION("""COMPUTED_VALUE"""),"Nguyễn Thị Phương Uyên")</f>
        <v>Nguyễn Thị Phương Uyên</v>
      </c>
      <c r="V143" s="76" t="str">
        <f>IFERROR(__xludf.DUMMYFUNCTION("""COMPUTED_VALUE"""),"Quản Trị Khách Sạn &amp; Nhà Hàng (Đại Học)")</f>
        <v>Quản Trị Khách Sạn &amp; Nhà Hàng (Đại Học)</v>
      </c>
      <c r="W143" s="76" t="str">
        <f>IFERROR(__xludf.DUMMYFUNCTION("""COMPUTED_VALUE"""),"Crowne Plaza Danang City Centre")</f>
        <v>Crowne Plaza Danang City Centre</v>
      </c>
      <c r="X143" s="76" t="str">
        <f>IFERROR(__xludf.DUMMYFUNCTION("""COMPUTED_VALUE"""),"Nhà hàng")</f>
        <v>Nhà hàng</v>
      </c>
      <c r="Y143" s="76" t="str">
        <f>IFERROR(__xludf.DUMMYFUNCTION("""COMPUTED_VALUE"""),"DUYỆT")</f>
        <v>DUYỆT</v>
      </c>
      <c r="Z143" s="76" t="str">
        <f>IFERROR(__xludf.DUMMYFUNCTION("""COMPUTED_VALUE"""),"CHUYÊN ĐỀ")</f>
        <v>CHUYÊN ĐỀ</v>
      </c>
      <c r="AA143" s="76" t="str">
        <f>IFERROR(__xludf.DUMMYFUNCTION("""COMPUTED_VALUE"""),"uyennguyen.050203@gmail.com")</f>
        <v>uyennguyen.050203@gmail.com</v>
      </c>
      <c r="AB143" s="76"/>
      <c r="AC143" s="76"/>
    </row>
    <row r="144">
      <c r="A144" s="100">
        <f>IFERROR(__xludf.DUMMYFUNCTION("""COMPUTED_VALUE"""),45651.674788993056)</f>
        <v>45651.67479</v>
      </c>
      <c r="B144" s="76" t="str">
        <f>IFERROR(__xludf.DUMMYFUNCTION("""COMPUTED_VALUE"""),"minhdum1612@gmail.com")</f>
        <v>minhdum1612@gmail.com</v>
      </c>
      <c r="C144" s="76">
        <f>IFERROR(__xludf.DUMMYFUNCTION("""COMPUTED_VALUE"""),2.7202237832E10)</f>
        <v>27202237832</v>
      </c>
      <c r="D144" s="76" t="str">
        <f>IFERROR(__xludf.DUMMYFUNCTION("""COMPUTED_VALUE"""),"Võ Minh Nguyệt ")</f>
        <v>Võ Minh Nguyệt </v>
      </c>
      <c r="E144" s="101">
        <f>IFERROR(__xludf.DUMMYFUNCTION("""COMPUTED_VALUE"""),37971.0)</f>
        <v>37971</v>
      </c>
      <c r="F144" s="76" t="str">
        <f>IFERROR(__xludf.DUMMYFUNCTION("""COMPUTED_VALUE"""),"K27DLK7")</f>
        <v>K27DLK7</v>
      </c>
      <c r="G144" s="76" t="str">
        <f>IFERROR(__xludf.DUMMYFUNCTION("""COMPUTED_VALUE"""),"Quản trị Du lịch &amp; Khách sạn")</f>
        <v>Quản trị Du lịch &amp; Khách sạn</v>
      </c>
      <c r="H144" s="76" t="str">
        <f>IFERROR(__xludf.DUMMYFUNCTION("""COMPUTED_VALUE"""),"K27")</f>
        <v>K27</v>
      </c>
      <c r="I144" s="76" t="str">
        <f>IFERROR(__xludf.DUMMYFUNCTION("""COMPUTED_VALUE"""),"0934931109")</f>
        <v>0934931109</v>
      </c>
      <c r="J144" s="76">
        <f>IFERROR(__xludf.DUMMYFUNCTION("""COMPUTED_VALUE"""),3.47)</f>
        <v>3.47</v>
      </c>
      <c r="K144" s="76">
        <f>IFERROR(__xludf.DUMMYFUNCTION("""COMPUTED_VALUE"""),116.0)</f>
        <v>116</v>
      </c>
      <c r="L144" s="76" t="str">
        <f>IFERROR(__xludf.DUMMYFUNCTION("""COMPUTED_VALUE"""),"Rồi")</f>
        <v>Rồi</v>
      </c>
      <c r="M144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44" s="76">
        <f>IFERROR(__xludf.DUMMYFUNCTION("""COMPUTED_VALUE"""),7.0)</f>
        <v>7</v>
      </c>
      <c r="O144" s="76" t="str">
        <f>IFERROR(__xludf.DUMMYFUNCTION("""COMPUTED_VALUE"""),"cam kết")</f>
        <v>cam kết</v>
      </c>
      <c r="P144" s="76"/>
      <c r="Q144" s="76"/>
      <c r="R144" s="76"/>
      <c r="S144" s="76" t="str">
        <f>IFERROR(__xludf.DUMMYFUNCTION("""COMPUTED_VALUE"""),"27/12/2024")</f>
        <v>27/12/2024</v>
      </c>
      <c r="T144" s="76"/>
      <c r="U144" s="102" t="str">
        <f>IFERROR(__xludf.DUMMYFUNCTION("""COMPUTED_VALUE"""),"Võ Minh Nguyệt")</f>
        <v>Võ Minh Nguyệt</v>
      </c>
      <c r="V144" s="76" t="str">
        <f>IFERROR(__xludf.DUMMYFUNCTION("""COMPUTED_VALUE"""),"Quản Trị Khách Sạn &amp; Nhà Hàng (Đại Học)")</f>
        <v>Quản Trị Khách Sạn &amp; Nhà Hàng (Đại Học)</v>
      </c>
      <c r="W144" s="76" t="str">
        <f>IFERROR(__xludf.DUMMYFUNCTION("""COMPUTED_VALUE"""),"DaNang Marriott Resort &amp; Spa, Non Nuoc Beach Villas")</f>
        <v>DaNang Marriott Resort &amp; Spa, Non Nuoc Beach Villas</v>
      </c>
      <c r="X144" s="76" t="str">
        <f>IFERROR(__xludf.DUMMYFUNCTION("""COMPUTED_VALUE"""),"Nhà hàng")</f>
        <v>Nhà hàng</v>
      </c>
      <c r="Y144" s="76" t="str">
        <f>IFERROR(__xludf.DUMMYFUNCTION("""COMPUTED_VALUE"""),"DUYỆT")</f>
        <v>DUYỆT</v>
      </c>
      <c r="Z144" s="76" t="str">
        <f>IFERROR(__xludf.DUMMYFUNCTION("""COMPUTED_VALUE"""),"CHUYÊN ĐỀ")</f>
        <v>CHUYÊN ĐỀ</v>
      </c>
      <c r="AA144" s="76" t="str">
        <f>IFERROR(__xludf.DUMMYFUNCTION("""COMPUTED_VALUE"""),"minhdum1612@gmail.com")</f>
        <v>minhdum1612@gmail.com</v>
      </c>
      <c r="AB144" s="76" t="str">
        <f>IFERROR(__xludf.DUMMYFUNCTION("""COMPUTED_VALUE"""),"#N/A")</f>
        <v>#N/A</v>
      </c>
      <c r="AC144" s="76" t="str">
        <f>IFERROR(__xludf.DUMMYFUNCTION("""COMPUTED_VALUE"""),"#N/A")</f>
        <v>#N/A</v>
      </c>
    </row>
    <row r="145">
      <c r="A145" s="100">
        <f>IFERROR(__xludf.DUMMYFUNCTION("""COMPUTED_VALUE"""),45699.70151811343)</f>
        <v>45699.70152</v>
      </c>
      <c r="B145" s="76" t="str">
        <f>IFERROR(__xludf.DUMMYFUNCTION("""COMPUTED_VALUE"""),"thaidau19@gmail.com")</f>
        <v>thaidau19@gmail.com</v>
      </c>
      <c r="C145" s="76">
        <f>IFERROR(__xludf.DUMMYFUNCTION("""COMPUTED_VALUE"""),2.7217141068E10)</f>
        <v>27217141068</v>
      </c>
      <c r="D145" s="76" t="str">
        <f>IFERROR(__xludf.DUMMYFUNCTION("""COMPUTED_VALUE"""),"Lê Thái Đẩu")</f>
        <v>Lê Thái Đẩu</v>
      </c>
      <c r="E145" s="101">
        <f>IFERROR(__xludf.DUMMYFUNCTION("""COMPUTED_VALUE"""),37688.0)</f>
        <v>37688</v>
      </c>
      <c r="F145" s="76" t="str">
        <f>IFERROR(__xludf.DUMMYFUNCTION("""COMPUTED_VALUE"""),"K27DLK2")</f>
        <v>K27DLK2</v>
      </c>
      <c r="G145" s="76" t="str">
        <f>IFERROR(__xludf.DUMMYFUNCTION("""COMPUTED_VALUE"""),"Quản trị Du lịch &amp; Khách sạn")</f>
        <v>Quản trị Du lịch &amp; Khách sạn</v>
      </c>
      <c r="H145" s="76" t="str">
        <f>IFERROR(__xludf.DUMMYFUNCTION("""COMPUTED_VALUE"""),"K27")</f>
        <v>K27</v>
      </c>
      <c r="I145" s="76" t="str">
        <f>IFERROR(__xludf.DUMMYFUNCTION("""COMPUTED_VALUE"""),"0366040112")</f>
        <v>0366040112</v>
      </c>
      <c r="J145" s="76">
        <f>IFERROR(__xludf.DUMMYFUNCTION("""COMPUTED_VALUE"""),2.75)</f>
        <v>2.75</v>
      </c>
      <c r="K145" s="76">
        <f>IFERROR(__xludf.DUMMYFUNCTION("""COMPUTED_VALUE"""),106.0)</f>
        <v>106</v>
      </c>
      <c r="L145" s="76" t="str">
        <f>IFERROR(__xludf.DUMMYFUNCTION("""COMPUTED_VALUE"""),"Rồi")</f>
        <v>Rồi</v>
      </c>
      <c r="M145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45" s="76">
        <f>IFERROR(__xludf.DUMMYFUNCTION("""COMPUTED_VALUE"""),6.0)</f>
        <v>6</v>
      </c>
      <c r="O145" s="76" t="str">
        <f>IFERROR(__xludf.DUMMYFUNCTION("""COMPUTED_VALUE"""),"cam kết")</f>
        <v>cam kết</v>
      </c>
      <c r="P145" s="76"/>
      <c r="Q145" s="76"/>
      <c r="R145" s="76"/>
      <c r="S145" s="76" t="str">
        <f>IFERROR(__xludf.DUMMYFUNCTION("""COMPUTED_VALUE"""),"27/12/2024")</f>
        <v>27/12/2024</v>
      </c>
      <c r="T145" s="76" t="str">
        <f>IFERROR(__xludf.DUMMYFUNCTION("""COMPUTED_VALUE"""),"sv chưa nhận GTT")</f>
        <v>sv chưa nhận GTT</v>
      </c>
      <c r="U145" s="102" t="str">
        <f>IFERROR(__xludf.DUMMYFUNCTION("""COMPUTED_VALUE"""),"Lê Thái Đẩu")</f>
        <v>Lê Thái Đẩu</v>
      </c>
      <c r="V145" s="76" t="str">
        <f>IFERROR(__xludf.DUMMYFUNCTION("""COMPUTED_VALUE"""),"Quản Trị Khách Sạn &amp; Nhà Hàng (Đại Học)")</f>
        <v>Quản Trị Khách Sạn &amp; Nhà Hàng (Đại Học)</v>
      </c>
      <c r="W145" s="76" t="str">
        <f>IFERROR(__xludf.DUMMYFUNCTION("""COMPUTED_VALUE"""),"Renaissance Hoi An Resort &amp; Spa")</f>
        <v>Renaissance Hoi An Resort &amp; Spa</v>
      </c>
      <c r="X145" s="76" t="str">
        <f>IFERROR(__xludf.DUMMYFUNCTION("""COMPUTED_VALUE"""),"Tiền sảnh")</f>
        <v>Tiền sảnh</v>
      </c>
      <c r="Y145" s="76" t="str">
        <f>IFERROR(__xludf.DUMMYFUNCTION("""COMPUTED_VALUE"""),"DUYỆT")</f>
        <v>DUYỆT</v>
      </c>
      <c r="Z145" s="76" t="str">
        <f>IFERROR(__xludf.DUMMYFUNCTION("""COMPUTED_VALUE"""),"CHUYÊN ĐỀ")</f>
        <v>CHUYÊN ĐỀ</v>
      </c>
      <c r="AA145" s="76" t="str">
        <f>IFERROR(__xludf.DUMMYFUNCTION("""COMPUTED_VALUE"""),"thaidau19@gmail.com")</f>
        <v>thaidau19@gmail.com</v>
      </c>
      <c r="AB145" s="76"/>
      <c r="AC145" s="76"/>
    </row>
    <row r="146">
      <c r="A146" s="100">
        <f>IFERROR(__xludf.DUMMYFUNCTION("""COMPUTED_VALUE"""),45651.71455606481)</f>
        <v>45651.71456</v>
      </c>
      <c r="B146" s="76" t="str">
        <f>IFERROR(__xludf.DUMMYFUNCTION("""COMPUTED_VALUE"""),"phanthiminhtrang29@gmail.com")</f>
        <v>phanthiminhtrang29@gmail.com</v>
      </c>
      <c r="C146" s="76">
        <f>IFERROR(__xludf.DUMMYFUNCTION("""COMPUTED_VALUE"""),2.72071309E10)</f>
        <v>27207130900</v>
      </c>
      <c r="D146" s="76" t="str">
        <f>IFERROR(__xludf.DUMMYFUNCTION("""COMPUTED_VALUE"""),"Phan Thị Minh Trang ")</f>
        <v>Phan Thị Minh Trang </v>
      </c>
      <c r="E146" s="101">
        <f>IFERROR(__xludf.DUMMYFUNCTION("""COMPUTED_VALUE"""),37755.0)</f>
        <v>37755</v>
      </c>
      <c r="F146" s="76" t="str">
        <f>IFERROR(__xludf.DUMMYFUNCTION("""COMPUTED_VALUE"""),"K27DLK5")</f>
        <v>K27DLK5</v>
      </c>
      <c r="G146" s="76" t="str">
        <f>IFERROR(__xludf.DUMMYFUNCTION("""COMPUTED_VALUE"""),"Quản trị Du lịch &amp; Khách sạn")</f>
        <v>Quản trị Du lịch &amp; Khách sạn</v>
      </c>
      <c r="H146" s="76" t="str">
        <f>IFERROR(__xludf.DUMMYFUNCTION("""COMPUTED_VALUE"""),"K27")</f>
        <v>K27</v>
      </c>
      <c r="I146" s="76" t="str">
        <f>IFERROR(__xludf.DUMMYFUNCTION("""COMPUTED_VALUE"""),"0796552415")</f>
        <v>0796552415</v>
      </c>
      <c r="J146" s="76">
        <f>IFERROR(__xludf.DUMMYFUNCTION("""COMPUTED_VALUE"""),3.2)</f>
        <v>3.2</v>
      </c>
      <c r="K146" s="76">
        <f>IFERROR(__xludf.DUMMYFUNCTION("""COMPUTED_VALUE"""),116.0)</f>
        <v>116</v>
      </c>
      <c r="L146" s="76" t="str">
        <f>IFERROR(__xludf.DUMMYFUNCTION("""COMPUTED_VALUE"""),"Rồi")</f>
        <v>Rồi</v>
      </c>
      <c r="M146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46" s="76">
        <f>IFERROR(__xludf.DUMMYFUNCTION("""COMPUTED_VALUE"""),7.0)</f>
        <v>7</v>
      </c>
      <c r="O146" s="76" t="str">
        <f>IFERROR(__xludf.DUMMYFUNCTION("""COMPUTED_VALUE"""),"cam kết")</f>
        <v>cam kết</v>
      </c>
      <c r="P146" s="76"/>
      <c r="Q146" s="76"/>
      <c r="R146" s="76"/>
      <c r="S146" s="76" t="str">
        <f>IFERROR(__xludf.DUMMYFUNCTION("""COMPUTED_VALUE"""),"27/12/2024")</f>
        <v>27/12/2024</v>
      </c>
      <c r="T146" s="76"/>
      <c r="U146" s="102" t="str">
        <f>IFERROR(__xludf.DUMMYFUNCTION("""COMPUTED_VALUE"""),"Phan Thị Minh Trang")</f>
        <v>Phan Thị Minh Trang</v>
      </c>
      <c r="V146" s="76" t="str">
        <f>IFERROR(__xludf.DUMMYFUNCTION("""COMPUTED_VALUE"""),"Quản Trị Khách Sạn &amp; Nhà Hàng (Đại Học)")</f>
        <v>Quản Trị Khách Sạn &amp; Nhà Hàng (Đại Học)</v>
      </c>
      <c r="W146" s="76" t="str">
        <f>IFERROR(__xludf.DUMMYFUNCTION("""COMPUTED_VALUE"""),"#N/A")</f>
        <v>#N/A</v>
      </c>
      <c r="X146" s="76" t="str">
        <f>IFERROR(__xludf.DUMMYFUNCTION("""COMPUTED_VALUE"""),"#N/A")</f>
        <v>#N/A</v>
      </c>
      <c r="Y146" s="76" t="str">
        <f>IFERROR(__xludf.DUMMYFUNCTION("""COMPUTED_VALUE"""),"#N/A")</f>
        <v>#N/A</v>
      </c>
      <c r="Z146" s="76" t="str">
        <f>IFERROR(__xludf.DUMMYFUNCTION("""COMPUTED_VALUE"""),"CHUYÊN ĐỀ")</f>
        <v>CHUYÊN ĐỀ</v>
      </c>
      <c r="AA146" s="76" t="str">
        <f>IFERROR(__xludf.DUMMYFUNCTION("""COMPUTED_VALUE"""),"phanthiminhtrang29@gmail.com")</f>
        <v>phanthiminhtrang29@gmail.com</v>
      </c>
      <c r="AB146" s="76"/>
      <c r="AC146" s="76"/>
    </row>
    <row r="147">
      <c r="A147" s="100">
        <f>IFERROR(__xludf.DUMMYFUNCTION("""COMPUTED_VALUE"""),45651.731549641205)</f>
        <v>45651.73155</v>
      </c>
      <c r="B147" s="76" t="str">
        <f>IFERROR(__xludf.DUMMYFUNCTION("""COMPUTED_VALUE"""),"dtthanhthuong410@gmail.com")</f>
        <v>dtthanhthuong410@gmail.com</v>
      </c>
      <c r="C147" s="76">
        <f>IFERROR(__xludf.DUMMYFUNCTION("""COMPUTED_VALUE"""),2.7207131543E10)</f>
        <v>27207131543</v>
      </c>
      <c r="D147" s="76" t="str">
        <f>IFERROR(__xludf.DUMMYFUNCTION("""COMPUTED_VALUE"""),"Dương Thị Thanh Thương")</f>
        <v>Dương Thị Thanh Thương</v>
      </c>
      <c r="E147" s="101">
        <f>IFERROR(__xludf.DUMMYFUNCTION("""COMPUTED_VALUE"""),37898.0)</f>
        <v>37898</v>
      </c>
      <c r="F147" s="76" t="str">
        <f>IFERROR(__xludf.DUMMYFUNCTION("""COMPUTED_VALUE"""),"K27DLK 5")</f>
        <v>K27DLK 5</v>
      </c>
      <c r="G147" s="76" t="str">
        <f>IFERROR(__xludf.DUMMYFUNCTION("""COMPUTED_VALUE"""),"Quản trị Du lịch &amp; Khách sạn")</f>
        <v>Quản trị Du lịch &amp; Khách sạn</v>
      </c>
      <c r="H147" s="76" t="str">
        <f>IFERROR(__xludf.DUMMYFUNCTION("""COMPUTED_VALUE"""),"K27")</f>
        <v>K27</v>
      </c>
      <c r="I147" s="76" t="str">
        <f>IFERROR(__xludf.DUMMYFUNCTION("""COMPUTED_VALUE"""),"0985652076")</f>
        <v>0985652076</v>
      </c>
      <c r="J147" s="76">
        <f>IFERROR(__xludf.DUMMYFUNCTION("""COMPUTED_VALUE"""),2.37)</f>
        <v>2.37</v>
      </c>
      <c r="K147" s="76">
        <f>IFERROR(__xludf.DUMMYFUNCTION("""COMPUTED_VALUE"""),111.0)</f>
        <v>111</v>
      </c>
      <c r="L147" s="76" t="str">
        <f>IFERROR(__xludf.DUMMYFUNCTION("""COMPUTED_VALUE"""),"Rồi")</f>
        <v>Rồi</v>
      </c>
      <c r="M147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47" s="76">
        <f>IFERROR(__xludf.DUMMYFUNCTION("""COMPUTED_VALUE"""),14.0)</f>
        <v>14</v>
      </c>
      <c r="O147" s="76" t="str">
        <f>IFERROR(__xludf.DUMMYFUNCTION("""COMPUTED_VALUE"""),"cam kết")</f>
        <v>cam kết</v>
      </c>
      <c r="P147" s="76"/>
      <c r="Q147" s="76"/>
      <c r="R147" s="76"/>
      <c r="S147" s="76" t="str">
        <f>IFERROR(__xludf.DUMMYFUNCTION("""COMPUTED_VALUE"""),"27/12/2024")</f>
        <v>27/12/2024</v>
      </c>
      <c r="T147" s="76"/>
      <c r="U147" s="102" t="str">
        <f>IFERROR(__xludf.DUMMYFUNCTION("""COMPUTED_VALUE"""),"Dương Thị Thanh Thương")</f>
        <v>Dương Thị Thanh Thương</v>
      </c>
      <c r="V147" s="76" t="str">
        <f>IFERROR(__xludf.DUMMYFUNCTION("""COMPUTED_VALUE"""),"Quản Trị Khách Sạn &amp; Nhà Hàng (Đại Học)")</f>
        <v>Quản Trị Khách Sạn &amp; Nhà Hàng (Đại Học)</v>
      </c>
      <c r="W147" s="76" t="str">
        <f>IFERROR(__xludf.DUMMYFUNCTION("""COMPUTED_VALUE"""),"#N/A")</f>
        <v>#N/A</v>
      </c>
      <c r="X147" s="76" t="str">
        <f>IFERROR(__xludf.DUMMYFUNCTION("""COMPUTED_VALUE"""),"#N/A")</f>
        <v>#N/A</v>
      </c>
      <c r="Y147" s="76" t="str">
        <f>IFERROR(__xludf.DUMMYFUNCTION("""COMPUTED_VALUE"""),"#N/A")</f>
        <v>#N/A</v>
      </c>
      <c r="Z147" s="76" t="str">
        <f>IFERROR(__xludf.DUMMYFUNCTION("""COMPUTED_VALUE"""),"không đủ điều kiện")</f>
        <v>không đủ điều kiện</v>
      </c>
      <c r="AA147" s="76" t="str">
        <f>IFERROR(__xludf.DUMMYFUNCTION("""COMPUTED_VALUE"""),"dtthanhthuong410@gmail.com")</f>
        <v>dtthanhthuong410@gmail.com</v>
      </c>
      <c r="AB147" s="76"/>
      <c r="AC147" s="76"/>
    </row>
    <row r="148">
      <c r="A148" s="100">
        <f>IFERROR(__xludf.DUMMYFUNCTION("""COMPUTED_VALUE"""),45651.73761761574)</f>
        <v>45651.73762</v>
      </c>
      <c r="B148" s="76" t="str">
        <f>IFERROR(__xludf.DUMMYFUNCTION("""COMPUTED_VALUE"""),"phuongdang3113@gmail.com")</f>
        <v>phuongdang3113@gmail.com</v>
      </c>
      <c r="C148" s="76">
        <f>IFERROR(__xludf.DUMMYFUNCTION("""COMPUTED_VALUE"""),2.7217102556E10)</f>
        <v>27217102556</v>
      </c>
      <c r="D148" s="76" t="str">
        <f>IFERROR(__xludf.DUMMYFUNCTION("""COMPUTED_VALUE"""),"Đặng Thu Phương")</f>
        <v>Đặng Thu Phương</v>
      </c>
      <c r="E148" s="101">
        <f>IFERROR(__xludf.DUMMYFUNCTION("""COMPUTED_VALUE"""),37652.0)</f>
        <v>37652</v>
      </c>
      <c r="F148" s="76" t="str">
        <f>IFERROR(__xludf.DUMMYFUNCTION("""COMPUTED_VALUE"""),"K27DLK7")</f>
        <v>K27DLK7</v>
      </c>
      <c r="G148" s="76" t="str">
        <f>IFERROR(__xludf.DUMMYFUNCTION("""COMPUTED_VALUE"""),"Quản trị Du lịch &amp; Khách sạn")</f>
        <v>Quản trị Du lịch &amp; Khách sạn</v>
      </c>
      <c r="H148" s="76" t="str">
        <f>IFERROR(__xludf.DUMMYFUNCTION("""COMPUTED_VALUE"""),"K27")</f>
        <v>K27</v>
      </c>
      <c r="I148" s="76" t="str">
        <f>IFERROR(__xludf.DUMMYFUNCTION("""COMPUTED_VALUE"""),"0899850889")</f>
        <v>0899850889</v>
      </c>
      <c r="J148" s="76">
        <f>IFERROR(__xludf.DUMMYFUNCTION("""COMPUTED_VALUE"""),3.37)</f>
        <v>3.37</v>
      </c>
      <c r="K148" s="76">
        <f>IFERROR(__xludf.DUMMYFUNCTION("""COMPUTED_VALUE"""),117.0)</f>
        <v>117</v>
      </c>
      <c r="L148" s="76" t="str">
        <f>IFERROR(__xludf.DUMMYFUNCTION("""COMPUTED_VALUE"""),"Rồi")</f>
        <v>Rồi</v>
      </c>
      <c r="M148" s="76" t="str">
        <f>IFERROR(__xludf.DUMMYFUNCTION("""COMPUTED_VALUE"""),"Thực tập tốt nghiệp, Thi tốt nghiệp")</f>
        <v>Thực tập tốt nghiệp, Thi tốt nghiệp</v>
      </c>
      <c r="N148" s="76">
        <f>IFERROR(__xludf.DUMMYFUNCTION("""COMPUTED_VALUE"""),6.0)</f>
        <v>6</v>
      </c>
      <c r="O148" s="76" t="str">
        <f>IFERROR(__xludf.DUMMYFUNCTION("""COMPUTED_VALUE"""),"cam kết")</f>
        <v>cam kết</v>
      </c>
      <c r="P148" s="76"/>
      <c r="Q148" s="76"/>
      <c r="R148" s="76"/>
      <c r="S148" s="76" t="str">
        <f>IFERROR(__xludf.DUMMYFUNCTION("""COMPUTED_VALUE"""),"27/12/2024")</f>
        <v>27/12/2024</v>
      </c>
      <c r="T148" s="76"/>
      <c r="U148" s="102" t="str">
        <f>IFERROR(__xludf.DUMMYFUNCTION("""COMPUTED_VALUE"""),"Đặng Thu Phương")</f>
        <v>Đặng Thu Phương</v>
      </c>
      <c r="V148" s="76" t="str">
        <f>IFERROR(__xludf.DUMMYFUNCTION("""COMPUTED_VALUE"""),"Quản Trị Khách Sạn &amp; Nhà Hàng (Đại Học)")</f>
        <v>Quản Trị Khách Sạn &amp; Nhà Hàng (Đại Học)</v>
      </c>
      <c r="W148" s="76" t="str">
        <f>IFERROR(__xludf.DUMMYFUNCTION("""COMPUTED_VALUE"""),"Hyatt regency DaNang Resort")</f>
        <v>Hyatt regency DaNang Resort</v>
      </c>
      <c r="X148" s="76" t="str">
        <f>IFERROR(__xludf.DUMMYFUNCTION("""COMPUTED_VALUE"""),"Nhà hàng")</f>
        <v>Nhà hàng</v>
      </c>
      <c r="Y148" s="76" t="str">
        <f>IFERROR(__xludf.DUMMYFUNCTION("""COMPUTED_VALUE"""),"DUYỆT")</f>
        <v>DUYỆT</v>
      </c>
      <c r="Z148" s="76" t="str">
        <f>IFERROR(__xludf.DUMMYFUNCTION("""COMPUTED_VALUE"""),"CHUYÊN ĐỀ")</f>
        <v>CHUYÊN ĐỀ</v>
      </c>
      <c r="AA148" s="76" t="str">
        <f>IFERROR(__xludf.DUMMYFUNCTION("""COMPUTED_VALUE"""),"phuongdang3113@gmail.com")</f>
        <v>phuongdang3113@gmail.com</v>
      </c>
      <c r="AB148" s="76" t="str">
        <f>IFERROR(__xludf.DUMMYFUNCTION("""COMPUTED_VALUE"""),"Đặng Thu Phương")</f>
        <v>Đặng Thu Phương</v>
      </c>
      <c r="AC148" s="76" t="str">
        <f>IFERROR(__xludf.DUMMYFUNCTION("""COMPUTED_VALUE"""),"ĐÃ NỘP")</f>
        <v>ĐÃ NỘP</v>
      </c>
    </row>
    <row r="149">
      <c r="A149" s="100">
        <f>IFERROR(__xludf.DUMMYFUNCTION("""COMPUTED_VALUE"""),45651.738726296295)</f>
        <v>45651.73873</v>
      </c>
      <c r="B149" s="76" t="str">
        <f>IFERROR(__xludf.DUMMYFUNCTION("""COMPUTED_VALUE"""),"tientien190603@gmail.com")</f>
        <v>tientien190603@gmail.com</v>
      </c>
      <c r="C149" s="76">
        <f>IFERROR(__xludf.DUMMYFUNCTION("""COMPUTED_VALUE"""),2.7207141615E10)</f>
        <v>27207141615</v>
      </c>
      <c r="D149" s="76" t="str">
        <f>IFERROR(__xludf.DUMMYFUNCTION("""COMPUTED_VALUE"""),"Lê Thị Thuỷ Tiên")</f>
        <v>Lê Thị Thuỷ Tiên</v>
      </c>
      <c r="E149" s="101">
        <f>IFERROR(__xludf.DUMMYFUNCTION("""COMPUTED_VALUE"""),37791.0)</f>
        <v>37791</v>
      </c>
      <c r="F149" s="76" t="str">
        <f>IFERROR(__xludf.DUMMYFUNCTION("""COMPUTED_VALUE"""),"K27DLK2")</f>
        <v>K27DLK2</v>
      </c>
      <c r="G149" s="76" t="str">
        <f>IFERROR(__xludf.DUMMYFUNCTION("""COMPUTED_VALUE"""),"Quản trị Du lịch &amp; Khách sạn")</f>
        <v>Quản trị Du lịch &amp; Khách sạn</v>
      </c>
      <c r="H149" s="76" t="str">
        <f>IFERROR(__xludf.DUMMYFUNCTION("""COMPUTED_VALUE"""),"K27")</f>
        <v>K27</v>
      </c>
      <c r="I149" s="76" t="str">
        <f>IFERROR(__xludf.DUMMYFUNCTION("""COMPUTED_VALUE"""),"0905795387")</f>
        <v>0905795387</v>
      </c>
      <c r="J149" s="76">
        <f>IFERROR(__xludf.DUMMYFUNCTION("""COMPUTED_VALUE"""),3.42)</f>
        <v>3.42</v>
      </c>
      <c r="K149" s="76">
        <f>IFERROR(__xludf.DUMMYFUNCTION("""COMPUTED_VALUE"""),112.0)</f>
        <v>112</v>
      </c>
      <c r="L149" s="76" t="str">
        <f>IFERROR(__xludf.DUMMYFUNCTION("""COMPUTED_VALUE"""),"Rồi")</f>
        <v>Rồi</v>
      </c>
      <c r="M149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49" s="76">
        <f>IFERROR(__xludf.DUMMYFUNCTION("""COMPUTED_VALUE"""),11.0)</f>
        <v>11</v>
      </c>
      <c r="O149" s="76" t="str">
        <f>IFERROR(__xludf.DUMMYFUNCTION("""COMPUTED_VALUE"""),"cam kết")</f>
        <v>cam kết</v>
      </c>
      <c r="P149" s="76"/>
      <c r="Q149" s="76"/>
      <c r="R149" s="76"/>
      <c r="S149" s="76" t="str">
        <f>IFERROR(__xludf.DUMMYFUNCTION("""COMPUTED_VALUE"""),"27/12/2024")</f>
        <v>27/12/2024</v>
      </c>
      <c r="T149" s="76"/>
      <c r="U149" s="102" t="str">
        <f>IFERROR(__xludf.DUMMYFUNCTION("""COMPUTED_VALUE"""),"Lê Thị Thủy Tiên")</f>
        <v>Lê Thị Thủy Tiên</v>
      </c>
      <c r="V149" s="76" t="str">
        <f>IFERROR(__xludf.DUMMYFUNCTION("""COMPUTED_VALUE"""),"Quản Trị Khách Sạn &amp; Nhà Hàng (Đại Học)")</f>
        <v>Quản Trị Khách Sạn &amp; Nhà Hàng (Đại Học)</v>
      </c>
      <c r="W149" s="76" t="str">
        <f>IFERROR(__xludf.DUMMYFUNCTION("""COMPUTED_VALUE"""),"Satya Danang Hotel")</f>
        <v>Satya Danang Hotel</v>
      </c>
      <c r="X149" s="76" t="str">
        <f>IFERROR(__xludf.DUMMYFUNCTION("""COMPUTED_VALUE"""),"Buồng phòng")</f>
        <v>Buồng phòng</v>
      </c>
      <c r="Y149" s="76" t="str">
        <f>IFERROR(__xludf.DUMMYFUNCTION("""COMPUTED_VALUE"""),"DUYỆT")</f>
        <v>DUYỆT</v>
      </c>
      <c r="Z149" s="76" t="str">
        <f>IFERROR(__xludf.DUMMYFUNCTION("""COMPUTED_VALUE"""),"CHUYÊN ĐỀ")</f>
        <v>CHUYÊN ĐỀ</v>
      </c>
      <c r="AA149" s="76" t="str">
        <f>IFERROR(__xludf.DUMMYFUNCTION("""COMPUTED_VALUE"""),"tientien190603@gmail.com")</f>
        <v>tientien190603@gmail.com</v>
      </c>
      <c r="AB149" s="76" t="str">
        <f>IFERROR(__xludf.DUMMYFUNCTION("""COMPUTED_VALUE"""),"Lê Thị Thủy Tiên")</f>
        <v>Lê Thị Thủy Tiên</v>
      </c>
      <c r="AC149" s="76" t="str">
        <f>IFERROR(__xludf.DUMMYFUNCTION("""COMPUTED_VALUE"""),"ĐÃ NỘP")</f>
        <v>ĐÃ NỘP</v>
      </c>
    </row>
    <row r="150">
      <c r="A150" s="100">
        <f>IFERROR(__xludf.DUMMYFUNCTION("""COMPUTED_VALUE"""),45651.77184377315)</f>
        <v>45651.77184</v>
      </c>
      <c r="B150" s="76" t="str">
        <f>IFERROR(__xludf.DUMMYFUNCTION("""COMPUTED_VALUE"""),"vanlai01032003@gmail.com")</f>
        <v>vanlai01032003@gmail.com</v>
      </c>
      <c r="C150" s="76">
        <f>IFERROR(__xludf.DUMMYFUNCTION("""COMPUTED_VALUE"""),2.7217131784E10)</f>
        <v>27217131784</v>
      </c>
      <c r="D150" s="76" t="str">
        <f>IFERROR(__xludf.DUMMYFUNCTION("""COMPUTED_VALUE"""),"Đoàn Văn Lại")</f>
        <v>Đoàn Văn Lại</v>
      </c>
      <c r="E150" s="101">
        <f>IFERROR(__xludf.DUMMYFUNCTION("""COMPUTED_VALUE"""),37681.0)</f>
        <v>37681</v>
      </c>
      <c r="F150" s="76" t="str">
        <f>IFERROR(__xludf.DUMMYFUNCTION("""COMPUTED_VALUE"""),"K27DLK4")</f>
        <v>K27DLK4</v>
      </c>
      <c r="G150" s="76" t="str">
        <f>IFERROR(__xludf.DUMMYFUNCTION("""COMPUTED_VALUE"""),"Quản trị Du lịch &amp; Khách sạn")</f>
        <v>Quản trị Du lịch &amp; Khách sạn</v>
      </c>
      <c r="H150" s="76" t="str">
        <f>IFERROR(__xludf.DUMMYFUNCTION("""COMPUTED_VALUE"""),"K27")</f>
        <v>K27</v>
      </c>
      <c r="I150" s="76" t="str">
        <f>IFERROR(__xludf.DUMMYFUNCTION("""COMPUTED_VALUE"""),"0373603420")</f>
        <v>0373603420</v>
      </c>
      <c r="J150" s="76">
        <f>IFERROR(__xludf.DUMMYFUNCTION("""COMPUTED_VALUE"""),2.94)</f>
        <v>2.94</v>
      </c>
      <c r="K150" s="76">
        <f>IFERROR(__xludf.DUMMYFUNCTION("""COMPUTED_VALUE"""),124.0)</f>
        <v>124</v>
      </c>
      <c r="L150" s="76" t="str">
        <f>IFERROR(__xludf.DUMMYFUNCTION("""COMPUTED_VALUE"""),"Rồi")</f>
        <v>Rồi</v>
      </c>
      <c r="M150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50" s="76">
        <f>IFERROR(__xludf.DUMMYFUNCTION("""COMPUTED_VALUE"""),0.0)</f>
        <v>0</v>
      </c>
      <c r="O150" s="76" t="str">
        <f>IFERROR(__xludf.DUMMYFUNCTION("""COMPUTED_VALUE"""),"cam kết")</f>
        <v>cam kết</v>
      </c>
      <c r="P150" s="76"/>
      <c r="Q150" s="76"/>
      <c r="R150" s="76"/>
      <c r="S150" s="76" t="str">
        <f>IFERROR(__xludf.DUMMYFUNCTION("""COMPUTED_VALUE"""),"27/12/2024")</f>
        <v>27/12/2024</v>
      </c>
      <c r="T150" s="76"/>
      <c r="U150" s="102" t="str">
        <f>IFERROR(__xludf.DUMMYFUNCTION("""COMPUTED_VALUE"""),"Đoàn Văn Lại")</f>
        <v>Đoàn Văn Lại</v>
      </c>
      <c r="V150" s="76" t="str">
        <f>IFERROR(__xludf.DUMMYFUNCTION("""COMPUTED_VALUE"""),"Quản Trị Khách Sạn &amp; Nhà Hàng (Đại Học)")</f>
        <v>Quản Trị Khách Sạn &amp; Nhà Hàng (Đại Học)</v>
      </c>
      <c r="W150" s="76" t="str">
        <f>IFERROR(__xludf.DUMMYFUNCTION("""COMPUTED_VALUE"""),"Grand Tourane Hotel")</f>
        <v>Grand Tourane Hotel</v>
      </c>
      <c r="X150" s="76" t="str">
        <f>IFERROR(__xludf.DUMMYFUNCTION("""COMPUTED_VALUE"""),"Nhà hàng")</f>
        <v>Nhà hàng</v>
      </c>
      <c r="Y150" s="76" t="str">
        <f>IFERROR(__xludf.DUMMYFUNCTION("""COMPUTED_VALUE"""),"DUYỆT")</f>
        <v>DUYỆT</v>
      </c>
      <c r="Z150" s="76" t="str">
        <f>IFERROR(__xludf.DUMMYFUNCTION("""COMPUTED_VALUE"""),"CHUYÊN ĐỀ")</f>
        <v>CHUYÊN ĐỀ</v>
      </c>
      <c r="AA150" s="76" t="str">
        <f>IFERROR(__xludf.DUMMYFUNCTION("""COMPUTED_VALUE"""),"vanlai01032003@gmail.com")</f>
        <v>vanlai01032003@gmail.com</v>
      </c>
      <c r="AB150" s="76"/>
      <c r="AC150" s="76"/>
    </row>
    <row r="151">
      <c r="A151" s="100">
        <f>IFERROR(__xludf.DUMMYFUNCTION("""COMPUTED_VALUE"""),45651.78194310185)</f>
        <v>45651.78194</v>
      </c>
      <c r="B151" s="76" t="str">
        <f>IFERROR(__xludf.DUMMYFUNCTION("""COMPUTED_VALUE"""),"yvien2208@gmail.com")</f>
        <v>yvien2208@gmail.com</v>
      </c>
      <c r="C151" s="76">
        <f>IFERROR(__xludf.DUMMYFUNCTION("""COMPUTED_VALUE"""),2.7207100524E10)</f>
        <v>27207100524</v>
      </c>
      <c r="D151" s="76" t="str">
        <f>IFERROR(__xludf.DUMMYFUNCTION("""COMPUTED_VALUE"""),"Nguyễn Thị Ý Viên")</f>
        <v>Nguyễn Thị Ý Viên</v>
      </c>
      <c r="E151" s="101">
        <f>IFERROR(__xludf.DUMMYFUNCTION("""COMPUTED_VALUE"""),37855.0)</f>
        <v>37855</v>
      </c>
      <c r="F151" s="76" t="str">
        <f>IFERROR(__xludf.DUMMYFUNCTION("""COMPUTED_VALUE"""),"K27DLK2")</f>
        <v>K27DLK2</v>
      </c>
      <c r="G151" s="76" t="str">
        <f>IFERROR(__xludf.DUMMYFUNCTION("""COMPUTED_VALUE"""),"Quản trị Du lịch &amp; Khách sạn chuẩn PSU")</f>
        <v>Quản trị Du lịch &amp; Khách sạn chuẩn PSU</v>
      </c>
      <c r="H151" s="76" t="str">
        <f>IFERROR(__xludf.DUMMYFUNCTION("""COMPUTED_VALUE"""),"K27")</f>
        <v>K27</v>
      </c>
      <c r="I151" s="76">
        <f>IFERROR(__xludf.DUMMYFUNCTION("""COMPUTED_VALUE"""),3.53144281E8)</f>
        <v>353144281</v>
      </c>
      <c r="J151" s="76">
        <f>IFERROR(__xludf.DUMMYFUNCTION("""COMPUTED_VALUE"""),2.71)</f>
        <v>2.71</v>
      </c>
      <c r="K151" s="76">
        <f>IFERROR(__xludf.DUMMYFUNCTION("""COMPUTED_VALUE"""),125.0)</f>
        <v>125</v>
      </c>
      <c r="L151" s="76" t="str">
        <f>IFERROR(__xludf.DUMMYFUNCTION("""COMPUTED_VALUE"""),"Rồi")</f>
        <v>Rồi</v>
      </c>
      <c r="M151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51" s="76">
        <f>IFERROR(__xludf.DUMMYFUNCTION("""COMPUTED_VALUE"""),4.0)</f>
        <v>4</v>
      </c>
      <c r="O151" s="76" t="str">
        <f>IFERROR(__xludf.DUMMYFUNCTION("""COMPUTED_VALUE"""),"cam kết")</f>
        <v>cam kết</v>
      </c>
      <c r="P151" s="76"/>
      <c r="Q151" s="76"/>
      <c r="R151" s="76"/>
      <c r="S151" s="76" t="str">
        <f>IFERROR(__xludf.DUMMYFUNCTION("""COMPUTED_VALUE"""),"27/12/2024")</f>
        <v>27/12/2024</v>
      </c>
      <c r="T151" s="76"/>
      <c r="U151" s="102" t="str">
        <f>IFERROR(__xludf.DUMMYFUNCTION("""COMPUTED_VALUE"""),"Nguyễn Thị Ý Viên")</f>
        <v>Nguyễn Thị Ý Viên</v>
      </c>
      <c r="V151" s="76" t="str">
        <f>IFERROR(__xludf.DUMMYFUNCTION("""COMPUTED_VALUE"""),"Quản Trị Khách Sạn &amp; Nhà Hàng (Đại Học)")</f>
        <v>Quản Trị Khách Sạn &amp; Nhà Hàng (Đại Học)</v>
      </c>
      <c r="W151" s="76" t="str">
        <f>IFERROR(__xludf.DUMMYFUNCTION("""COMPUTED_VALUE"""),"#N/A")</f>
        <v>#N/A</v>
      </c>
      <c r="X151" s="76" t="str">
        <f>IFERROR(__xludf.DUMMYFUNCTION("""COMPUTED_VALUE"""),"#N/A")</f>
        <v>#N/A</v>
      </c>
      <c r="Y151" s="76" t="str">
        <f>IFERROR(__xludf.DUMMYFUNCTION("""COMPUTED_VALUE"""),"#N/A")</f>
        <v>#N/A</v>
      </c>
      <c r="Z151" s="76" t="str">
        <f>IFERROR(__xludf.DUMMYFUNCTION("""COMPUTED_VALUE"""),"không đủ điều kiện")</f>
        <v>không đủ điều kiện</v>
      </c>
      <c r="AA151" s="76" t="str">
        <f>IFERROR(__xludf.DUMMYFUNCTION("""COMPUTED_VALUE"""),"yvien2208@gmail.com")</f>
        <v>yvien2208@gmail.com</v>
      </c>
      <c r="AB151" s="76"/>
      <c r="AC151" s="76"/>
    </row>
    <row r="152">
      <c r="A152" s="100">
        <f>IFERROR(__xludf.DUMMYFUNCTION("""COMPUTED_VALUE"""),45651.78414163194)</f>
        <v>45651.78414</v>
      </c>
      <c r="B152" s="76" t="str">
        <f>IFERROR(__xludf.DUMMYFUNCTION("""COMPUTED_VALUE"""),"ngtha2506@gmail.com")</f>
        <v>ngtha2506@gmail.com</v>
      </c>
      <c r="C152" s="76">
        <f>IFERROR(__xludf.DUMMYFUNCTION("""COMPUTED_VALUE"""),2.7207131162E10)</f>
        <v>27207131162</v>
      </c>
      <c r="D152" s="76" t="str">
        <f>IFERROR(__xludf.DUMMYFUNCTION("""COMPUTED_VALUE"""),"Nguyễn Thị Hà")</f>
        <v>Nguyễn Thị Hà</v>
      </c>
      <c r="E152" s="101">
        <f>IFERROR(__xludf.DUMMYFUNCTION("""COMPUTED_VALUE"""),37797.0)</f>
        <v>37797</v>
      </c>
      <c r="F152" s="76" t="str">
        <f>IFERROR(__xludf.DUMMYFUNCTION("""COMPUTED_VALUE"""),"K27DLK6")</f>
        <v>K27DLK6</v>
      </c>
      <c r="G152" s="76" t="str">
        <f>IFERROR(__xludf.DUMMYFUNCTION("""COMPUTED_VALUE"""),"Quản trị Du lịch &amp; Khách sạn")</f>
        <v>Quản trị Du lịch &amp; Khách sạn</v>
      </c>
      <c r="H152" s="76" t="str">
        <f>IFERROR(__xludf.DUMMYFUNCTION("""COMPUTED_VALUE"""),"K27")</f>
        <v>K27</v>
      </c>
      <c r="I152" s="76" t="str">
        <f>IFERROR(__xludf.DUMMYFUNCTION("""COMPUTED_VALUE"""),"0941524143")</f>
        <v>0941524143</v>
      </c>
      <c r="J152" s="76">
        <f>IFERROR(__xludf.DUMMYFUNCTION("""COMPUTED_VALUE"""),2.72)</f>
        <v>2.72</v>
      </c>
      <c r="K152" s="76">
        <f>IFERROR(__xludf.DUMMYFUNCTION("""COMPUTED_VALUE"""),115.0)</f>
        <v>115</v>
      </c>
      <c r="L152" s="76" t="str">
        <f>IFERROR(__xludf.DUMMYFUNCTION("""COMPUTED_VALUE"""),"Rồi")</f>
        <v>Rồi</v>
      </c>
      <c r="M152" s="76" t="str">
        <f>IFERROR(__xludf.DUMMYFUNCTION("""COMPUTED_VALUE"""),"Thực tập tốt nghiệp")</f>
        <v>Thực tập tốt nghiệp</v>
      </c>
      <c r="N152" s="76">
        <f>IFERROR(__xludf.DUMMYFUNCTION("""COMPUTED_VALUE"""),11.0)</f>
        <v>11</v>
      </c>
      <c r="O152" s="76" t="str">
        <f>IFERROR(__xludf.DUMMYFUNCTION("""COMPUTED_VALUE"""),"cam kết")</f>
        <v>cam kết</v>
      </c>
      <c r="P152" s="76"/>
      <c r="Q152" s="76"/>
      <c r="R152" s="76"/>
      <c r="S152" s="76" t="str">
        <f>IFERROR(__xludf.DUMMYFUNCTION("""COMPUTED_VALUE"""),"27/12/2024")</f>
        <v>27/12/2024</v>
      </c>
      <c r="T152" s="76"/>
      <c r="U152" s="102" t="str">
        <f>IFERROR(__xludf.DUMMYFUNCTION("""COMPUTED_VALUE"""),"Nguyễn Thị Hà")</f>
        <v>Nguyễn Thị Hà</v>
      </c>
      <c r="V152" s="76" t="str">
        <f>IFERROR(__xludf.DUMMYFUNCTION("""COMPUTED_VALUE"""),"Quản Trị Khách Sạn &amp; Nhà Hàng (Đại Học)")</f>
        <v>Quản Trị Khách Sạn &amp; Nhà Hàng (Đại Học)</v>
      </c>
      <c r="W152" s="76" t="str">
        <f>IFERROR(__xludf.DUMMYFUNCTION("""COMPUTED_VALUE"""),"Da Nang Mikazuki Japanese Resorts &amp; Spa")</f>
        <v>Da Nang Mikazuki Japanese Resorts &amp; Spa</v>
      </c>
      <c r="X152" s="76" t="str">
        <f>IFERROR(__xludf.DUMMYFUNCTION("""COMPUTED_VALUE"""),"Buồng phòng")</f>
        <v>Buồng phòng</v>
      </c>
      <c r="Y152" s="76" t="str">
        <f>IFERROR(__xludf.DUMMYFUNCTION("""COMPUTED_VALUE"""),"DUYỆT")</f>
        <v>DUYỆT</v>
      </c>
      <c r="Z152" s="76" t="str">
        <f>IFERROR(__xludf.DUMMYFUNCTION("""COMPUTED_VALUE"""),"CHUYÊN ĐỀ")</f>
        <v>CHUYÊN ĐỀ</v>
      </c>
      <c r="AA152" s="76" t="str">
        <f>IFERROR(__xludf.DUMMYFUNCTION("""COMPUTED_VALUE"""),"ngtha2506@gmail.com")</f>
        <v>ngtha2506@gmail.com</v>
      </c>
      <c r="AB152" s="76"/>
      <c r="AC152" s="76"/>
    </row>
    <row r="153">
      <c r="A153" s="100">
        <f>IFERROR(__xludf.DUMMYFUNCTION("""COMPUTED_VALUE"""),45651.8142119213)</f>
        <v>45651.81421</v>
      </c>
      <c r="B153" s="76" t="str">
        <f>IFERROR(__xludf.DUMMYFUNCTION("""COMPUTED_VALUE"""),"ngocmui.0607@gmail.com")</f>
        <v>ngocmui.0607@gmail.com</v>
      </c>
      <c r="C153" s="76">
        <f>IFERROR(__xludf.DUMMYFUNCTION("""COMPUTED_VALUE"""),2.7207152647E10)</f>
        <v>27207152647</v>
      </c>
      <c r="D153" s="76" t="str">
        <f>IFERROR(__xludf.DUMMYFUNCTION("""COMPUTED_VALUE"""),"Phạm Thị Ngọc Mùi")</f>
        <v>Phạm Thị Ngọc Mùi</v>
      </c>
      <c r="E153" s="101">
        <f>IFERROR(__xludf.DUMMYFUNCTION("""COMPUTED_VALUE"""),37829.0)</f>
        <v>37829</v>
      </c>
      <c r="F153" s="76" t="str">
        <f>IFERROR(__xludf.DUMMYFUNCTION("""COMPUTED_VALUE"""),"K27DLK 2")</f>
        <v>K27DLK 2</v>
      </c>
      <c r="G153" s="76" t="str">
        <f>IFERROR(__xludf.DUMMYFUNCTION("""COMPUTED_VALUE"""),"Quản trị Du lịch &amp; Khách sạn")</f>
        <v>Quản trị Du lịch &amp; Khách sạn</v>
      </c>
      <c r="H153" s="76" t="str">
        <f>IFERROR(__xludf.DUMMYFUNCTION("""COMPUTED_VALUE"""),"K27")</f>
        <v>K27</v>
      </c>
      <c r="I153" s="76" t="str">
        <f>IFERROR(__xludf.DUMMYFUNCTION("""COMPUTED_VALUE"""),"0379249336")</f>
        <v>0379249336</v>
      </c>
      <c r="J153" s="76">
        <f>IFERROR(__xludf.DUMMYFUNCTION("""COMPUTED_VALUE"""),3.27)</f>
        <v>3.27</v>
      </c>
      <c r="K153" s="76">
        <f>IFERROR(__xludf.DUMMYFUNCTION("""COMPUTED_VALUE"""),114.0)</f>
        <v>114</v>
      </c>
      <c r="L153" s="76" t="str">
        <f>IFERROR(__xludf.DUMMYFUNCTION("""COMPUTED_VALUE"""),"Rồi")</f>
        <v>Rồi</v>
      </c>
      <c r="M153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53" s="76" t="str">
        <f>IFERROR(__xludf.DUMMYFUNCTION("""COMPUTED_VALUE"""),"3 chỉ")</f>
        <v>3 chỉ</v>
      </c>
      <c r="O153" s="76" t="str">
        <f>IFERROR(__xludf.DUMMYFUNCTION("""COMPUTED_VALUE"""),"cam kết")</f>
        <v>cam kết</v>
      </c>
      <c r="P153" s="76"/>
      <c r="Q153" s="76"/>
      <c r="R153" s="76"/>
      <c r="S153" s="76" t="str">
        <f>IFERROR(__xludf.DUMMYFUNCTION("""COMPUTED_VALUE"""),"27/12/2024")</f>
        <v>27/12/2024</v>
      </c>
      <c r="T153" s="76"/>
      <c r="U153" s="102" t="str">
        <f>IFERROR(__xludf.DUMMYFUNCTION("""COMPUTED_VALUE"""),"Phạm Thị Ngọc Mùi")</f>
        <v>Phạm Thị Ngọc Mùi</v>
      </c>
      <c r="V153" s="76" t="str">
        <f>IFERROR(__xludf.DUMMYFUNCTION("""COMPUTED_VALUE"""),"Quản Trị Khách Sạn &amp; Nhà Hàng (Đại Học)")</f>
        <v>Quản Trị Khách Sạn &amp; Nhà Hàng (Đại Học)</v>
      </c>
      <c r="W153" s="76" t="str">
        <f>IFERROR(__xludf.DUMMYFUNCTION("""COMPUTED_VALUE"""),"Diamond Sea Hotel")</f>
        <v>Diamond Sea Hotel</v>
      </c>
      <c r="X153" s="76" t="str">
        <f>IFERROR(__xludf.DUMMYFUNCTION("""COMPUTED_VALUE"""),"Buồng phòng")</f>
        <v>Buồng phòng</v>
      </c>
      <c r="Y153" s="76" t="str">
        <f>IFERROR(__xludf.DUMMYFUNCTION("""COMPUTED_VALUE"""),"DUYỆT")</f>
        <v>DUYỆT</v>
      </c>
      <c r="Z153" s="76" t="str">
        <f>IFERROR(__xludf.DUMMYFUNCTION("""COMPUTED_VALUE"""),"CHUYÊN ĐỀ")</f>
        <v>CHUYÊN ĐỀ</v>
      </c>
      <c r="AA153" s="76" t="str">
        <f>IFERROR(__xludf.DUMMYFUNCTION("""COMPUTED_VALUE"""),"ngocmui.0607@gmail.com")</f>
        <v>ngocmui.0607@gmail.com</v>
      </c>
      <c r="AB153" s="76" t="str">
        <f>IFERROR(__xludf.DUMMYFUNCTION("""COMPUTED_VALUE"""),"#N/A")</f>
        <v>#N/A</v>
      </c>
      <c r="AC153" s="76" t="str">
        <f>IFERROR(__xludf.DUMMYFUNCTION("""COMPUTED_VALUE"""),"#N/A")</f>
        <v>#N/A</v>
      </c>
    </row>
    <row r="154">
      <c r="A154" s="100">
        <f>IFERROR(__xludf.DUMMYFUNCTION("""COMPUTED_VALUE"""),45651.81846416667)</f>
        <v>45651.81846</v>
      </c>
      <c r="B154" s="76" t="str">
        <f>IFERROR(__xludf.DUMMYFUNCTION("""COMPUTED_VALUE"""),"mhuyen903@gmail.com")</f>
        <v>mhuyen903@gmail.com</v>
      </c>
      <c r="C154" s="76">
        <f>IFERROR(__xludf.DUMMYFUNCTION("""COMPUTED_VALUE"""),2.720712272E10)</f>
        <v>27207122720</v>
      </c>
      <c r="D154" s="76" t="str">
        <f>IFERROR(__xludf.DUMMYFUNCTION("""COMPUTED_VALUE"""),"Nguyễn Thị Huyền My")</f>
        <v>Nguyễn Thị Huyền My</v>
      </c>
      <c r="E154" s="101">
        <f>IFERROR(__xludf.DUMMYFUNCTION("""COMPUTED_VALUE"""),37984.0)</f>
        <v>37984</v>
      </c>
      <c r="F154" s="76" t="str">
        <f>IFERROR(__xludf.DUMMYFUNCTION("""COMPUTED_VALUE"""),"K27DLK4")</f>
        <v>K27DLK4</v>
      </c>
      <c r="G154" s="76" t="str">
        <f>IFERROR(__xludf.DUMMYFUNCTION("""COMPUTED_VALUE"""),"Quản trị Du lịch &amp; Khách sạn")</f>
        <v>Quản trị Du lịch &amp; Khách sạn</v>
      </c>
      <c r="H154" s="76" t="str">
        <f>IFERROR(__xludf.DUMMYFUNCTION("""COMPUTED_VALUE"""),"K27")</f>
        <v>K27</v>
      </c>
      <c r="I154" s="76" t="str">
        <f>IFERROR(__xludf.DUMMYFUNCTION("""COMPUTED_VALUE"""),"0392095189")</f>
        <v>0392095189</v>
      </c>
      <c r="J154" s="76">
        <f>IFERROR(__xludf.DUMMYFUNCTION("""COMPUTED_VALUE"""),2.8)</f>
        <v>2.8</v>
      </c>
      <c r="K154" s="76">
        <f>IFERROR(__xludf.DUMMYFUNCTION("""COMPUTED_VALUE"""),115.0)</f>
        <v>115</v>
      </c>
      <c r="L154" s="76" t="str">
        <f>IFERROR(__xludf.DUMMYFUNCTION("""COMPUTED_VALUE"""),"Rồi")</f>
        <v>Rồi</v>
      </c>
      <c r="M154" s="76" t="str">
        <f>IFERROR(__xludf.DUMMYFUNCTION("""COMPUTED_VALUE"""),"Thực tập tốt nghiệp")</f>
        <v>Thực tập tốt nghiệp</v>
      </c>
      <c r="N154" s="76">
        <f>IFERROR(__xludf.DUMMYFUNCTION("""COMPUTED_VALUE"""),2.0)</f>
        <v>2</v>
      </c>
      <c r="O154" s="76" t="str">
        <f>IFERROR(__xludf.DUMMYFUNCTION("""COMPUTED_VALUE"""),"cam kết")</f>
        <v>cam kết</v>
      </c>
      <c r="P154" s="76"/>
      <c r="Q154" s="76"/>
      <c r="R154" s="76"/>
      <c r="S154" s="76" t="str">
        <f>IFERROR(__xludf.DUMMYFUNCTION("""COMPUTED_VALUE"""),"27/12/2024")</f>
        <v>27/12/2024</v>
      </c>
      <c r="T154" s="76"/>
      <c r="U154" s="102" t="str">
        <f>IFERROR(__xludf.DUMMYFUNCTION("""COMPUTED_VALUE"""),"Nguyễn Thị Huyền My")</f>
        <v>Nguyễn Thị Huyền My</v>
      </c>
      <c r="V154" s="76" t="str">
        <f>IFERROR(__xludf.DUMMYFUNCTION("""COMPUTED_VALUE"""),"Quản Trị Khách Sạn &amp; Nhà Hàng (Đại Học)")</f>
        <v>Quản Trị Khách Sạn &amp; Nhà Hàng (Đại Học)</v>
      </c>
      <c r="W154" s="76" t="str">
        <f>IFERROR(__xludf.DUMMYFUNCTION("""COMPUTED_VALUE"""),"Grand Tourane Hotel")</f>
        <v>Grand Tourane Hotel</v>
      </c>
      <c r="X154" s="76" t="str">
        <f>IFERROR(__xludf.DUMMYFUNCTION("""COMPUTED_VALUE"""),"Nhà hàng")</f>
        <v>Nhà hàng</v>
      </c>
      <c r="Y154" s="76" t="str">
        <f>IFERROR(__xludf.DUMMYFUNCTION("""COMPUTED_VALUE"""),"DUYỆT")</f>
        <v>DUYỆT</v>
      </c>
      <c r="Z154" s="76" t="str">
        <f>IFERROR(__xludf.DUMMYFUNCTION("""COMPUTED_VALUE"""),"CHUYÊN ĐỀ")</f>
        <v>CHUYÊN ĐỀ</v>
      </c>
      <c r="AA154" s="76" t="str">
        <f>IFERROR(__xludf.DUMMYFUNCTION("""COMPUTED_VALUE"""),"mhuyen903@gmail.com")</f>
        <v>mhuyen903@gmail.com</v>
      </c>
      <c r="AB154" s="76"/>
      <c r="AC154" s="76"/>
    </row>
    <row r="155">
      <c r="A155" s="100">
        <f>IFERROR(__xludf.DUMMYFUNCTION("""COMPUTED_VALUE"""),45651.823323715274)</f>
        <v>45651.82332</v>
      </c>
      <c r="B155" s="76" t="str">
        <f>IFERROR(__xludf.DUMMYFUNCTION("""COMPUTED_VALUE"""),"hoangmaitam16022003@gmail.com")</f>
        <v>hoangmaitam16022003@gmail.com</v>
      </c>
      <c r="C155" s="76">
        <f>IFERROR(__xludf.DUMMYFUNCTION("""COMPUTED_VALUE"""),2.7217143521E10)</f>
        <v>27217143521</v>
      </c>
      <c r="D155" s="76" t="str">
        <f>IFERROR(__xludf.DUMMYFUNCTION("""COMPUTED_VALUE"""),"Hoàng Mai Tâm")</f>
        <v>Hoàng Mai Tâm</v>
      </c>
      <c r="E155" s="101">
        <f>IFERROR(__xludf.DUMMYFUNCTION("""COMPUTED_VALUE"""),37668.0)</f>
        <v>37668</v>
      </c>
      <c r="F155" s="76" t="str">
        <f>IFERROR(__xludf.DUMMYFUNCTION("""COMPUTED_VALUE"""),"k27dlk2")</f>
        <v>k27dlk2</v>
      </c>
      <c r="G155" s="76" t="str">
        <f>IFERROR(__xludf.DUMMYFUNCTION("""COMPUTED_VALUE"""),"Quản trị Du lịch &amp; Khách sạn")</f>
        <v>Quản trị Du lịch &amp; Khách sạn</v>
      </c>
      <c r="H155" s="76" t="str">
        <f>IFERROR(__xludf.DUMMYFUNCTION("""COMPUTED_VALUE"""),"K27")</f>
        <v>K27</v>
      </c>
      <c r="I155" s="76" t="str">
        <f>IFERROR(__xludf.DUMMYFUNCTION("""COMPUTED_VALUE"""),"0357121028")</f>
        <v>0357121028</v>
      </c>
      <c r="J155" s="76">
        <f>IFERROR(__xludf.DUMMYFUNCTION("""COMPUTED_VALUE"""),3.17)</f>
        <v>3.17</v>
      </c>
      <c r="K155" s="76">
        <f>IFERROR(__xludf.DUMMYFUNCTION("""COMPUTED_VALUE"""),111.0)</f>
        <v>111</v>
      </c>
      <c r="L155" s="76" t="str">
        <f>IFERROR(__xludf.DUMMYFUNCTION("""COMPUTED_VALUE"""),"Rồi")</f>
        <v>Rồi</v>
      </c>
      <c r="M155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55" s="76">
        <f>IFERROR(__xludf.DUMMYFUNCTION("""COMPUTED_VALUE"""),12.0)</f>
        <v>12</v>
      </c>
      <c r="O155" s="76" t="str">
        <f>IFERROR(__xludf.DUMMYFUNCTION("""COMPUTED_VALUE"""),"cam kết")</f>
        <v>cam kết</v>
      </c>
      <c r="P155" s="76"/>
      <c r="Q155" s="76"/>
      <c r="R155" s="76"/>
      <c r="S155" s="76" t="str">
        <f>IFERROR(__xludf.DUMMYFUNCTION("""COMPUTED_VALUE"""),"27/12/2024")</f>
        <v>27/12/2024</v>
      </c>
      <c r="T155" s="76"/>
      <c r="U155" s="102" t="str">
        <f>IFERROR(__xludf.DUMMYFUNCTION("""COMPUTED_VALUE"""),"Hoàng Mai Tâm")</f>
        <v>Hoàng Mai Tâm</v>
      </c>
      <c r="V155" s="76" t="str">
        <f>IFERROR(__xludf.DUMMYFUNCTION("""COMPUTED_VALUE"""),"Quản Trị Khách Sạn &amp; Nhà Hàng (Đại Học)")</f>
        <v>Quản Trị Khách Sạn &amp; Nhà Hàng (Đại Học)</v>
      </c>
      <c r="W155" s="76" t="str">
        <f>IFERROR(__xludf.DUMMYFUNCTION("""COMPUTED_VALUE"""),"Hilton Garden Inn Danang")</f>
        <v>Hilton Garden Inn Danang</v>
      </c>
      <c r="X155" s="76" t="str">
        <f>IFERROR(__xludf.DUMMYFUNCTION("""COMPUTED_VALUE"""),"Nhà hàng")</f>
        <v>Nhà hàng</v>
      </c>
      <c r="Y155" s="76" t="str">
        <f>IFERROR(__xludf.DUMMYFUNCTION("""COMPUTED_VALUE"""),"DUYỆT")</f>
        <v>DUYỆT</v>
      </c>
      <c r="Z155" s="76" t="str">
        <f>IFERROR(__xludf.DUMMYFUNCTION("""COMPUTED_VALUE"""),"CHUYÊN ĐỀ")</f>
        <v>CHUYÊN ĐỀ</v>
      </c>
      <c r="AA155" s="76" t="str">
        <f>IFERROR(__xludf.DUMMYFUNCTION("""COMPUTED_VALUE"""),"hoangmaitam16022003@gmail.com")</f>
        <v>hoangmaitam16022003@gmail.com</v>
      </c>
      <c r="AB155" s="76"/>
      <c r="AC155" s="76"/>
    </row>
    <row r="156">
      <c r="A156" s="100">
        <f>IFERROR(__xludf.DUMMYFUNCTION("""COMPUTED_VALUE"""),45651.84233209491)</f>
        <v>45651.84233</v>
      </c>
      <c r="B156" s="76" t="str">
        <f>IFERROR(__xludf.DUMMYFUNCTION("""COMPUTED_VALUE"""),"ynguyen.22112003@gmail.com")</f>
        <v>ynguyen.22112003@gmail.com</v>
      </c>
      <c r="C156" s="76">
        <f>IFERROR(__xludf.DUMMYFUNCTION("""COMPUTED_VALUE"""),2.7207146805E10)</f>
        <v>27207146805</v>
      </c>
      <c r="D156" s="76" t="str">
        <f>IFERROR(__xludf.DUMMYFUNCTION("""COMPUTED_VALUE"""),"Nguyễn Thị Như Ý")</f>
        <v>Nguyễn Thị Như Ý</v>
      </c>
      <c r="E156" s="101">
        <f>IFERROR(__xludf.DUMMYFUNCTION("""COMPUTED_VALUE"""),37947.0)</f>
        <v>37947</v>
      </c>
      <c r="F156" s="76" t="str">
        <f>IFERROR(__xludf.DUMMYFUNCTION("""COMPUTED_VALUE"""),"K27DLK7")</f>
        <v>K27DLK7</v>
      </c>
      <c r="G156" s="76" t="str">
        <f>IFERROR(__xludf.DUMMYFUNCTION("""COMPUTED_VALUE"""),"Quản trị Du lịch &amp; Khách sạn")</f>
        <v>Quản trị Du lịch &amp; Khách sạn</v>
      </c>
      <c r="H156" s="76" t="str">
        <f>IFERROR(__xludf.DUMMYFUNCTION("""COMPUTED_VALUE"""),"K27")</f>
        <v>K27</v>
      </c>
      <c r="I156" s="76" t="str">
        <f>IFERROR(__xludf.DUMMYFUNCTION("""COMPUTED_VALUE"""),"0765739874")</f>
        <v>0765739874</v>
      </c>
      <c r="J156" s="76">
        <f>IFERROR(__xludf.DUMMYFUNCTION("""COMPUTED_VALUE"""),3.47)</f>
        <v>3.47</v>
      </c>
      <c r="K156" s="76">
        <f>IFERROR(__xludf.DUMMYFUNCTION("""COMPUTED_VALUE"""),113.0)</f>
        <v>113</v>
      </c>
      <c r="L156" s="76" t="str">
        <f>IFERROR(__xludf.DUMMYFUNCTION("""COMPUTED_VALUE"""),"Rồi")</f>
        <v>Rồi</v>
      </c>
      <c r="M156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56" s="76">
        <f>IFERROR(__xludf.DUMMYFUNCTION("""COMPUTED_VALUE"""),10.0)</f>
        <v>10</v>
      </c>
      <c r="O156" s="76" t="str">
        <f>IFERROR(__xludf.DUMMYFUNCTION("""COMPUTED_VALUE"""),"cam kết")</f>
        <v>cam kết</v>
      </c>
      <c r="P156" s="76"/>
      <c r="Q156" s="76"/>
      <c r="R156" s="76"/>
      <c r="S156" s="76" t="str">
        <f>IFERROR(__xludf.DUMMYFUNCTION("""COMPUTED_VALUE"""),"27/12/2024")</f>
        <v>27/12/2024</v>
      </c>
      <c r="T156" s="76"/>
      <c r="U156" s="102" t="str">
        <f>IFERROR(__xludf.DUMMYFUNCTION("""COMPUTED_VALUE"""),"Nguyễn Thị Như Ý")</f>
        <v>Nguyễn Thị Như Ý</v>
      </c>
      <c r="V156" s="76" t="str">
        <f>IFERROR(__xludf.DUMMYFUNCTION("""COMPUTED_VALUE"""),"Quản Trị Khách Sạn &amp; Nhà Hàng (Đại Học)")</f>
        <v>Quản Trị Khách Sạn &amp; Nhà Hàng (Đại Học)</v>
      </c>
      <c r="W156" s="76" t="str">
        <f>IFERROR(__xludf.DUMMYFUNCTION("""COMPUTED_VALUE"""),"Wyndham DaNang Golden Bay")</f>
        <v>Wyndham DaNang Golden Bay</v>
      </c>
      <c r="X156" s="76" t="str">
        <f>IFERROR(__xludf.DUMMYFUNCTION("""COMPUTED_VALUE"""),"Nhà hàng")</f>
        <v>Nhà hàng</v>
      </c>
      <c r="Y156" s="76" t="str">
        <f>IFERROR(__xludf.DUMMYFUNCTION("""COMPUTED_VALUE"""),"DUYỆT")</f>
        <v>DUYỆT</v>
      </c>
      <c r="Z156" s="76" t="str">
        <f>IFERROR(__xludf.DUMMYFUNCTION("""COMPUTED_VALUE"""),"CHUYÊN ĐỀ")</f>
        <v>CHUYÊN ĐỀ</v>
      </c>
      <c r="AA156" s="76" t="str">
        <f>IFERROR(__xludf.DUMMYFUNCTION("""COMPUTED_VALUE"""),"ynguyen.22112003@gmail.com")</f>
        <v>ynguyen.22112003@gmail.com</v>
      </c>
      <c r="AB156" s="76" t="str">
        <f>IFERROR(__xludf.DUMMYFUNCTION("""COMPUTED_VALUE"""),"Nguyễn Thị Như ÝK27")</f>
        <v>Nguyễn Thị Như ÝK27</v>
      </c>
      <c r="AC156" s="76" t="str">
        <f>IFERROR(__xludf.DUMMYFUNCTION("""COMPUTED_VALUE"""),"ĐÃ NỘP")</f>
        <v>ĐÃ NỘP</v>
      </c>
    </row>
    <row r="157">
      <c r="A157" s="100">
        <f>IFERROR(__xludf.DUMMYFUNCTION("""COMPUTED_VALUE"""),45651.86265920139)</f>
        <v>45651.86266</v>
      </c>
      <c r="B157" s="76" t="str">
        <f>IFERROR(__xludf.DUMMYFUNCTION("""COMPUTED_VALUE"""),"vyverygood@gmail.com")</f>
        <v>vyverygood@gmail.com</v>
      </c>
      <c r="C157" s="76">
        <f>IFERROR(__xludf.DUMMYFUNCTION("""COMPUTED_VALUE"""),2.4207107852E10)</f>
        <v>24207107852</v>
      </c>
      <c r="D157" s="76" t="str">
        <f>IFERROR(__xludf.DUMMYFUNCTION("""COMPUTED_VALUE"""),"Lê Thị Thanh Vy")</f>
        <v>Lê Thị Thanh Vy</v>
      </c>
      <c r="E157" s="101">
        <f>IFERROR(__xludf.DUMMYFUNCTION("""COMPUTED_VALUE"""),36801.0)</f>
        <v>36801</v>
      </c>
      <c r="F157" s="76" t="str">
        <f>IFERROR(__xludf.DUMMYFUNCTION("""COMPUTED_VALUE"""),"K24PSUDLK1")</f>
        <v>K24PSUDLK1</v>
      </c>
      <c r="G157" s="76" t="str">
        <f>IFERROR(__xludf.DUMMYFUNCTION("""COMPUTED_VALUE"""),"Quản trị Du lịch &amp; Khách sạn chuẩn PSU")</f>
        <v>Quản trị Du lịch &amp; Khách sạn chuẩn PSU</v>
      </c>
      <c r="H157" s="76" t="str">
        <f>IFERROR(__xludf.DUMMYFUNCTION("""COMPUTED_VALUE"""),"K24")</f>
        <v>K24</v>
      </c>
      <c r="I157" s="76" t="str">
        <f>IFERROR(__xludf.DUMMYFUNCTION("""COMPUTED_VALUE"""),"0901935738")</f>
        <v>0901935738</v>
      </c>
      <c r="J157" s="76">
        <f>IFERROR(__xludf.DUMMYFUNCTION("""COMPUTED_VALUE"""),2.24)</f>
        <v>2.24</v>
      </c>
      <c r="K157" s="76">
        <f>IFERROR(__xludf.DUMMYFUNCTION("""COMPUTED_VALUE"""),132.0)</f>
        <v>132</v>
      </c>
      <c r="L157" s="76" t="str">
        <f>IFERROR(__xludf.DUMMYFUNCTION("""COMPUTED_VALUE"""),"Rồi")</f>
        <v>Rồi</v>
      </c>
      <c r="M157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57" s="76">
        <f>IFERROR(__xludf.DUMMYFUNCTION("""COMPUTED_VALUE"""),0.0)</f>
        <v>0</v>
      </c>
      <c r="O157" s="76" t="str">
        <f>IFERROR(__xludf.DUMMYFUNCTION("""COMPUTED_VALUE"""),"cam kết")</f>
        <v>cam kết</v>
      </c>
      <c r="P157" s="76"/>
      <c r="Q157" s="76" t="str">
        <f>IFERROR(__xludf.DUMMYFUNCTION("""COMPUTED_VALUE"""),"ĐÃ NỘP")</f>
        <v>ĐÃ NỘP</v>
      </c>
      <c r="R157" s="76">
        <f>IFERROR(__xludf.DUMMYFUNCTION("""COMPUTED_VALUE"""),15.0)</f>
        <v>15</v>
      </c>
      <c r="S157" s="76" t="str">
        <f>IFERROR(__xludf.DUMMYFUNCTION("""COMPUTED_VALUE"""),"18/01/2025")</f>
        <v>18/01/2025</v>
      </c>
      <c r="T157" s="76"/>
      <c r="U157" s="102" t="str">
        <f>IFERROR(__xludf.DUMMYFUNCTION("""COMPUTED_VALUE"""),"Lê Thị Thanh Vy")</f>
        <v>Lê Thị Thanh Vy</v>
      </c>
      <c r="V157" s="76" t="str">
        <f>IFERROR(__xludf.DUMMYFUNCTION("""COMPUTED_VALUE"""),"Quản Trị Du Lịch &amp; Khách Sạn Chuẩn PSU (Đại Học)")</f>
        <v>Quản Trị Du Lịch &amp; Khách Sạn Chuẩn PSU (Đại Học)</v>
      </c>
      <c r="W157" s="76" t="str">
        <f>IFERROR(__xludf.DUMMYFUNCTION("""COMPUTED_VALUE"""),"Khách sạn Shilla Monogram Quangnam Danang")</f>
        <v>Khách sạn Shilla Monogram Quangnam Danang</v>
      </c>
      <c r="X157" s="76" t="str">
        <f>IFERROR(__xludf.DUMMYFUNCTION("""COMPUTED_VALUE"""),"Nhà hàng")</f>
        <v>Nhà hàng</v>
      </c>
      <c r="Y157" s="76" t="str">
        <f>IFERROR(__xludf.DUMMYFUNCTION("""COMPUTED_VALUE"""),"DUYỆT")</f>
        <v>DUYỆT</v>
      </c>
      <c r="Z157" s="76" t="str">
        <f>IFERROR(__xludf.DUMMYFUNCTION("""COMPUTED_VALUE"""),"CHUYÊN ĐỀ")</f>
        <v>CHUYÊN ĐỀ</v>
      </c>
      <c r="AA157" s="76" t="str">
        <f>IFERROR(__xludf.DUMMYFUNCTION("""COMPUTED_VALUE"""),"vyverygood@gmail.com")</f>
        <v>vyverygood@gmail.com</v>
      </c>
      <c r="AB157" s="76"/>
      <c r="AC157" s="76"/>
    </row>
    <row r="158">
      <c r="A158" s="100">
        <f>IFERROR(__xludf.DUMMYFUNCTION("""COMPUTED_VALUE"""),45651.88355436343)</f>
        <v>45651.88355</v>
      </c>
      <c r="B158" s="76" t="str">
        <f>IFERROR(__xludf.DUMMYFUNCTION("""COMPUTED_VALUE"""),"vyvylove123234@gmail.com")</f>
        <v>vyvylove123234@gmail.com</v>
      </c>
      <c r="C158" s="76">
        <f>IFERROR(__xludf.DUMMYFUNCTION("""COMPUTED_VALUE"""),2.5207103269E10)</f>
        <v>25207103269</v>
      </c>
      <c r="D158" s="76" t="str">
        <f>IFERROR(__xludf.DUMMYFUNCTION("""COMPUTED_VALUE"""),"Nguyễn Thị Tường Vi")</f>
        <v>Nguyễn Thị Tường Vi</v>
      </c>
      <c r="E158" s="101">
        <f>IFERROR(__xludf.DUMMYFUNCTION("""COMPUTED_VALUE"""),36967.0)</f>
        <v>36967</v>
      </c>
      <c r="F158" s="76" t="str">
        <f>IFERROR(__xludf.DUMMYFUNCTION("""COMPUTED_VALUE"""),"K27DLK 5")</f>
        <v>K27DLK 5</v>
      </c>
      <c r="G158" s="76" t="str">
        <f>IFERROR(__xludf.DUMMYFUNCTION("""COMPUTED_VALUE"""),"Quản trị Du lịch &amp; Khách sạn")</f>
        <v>Quản trị Du lịch &amp; Khách sạn</v>
      </c>
      <c r="H158" s="76" t="str">
        <f>IFERROR(__xludf.DUMMYFUNCTION("""COMPUTED_VALUE"""),"K27")</f>
        <v>K27</v>
      </c>
      <c r="I158" s="76" t="str">
        <f>IFERROR(__xludf.DUMMYFUNCTION("""COMPUTED_VALUE"""),"0352048667")</f>
        <v>0352048667</v>
      </c>
      <c r="J158" s="76">
        <f>IFERROR(__xludf.DUMMYFUNCTION("""COMPUTED_VALUE"""),2.78)</f>
        <v>2.78</v>
      </c>
      <c r="K158" s="76">
        <f>IFERROR(__xludf.DUMMYFUNCTION("""COMPUTED_VALUE"""),124.0)</f>
        <v>124</v>
      </c>
      <c r="L158" s="76" t="str">
        <f>IFERROR(__xludf.DUMMYFUNCTION("""COMPUTED_VALUE"""),"Rồi")</f>
        <v>Rồi</v>
      </c>
      <c r="M158" s="76" t="str">
        <f>IFERROR(__xludf.DUMMYFUNCTION("""COMPUTED_VALUE"""),"Thực tập tốt nghiệp, Thi tốt nghiệp")</f>
        <v>Thực tập tốt nghiệp, Thi tốt nghiệp</v>
      </c>
      <c r="N158" s="76">
        <f>IFERROR(__xludf.DUMMYFUNCTION("""COMPUTED_VALUE"""),16.0)</f>
        <v>16</v>
      </c>
      <c r="O158" s="76" t="str">
        <f>IFERROR(__xludf.DUMMYFUNCTION("""COMPUTED_VALUE"""),"cam kết")</f>
        <v>cam kết</v>
      </c>
      <c r="P158" s="76"/>
      <c r="Q158" s="76"/>
      <c r="R158" s="76"/>
      <c r="S158" s="76" t="str">
        <f>IFERROR(__xludf.DUMMYFUNCTION("""COMPUTED_VALUE"""),"27/12/2024")</f>
        <v>27/12/2024</v>
      </c>
      <c r="T158" s="76"/>
      <c r="U158" s="102" t="str">
        <f>IFERROR(__xludf.DUMMYFUNCTION("""COMPUTED_VALUE"""),"Nguyễn Thị Tường Vi")</f>
        <v>Nguyễn Thị Tường Vi</v>
      </c>
      <c r="V158" s="76" t="str">
        <f>IFERROR(__xludf.DUMMYFUNCTION("""COMPUTED_VALUE"""),"Quản Trị Khách Sạn &amp; Nhà Hàng (Đại Học)")</f>
        <v>Quản Trị Khách Sạn &amp; Nhà Hàng (Đại Học)</v>
      </c>
      <c r="W158" s="76" t="str">
        <f>IFERROR(__xludf.DUMMYFUNCTION("""COMPUTED_VALUE"""),"Làng lụa Hội An - HoiAn Silk Village Resort &amp; Spa")</f>
        <v>Làng lụa Hội An - HoiAn Silk Village Resort &amp; Spa</v>
      </c>
      <c r="X158" s="76" t="str">
        <f>IFERROR(__xludf.DUMMYFUNCTION("""COMPUTED_VALUE"""),"Tiền sảnh")</f>
        <v>Tiền sảnh</v>
      </c>
      <c r="Y158" s="76" t="str">
        <f>IFERROR(__xludf.DUMMYFUNCTION("""COMPUTED_VALUE"""),"KHÔNG DUYỆT")</f>
        <v>KHÔNG DUYỆT</v>
      </c>
      <c r="Z158" s="76" t="str">
        <f>IFERROR(__xludf.DUMMYFUNCTION("""COMPUTED_VALUE"""),"CHUYÊN ĐỀ")</f>
        <v>CHUYÊN ĐỀ</v>
      </c>
      <c r="AA158" s="76" t="str">
        <f>IFERROR(__xludf.DUMMYFUNCTION("""COMPUTED_VALUE"""),"vyvylove123234@gmail.com")</f>
        <v>vyvylove123234@gmail.com</v>
      </c>
      <c r="AB158" s="76"/>
      <c r="AC158" s="76"/>
    </row>
    <row r="159">
      <c r="A159" s="100">
        <f>IFERROR(__xludf.DUMMYFUNCTION("""COMPUTED_VALUE"""),45651.885342222224)</f>
        <v>45651.88534</v>
      </c>
      <c r="B159" s="76" t="str">
        <f>IFERROR(__xludf.DUMMYFUNCTION("""COMPUTED_VALUE"""),"nguyenphuongphuong2104@gmail.com")</f>
        <v>nguyenphuongphuong2104@gmail.com</v>
      </c>
      <c r="C159" s="76">
        <f>IFERROR(__xludf.DUMMYFUNCTION("""COMPUTED_VALUE"""),2.7207152769E10)</f>
        <v>27207152769</v>
      </c>
      <c r="D159" s="76" t="str">
        <f>IFERROR(__xludf.DUMMYFUNCTION("""COMPUTED_VALUE"""),"Nguyễn Thị Ngọc Phương")</f>
        <v>Nguyễn Thị Ngọc Phương</v>
      </c>
      <c r="E159" s="101">
        <f>IFERROR(__xludf.DUMMYFUNCTION("""COMPUTED_VALUE"""),37732.0)</f>
        <v>37732</v>
      </c>
      <c r="F159" s="76" t="str">
        <f>IFERROR(__xludf.DUMMYFUNCTION("""COMPUTED_VALUE"""),"K27DLK7")</f>
        <v>K27DLK7</v>
      </c>
      <c r="G159" s="76" t="str">
        <f>IFERROR(__xludf.DUMMYFUNCTION("""COMPUTED_VALUE"""),"Quản trị Du lịch &amp; Khách sạn")</f>
        <v>Quản trị Du lịch &amp; Khách sạn</v>
      </c>
      <c r="H159" s="76" t="str">
        <f>IFERROR(__xludf.DUMMYFUNCTION("""COMPUTED_VALUE"""),"K27")</f>
        <v>K27</v>
      </c>
      <c r="I159" s="76" t="str">
        <f>IFERROR(__xludf.DUMMYFUNCTION("""COMPUTED_VALUE"""),"0399662145")</f>
        <v>0399662145</v>
      </c>
      <c r="J159" s="76">
        <f>IFERROR(__xludf.DUMMYFUNCTION("""COMPUTED_VALUE"""),3.03)</f>
        <v>3.03</v>
      </c>
      <c r="K159" s="76">
        <f>IFERROR(__xludf.DUMMYFUNCTION("""COMPUTED_VALUE"""),121.0)</f>
        <v>121</v>
      </c>
      <c r="L159" s="76" t="str">
        <f>IFERROR(__xludf.DUMMYFUNCTION("""COMPUTED_VALUE"""),"Rồi")</f>
        <v>Rồi</v>
      </c>
      <c r="M159" s="76" t="str">
        <f>IFERROR(__xludf.DUMMYFUNCTION("""COMPUTED_VALUE"""),"Thực tập tốt nghiệp")</f>
        <v>Thực tập tốt nghiệp</v>
      </c>
      <c r="N159" s="76">
        <f>IFERROR(__xludf.DUMMYFUNCTION("""COMPUTED_VALUE"""),3.0)</f>
        <v>3</v>
      </c>
      <c r="O159" s="76" t="str">
        <f>IFERROR(__xludf.DUMMYFUNCTION("""COMPUTED_VALUE"""),"cam kết")</f>
        <v>cam kết</v>
      </c>
      <c r="P159" s="76"/>
      <c r="Q159" s="76"/>
      <c r="R159" s="76"/>
      <c r="S159" s="76" t="str">
        <f>IFERROR(__xludf.DUMMYFUNCTION("""COMPUTED_VALUE"""),"27/12/2024")</f>
        <v>27/12/2024</v>
      </c>
      <c r="T159" s="76"/>
      <c r="U159" s="102" t="str">
        <f>IFERROR(__xludf.DUMMYFUNCTION("""COMPUTED_VALUE"""),"Nguyễn Thị Ngọc Phương")</f>
        <v>Nguyễn Thị Ngọc Phương</v>
      </c>
      <c r="V159" s="76" t="str">
        <f>IFERROR(__xludf.DUMMYFUNCTION("""COMPUTED_VALUE"""),"Quản Trị Khách Sạn &amp; Nhà Hàng (Đại Học)")</f>
        <v>Quản Trị Khách Sạn &amp; Nhà Hàng (Đại Học)</v>
      </c>
      <c r="W159" s="76" t="str">
        <f>IFERROR(__xludf.DUMMYFUNCTION("""COMPUTED_VALUE"""),"Minh Toàn Galaxy Hotel Đà Nẵng")</f>
        <v>Minh Toàn Galaxy Hotel Đà Nẵng</v>
      </c>
      <c r="X159" s="76" t="str">
        <f>IFERROR(__xludf.DUMMYFUNCTION("""COMPUTED_VALUE"""),"Tiền sảnh")</f>
        <v>Tiền sảnh</v>
      </c>
      <c r="Y159" s="76" t="str">
        <f>IFERROR(__xludf.DUMMYFUNCTION("""COMPUTED_VALUE"""),"DUYỆT")</f>
        <v>DUYỆT</v>
      </c>
      <c r="Z159" s="76" t="str">
        <f>IFERROR(__xludf.DUMMYFUNCTION("""COMPUTED_VALUE"""),"CHUYÊN ĐỀ")</f>
        <v>CHUYÊN ĐỀ</v>
      </c>
      <c r="AA159" s="76" t="str">
        <f>IFERROR(__xludf.DUMMYFUNCTION("""COMPUTED_VALUE"""),"nguyenphuongphuong2104@gmail.com")</f>
        <v>nguyenphuongphuong2104@gmail.com</v>
      </c>
      <c r="AB159" s="76"/>
      <c r="AC159" s="76"/>
    </row>
    <row r="160">
      <c r="A160" s="100">
        <f>IFERROR(__xludf.DUMMYFUNCTION("""COMPUTED_VALUE"""),45651.899576446755)</f>
        <v>45651.89958</v>
      </c>
      <c r="B160" s="76" t="str">
        <f>IFERROR(__xludf.DUMMYFUNCTION("""COMPUTED_VALUE"""),"thanthiphuongthao2019@gmail.com")</f>
        <v>thanthiphuongthao2019@gmail.com</v>
      </c>
      <c r="C160" s="76">
        <f>IFERROR(__xludf.DUMMYFUNCTION("""COMPUTED_VALUE"""),2.7207134678E10)</f>
        <v>27207134678</v>
      </c>
      <c r="D160" s="76" t="str">
        <f>IFERROR(__xludf.DUMMYFUNCTION("""COMPUTED_VALUE"""),"Thân Thị Phương Thảo")</f>
        <v>Thân Thị Phương Thảo</v>
      </c>
      <c r="E160" s="101">
        <f>IFERROR(__xludf.DUMMYFUNCTION("""COMPUTED_VALUE"""),37962.0)</f>
        <v>37962</v>
      </c>
      <c r="F160" s="76" t="str">
        <f>IFERROR(__xludf.DUMMYFUNCTION("""COMPUTED_VALUE"""),"K27DLK2")</f>
        <v>K27DLK2</v>
      </c>
      <c r="G160" s="76" t="str">
        <f>IFERROR(__xludf.DUMMYFUNCTION("""COMPUTED_VALUE"""),"Quản trị Du lịch &amp; Khách sạn")</f>
        <v>Quản trị Du lịch &amp; Khách sạn</v>
      </c>
      <c r="H160" s="76" t="str">
        <f>IFERROR(__xludf.DUMMYFUNCTION("""COMPUTED_VALUE"""),"K27")</f>
        <v>K27</v>
      </c>
      <c r="I160" s="76" t="str">
        <f>IFERROR(__xludf.DUMMYFUNCTION("""COMPUTED_VALUE"""),"0707166914")</f>
        <v>0707166914</v>
      </c>
      <c r="J160" s="76">
        <f>IFERROR(__xludf.DUMMYFUNCTION("""COMPUTED_VALUE"""),2.83)</f>
        <v>2.83</v>
      </c>
      <c r="K160" s="76">
        <f>IFERROR(__xludf.DUMMYFUNCTION("""COMPUTED_VALUE"""),114.0)</f>
        <v>114</v>
      </c>
      <c r="L160" s="76" t="str">
        <f>IFERROR(__xludf.DUMMYFUNCTION("""COMPUTED_VALUE"""),"Rồi")</f>
        <v>Rồi</v>
      </c>
      <c r="M160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60" s="76">
        <f>IFERROR(__xludf.DUMMYFUNCTION("""COMPUTED_VALUE"""),114.0)</f>
        <v>114</v>
      </c>
      <c r="O160" s="76" t="str">
        <f>IFERROR(__xludf.DUMMYFUNCTION("""COMPUTED_VALUE"""),"cam kết")</f>
        <v>cam kết</v>
      </c>
      <c r="P160" s="76"/>
      <c r="Q160" s="76"/>
      <c r="R160" s="76"/>
      <c r="S160" s="76" t="str">
        <f>IFERROR(__xludf.DUMMYFUNCTION("""COMPUTED_VALUE"""),"27/12/2024")</f>
        <v>27/12/2024</v>
      </c>
      <c r="T160" s="76"/>
      <c r="U160" s="102" t="str">
        <f>IFERROR(__xludf.DUMMYFUNCTION("""COMPUTED_VALUE"""),"Thân Thị Phương Thảo")</f>
        <v>Thân Thị Phương Thảo</v>
      </c>
      <c r="V160" s="76" t="str">
        <f>IFERROR(__xludf.DUMMYFUNCTION("""COMPUTED_VALUE"""),"Quản Trị Khách Sạn &amp; Nhà Hàng (Đại Học)")</f>
        <v>Quản Trị Khách Sạn &amp; Nhà Hàng (Đại Học)</v>
      </c>
      <c r="W160" s="76" t="str">
        <f>IFERROR(__xludf.DUMMYFUNCTION("""COMPUTED_VALUE"""),"Paracel Danang Hotel")</f>
        <v>Paracel Danang Hotel</v>
      </c>
      <c r="X160" s="76" t="str">
        <f>IFERROR(__xludf.DUMMYFUNCTION("""COMPUTED_VALUE"""),"Nhà hàng")</f>
        <v>Nhà hàng</v>
      </c>
      <c r="Y160" s="76" t="str">
        <f>IFERROR(__xludf.DUMMYFUNCTION("""COMPUTED_VALUE"""),"DUYỆT")</f>
        <v>DUYỆT</v>
      </c>
      <c r="Z160" s="76" t="str">
        <f>IFERROR(__xludf.DUMMYFUNCTION("""COMPUTED_VALUE"""),"CHUYÊN ĐỀ")</f>
        <v>CHUYÊN ĐỀ</v>
      </c>
      <c r="AA160" s="76" t="str">
        <f>IFERROR(__xludf.DUMMYFUNCTION("""COMPUTED_VALUE"""),"thanthiphuongthao2019@gmail.com")</f>
        <v>thanthiphuongthao2019@gmail.com</v>
      </c>
      <c r="AB160" s="76"/>
      <c r="AC160" s="76"/>
    </row>
    <row r="161">
      <c r="A161" s="100">
        <f>IFERROR(__xludf.DUMMYFUNCTION("""COMPUTED_VALUE"""),45651.92692666667)</f>
        <v>45651.92693</v>
      </c>
      <c r="B161" s="76" t="str">
        <f>IFERROR(__xludf.DUMMYFUNCTION("""COMPUTED_VALUE"""),"sus411053@gmail.com")</f>
        <v>sus411053@gmail.com</v>
      </c>
      <c r="C161" s="76">
        <f>IFERROR(__xludf.DUMMYFUNCTION("""COMPUTED_VALUE"""),2.7217133352E10)</f>
        <v>27217133352</v>
      </c>
      <c r="D161" s="76" t="str">
        <f>IFERROR(__xludf.DUMMYFUNCTION("""COMPUTED_VALUE"""),"Sử Hoàng Tú Quyên")</f>
        <v>Sử Hoàng Tú Quyên</v>
      </c>
      <c r="E161" s="101">
        <f>IFERROR(__xludf.DUMMYFUNCTION("""COMPUTED_VALUE"""),37646.0)</f>
        <v>37646</v>
      </c>
      <c r="F161" s="76" t="str">
        <f>IFERROR(__xludf.DUMMYFUNCTION("""COMPUTED_VALUE"""),"K27DLK5")</f>
        <v>K27DLK5</v>
      </c>
      <c r="G161" s="76" t="str">
        <f>IFERROR(__xludf.DUMMYFUNCTION("""COMPUTED_VALUE"""),"Quản trị Du lịch &amp; Khách sạn")</f>
        <v>Quản trị Du lịch &amp; Khách sạn</v>
      </c>
      <c r="H161" s="76" t="str">
        <f>IFERROR(__xludf.DUMMYFUNCTION("""COMPUTED_VALUE"""),"K27")</f>
        <v>K27</v>
      </c>
      <c r="I161" s="76" t="str">
        <f>IFERROR(__xludf.DUMMYFUNCTION("""COMPUTED_VALUE"""),"0916501120")</f>
        <v>0916501120</v>
      </c>
      <c r="J161" s="76">
        <f>IFERROR(__xludf.DUMMYFUNCTION("""COMPUTED_VALUE"""),2.92)</f>
        <v>2.92</v>
      </c>
      <c r="K161" s="76">
        <f>IFERROR(__xludf.DUMMYFUNCTION("""COMPUTED_VALUE"""),116.0)</f>
        <v>116</v>
      </c>
      <c r="L161" s="76" t="str">
        <f>IFERROR(__xludf.DUMMYFUNCTION("""COMPUTED_VALUE"""),"Rồi")</f>
        <v>Rồi</v>
      </c>
      <c r="M161" s="76" t="str">
        <f>IFERROR(__xludf.DUMMYFUNCTION("""COMPUTED_VALUE"""),"Thực tập tốt nghiệp")</f>
        <v>Thực tập tốt nghiệp</v>
      </c>
      <c r="N161" s="76">
        <f>IFERROR(__xludf.DUMMYFUNCTION("""COMPUTED_VALUE"""),7.0)</f>
        <v>7</v>
      </c>
      <c r="O161" s="76" t="str">
        <f>IFERROR(__xludf.DUMMYFUNCTION("""COMPUTED_VALUE"""),"cam kết")</f>
        <v>cam kết</v>
      </c>
      <c r="P161" s="76"/>
      <c r="Q161" s="76"/>
      <c r="R161" s="76"/>
      <c r="S161" s="76" t="str">
        <f>IFERROR(__xludf.DUMMYFUNCTION("""COMPUTED_VALUE"""),"27/12/2024")</f>
        <v>27/12/2024</v>
      </c>
      <c r="T161" s="76"/>
      <c r="U161" s="102" t="str">
        <f>IFERROR(__xludf.DUMMYFUNCTION("""COMPUTED_VALUE"""),"Sử Hoàng Tú Quyên")</f>
        <v>Sử Hoàng Tú Quyên</v>
      </c>
      <c r="V161" s="76" t="str">
        <f>IFERROR(__xludf.DUMMYFUNCTION("""COMPUTED_VALUE"""),"Quản Trị Khách Sạn &amp; Nhà Hàng (Đại Học)")</f>
        <v>Quản Trị Khách Sạn &amp; Nhà Hàng (Đại Học)</v>
      </c>
      <c r="W161" s="76" t="str">
        <f>IFERROR(__xludf.DUMMYFUNCTION("""COMPUTED_VALUE"""),"Da Nang Mikazuki Japanese Resorts &amp; Spa")</f>
        <v>Da Nang Mikazuki Japanese Resorts &amp; Spa</v>
      </c>
      <c r="X161" s="76" t="str">
        <f>IFERROR(__xludf.DUMMYFUNCTION("""COMPUTED_VALUE"""),"Buồng phòng")</f>
        <v>Buồng phòng</v>
      </c>
      <c r="Y161" s="76" t="str">
        <f>IFERROR(__xludf.DUMMYFUNCTION("""COMPUTED_VALUE"""),"DUYỆT")</f>
        <v>DUYỆT</v>
      </c>
      <c r="Z161" s="76" t="str">
        <f>IFERROR(__xludf.DUMMYFUNCTION("""COMPUTED_VALUE"""),"CHUYÊN ĐỀ")</f>
        <v>CHUYÊN ĐỀ</v>
      </c>
      <c r="AA161" s="76" t="str">
        <f>IFERROR(__xludf.DUMMYFUNCTION("""COMPUTED_VALUE"""),"sus411053@gmail.com")</f>
        <v>sus411053@gmail.com</v>
      </c>
      <c r="AB161" s="76"/>
      <c r="AC161" s="76"/>
    </row>
    <row r="162">
      <c r="A162" s="100">
        <f>IFERROR(__xludf.DUMMYFUNCTION("""COMPUTED_VALUE"""),45652.01093079861)</f>
        <v>45652.01093</v>
      </c>
      <c r="B162" s="76" t="str">
        <f>IFERROR(__xludf.DUMMYFUNCTION("""COMPUTED_VALUE"""),"nguyentngoctu2@dtu.edu.vn")</f>
        <v>nguyentngoctu2@dtu.edu.vn</v>
      </c>
      <c r="C162" s="76">
        <f>IFERROR(__xludf.DUMMYFUNCTION("""COMPUTED_VALUE"""),2.7207122197E10)</f>
        <v>27207122197</v>
      </c>
      <c r="D162" s="76" t="str">
        <f>IFERROR(__xludf.DUMMYFUNCTION("""COMPUTED_VALUE"""),"Nguyễn Thị Ngọc Tứ")</f>
        <v>Nguyễn Thị Ngọc Tứ</v>
      </c>
      <c r="E162" s="101">
        <f>IFERROR(__xludf.DUMMYFUNCTION("""COMPUTED_VALUE"""),37684.0)</f>
        <v>37684</v>
      </c>
      <c r="F162" s="76" t="str">
        <f>IFERROR(__xludf.DUMMYFUNCTION("""COMPUTED_VALUE"""),"K27DLK3")</f>
        <v>K27DLK3</v>
      </c>
      <c r="G162" s="76" t="str">
        <f>IFERROR(__xludf.DUMMYFUNCTION("""COMPUTED_VALUE"""),"Quản trị Du lịch &amp; Khách sạn")</f>
        <v>Quản trị Du lịch &amp; Khách sạn</v>
      </c>
      <c r="H162" s="76" t="str">
        <f>IFERROR(__xludf.DUMMYFUNCTION("""COMPUTED_VALUE"""),"K27")</f>
        <v>K27</v>
      </c>
      <c r="I162" s="76" t="str">
        <f>IFERROR(__xludf.DUMMYFUNCTION("""COMPUTED_VALUE"""),"0906478276")</f>
        <v>0906478276</v>
      </c>
      <c r="J162" s="76">
        <f>IFERROR(__xludf.DUMMYFUNCTION("""COMPUTED_VALUE"""),3.66)</f>
        <v>3.66</v>
      </c>
      <c r="K162" s="76">
        <f>IFERROR(__xludf.DUMMYFUNCTION("""COMPUTED_VALUE"""),123.0)</f>
        <v>123</v>
      </c>
      <c r="L162" s="76" t="str">
        <f>IFERROR(__xludf.DUMMYFUNCTION("""COMPUTED_VALUE"""),"Rồi")</f>
        <v>Rồi</v>
      </c>
      <c r="M162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62" s="76">
        <f>IFERROR(__xludf.DUMMYFUNCTION("""COMPUTED_VALUE"""),0.0)</f>
        <v>0</v>
      </c>
      <c r="O162" s="76" t="str">
        <f>IFERROR(__xludf.DUMMYFUNCTION("""COMPUTED_VALUE"""),"cam kết")</f>
        <v>cam kết</v>
      </c>
      <c r="P162" s="76"/>
      <c r="Q162" s="76"/>
      <c r="R162" s="76"/>
      <c r="S162" s="76" t="str">
        <f>IFERROR(__xludf.DUMMYFUNCTION("""COMPUTED_VALUE"""),"27/12/2024")</f>
        <v>27/12/2024</v>
      </c>
      <c r="T162" s="76"/>
      <c r="U162" s="102" t="str">
        <f>IFERROR(__xludf.DUMMYFUNCTION("""COMPUTED_VALUE"""),"Nguyễn Thị Ngọc Tứ")</f>
        <v>Nguyễn Thị Ngọc Tứ</v>
      </c>
      <c r="V162" s="76" t="str">
        <f>IFERROR(__xludf.DUMMYFUNCTION("""COMPUTED_VALUE"""),"Quản Trị Khách Sạn &amp; Nhà Hàng (Đại Học)")</f>
        <v>Quản Trị Khách Sạn &amp; Nhà Hàng (Đại Học)</v>
      </c>
      <c r="W162" s="76" t="str">
        <f>IFERROR(__xludf.DUMMYFUNCTION("""COMPUTED_VALUE"""),"Khách sạn Shilla Monogram Quangnam Danang")</f>
        <v>Khách sạn Shilla Monogram Quangnam Danang</v>
      </c>
      <c r="X162" s="76" t="str">
        <f>IFERROR(__xludf.DUMMYFUNCTION("""COMPUTED_VALUE"""),"Tiền sảnh")</f>
        <v>Tiền sảnh</v>
      </c>
      <c r="Y162" s="76" t="str">
        <f>IFERROR(__xludf.DUMMYFUNCTION("""COMPUTED_VALUE"""),"DUYỆT")</f>
        <v>DUYỆT</v>
      </c>
      <c r="Z162" s="76" t="str">
        <f>IFERROR(__xludf.DUMMYFUNCTION("""COMPUTED_VALUE"""),"CHUYÊN ĐỀ")</f>
        <v>CHUYÊN ĐỀ</v>
      </c>
      <c r="AA162" s="76" t="str">
        <f>IFERROR(__xludf.DUMMYFUNCTION("""COMPUTED_VALUE"""),"nguyentngoctu2@dtu.edu.vn")</f>
        <v>nguyentngoctu2@dtu.edu.vn</v>
      </c>
      <c r="AB162" s="76" t="str">
        <f>IFERROR(__xludf.DUMMYFUNCTION("""COMPUTED_VALUE"""),"Nguyễn Thị Ngọc Tứ")</f>
        <v>Nguyễn Thị Ngọc Tứ</v>
      </c>
      <c r="AC162" s="76" t="str">
        <f>IFERROR(__xludf.DUMMYFUNCTION("""COMPUTED_VALUE"""),"ĐÃ NỘP")</f>
        <v>ĐÃ NỘP</v>
      </c>
    </row>
    <row r="163">
      <c r="A163" s="100">
        <f>IFERROR(__xludf.DUMMYFUNCTION("""COMPUTED_VALUE"""),45659.45187103009)</f>
        <v>45659.45187</v>
      </c>
      <c r="B163" s="76" t="str">
        <f>IFERROR(__xludf.DUMMYFUNCTION("""COMPUTED_VALUE"""),"thanhsan1999@gmail.com")</f>
        <v>thanhsan1999@gmail.com</v>
      </c>
      <c r="C163" s="76">
        <f>IFERROR(__xludf.DUMMYFUNCTION("""COMPUTED_VALUE"""),2.6217142313E10)</f>
        <v>26217142313</v>
      </c>
      <c r="D163" s="76" t="str">
        <f>IFERROR(__xludf.DUMMYFUNCTION("""COMPUTED_VALUE"""),"Đỗ Hải Thanh Hà")</f>
        <v>Đỗ Hải Thanh Hà</v>
      </c>
      <c r="E163" s="101">
        <f>IFERROR(__xludf.DUMMYFUNCTION("""COMPUTED_VALUE"""),37304.0)</f>
        <v>37304</v>
      </c>
      <c r="F163" s="76" t="str">
        <f>IFERROR(__xludf.DUMMYFUNCTION("""COMPUTED_VALUE"""),"K26DLK15")</f>
        <v>K26DLK15</v>
      </c>
      <c r="G163" s="76" t="str">
        <f>IFERROR(__xludf.DUMMYFUNCTION("""COMPUTED_VALUE"""),"Quản trị Du lịch &amp; Khách sạn")</f>
        <v>Quản trị Du lịch &amp; Khách sạn</v>
      </c>
      <c r="H163" s="76" t="str">
        <f>IFERROR(__xludf.DUMMYFUNCTION("""COMPUTED_VALUE"""),"K26")</f>
        <v>K26</v>
      </c>
      <c r="I163" s="76" t="str">
        <f>IFERROR(__xludf.DUMMYFUNCTION("""COMPUTED_VALUE"""),"0905900285")</f>
        <v>0905900285</v>
      </c>
      <c r="J163" s="76">
        <f>IFERROR(__xludf.DUMMYFUNCTION("""COMPUTED_VALUE"""),2.97)</f>
        <v>2.97</v>
      </c>
      <c r="K163" s="76">
        <f>IFERROR(__xludf.DUMMYFUNCTION("""COMPUTED_VALUE"""),127.0)</f>
        <v>127</v>
      </c>
      <c r="L163" s="76" t="str">
        <f>IFERROR(__xludf.DUMMYFUNCTION("""COMPUTED_VALUE"""),"Rồi")</f>
        <v>Rồi</v>
      </c>
      <c r="M163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63" s="76">
        <f>IFERROR(__xludf.DUMMYFUNCTION("""COMPUTED_VALUE"""),0.0)</f>
        <v>0</v>
      </c>
      <c r="O163" s="76" t="str">
        <f>IFERROR(__xludf.DUMMYFUNCTION("""COMPUTED_VALUE"""),"cam kết")</f>
        <v>cam kết</v>
      </c>
      <c r="P163" s="76" t="str">
        <f>IFERROR(__xludf.DUMMYFUNCTION("""COMPUTED_VALUE"""),"ĐÃ NỘP")</f>
        <v>ĐÃ NỘP</v>
      </c>
      <c r="Q163" s="76" t="str">
        <f>IFERROR(__xludf.DUMMYFUNCTION("""COMPUTED_VALUE"""),"ĐÃ NỘP")</f>
        <v>ĐÃ NỘP</v>
      </c>
      <c r="R163" s="76">
        <f>IFERROR(__xludf.DUMMYFUNCTION("""COMPUTED_VALUE"""),16.0)</f>
        <v>16</v>
      </c>
      <c r="S163" s="102">
        <f>IFERROR(__xludf.DUMMYFUNCTION("""COMPUTED_VALUE"""),45717.0)</f>
        <v>45717</v>
      </c>
      <c r="T163" s="76"/>
      <c r="U163" s="102" t="str">
        <f>IFERROR(__xludf.DUMMYFUNCTION("""COMPUTED_VALUE"""),"Đỗ Hải Thanh Hà")</f>
        <v>Đỗ Hải Thanh Hà</v>
      </c>
      <c r="V163" s="76" t="str">
        <f>IFERROR(__xludf.DUMMYFUNCTION("""COMPUTED_VALUE"""),"Quản Trị Khách Sạn &amp; Nhà Hàng (Đại Học)")</f>
        <v>Quản Trị Khách Sạn &amp; Nhà Hàng (Đại Học)</v>
      </c>
      <c r="W163" s="76" t="str">
        <f>IFERROR(__xludf.DUMMYFUNCTION("""COMPUTED_VALUE"""),"Hotel Royal HoiAn")</f>
        <v>Hotel Royal HoiAn</v>
      </c>
      <c r="X163" s="76" t="str">
        <f>IFERROR(__xludf.DUMMYFUNCTION("""COMPUTED_VALUE"""),"Buồng phòng")</f>
        <v>Buồng phòng</v>
      </c>
      <c r="Y163" s="76" t="str">
        <f>IFERROR(__xludf.DUMMYFUNCTION("""COMPUTED_VALUE"""),"DUYỆT")</f>
        <v>DUYỆT</v>
      </c>
      <c r="Z163" s="76" t="str">
        <f>IFERROR(__xludf.DUMMYFUNCTION("""COMPUTED_VALUE"""),"CHUYÊN ĐỀ")</f>
        <v>CHUYÊN ĐỀ</v>
      </c>
      <c r="AA163" s="76" t="str">
        <f>IFERROR(__xludf.DUMMYFUNCTION("""COMPUTED_VALUE"""),"thanhsan1999@gmail.com")</f>
        <v>thanhsan1999@gmail.com</v>
      </c>
      <c r="AB163" s="76"/>
      <c r="AC163" s="76"/>
    </row>
    <row r="164">
      <c r="A164" s="100">
        <f>IFERROR(__xludf.DUMMYFUNCTION("""COMPUTED_VALUE"""),45652.352365555555)</f>
        <v>45652.35237</v>
      </c>
      <c r="B164" s="76" t="str">
        <f>IFERROR(__xludf.DUMMYFUNCTION("""COMPUTED_VALUE"""),"vothicuc2003@gmail.com")</f>
        <v>vothicuc2003@gmail.com</v>
      </c>
      <c r="C164" s="76">
        <f>IFERROR(__xludf.DUMMYFUNCTION("""COMPUTED_VALUE"""),2.7207152556E10)</f>
        <v>27207152556</v>
      </c>
      <c r="D164" s="76" t="str">
        <f>IFERROR(__xludf.DUMMYFUNCTION("""COMPUTED_VALUE"""),"Võ Thị Cúc")</f>
        <v>Võ Thị Cúc</v>
      </c>
      <c r="E164" s="101">
        <f>IFERROR(__xludf.DUMMYFUNCTION("""COMPUTED_VALUE"""),37718.0)</f>
        <v>37718</v>
      </c>
      <c r="F164" s="76" t="str">
        <f>IFERROR(__xludf.DUMMYFUNCTION("""COMPUTED_VALUE"""),"K27DLK7")</f>
        <v>K27DLK7</v>
      </c>
      <c r="G164" s="76" t="str">
        <f>IFERROR(__xludf.DUMMYFUNCTION("""COMPUTED_VALUE"""),"Quản trị Du lịch &amp; Khách sạn")</f>
        <v>Quản trị Du lịch &amp; Khách sạn</v>
      </c>
      <c r="H164" s="76" t="str">
        <f>IFERROR(__xludf.DUMMYFUNCTION("""COMPUTED_VALUE"""),"K27")</f>
        <v>K27</v>
      </c>
      <c r="I164" s="76" t="str">
        <f>IFERROR(__xludf.DUMMYFUNCTION("""COMPUTED_VALUE"""),"0905234637")</f>
        <v>0905234637</v>
      </c>
      <c r="J164" s="76">
        <f>IFERROR(__xludf.DUMMYFUNCTION("""COMPUTED_VALUE"""),3.41)</f>
        <v>3.41</v>
      </c>
      <c r="K164" s="76">
        <f>IFERROR(__xludf.DUMMYFUNCTION("""COMPUTED_VALUE"""),117.0)</f>
        <v>117</v>
      </c>
      <c r="L164" s="76" t="str">
        <f>IFERROR(__xludf.DUMMYFUNCTION("""COMPUTED_VALUE"""),"Rồi")</f>
        <v>Rồi</v>
      </c>
      <c r="M164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64" s="76">
        <f>IFERROR(__xludf.DUMMYFUNCTION("""COMPUTED_VALUE"""),6.0)</f>
        <v>6</v>
      </c>
      <c r="O164" s="76" t="str">
        <f>IFERROR(__xludf.DUMMYFUNCTION("""COMPUTED_VALUE"""),"cam kết")</f>
        <v>cam kết</v>
      </c>
      <c r="P164" s="76"/>
      <c r="Q164" s="76"/>
      <c r="R164" s="76"/>
      <c r="S164" s="76" t="str">
        <f>IFERROR(__xludf.DUMMYFUNCTION("""COMPUTED_VALUE"""),"27/12/2024")</f>
        <v>27/12/2024</v>
      </c>
      <c r="T164" s="76"/>
      <c r="U164" s="102" t="str">
        <f>IFERROR(__xludf.DUMMYFUNCTION("""COMPUTED_VALUE"""),"Võ Thị Cúc")</f>
        <v>Võ Thị Cúc</v>
      </c>
      <c r="V164" s="76" t="str">
        <f>IFERROR(__xludf.DUMMYFUNCTION("""COMPUTED_VALUE"""),"Quản Trị Khách Sạn &amp; Nhà Hàng (Đại Học)")</f>
        <v>Quản Trị Khách Sạn &amp; Nhà Hàng (Đại Học)</v>
      </c>
      <c r="W164" s="76" t="str">
        <f>IFERROR(__xludf.DUMMYFUNCTION("""COMPUTED_VALUE"""),"Canvas Danang Beach Hotel")</f>
        <v>Canvas Danang Beach Hotel</v>
      </c>
      <c r="X164" s="76" t="str">
        <f>IFERROR(__xludf.DUMMYFUNCTION("""COMPUTED_VALUE"""),"Tiền sảnh")</f>
        <v>Tiền sảnh</v>
      </c>
      <c r="Y164" s="76" t="str">
        <f>IFERROR(__xludf.DUMMYFUNCTION("""COMPUTED_VALUE"""),"DUYỆT")</f>
        <v>DUYỆT</v>
      </c>
      <c r="Z164" s="76" t="str">
        <f>IFERROR(__xludf.DUMMYFUNCTION("""COMPUTED_VALUE"""),"CHUYÊN ĐỀ")</f>
        <v>CHUYÊN ĐỀ</v>
      </c>
      <c r="AA164" s="76" t="str">
        <f>IFERROR(__xludf.DUMMYFUNCTION("""COMPUTED_VALUE"""),"vothicuc2003@gmail.com")</f>
        <v>vothicuc2003@gmail.com</v>
      </c>
      <c r="AB164" s="76" t="str">
        <f>IFERROR(__xludf.DUMMYFUNCTION("""COMPUTED_VALUE"""),"Võ Thị Cúc")</f>
        <v>Võ Thị Cúc</v>
      </c>
      <c r="AC164" s="76" t="str">
        <f>IFERROR(__xludf.DUMMYFUNCTION("""COMPUTED_VALUE"""),"ĐÃ NỘP")</f>
        <v>ĐÃ NỘP</v>
      </c>
    </row>
    <row r="165">
      <c r="A165" s="100">
        <f>IFERROR(__xludf.DUMMYFUNCTION("""COMPUTED_VALUE"""),45652.381553761574)</f>
        <v>45652.38155</v>
      </c>
      <c r="B165" s="76" t="str">
        <f>IFERROR(__xludf.DUMMYFUNCTION("""COMPUTED_VALUE"""),"nguyenkimlen30012003@gmail.com")</f>
        <v>nguyenkimlen30012003@gmail.com</v>
      </c>
      <c r="C165" s="76">
        <f>IFERROR(__xludf.DUMMYFUNCTION("""COMPUTED_VALUE"""),2.7207134467E10)</f>
        <v>27207134467</v>
      </c>
      <c r="D165" s="76" t="str">
        <f>IFERROR(__xludf.DUMMYFUNCTION("""COMPUTED_VALUE"""),"Nguyễn Thị Kim Lên")</f>
        <v>Nguyễn Thị Kim Lên</v>
      </c>
      <c r="E165" s="101">
        <f>IFERROR(__xludf.DUMMYFUNCTION("""COMPUTED_VALUE"""),37651.0)</f>
        <v>37651</v>
      </c>
      <c r="F165" s="76" t="str">
        <f>IFERROR(__xludf.DUMMYFUNCTION("""COMPUTED_VALUE"""),"K27DLK3")</f>
        <v>K27DLK3</v>
      </c>
      <c r="G165" s="76" t="str">
        <f>IFERROR(__xludf.DUMMYFUNCTION("""COMPUTED_VALUE"""),"Quản trị Du lịch &amp; Khách sạn")</f>
        <v>Quản trị Du lịch &amp; Khách sạn</v>
      </c>
      <c r="H165" s="76" t="str">
        <f>IFERROR(__xludf.DUMMYFUNCTION("""COMPUTED_VALUE"""),"K27")</f>
        <v>K27</v>
      </c>
      <c r="I165" s="76" t="str">
        <f>IFERROR(__xludf.DUMMYFUNCTION("""COMPUTED_VALUE"""),"0969193674")</f>
        <v>0969193674</v>
      </c>
      <c r="J165" s="76">
        <f>IFERROR(__xludf.DUMMYFUNCTION("""COMPUTED_VALUE"""),3.12)</f>
        <v>3.12</v>
      </c>
      <c r="K165" s="76">
        <f>IFERROR(__xludf.DUMMYFUNCTION("""COMPUTED_VALUE"""),120.0)</f>
        <v>120</v>
      </c>
      <c r="L165" s="76" t="str">
        <f>IFERROR(__xludf.DUMMYFUNCTION("""COMPUTED_VALUE"""),"Rồi")</f>
        <v>Rồi</v>
      </c>
      <c r="M165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65" s="76">
        <f>IFERROR(__xludf.DUMMYFUNCTION("""COMPUTED_VALUE"""),3.0)</f>
        <v>3</v>
      </c>
      <c r="O165" s="76" t="str">
        <f>IFERROR(__xludf.DUMMYFUNCTION("""COMPUTED_VALUE"""),"cam kết")</f>
        <v>cam kết</v>
      </c>
      <c r="P165" s="76"/>
      <c r="Q165" s="76"/>
      <c r="R165" s="76"/>
      <c r="S165" s="76" t="str">
        <f>IFERROR(__xludf.DUMMYFUNCTION("""COMPUTED_VALUE"""),"27/12/2024")</f>
        <v>27/12/2024</v>
      </c>
      <c r="T165" s="76"/>
      <c r="U165" s="102" t="str">
        <f>IFERROR(__xludf.DUMMYFUNCTION("""COMPUTED_VALUE"""),"Nguyễn Thị Kim Lên")</f>
        <v>Nguyễn Thị Kim Lên</v>
      </c>
      <c r="V165" s="76" t="str">
        <f>IFERROR(__xludf.DUMMYFUNCTION("""COMPUTED_VALUE"""),"Quản Trị Khách Sạn &amp; Nhà Hàng (Đại Học)")</f>
        <v>Quản Trị Khách Sạn &amp; Nhà Hàng (Đại Học)</v>
      </c>
      <c r="W165" s="76" t="str">
        <f>IFERROR(__xludf.DUMMYFUNCTION("""COMPUTED_VALUE"""),"Khách sạn Đức Long Gia Lai - Dung Quất")</f>
        <v>Khách sạn Đức Long Gia Lai - Dung Quất</v>
      </c>
      <c r="X165" s="76" t="str">
        <f>IFERROR(__xludf.DUMMYFUNCTION("""COMPUTED_VALUE"""),"Lễ tân")</f>
        <v>Lễ tân</v>
      </c>
      <c r="Y165" s="76" t="str">
        <f>IFERROR(__xludf.DUMMYFUNCTION("""COMPUTED_VALUE"""),"DUYỆT")</f>
        <v>DUYỆT</v>
      </c>
      <c r="Z165" s="76" t="str">
        <f>IFERROR(__xludf.DUMMYFUNCTION("""COMPUTED_VALUE"""),"CHUYÊN ĐỀ")</f>
        <v>CHUYÊN ĐỀ</v>
      </c>
      <c r="AA165" s="76" t="str">
        <f>IFERROR(__xludf.DUMMYFUNCTION("""COMPUTED_VALUE"""),"nguyenkimlen30012003@gmail.com")</f>
        <v>nguyenkimlen30012003@gmail.com</v>
      </c>
      <c r="AB165" s="76"/>
      <c r="AC165" s="76"/>
    </row>
    <row r="166">
      <c r="A166" s="100">
        <f>IFERROR(__xludf.DUMMYFUNCTION("""COMPUTED_VALUE"""),45652.50336269676)</f>
        <v>45652.50336</v>
      </c>
      <c r="B166" s="76" t="str">
        <f>IFERROR(__xludf.DUMMYFUNCTION("""COMPUTED_VALUE"""),"nguyenthimyduyenn224@gmail.com")</f>
        <v>nguyenthimyduyenn224@gmail.com</v>
      </c>
      <c r="C166" s="76">
        <f>IFERROR(__xludf.DUMMYFUNCTION("""COMPUTED_VALUE"""),2.7217145582E10)</f>
        <v>27217145582</v>
      </c>
      <c r="D166" s="76" t="str">
        <f>IFERROR(__xludf.DUMMYFUNCTION("""COMPUTED_VALUE"""),"Nguyễn Thị Mỹ Duyên")</f>
        <v>Nguyễn Thị Mỹ Duyên</v>
      </c>
      <c r="E166" s="101">
        <f>IFERROR(__xludf.DUMMYFUNCTION("""COMPUTED_VALUE"""),37723.0)</f>
        <v>37723</v>
      </c>
      <c r="F166" s="76" t="str">
        <f>IFERROR(__xludf.DUMMYFUNCTION("""COMPUTED_VALUE"""),"K27DLK7")</f>
        <v>K27DLK7</v>
      </c>
      <c r="G166" s="76" t="str">
        <f>IFERROR(__xludf.DUMMYFUNCTION("""COMPUTED_VALUE"""),"Quản trị Du lịch &amp; Khách sạn")</f>
        <v>Quản trị Du lịch &amp; Khách sạn</v>
      </c>
      <c r="H166" s="76" t="str">
        <f>IFERROR(__xludf.DUMMYFUNCTION("""COMPUTED_VALUE"""),"K27")</f>
        <v>K27</v>
      </c>
      <c r="I166" s="76" t="str">
        <f>IFERROR(__xludf.DUMMYFUNCTION("""COMPUTED_VALUE"""),"0373618004")</f>
        <v>0373618004</v>
      </c>
      <c r="J166" s="76">
        <f>IFERROR(__xludf.DUMMYFUNCTION("""COMPUTED_VALUE"""),2.9)</f>
        <v>2.9</v>
      </c>
      <c r="K166" s="76">
        <f>IFERROR(__xludf.DUMMYFUNCTION("""COMPUTED_VALUE"""),111.0)</f>
        <v>111</v>
      </c>
      <c r="L166" s="76" t="str">
        <f>IFERROR(__xludf.DUMMYFUNCTION("""COMPUTED_VALUE"""),"Rồi")</f>
        <v>Rồi</v>
      </c>
      <c r="M166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66" s="76">
        <f>IFERROR(__xludf.DUMMYFUNCTION("""COMPUTED_VALUE"""),12.0)</f>
        <v>12</v>
      </c>
      <c r="O166" s="76" t="str">
        <f>IFERROR(__xludf.DUMMYFUNCTION("""COMPUTED_VALUE"""),"cam kết")</f>
        <v>cam kết</v>
      </c>
      <c r="P166" s="76"/>
      <c r="Q166" s="76"/>
      <c r="R166" s="76"/>
      <c r="S166" s="76" t="str">
        <f>IFERROR(__xludf.DUMMYFUNCTION("""COMPUTED_VALUE"""),"27/12/2024")</f>
        <v>27/12/2024</v>
      </c>
      <c r="T166" s="76"/>
      <c r="U166" s="102" t="str">
        <f>IFERROR(__xludf.DUMMYFUNCTION("""COMPUTED_VALUE"""),"Nguyễn Thị Mỹ Duyên")</f>
        <v>Nguyễn Thị Mỹ Duyên</v>
      </c>
      <c r="V166" s="76" t="str">
        <f>IFERROR(__xludf.DUMMYFUNCTION("""COMPUTED_VALUE"""),"Quản Trị Khách Sạn &amp; Nhà Hàng (Đại Học)")</f>
        <v>Quản Trị Khách Sạn &amp; Nhà Hàng (Đại Học)</v>
      </c>
      <c r="W166" s="76" t="str">
        <f>IFERROR(__xludf.DUMMYFUNCTION("""COMPUTED_VALUE"""),"Hyatt regency DaNang Resort")</f>
        <v>Hyatt regency DaNang Resort</v>
      </c>
      <c r="X166" s="76" t="str">
        <f>IFERROR(__xludf.DUMMYFUNCTION("""COMPUTED_VALUE"""),"Buồng phòng")</f>
        <v>Buồng phòng</v>
      </c>
      <c r="Y166" s="76" t="str">
        <f>IFERROR(__xludf.DUMMYFUNCTION("""COMPUTED_VALUE"""),"DUYỆT")</f>
        <v>DUYỆT</v>
      </c>
      <c r="Z166" s="76" t="str">
        <f>IFERROR(__xludf.DUMMYFUNCTION("""COMPUTED_VALUE"""),"CHUYÊN ĐỀ")</f>
        <v>CHUYÊN ĐỀ</v>
      </c>
      <c r="AA166" s="76" t="str">
        <f>IFERROR(__xludf.DUMMYFUNCTION("""COMPUTED_VALUE"""),"nguyenthimyduyenn224@gmail.com")</f>
        <v>nguyenthimyduyenn224@gmail.com</v>
      </c>
      <c r="AB166" s="76"/>
      <c r="AC166" s="76"/>
    </row>
    <row r="167">
      <c r="A167" s="100">
        <f>IFERROR(__xludf.DUMMYFUNCTION("""COMPUTED_VALUE"""),45652.55434819445)</f>
        <v>45652.55435</v>
      </c>
      <c r="B167" s="76" t="str">
        <f>IFERROR(__xludf.DUMMYFUNCTION("""COMPUTED_VALUE"""),"luonghuynhyennhi@gmail.com")</f>
        <v>luonghuynhyennhi@gmail.com</v>
      </c>
      <c r="C167" s="76">
        <f>IFERROR(__xludf.DUMMYFUNCTION("""COMPUTED_VALUE"""),2.7207100842E10)</f>
        <v>27207100842</v>
      </c>
      <c r="D167" s="76" t="str">
        <f>IFERROR(__xludf.DUMMYFUNCTION("""COMPUTED_VALUE"""),"Lương Huỳnh Yến Nhi")</f>
        <v>Lương Huỳnh Yến Nhi</v>
      </c>
      <c r="E167" s="101">
        <f>IFERROR(__xludf.DUMMYFUNCTION("""COMPUTED_VALUE"""),37723.0)</f>
        <v>37723</v>
      </c>
      <c r="F167" s="76" t="str">
        <f>IFERROR(__xludf.DUMMYFUNCTION("""COMPUTED_VALUE"""),"K27DLK2")</f>
        <v>K27DLK2</v>
      </c>
      <c r="G167" s="76" t="str">
        <f>IFERROR(__xludf.DUMMYFUNCTION("""COMPUTED_VALUE"""),"Quản trị Du lịch &amp; Khách sạn")</f>
        <v>Quản trị Du lịch &amp; Khách sạn</v>
      </c>
      <c r="H167" s="76" t="str">
        <f>IFERROR(__xludf.DUMMYFUNCTION("""COMPUTED_VALUE"""),"K27")</f>
        <v>K27</v>
      </c>
      <c r="I167" s="76" t="str">
        <f>IFERROR(__xludf.DUMMYFUNCTION("""COMPUTED_VALUE"""),"0934780976")</f>
        <v>0934780976</v>
      </c>
      <c r="J167" s="76">
        <f>IFERROR(__xludf.DUMMYFUNCTION("""COMPUTED_VALUE"""),3.08)</f>
        <v>3.08</v>
      </c>
      <c r="K167" s="76">
        <f>IFERROR(__xludf.DUMMYFUNCTION("""COMPUTED_VALUE"""),115.0)</f>
        <v>115</v>
      </c>
      <c r="L167" s="76" t="str">
        <f>IFERROR(__xludf.DUMMYFUNCTION("""COMPUTED_VALUE"""),"Rồi")</f>
        <v>Rồi</v>
      </c>
      <c r="M167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67" s="76">
        <f>IFERROR(__xludf.DUMMYFUNCTION("""COMPUTED_VALUE"""),3.0)</f>
        <v>3</v>
      </c>
      <c r="O167" s="76" t="str">
        <f>IFERROR(__xludf.DUMMYFUNCTION("""COMPUTED_VALUE"""),"cam kết")</f>
        <v>cam kết</v>
      </c>
      <c r="P167" s="76"/>
      <c r="Q167" s="76"/>
      <c r="R167" s="76"/>
      <c r="S167" s="76" t="str">
        <f>IFERROR(__xludf.DUMMYFUNCTION("""COMPUTED_VALUE"""),"27/12/2024")</f>
        <v>27/12/2024</v>
      </c>
      <c r="T167" s="76"/>
      <c r="U167" s="102" t="str">
        <f>IFERROR(__xludf.DUMMYFUNCTION("""COMPUTED_VALUE"""),"Lương Huỳnh Yến Nhi")</f>
        <v>Lương Huỳnh Yến Nhi</v>
      </c>
      <c r="V167" s="76" t="str">
        <f>IFERROR(__xludf.DUMMYFUNCTION("""COMPUTED_VALUE"""),"Quản Trị Khách Sạn &amp; Nhà Hàng (Đại Học)")</f>
        <v>Quản Trị Khách Sạn &amp; Nhà Hàng (Đại Học)</v>
      </c>
      <c r="W167" s="76" t="str">
        <f>IFERROR(__xludf.DUMMYFUNCTION("""COMPUTED_VALUE"""),"Meliá Danang Beach Resort")</f>
        <v>Meliá Danang Beach Resort</v>
      </c>
      <c r="X167" s="76" t="str">
        <f>IFERROR(__xludf.DUMMYFUNCTION("""COMPUTED_VALUE"""),"Tiền sảnh")</f>
        <v>Tiền sảnh</v>
      </c>
      <c r="Y167" s="76" t="str">
        <f>IFERROR(__xludf.DUMMYFUNCTION("""COMPUTED_VALUE"""),"DUYỆT")</f>
        <v>DUYỆT</v>
      </c>
      <c r="Z167" s="76" t="str">
        <f>IFERROR(__xludf.DUMMYFUNCTION("""COMPUTED_VALUE"""),"CHUYÊN ĐỀ")</f>
        <v>CHUYÊN ĐỀ</v>
      </c>
      <c r="AA167" s="76" t="str">
        <f>IFERROR(__xludf.DUMMYFUNCTION("""COMPUTED_VALUE"""),"luonghuynhyennhi@gmail.com")</f>
        <v>luonghuynhyennhi@gmail.com</v>
      </c>
      <c r="AB167" s="76"/>
      <c r="AC167" s="76"/>
    </row>
    <row r="168">
      <c r="A168" s="100">
        <f>IFERROR(__xludf.DUMMYFUNCTION("""COMPUTED_VALUE"""),45652.56207670139)</f>
        <v>45652.56208</v>
      </c>
      <c r="B168" s="76" t="str">
        <f>IFERROR(__xludf.DUMMYFUNCTION("""COMPUTED_VALUE"""),"tranthamai123@gmail.com")</f>
        <v>tranthamai123@gmail.com</v>
      </c>
      <c r="C168" s="76">
        <f>IFERROR(__xludf.DUMMYFUNCTION("""COMPUTED_VALUE"""),2.7207131471E10)</f>
        <v>27207131471</v>
      </c>
      <c r="D168" s="76" t="str">
        <f>IFERROR(__xludf.DUMMYFUNCTION("""COMPUTED_VALUE"""),"Nguyễn Yến Nhi")</f>
        <v>Nguyễn Yến Nhi</v>
      </c>
      <c r="E168" s="101">
        <f>IFERROR(__xludf.DUMMYFUNCTION("""COMPUTED_VALUE"""),37879.0)</f>
        <v>37879</v>
      </c>
      <c r="F168" s="76" t="str">
        <f>IFERROR(__xludf.DUMMYFUNCTION("""COMPUTED_VALUE"""),"K27PSUDLK1")</f>
        <v>K27PSUDLK1</v>
      </c>
      <c r="G168" s="76" t="str">
        <f>IFERROR(__xludf.DUMMYFUNCTION("""COMPUTED_VALUE"""),"Quản trị Du lịch &amp; Khách sạn chuẩn PSU")</f>
        <v>Quản trị Du lịch &amp; Khách sạn chuẩn PSU</v>
      </c>
      <c r="H168" s="76" t="str">
        <f>IFERROR(__xludf.DUMMYFUNCTION("""COMPUTED_VALUE"""),"K27")</f>
        <v>K27</v>
      </c>
      <c r="I168" s="76" t="str">
        <f>IFERROR(__xludf.DUMMYFUNCTION("""COMPUTED_VALUE"""),"0362069800")</f>
        <v>0362069800</v>
      </c>
      <c r="J168" s="76">
        <f>IFERROR(__xludf.DUMMYFUNCTION("""COMPUTED_VALUE"""),3.23)</f>
        <v>3.23</v>
      </c>
      <c r="K168" s="76">
        <f>IFERROR(__xludf.DUMMYFUNCTION("""COMPUTED_VALUE"""),114.0)</f>
        <v>114</v>
      </c>
      <c r="L168" s="76" t="str">
        <f>IFERROR(__xludf.DUMMYFUNCTION("""COMPUTED_VALUE"""),"Rồi")</f>
        <v>Rồi</v>
      </c>
      <c r="M168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68" s="76">
        <f>IFERROR(__xludf.DUMMYFUNCTION("""COMPUTED_VALUE"""),13.0)</f>
        <v>13</v>
      </c>
      <c r="O168" s="76" t="str">
        <f>IFERROR(__xludf.DUMMYFUNCTION("""COMPUTED_VALUE"""),"cam kết")</f>
        <v>cam kết</v>
      </c>
      <c r="P168" s="76"/>
      <c r="Q168" s="76"/>
      <c r="R168" s="76"/>
      <c r="S168" s="76" t="str">
        <f>IFERROR(__xludf.DUMMYFUNCTION("""COMPUTED_VALUE"""),"27/12/2024")</f>
        <v>27/12/2024</v>
      </c>
      <c r="T168" s="76"/>
      <c r="U168" s="102" t="str">
        <f>IFERROR(__xludf.DUMMYFUNCTION("""COMPUTED_VALUE"""),"Nguyễn Yến Nhi")</f>
        <v>Nguyễn Yến Nhi</v>
      </c>
      <c r="V168" s="76" t="str">
        <f>IFERROR(__xludf.DUMMYFUNCTION("""COMPUTED_VALUE"""),"Quản Trị Du Lịch &amp; Khách Sạn Chuẩn PSU (Đại Học)")</f>
        <v>Quản Trị Du Lịch &amp; Khách Sạn Chuẩn PSU (Đại Học)</v>
      </c>
      <c r="W168" s="76" t="str">
        <f>IFERROR(__xludf.DUMMYFUNCTION("""COMPUTED_VALUE"""),"Hyatt regency DaNang Resort")</f>
        <v>Hyatt regency DaNang Resort</v>
      </c>
      <c r="X168" s="76" t="str">
        <f>IFERROR(__xludf.DUMMYFUNCTION("""COMPUTED_VALUE"""),"Tiền sảnh")</f>
        <v>Tiền sảnh</v>
      </c>
      <c r="Y168" s="76" t="str">
        <f>IFERROR(__xludf.DUMMYFUNCTION("""COMPUTED_VALUE"""),"DUYỆT")</f>
        <v>DUYỆT</v>
      </c>
      <c r="Z168" s="76" t="str">
        <f>IFERROR(__xludf.DUMMYFUNCTION("""COMPUTED_VALUE"""),"CHUYÊN ĐỀ")</f>
        <v>CHUYÊN ĐỀ</v>
      </c>
      <c r="AA168" s="76" t="str">
        <f>IFERROR(__xludf.DUMMYFUNCTION("""COMPUTED_VALUE"""),"tranthamai123@gmail.com")</f>
        <v>tranthamai123@gmail.com</v>
      </c>
      <c r="AB168" s="76"/>
      <c r="AC168" s="76"/>
    </row>
    <row r="169">
      <c r="A169" s="100">
        <f>IFERROR(__xludf.DUMMYFUNCTION("""COMPUTED_VALUE"""),45652.59869465278)</f>
        <v>45652.59869</v>
      </c>
      <c r="B169" s="76" t="str">
        <f>IFERROR(__xludf.DUMMYFUNCTION("""COMPUTED_VALUE"""),"meltuyettrantn@gmail.com")</f>
        <v>meltuyettrantn@gmail.com</v>
      </c>
      <c r="C169" s="76">
        <f>IFERROR(__xludf.DUMMYFUNCTION("""COMPUTED_VALUE"""),2.7207147439E10)</f>
        <v>27207147439</v>
      </c>
      <c r="D169" s="76" t="str">
        <f>IFERROR(__xludf.DUMMYFUNCTION("""COMPUTED_VALUE"""),"Trần Tuyết Nhi")</f>
        <v>Trần Tuyết Nhi</v>
      </c>
      <c r="E169" s="101">
        <f>IFERROR(__xludf.DUMMYFUNCTION("""COMPUTED_VALUE"""),37872.0)</f>
        <v>37872</v>
      </c>
      <c r="F169" s="76" t="str">
        <f>IFERROR(__xludf.DUMMYFUNCTION("""COMPUTED_VALUE"""),"K27DLK4")</f>
        <v>K27DLK4</v>
      </c>
      <c r="G169" s="76" t="str">
        <f>IFERROR(__xludf.DUMMYFUNCTION("""COMPUTED_VALUE"""),"Quản trị Du lịch &amp; Khách sạn")</f>
        <v>Quản trị Du lịch &amp; Khách sạn</v>
      </c>
      <c r="H169" s="76" t="str">
        <f>IFERROR(__xludf.DUMMYFUNCTION("""COMPUTED_VALUE"""),"K27")</f>
        <v>K27</v>
      </c>
      <c r="I169" s="76" t="str">
        <f>IFERROR(__xludf.DUMMYFUNCTION("""COMPUTED_VALUE"""),"0941145005")</f>
        <v>0941145005</v>
      </c>
      <c r="J169" s="76">
        <f>IFERROR(__xludf.DUMMYFUNCTION("""COMPUTED_VALUE"""),3.32)</f>
        <v>3.32</v>
      </c>
      <c r="K169" s="76">
        <f>IFERROR(__xludf.DUMMYFUNCTION("""COMPUTED_VALUE"""),111.0)</f>
        <v>111</v>
      </c>
      <c r="L169" s="76" t="str">
        <f>IFERROR(__xludf.DUMMYFUNCTION("""COMPUTED_VALUE"""),"Rồi")</f>
        <v>Rồi</v>
      </c>
      <c r="M169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69" s="76">
        <f>IFERROR(__xludf.DUMMYFUNCTION("""COMPUTED_VALUE"""),14.0)</f>
        <v>14</v>
      </c>
      <c r="O169" s="76" t="str">
        <f>IFERROR(__xludf.DUMMYFUNCTION("""COMPUTED_VALUE"""),"cam kết")</f>
        <v>cam kết</v>
      </c>
      <c r="P169" s="76"/>
      <c r="Q169" s="76"/>
      <c r="R169" s="76"/>
      <c r="S169" s="76" t="str">
        <f>IFERROR(__xludf.DUMMYFUNCTION("""COMPUTED_VALUE"""),"27/12/2024")</f>
        <v>27/12/2024</v>
      </c>
      <c r="T169" s="76"/>
      <c r="U169" s="102" t="str">
        <f>IFERROR(__xludf.DUMMYFUNCTION("""COMPUTED_VALUE"""),"Trần Tuyết Nhi")</f>
        <v>Trần Tuyết Nhi</v>
      </c>
      <c r="V169" s="76" t="str">
        <f>IFERROR(__xludf.DUMMYFUNCTION("""COMPUTED_VALUE"""),"Quản Trị Khách Sạn &amp; Nhà Hàng (Đại Học)")</f>
        <v>Quản Trị Khách Sạn &amp; Nhà Hàng (Đại Học)</v>
      </c>
      <c r="W169" s="76" t="str">
        <f>IFERROR(__xludf.DUMMYFUNCTION("""COMPUTED_VALUE"""),"Khách sạn Như Minh Plaza")</f>
        <v>Khách sạn Như Minh Plaza</v>
      </c>
      <c r="X169" s="76" t="str">
        <f>IFERROR(__xludf.DUMMYFUNCTION("""COMPUTED_VALUE"""),"Nhà hàng")</f>
        <v>Nhà hàng</v>
      </c>
      <c r="Y169" s="76" t="str">
        <f>IFERROR(__xludf.DUMMYFUNCTION("""COMPUTED_VALUE"""),"DUYỆT")</f>
        <v>DUYỆT</v>
      </c>
      <c r="Z169" s="76" t="str">
        <f>IFERROR(__xludf.DUMMYFUNCTION("""COMPUTED_VALUE"""),"không đủ điều kiện")</f>
        <v>không đủ điều kiện</v>
      </c>
      <c r="AA169" s="76" t="str">
        <f>IFERROR(__xludf.DUMMYFUNCTION("""COMPUTED_VALUE"""),"meltuyettrantn@gmail.com")</f>
        <v>meltuyettrantn@gmail.com</v>
      </c>
      <c r="AB169" s="76"/>
      <c r="AC169" s="76"/>
    </row>
    <row r="170">
      <c r="A170" s="100">
        <f>IFERROR(__xludf.DUMMYFUNCTION("""COMPUTED_VALUE"""),45652.600670740736)</f>
        <v>45652.60067</v>
      </c>
      <c r="B170" s="76" t="str">
        <f>IFERROR(__xludf.DUMMYFUNCTION("""COMPUTED_VALUE"""),"bachhuynhngoctran22032003@gmail.com")</f>
        <v>bachhuynhngoctran22032003@gmail.com</v>
      </c>
      <c r="C170" s="76">
        <f>IFERROR(__xludf.DUMMYFUNCTION("""COMPUTED_VALUE"""),2.7207120791E10)</f>
        <v>27207120791</v>
      </c>
      <c r="D170" s="76" t="str">
        <f>IFERROR(__xludf.DUMMYFUNCTION("""COMPUTED_VALUE"""),"Bạch Huỳnh Ngọc Trân")</f>
        <v>Bạch Huỳnh Ngọc Trân</v>
      </c>
      <c r="E170" s="101">
        <f>IFERROR(__xludf.DUMMYFUNCTION("""COMPUTED_VALUE"""),37702.0)</f>
        <v>37702</v>
      </c>
      <c r="F170" s="76" t="str">
        <f>IFERROR(__xludf.DUMMYFUNCTION("""COMPUTED_VALUE"""),"K27DLK4")</f>
        <v>K27DLK4</v>
      </c>
      <c r="G170" s="76" t="str">
        <f>IFERROR(__xludf.DUMMYFUNCTION("""COMPUTED_VALUE"""),"Quản trị Du lịch &amp; Khách sạn")</f>
        <v>Quản trị Du lịch &amp; Khách sạn</v>
      </c>
      <c r="H170" s="76" t="str">
        <f>IFERROR(__xludf.DUMMYFUNCTION("""COMPUTED_VALUE"""),"K27")</f>
        <v>K27</v>
      </c>
      <c r="I170" s="76" t="str">
        <f>IFERROR(__xludf.DUMMYFUNCTION("""COMPUTED_VALUE"""),"0813939317")</f>
        <v>0813939317</v>
      </c>
      <c r="J170" s="76">
        <f>IFERROR(__xludf.DUMMYFUNCTION("""COMPUTED_VALUE"""),3.04)</f>
        <v>3.04</v>
      </c>
      <c r="K170" s="76">
        <f>IFERROR(__xludf.DUMMYFUNCTION("""COMPUTED_VALUE"""),113.0)</f>
        <v>113</v>
      </c>
      <c r="L170" s="76" t="str">
        <f>IFERROR(__xludf.DUMMYFUNCTION("""COMPUTED_VALUE"""),"Rồi")</f>
        <v>Rồi</v>
      </c>
      <c r="M170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70" s="76">
        <f>IFERROR(__xludf.DUMMYFUNCTION("""COMPUTED_VALUE"""),13.0)</f>
        <v>13</v>
      </c>
      <c r="O170" s="76" t="str">
        <f>IFERROR(__xludf.DUMMYFUNCTION("""COMPUTED_VALUE"""),"cam kết")</f>
        <v>cam kết</v>
      </c>
      <c r="P170" s="76"/>
      <c r="Q170" s="76"/>
      <c r="R170" s="76"/>
      <c r="S170" s="76" t="str">
        <f>IFERROR(__xludf.DUMMYFUNCTION("""COMPUTED_VALUE"""),"27/12/2024")</f>
        <v>27/12/2024</v>
      </c>
      <c r="T170" s="76"/>
      <c r="U170" s="102" t="str">
        <f>IFERROR(__xludf.DUMMYFUNCTION("""COMPUTED_VALUE"""),"Bạch Huỳnh Ngọc Trân")</f>
        <v>Bạch Huỳnh Ngọc Trân</v>
      </c>
      <c r="V170" s="76" t="str">
        <f>IFERROR(__xludf.DUMMYFUNCTION("""COMPUTED_VALUE"""),"Quản Trị Khách Sạn &amp; Nhà Hàng (Đại Học)")</f>
        <v>Quản Trị Khách Sạn &amp; Nhà Hàng (Đại Học)</v>
      </c>
      <c r="W170" s="76" t="str">
        <f>IFERROR(__xludf.DUMMYFUNCTION("""COMPUTED_VALUE"""),"Khách sạn Như Minh Plaza")</f>
        <v>Khách sạn Như Minh Plaza</v>
      </c>
      <c r="X170" s="76" t="str">
        <f>IFERROR(__xludf.DUMMYFUNCTION("""COMPUTED_VALUE"""),"Tiền sảnh")</f>
        <v>Tiền sảnh</v>
      </c>
      <c r="Y170" s="76" t="str">
        <f>IFERROR(__xludf.DUMMYFUNCTION("""COMPUTED_VALUE"""),"DUYỆT")</f>
        <v>DUYỆT</v>
      </c>
      <c r="Z170" s="76" t="str">
        <f>IFERROR(__xludf.DUMMYFUNCTION("""COMPUTED_VALUE"""),"CHUYÊN ĐỀ")</f>
        <v>CHUYÊN ĐỀ</v>
      </c>
      <c r="AA170" s="76" t="str">
        <f>IFERROR(__xludf.DUMMYFUNCTION("""COMPUTED_VALUE"""),"bachhuynhngoctran22032003@gmail.com")</f>
        <v>bachhuynhngoctran22032003@gmail.com</v>
      </c>
      <c r="AB170" s="76"/>
      <c r="AC170" s="76"/>
    </row>
    <row r="171">
      <c r="A171" s="100">
        <f>IFERROR(__xludf.DUMMYFUNCTION("""COMPUTED_VALUE"""),45652.659405300925)</f>
        <v>45652.65941</v>
      </c>
      <c r="B171" s="76" t="str">
        <f>IFERROR(__xludf.DUMMYFUNCTION("""COMPUTED_VALUE"""),"lethihoaimy123@gmail.com")</f>
        <v>lethihoaimy123@gmail.com</v>
      </c>
      <c r="C171" s="76">
        <f>IFERROR(__xludf.DUMMYFUNCTION("""COMPUTED_VALUE"""),2.7207125326E10)</f>
        <v>27207125326</v>
      </c>
      <c r="D171" s="76" t="str">
        <f>IFERROR(__xludf.DUMMYFUNCTION("""COMPUTED_VALUE"""),"Lê Thị Hoài My")</f>
        <v>Lê Thị Hoài My</v>
      </c>
      <c r="E171" s="101">
        <f>IFERROR(__xludf.DUMMYFUNCTION("""COMPUTED_VALUE"""),37718.0)</f>
        <v>37718</v>
      </c>
      <c r="F171" s="76" t="str">
        <f>IFERROR(__xludf.DUMMYFUNCTION("""COMPUTED_VALUE"""),"K27DLK4")</f>
        <v>K27DLK4</v>
      </c>
      <c r="G171" s="76" t="str">
        <f>IFERROR(__xludf.DUMMYFUNCTION("""COMPUTED_VALUE"""),"Quản trị Du lịch &amp; Khách sạn")</f>
        <v>Quản trị Du lịch &amp; Khách sạn</v>
      </c>
      <c r="H171" s="76" t="str">
        <f>IFERROR(__xludf.DUMMYFUNCTION("""COMPUTED_VALUE"""),"K27")</f>
        <v>K27</v>
      </c>
      <c r="I171" s="76" t="str">
        <f>IFERROR(__xludf.DUMMYFUNCTION("""COMPUTED_VALUE"""),"0348109804")</f>
        <v>0348109804</v>
      </c>
      <c r="J171" s="76">
        <f>IFERROR(__xludf.DUMMYFUNCTION("""COMPUTED_VALUE"""),3.27)</f>
        <v>3.27</v>
      </c>
      <c r="K171" s="76">
        <f>IFERROR(__xludf.DUMMYFUNCTION("""COMPUTED_VALUE"""),114.0)</f>
        <v>114</v>
      </c>
      <c r="L171" s="76" t="str">
        <f>IFERROR(__xludf.DUMMYFUNCTION("""COMPUTED_VALUE"""),"Rồi")</f>
        <v>Rồi</v>
      </c>
      <c r="M171" s="76" t="str">
        <f>IFERROR(__xludf.DUMMYFUNCTION("""COMPUTED_VALUE"""),"Thực tập tốt nghiệp")</f>
        <v>Thực tập tốt nghiệp</v>
      </c>
      <c r="N171" s="76">
        <f>IFERROR(__xludf.DUMMYFUNCTION("""COMPUTED_VALUE"""),9.0)</f>
        <v>9</v>
      </c>
      <c r="O171" s="76" t="str">
        <f>IFERROR(__xludf.DUMMYFUNCTION("""COMPUTED_VALUE"""),"cam kết")</f>
        <v>cam kết</v>
      </c>
      <c r="P171" s="76"/>
      <c r="Q171" s="76"/>
      <c r="R171" s="76"/>
      <c r="S171" s="76" t="str">
        <f>IFERROR(__xludf.DUMMYFUNCTION("""COMPUTED_VALUE"""),"27/12/2024")</f>
        <v>27/12/2024</v>
      </c>
      <c r="T171" s="76"/>
      <c r="U171" s="102" t="str">
        <f>IFERROR(__xludf.DUMMYFUNCTION("""COMPUTED_VALUE"""),"Lê Thị Hoài My")</f>
        <v>Lê Thị Hoài My</v>
      </c>
      <c r="V171" s="76" t="str">
        <f>IFERROR(__xludf.DUMMYFUNCTION("""COMPUTED_VALUE"""),"Quản Trị Khách Sạn &amp; Nhà Hàng (Đại Học)")</f>
        <v>Quản Trị Khách Sạn &amp; Nhà Hàng (Đại Học)</v>
      </c>
      <c r="W171" s="76" t="str">
        <f>IFERROR(__xludf.DUMMYFUNCTION("""COMPUTED_VALUE"""),"Cicilia Hotel &amp; Spa")</f>
        <v>Cicilia Hotel &amp; Spa</v>
      </c>
      <c r="X171" s="76" t="str">
        <f>IFERROR(__xludf.DUMMYFUNCTION("""COMPUTED_VALUE"""),"Nhân sự")</f>
        <v>Nhân sự</v>
      </c>
      <c r="Y171" s="76" t="str">
        <f>IFERROR(__xludf.DUMMYFUNCTION("""COMPUTED_VALUE"""),"DUYỆT")</f>
        <v>DUYỆT</v>
      </c>
      <c r="Z171" s="76" t="str">
        <f>IFERROR(__xludf.DUMMYFUNCTION("""COMPUTED_VALUE"""),"CHUYÊN ĐỀ")</f>
        <v>CHUYÊN ĐỀ</v>
      </c>
      <c r="AA171" s="76" t="str">
        <f>IFERROR(__xludf.DUMMYFUNCTION("""COMPUTED_VALUE"""),"lethihoaimy123@gmail.com")</f>
        <v>lethihoaimy123@gmail.com</v>
      </c>
      <c r="AB171" s="76"/>
      <c r="AC171" s="76"/>
    </row>
    <row r="172">
      <c r="A172" s="100">
        <f>IFERROR(__xludf.DUMMYFUNCTION("""COMPUTED_VALUE"""),45652.834638541666)</f>
        <v>45652.83464</v>
      </c>
      <c r="B172" s="76" t="str">
        <f>IFERROR(__xludf.DUMMYFUNCTION("""COMPUTED_VALUE"""),"donhi021092@gmail.com")</f>
        <v>donhi021092@gmail.com</v>
      </c>
      <c r="C172" s="76">
        <f>IFERROR(__xludf.DUMMYFUNCTION("""COMPUTED_VALUE"""),2.7207147294E10)</f>
        <v>27207147294</v>
      </c>
      <c r="D172" s="76" t="str">
        <f>IFERROR(__xludf.DUMMYFUNCTION("""COMPUTED_VALUE"""),"Đỗ Như Tuyết Nhi")</f>
        <v>Đỗ Như Tuyết Nhi</v>
      </c>
      <c r="E172" s="101">
        <f>IFERROR(__xludf.DUMMYFUNCTION("""COMPUTED_VALUE"""),37891.0)</f>
        <v>37891</v>
      </c>
      <c r="F172" s="76" t="str">
        <f>IFERROR(__xludf.DUMMYFUNCTION("""COMPUTED_VALUE"""),"K27DLK7")</f>
        <v>K27DLK7</v>
      </c>
      <c r="G172" s="76" t="str">
        <f>IFERROR(__xludf.DUMMYFUNCTION("""COMPUTED_VALUE"""),"Quản trị Du lịch &amp; Khách sạn")</f>
        <v>Quản trị Du lịch &amp; Khách sạn</v>
      </c>
      <c r="H172" s="76" t="str">
        <f>IFERROR(__xludf.DUMMYFUNCTION("""COMPUTED_VALUE"""),"K27")</f>
        <v>K27</v>
      </c>
      <c r="I172" s="76" t="str">
        <f>IFERROR(__xludf.DUMMYFUNCTION("""COMPUTED_VALUE"""),"0769467655")</f>
        <v>0769467655</v>
      </c>
      <c r="J172" s="76">
        <f>IFERROR(__xludf.DUMMYFUNCTION("""COMPUTED_VALUE"""),2.98)</f>
        <v>2.98</v>
      </c>
      <c r="K172" s="76">
        <f>IFERROR(__xludf.DUMMYFUNCTION("""COMPUTED_VALUE"""),112.0)</f>
        <v>112</v>
      </c>
      <c r="L172" s="76" t="str">
        <f>IFERROR(__xludf.DUMMYFUNCTION("""COMPUTED_VALUE"""),"Rồi")</f>
        <v>Rồi</v>
      </c>
      <c r="M172" s="76" t="str">
        <f>IFERROR(__xludf.DUMMYFUNCTION("""COMPUTED_VALUE"""),"Thực tập tốt nghiệp")</f>
        <v>Thực tập tốt nghiệp</v>
      </c>
      <c r="N172" s="76">
        <f>IFERROR(__xludf.DUMMYFUNCTION("""COMPUTED_VALUE"""),16.0)</f>
        <v>16</v>
      </c>
      <c r="O172" s="76" t="str">
        <f>IFERROR(__xludf.DUMMYFUNCTION("""COMPUTED_VALUE"""),"cam kết")</f>
        <v>cam kết</v>
      </c>
      <c r="P172" s="76"/>
      <c r="Q172" s="76"/>
      <c r="R172" s="76"/>
      <c r="S172" s="76" t="str">
        <f>IFERROR(__xludf.DUMMYFUNCTION("""COMPUTED_VALUE"""),"27/12/2024")</f>
        <v>27/12/2024</v>
      </c>
      <c r="T172" s="76"/>
      <c r="U172" s="102" t="str">
        <f>IFERROR(__xludf.DUMMYFUNCTION("""COMPUTED_VALUE"""),"Đỗ Như Tuyết Nhi")</f>
        <v>Đỗ Như Tuyết Nhi</v>
      </c>
      <c r="V172" s="76" t="str">
        <f>IFERROR(__xludf.DUMMYFUNCTION("""COMPUTED_VALUE"""),"Quản Trị Khách Sạn &amp; Nhà Hàng (Đại Học)")</f>
        <v>Quản Trị Khách Sạn &amp; Nhà Hàng (Đại Học)</v>
      </c>
      <c r="W172" s="76" t="str">
        <f>IFERROR(__xludf.DUMMYFUNCTION("""COMPUTED_VALUE"""),"Four Points by Sheraton Danang")</f>
        <v>Four Points by Sheraton Danang</v>
      </c>
      <c r="X172" s="76" t="str">
        <f>IFERROR(__xludf.DUMMYFUNCTION("""COMPUTED_VALUE"""),"Buồng phòng")</f>
        <v>Buồng phòng</v>
      </c>
      <c r="Y172" s="76" t="str">
        <f>IFERROR(__xludf.DUMMYFUNCTION("""COMPUTED_VALUE"""),"DUYỆT")</f>
        <v>DUYỆT</v>
      </c>
      <c r="Z172" s="76" t="str">
        <f>IFERROR(__xludf.DUMMYFUNCTION("""COMPUTED_VALUE"""),"không đủ điều kiện")</f>
        <v>không đủ điều kiện</v>
      </c>
      <c r="AA172" s="76" t="str">
        <f>IFERROR(__xludf.DUMMYFUNCTION("""COMPUTED_VALUE"""),"donhi021092@gmail.com")</f>
        <v>donhi021092@gmail.com</v>
      </c>
      <c r="AB172" s="76"/>
      <c r="AC172" s="76"/>
    </row>
    <row r="173">
      <c r="A173" s="100">
        <f>IFERROR(__xludf.DUMMYFUNCTION("""COMPUTED_VALUE"""),45652.882727743054)</f>
        <v>45652.88273</v>
      </c>
      <c r="B173" s="76" t="str">
        <f>IFERROR(__xludf.DUMMYFUNCTION("""COMPUTED_VALUE"""),"ntpd2703@gmail.com")</f>
        <v>ntpd2703@gmail.com</v>
      </c>
      <c r="C173" s="76">
        <f>IFERROR(__xludf.DUMMYFUNCTION("""COMPUTED_VALUE"""),2.7207146213E10)</f>
        <v>27207146213</v>
      </c>
      <c r="D173" s="76" t="str">
        <f>IFERROR(__xludf.DUMMYFUNCTION("""COMPUTED_VALUE"""),"Nguyễn Thị Phương Dung")</f>
        <v>Nguyễn Thị Phương Dung</v>
      </c>
      <c r="E173" s="101">
        <f>IFERROR(__xludf.DUMMYFUNCTION("""COMPUTED_VALUE"""),37707.0)</f>
        <v>37707</v>
      </c>
      <c r="F173" s="76" t="str">
        <f>IFERROR(__xludf.DUMMYFUNCTION("""COMPUTED_VALUE"""),"K27DLK5")</f>
        <v>K27DLK5</v>
      </c>
      <c r="G173" s="76" t="str">
        <f>IFERROR(__xludf.DUMMYFUNCTION("""COMPUTED_VALUE"""),"Quản trị Du lịch &amp; Khách sạn")</f>
        <v>Quản trị Du lịch &amp; Khách sạn</v>
      </c>
      <c r="H173" s="76" t="str">
        <f>IFERROR(__xludf.DUMMYFUNCTION("""COMPUTED_VALUE"""),"K27")</f>
        <v>K27</v>
      </c>
      <c r="I173" s="76" t="str">
        <f>IFERROR(__xludf.DUMMYFUNCTION("""COMPUTED_VALUE"""),"0762667434")</f>
        <v>0762667434</v>
      </c>
      <c r="J173" s="76">
        <f>IFERROR(__xludf.DUMMYFUNCTION("""COMPUTED_VALUE"""),2.52)</f>
        <v>2.52</v>
      </c>
      <c r="K173" s="76">
        <f>IFERROR(__xludf.DUMMYFUNCTION("""COMPUTED_VALUE"""),102.0)</f>
        <v>102</v>
      </c>
      <c r="L173" s="76" t="str">
        <f>IFERROR(__xludf.DUMMYFUNCTION("""COMPUTED_VALUE"""),"Rồi")</f>
        <v>Rồi</v>
      </c>
      <c r="M173" s="76" t="str">
        <f>IFERROR(__xludf.DUMMYFUNCTION("""COMPUTED_VALUE"""),"Thực tập tốt nghiệp")</f>
        <v>Thực tập tốt nghiệp</v>
      </c>
      <c r="N173" s="76">
        <f>IFERROR(__xludf.DUMMYFUNCTION("""COMPUTED_VALUE"""),27.0)</f>
        <v>27</v>
      </c>
      <c r="O173" s="76" t="str">
        <f>IFERROR(__xludf.DUMMYFUNCTION("""COMPUTED_VALUE"""),"cam kết")</f>
        <v>cam kết</v>
      </c>
      <c r="P173" s="76"/>
      <c r="Q173" s="76"/>
      <c r="R173" s="76"/>
      <c r="S173" s="76" t="str">
        <f>IFERROR(__xludf.DUMMYFUNCTION("""COMPUTED_VALUE"""),"27/12/2024")</f>
        <v>27/12/2024</v>
      </c>
      <c r="T173" s="76"/>
      <c r="U173" s="102" t="str">
        <f>IFERROR(__xludf.DUMMYFUNCTION("""COMPUTED_VALUE"""),"Nguyễn Thị Phương Dung")</f>
        <v>Nguyễn Thị Phương Dung</v>
      </c>
      <c r="V173" s="76" t="str">
        <f>IFERROR(__xludf.DUMMYFUNCTION("""COMPUTED_VALUE"""),"Quản Trị Khách Sạn &amp; Nhà Hàng (Đại Học)")</f>
        <v>Quản Trị Khách Sạn &amp; Nhà Hàng (Đại Học)</v>
      </c>
      <c r="W173" s="76" t="str">
        <f>IFERROR(__xludf.DUMMYFUNCTION("""COMPUTED_VALUE"""),"Allegro Hoi An - A Little Luxury Hotel &amp; Spa")</f>
        <v>Allegro Hoi An - A Little Luxury Hotel &amp; Spa</v>
      </c>
      <c r="X173" s="76" t="str">
        <f>IFERROR(__xludf.DUMMYFUNCTION("""COMPUTED_VALUE"""),"Nhà hàng")</f>
        <v>Nhà hàng</v>
      </c>
      <c r="Y173" s="76" t="str">
        <f>IFERROR(__xludf.DUMMYFUNCTION("""COMPUTED_VALUE"""),"DUYỆT")</f>
        <v>DUYỆT</v>
      </c>
      <c r="Z173" s="76" t="str">
        <f>IFERROR(__xludf.DUMMYFUNCTION("""COMPUTED_VALUE"""),"không đủ điều kiện")</f>
        <v>không đủ điều kiện</v>
      </c>
      <c r="AA173" s="76" t="str">
        <f>IFERROR(__xludf.DUMMYFUNCTION("""COMPUTED_VALUE"""),"ntpd2703@gmail.com")</f>
        <v>ntpd2703@gmail.com</v>
      </c>
      <c r="AB173" s="76"/>
      <c r="AC173" s="76"/>
    </row>
    <row r="174">
      <c r="A174" s="100">
        <f>IFERROR(__xludf.DUMMYFUNCTION("""COMPUTED_VALUE"""),45652.9718434838)</f>
        <v>45652.97184</v>
      </c>
      <c r="B174" s="76" t="str">
        <f>IFERROR(__xludf.DUMMYFUNCTION("""COMPUTED_VALUE"""),"phamthithanhhuyen60@gmail.com")</f>
        <v>phamthithanhhuyen60@gmail.com</v>
      </c>
      <c r="C174" s="76">
        <f>IFERROR(__xludf.DUMMYFUNCTION("""COMPUTED_VALUE"""),2.7207139716E10)</f>
        <v>27207139716</v>
      </c>
      <c r="D174" s="76" t="str">
        <f>IFERROR(__xludf.DUMMYFUNCTION("""COMPUTED_VALUE"""),"Phạm Thị Thanh Huyền")</f>
        <v>Phạm Thị Thanh Huyền</v>
      </c>
      <c r="E174" s="101">
        <f>IFERROR(__xludf.DUMMYFUNCTION("""COMPUTED_VALUE"""),37723.0)</f>
        <v>37723</v>
      </c>
      <c r="F174" s="76" t="str">
        <f>IFERROR(__xludf.DUMMYFUNCTION("""COMPUTED_VALUE"""),"K27DLK1")</f>
        <v>K27DLK1</v>
      </c>
      <c r="G174" s="76" t="str">
        <f>IFERROR(__xludf.DUMMYFUNCTION("""COMPUTED_VALUE"""),"Quản trị Du lịch &amp; Khách sạn")</f>
        <v>Quản trị Du lịch &amp; Khách sạn</v>
      </c>
      <c r="H174" s="76" t="str">
        <f>IFERROR(__xludf.DUMMYFUNCTION("""COMPUTED_VALUE"""),"K27")</f>
        <v>K27</v>
      </c>
      <c r="I174" s="76" t="str">
        <f>IFERROR(__xludf.DUMMYFUNCTION("""COMPUTED_VALUE"""),"0984796664")</f>
        <v>0984796664</v>
      </c>
      <c r="J174" s="76">
        <f>IFERROR(__xludf.DUMMYFUNCTION("""COMPUTED_VALUE"""),3.21)</f>
        <v>3.21</v>
      </c>
      <c r="K174" s="76">
        <f>IFERROR(__xludf.DUMMYFUNCTION("""COMPUTED_VALUE"""),115.0)</f>
        <v>115</v>
      </c>
      <c r="L174" s="76" t="str">
        <f>IFERROR(__xludf.DUMMYFUNCTION("""COMPUTED_VALUE"""),"Rồi")</f>
        <v>Rồi</v>
      </c>
      <c r="M174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74" s="76">
        <f>IFERROR(__xludf.DUMMYFUNCTION("""COMPUTED_VALUE"""),9.0)</f>
        <v>9</v>
      </c>
      <c r="O174" s="76" t="str">
        <f>IFERROR(__xludf.DUMMYFUNCTION("""COMPUTED_VALUE"""),"cam kết")</f>
        <v>cam kết</v>
      </c>
      <c r="P174" s="76"/>
      <c r="Q174" s="76"/>
      <c r="R174" s="76"/>
      <c r="S174" s="76" t="str">
        <f>IFERROR(__xludf.DUMMYFUNCTION("""COMPUTED_VALUE"""),"27/12/2024")</f>
        <v>27/12/2024</v>
      </c>
      <c r="T174" s="76"/>
      <c r="U174" s="102" t="str">
        <f>IFERROR(__xludf.DUMMYFUNCTION("""COMPUTED_VALUE"""),"Phạm Thị Thanh Huyền")</f>
        <v>Phạm Thị Thanh Huyền</v>
      </c>
      <c r="V174" s="76" t="str">
        <f>IFERROR(__xludf.DUMMYFUNCTION("""COMPUTED_VALUE"""),"Quản Trị Khách Sạn &amp; Nhà Hàng (Đại Học)")</f>
        <v>Quản Trị Khách Sạn &amp; Nhà Hàng (Đại Học)</v>
      </c>
      <c r="W174" s="76" t="str">
        <f>IFERROR(__xludf.DUMMYFUNCTION("""COMPUTED_VALUE"""),"Vanda Hotel")</f>
        <v>Vanda Hotel</v>
      </c>
      <c r="X174" s="76" t="str">
        <f>IFERROR(__xludf.DUMMYFUNCTION("""COMPUTED_VALUE"""),"Buồng phòng")</f>
        <v>Buồng phòng</v>
      </c>
      <c r="Y174" s="76" t="str">
        <f>IFERROR(__xludf.DUMMYFUNCTION("""COMPUTED_VALUE"""),"DUYỆT")</f>
        <v>DUYỆT</v>
      </c>
      <c r="Z174" s="76" t="str">
        <f>IFERROR(__xludf.DUMMYFUNCTION("""COMPUTED_VALUE"""),"CHUYÊN ĐỀ")</f>
        <v>CHUYÊN ĐỀ</v>
      </c>
      <c r="AA174" s="76" t="str">
        <f>IFERROR(__xludf.DUMMYFUNCTION("""COMPUTED_VALUE"""),"phamthithanhhuyen60@gmail.com")</f>
        <v>phamthithanhhuyen60@gmail.com</v>
      </c>
      <c r="AB174" s="76" t="str">
        <f>IFERROR(__xludf.DUMMYFUNCTION("""COMPUTED_VALUE"""),"Phạm Thị Thanh Huyền")</f>
        <v>Phạm Thị Thanh Huyền</v>
      </c>
      <c r="AC174" s="76" t="str">
        <f>IFERROR(__xludf.DUMMYFUNCTION("""COMPUTED_VALUE"""),"ĐÃ NỘP")</f>
        <v>ĐÃ NỘP</v>
      </c>
    </row>
    <row r="175">
      <c r="A175" s="100">
        <f>IFERROR(__xludf.DUMMYFUNCTION("""COMPUTED_VALUE"""),45653.469633877314)</f>
        <v>45653.46963</v>
      </c>
      <c r="B175" s="76" t="str">
        <f>IFERROR(__xludf.DUMMYFUNCTION("""COMPUTED_VALUE"""),"hanhi08052003@gmail.com")</f>
        <v>hanhi08052003@gmail.com</v>
      </c>
      <c r="C175" s="76">
        <f>IFERROR(__xludf.DUMMYFUNCTION("""COMPUTED_VALUE"""),2.7207120204E10)</f>
        <v>27207120204</v>
      </c>
      <c r="D175" s="76" t="str">
        <f>IFERROR(__xludf.DUMMYFUNCTION("""COMPUTED_VALUE"""),"Đậu Thị Hà Nhi")</f>
        <v>Đậu Thị Hà Nhi</v>
      </c>
      <c r="E175" s="101">
        <f>IFERROR(__xludf.DUMMYFUNCTION("""COMPUTED_VALUE"""),37779.0)</f>
        <v>37779</v>
      </c>
      <c r="F175" s="76" t="str">
        <f>IFERROR(__xludf.DUMMYFUNCTION("""COMPUTED_VALUE"""),"K27DLK1")</f>
        <v>K27DLK1</v>
      </c>
      <c r="G175" s="76" t="str">
        <f>IFERROR(__xludf.DUMMYFUNCTION("""COMPUTED_VALUE"""),"Quản trị Du lịch &amp; Khách sạn")</f>
        <v>Quản trị Du lịch &amp; Khách sạn</v>
      </c>
      <c r="H175" s="76" t="str">
        <f>IFERROR(__xludf.DUMMYFUNCTION("""COMPUTED_VALUE"""),"K27")</f>
        <v>K27</v>
      </c>
      <c r="I175" s="76" t="str">
        <f>IFERROR(__xludf.DUMMYFUNCTION("""COMPUTED_VALUE"""),"0332999703")</f>
        <v>0332999703</v>
      </c>
      <c r="J175" s="76">
        <f>IFERROR(__xludf.DUMMYFUNCTION("""COMPUTED_VALUE"""),2.91)</f>
        <v>2.91</v>
      </c>
      <c r="K175" s="76">
        <f>IFERROR(__xludf.DUMMYFUNCTION("""COMPUTED_VALUE"""),117.0)</f>
        <v>117</v>
      </c>
      <c r="L175" s="76" t="str">
        <f>IFERROR(__xludf.DUMMYFUNCTION("""COMPUTED_VALUE"""),"Rồi")</f>
        <v>Rồi</v>
      </c>
      <c r="M175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75" s="76">
        <f>IFERROR(__xludf.DUMMYFUNCTION("""COMPUTED_VALUE"""),6.0)</f>
        <v>6</v>
      </c>
      <c r="O175" s="76" t="str">
        <f>IFERROR(__xludf.DUMMYFUNCTION("""COMPUTED_VALUE"""),"cam kết")</f>
        <v>cam kết</v>
      </c>
      <c r="P175" s="76"/>
      <c r="Q175" s="76"/>
      <c r="R175" s="76"/>
      <c r="S175" s="76" t="str">
        <f>IFERROR(__xludf.DUMMYFUNCTION("""COMPUTED_VALUE"""),"27/12/2024")</f>
        <v>27/12/2024</v>
      </c>
      <c r="T175" s="76"/>
      <c r="U175" s="102" t="str">
        <f>IFERROR(__xludf.DUMMYFUNCTION("""COMPUTED_VALUE"""),"Đậu Thị Hà Nhi")</f>
        <v>Đậu Thị Hà Nhi</v>
      </c>
      <c r="V175" s="76" t="str">
        <f>IFERROR(__xludf.DUMMYFUNCTION("""COMPUTED_VALUE"""),"Quản Trị Khách Sạn &amp; Nhà Hàng (Đại Học)")</f>
        <v>Quản Trị Khách Sạn &amp; Nhà Hàng (Đại Học)</v>
      </c>
      <c r="W175" s="76" t="str">
        <f>IFERROR(__xludf.DUMMYFUNCTION("""COMPUTED_VALUE"""),"Rosamia Da Nang Hotel")</f>
        <v>Rosamia Da Nang Hotel</v>
      </c>
      <c r="X175" s="76" t="str">
        <f>IFERROR(__xludf.DUMMYFUNCTION("""COMPUTED_VALUE"""),"Lễ tân Spa")</f>
        <v>Lễ tân Spa</v>
      </c>
      <c r="Y175" s="76" t="str">
        <f>IFERROR(__xludf.DUMMYFUNCTION("""COMPUTED_VALUE"""),"DUYỆT")</f>
        <v>DUYỆT</v>
      </c>
      <c r="Z175" s="76" t="str">
        <f>IFERROR(__xludf.DUMMYFUNCTION("""COMPUTED_VALUE"""),"CHUYÊN ĐỀ")</f>
        <v>CHUYÊN ĐỀ</v>
      </c>
      <c r="AA175" s="76" t="str">
        <f>IFERROR(__xludf.DUMMYFUNCTION("""COMPUTED_VALUE"""),"hanhi08052003@gmail.com")</f>
        <v>hanhi08052003@gmail.com</v>
      </c>
      <c r="AB175" s="76"/>
      <c r="AC175" s="76"/>
    </row>
    <row r="176">
      <c r="A176" s="100">
        <f>IFERROR(__xludf.DUMMYFUNCTION("""COMPUTED_VALUE"""),45664.791265520835)</f>
        <v>45664.79127</v>
      </c>
      <c r="B176" s="76" t="str">
        <f>IFERROR(__xludf.DUMMYFUNCTION("""COMPUTED_VALUE"""),"fuongtaliw24@gmail.com")</f>
        <v>fuongtaliw24@gmail.com</v>
      </c>
      <c r="C176" s="76">
        <f>IFERROR(__xludf.DUMMYFUNCTION("""COMPUTED_VALUE"""),2.6207131837E10)</f>
        <v>26207131837</v>
      </c>
      <c r="D176" s="76" t="str">
        <f>IFERROR(__xludf.DUMMYFUNCTION("""COMPUTED_VALUE"""),"Nguyễn Thị Minh Phương")</f>
        <v>Nguyễn Thị Minh Phương</v>
      </c>
      <c r="E176" s="101">
        <f>IFERROR(__xludf.DUMMYFUNCTION("""COMPUTED_VALUE"""),37370.0)</f>
        <v>37370</v>
      </c>
      <c r="F176" s="76" t="str">
        <f>IFERROR(__xludf.DUMMYFUNCTION("""COMPUTED_VALUE"""),"K26DLK9")</f>
        <v>K26DLK9</v>
      </c>
      <c r="G176" s="76" t="str">
        <f>IFERROR(__xludf.DUMMYFUNCTION("""COMPUTED_VALUE"""),"Quản trị Du lịch &amp; Khách sạn")</f>
        <v>Quản trị Du lịch &amp; Khách sạn</v>
      </c>
      <c r="H176" s="76" t="str">
        <f>IFERROR(__xludf.DUMMYFUNCTION("""COMPUTED_VALUE"""),"K26")</f>
        <v>K26</v>
      </c>
      <c r="I176" s="76" t="str">
        <f>IFERROR(__xludf.DUMMYFUNCTION("""COMPUTED_VALUE"""),"0934942120")</f>
        <v>0934942120</v>
      </c>
      <c r="J176" s="76">
        <f>IFERROR(__xludf.DUMMYFUNCTION("""COMPUTED_VALUE"""),2.2)</f>
        <v>2.2</v>
      </c>
      <c r="K176" s="76">
        <f>IFERROR(__xludf.DUMMYFUNCTION("""COMPUTED_VALUE"""),118.0)</f>
        <v>118</v>
      </c>
      <c r="L176" s="76" t="str">
        <f>IFERROR(__xludf.DUMMYFUNCTION("""COMPUTED_VALUE"""),"Rồi")</f>
        <v>Rồi</v>
      </c>
      <c r="M176" s="76" t="str">
        <f>IFERROR(__xludf.DUMMYFUNCTION("""COMPUTED_VALUE"""),"Thực tập tốt nghiệp")</f>
        <v>Thực tập tốt nghiệp</v>
      </c>
      <c r="N176" s="76">
        <f>IFERROR(__xludf.DUMMYFUNCTION("""COMPUTED_VALUE"""),5.0)</f>
        <v>5</v>
      </c>
      <c r="O176" s="76" t="str">
        <f>IFERROR(__xludf.DUMMYFUNCTION("""COMPUTED_VALUE"""),"cam kết")</f>
        <v>cam kết</v>
      </c>
      <c r="P176" s="76" t="str">
        <f>IFERROR(__xludf.DUMMYFUNCTION("""COMPUTED_VALUE"""),"ĐÃ NỘP")</f>
        <v>ĐÃ NỘP</v>
      </c>
      <c r="Q176" s="76" t="str">
        <f>IFERROR(__xludf.DUMMYFUNCTION("""COMPUTED_VALUE"""),"ĐÃ NỘP")</f>
        <v>ĐÃ NỘP</v>
      </c>
      <c r="R176" s="76">
        <f>IFERROR(__xludf.DUMMYFUNCTION("""COMPUTED_VALUE"""),17.0)</f>
        <v>17</v>
      </c>
      <c r="S176" s="102">
        <f>IFERROR(__xludf.DUMMYFUNCTION("""COMPUTED_VALUE"""),45931.0)</f>
        <v>45931</v>
      </c>
      <c r="T176" s="76"/>
      <c r="U176" s="102" t="str">
        <f>IFERROR(__xludf.DUMMYFUNCTION("""COMPUTED_VALUE"""),"Nguyễn Thị Minh Phương")</f>
        <v>Nguyễn Thị Minh Phương</v>
      </c>
      <c r="V176" s="76" t="str">
        <f>IFERROR(__xludf.DUMMYFUNCTION("""COMPUTED_VALUE"""),"Quản Trị Khách Sạn &amp; Nhà Hàng (Đại Học)")</f>
        <v>Quản Trị Khách Sạn &amp; Nhà Hàng (Đại Học)</v>
      </c>
      <c r="W176" s="76" t="str">
        <f>IFERROR(__xludf.DUMMYFUNCTION("""COMPUTED_VALUE"""),"Satya Danang Hotel")</f>
        <v>Satya Danang Hotel</v>
      </c>
      <c r="X176" s="76" t="str">
        <f>IFERROR(__xludf.DUMMYFUNCTION("""COMPUTED_VALUE"""),"Nhà hàng")</f>
        <v>Nhà hàng</v>
      </c>
      <c r="Y176" s="76" t="str">
        <f>IFERROR(__xludf.DUMMYFUNCTION("""COMPUTED_VALUE"""),"DUYỆT")</f>
        <v>DUYỆT</v>
      </c>
      <c r="Z176" s="76" t="str">
        <f>IFERROR(__xludf.DUMMYFUNCTION("""COMPUTED_VALUE"""),"không đủ điều kiện")</f>
        <v>không đủ điều kiện</v>
      </c>
      <c r="AA176" s="76" t="str">
        <f>IFERROR(__xludf.DUMMYFUNCTION("""COMPUTED_VALUE"""),"fuongtaliw24@gmail.com")</f>
        <v>fuongtaliw24@gmail.com</v>
      </c>
      <c r="AB176" s="76"/>
      <c r="AC176" s="76"/>
    </row>
    <row r="177">
      <c r="A177" s="100">
        <f>IFERROR(__xludf.DUMMYFUNCTION("""COMPUTED_VALUE"""),45653.487195787035)</f>
        <v>45653.4872</v>
      </c>
      <c r="B177" s="76" t="str">
        <f>IFERROR(__xludf.DUMMYFUNCTION("""COMPUTED_VALUE"""),"tthuphuong444@gmail.com")</f>
        <v>tthuphuong444@gmail.com</v>
      </c>
      <c r="C177" s="76">
        <f>IFERROR(__xludf.DUMMYFUNCTION("""COMPUTED_VALUE"""),2.7217142556E10)</f>
        <v>27217142556</v>
      </c>
      <c r="D177" s="76" t="str">
        <f>IFERROR(__xludf.DUMMYFUNCTION("""COMPUTED_VALUE"""),"Trần Thu Phương ")</f>
        <v>Trần Thu Phương </v>
      </c>
      <c r="E177" s="101">
        <f>IFERROR(__xludf.DUMMYFUNCTION("""COMPUTED_VALUE"""),37789.0)</f>
        <v>37789</v>
      </c>
      <c r="F177" s="76" t="str">
        <f>IFERROR(__xludf.DUMMYFUNCTION("""COMPUTED_VALUE"""),"K27DLK5")</f>
        <v>K27DLK5</v>
      </c>
      <c r="G177" s="76" t="str">
        <f>IFERROR(__xludf.DUMMYFUNCTION("""COMPUTED_VALUE"""),"Quản trị Du lịch &amp; Khách sạn")</f>
        <v>Quản trị Du lịch &amp; Khách sạn</v>
      </c>
      <c r="H177" s="76" t="str">
        <f>IFERROR(__xludf.DUMMYFUNCTION("""COMPUTED_VALUE"""),"K27")</f>
        <v>K27</v>
      </c>
      <c r="I177" s="76" t="str">
        <f>IFERROR(__xludf.DUMMYFUNCTION("""COMPUTED_VALUE"""),"0568059779")</f>
        <v>0568059779</v>
      </c>
      <c r="J177" s="76">
        <f>IFERROR(__xludf.DUMMYFUNCTION("""COMPUTED_VALUE"""),3.28)</f>
        <v>3.28</v>
      </c>
      <c r="K177" s="76">
        <f>IFERROR(__xludf.DUMMYFUNCTION("""COMPUTED_VALUE"""),113.0)</f>
        <v>113</v>
      </c>
      <c r="L177" s="76" t="str">
        <f>IFERROR(__xludf.DUMMYFUNCTION("""COMPUTED_VALUE"""),"Rồi")</f>
        <v>Rồi</v>
      </c>
      <c r="M177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77" s="76">
        <f>IFERROR(__xludf.DUMMYFUNCTION("""COMPUTED_VALUE"""),11.0)</f>
        <v>11</v>
      </c>
      <c r="O177" s="76" t="str">
        <f>IFERROR(__xludf.DUMMYFUNCTION("""COMPUTED_VALUE"""),"cam kết")</f>
        <v>cam kết</v>
      </c>
      <c r="P177" s="76"/>
      <c r="Q177" s="76"/>
      <c r="R177" s="76"/>
      <c r="S177" s="76" t="str">
        <f>IFERROR(__xludf.DUMMYFUNCTION("""COMPUTED_VALUE"""),"27/12/2024")</f>
        <v>27/12/2024</v>
      </c>
      <c r="T177" s="76"/>
      <c r="U177" s="102" t="str">
        <f>IFERROR(__xludf.DUMMYFUNCTION("""COMPUTED_VALUE"""),"Trần Thu Phương")</f>
        <v>Trần Thu Phương</v>
      </c>
      <c r="V177" s="76" t="str">
        <f>IFERROR(__xludf.DUMMYFUNCTION("""COMPUTED_VALUE"""),"Quản Trị Khách Sạn &amp; Nhà Hàng (Đại Học)")</f>
        <v>Quản Trị Khách Sạn &amp; Nhà Hàng (Đại Học)</v>
      </c>
      <c r="W177" s="76" t="str">
        <f>IFERROR(__xludf.DUMMYFUNCTION("""COMPUTED_VALUE"""),"Hyatt regency DaNang Resort")</f>
        <v>Hyatt regency DaNang Resort</v>
      </c>
      <c r="X177" s="76" t="str">
        <f>IFERROR(__xludf.DUMMYFUNCTION("""COMPUTED_VALUE"""),"Buồng phòng")</f>
        <v>Buồng phòng</v>
      </c>
      <c r="Y177" s="76" t="str">
        <f>IFERROR(__xludf.DUMMYFUNCTION("""COMPUTED_VALUE"""),"DUYỆT")</f>
        <v>DUYỆT</v>
      </c>
      <c r="Z177" s="76" t="str">
        <f>IFERROR(__xludf.DUMMYFUNCTION("""COMPUTED_VALUE"""),"CHUYÊN ĐỀ")</f>
        <v>CHUYÊN ĐỀ</v>
      </c>
      <c r="AA177" s="76" t="str">
        <f>IFERROR(__xludf.DUMMYFUNCTION("""COMPUTED_VALUE"""),"tthuphuong444@gmail.com")</f>
        <v>tthuphuong444@gmail.com</v>
      </c>
      <c r="AB177" s="76" t="str">
        <f>IFERROR(__xludf.DUMMYFUNCTION("""COMPUTED_VALUE"""),"Trần Thu Phương")</f>
        <v>Trần Thu Phương</v>
      </c>
      <c r="AC177" s="76" t="str">
        <f>IFERROR(__xludf.DUMMYFUNCTION("""COMPUTED_VALUE"""),"ĐÃ NỘP")</f>
        <v>ĐÃ NỘP</v>
      </c>
    </row>
    <row r="178">
      <c r="A178" s="100">
        <f>IFERROR(__xludf.DUMMYFUNCTION("""COMPUTED_VALUE"""),45653.515366875)</f>
        <v>45653.51537</v>
      </c>
      <c r="B178" s="76" t="str">
        <f>IFERROR(__xludf.DUMMYFUNCTION("""COMPUTED_VALUE"""),"nnhuy0609@gmail.com")</f>
        <v>nnhuy0609@gmail.com</v>
      </c>
      <c r="C178" s="76">
        <f>IFERROR(__xludf.DUMMYFUNCTION("""COMPUTED_VALUE"""),2.7207141584E10)</f>
        <v>27207141584</v>
      </c>
      <c r="D178" s="76" t="str">
        <f>IFERROR(__xludf.DUMMYFUNCTION("""COMPUTED_VALUE"""),"Nguyễn Như Ý")</f>
        <v>Nguyễn Như Ý</v>
      </c>
      <c r="E178" s="101">
        <f>IFERROR(__xludf.DUMMYFUNCTION("""COMPUTED_VALUE"""),37870.0)</f>
        <v>37870</v>
      </c>
      <c r="F178" s="76" t="str">
        <f>IFERROR(__xludf.DUMMYFUNCTION("""COMPUTED_VALUE"""),"K27DLK4")</f>
        <v>K27DLK4</v>
      </c>
      <c r="G178" s="76" t="str">
        <f>IFERROR(__xludf.DUMMYFUNCTION("""COMPUTED_VALUE"""),"Quản trị Du lịch &amp; Khách sạn")</f>
        <v>Quản trị Du lịch &amp; Khách sạn</v>
      </c>
      <c r="H178" s="76" t="str">
        <f>IFERROR(__xludf.DUMMYFUNCTION("""COMPUTED_VALUE"""),"K27")</f>
        <v>K27</v>
      </c>
      <c r="I178" s="76" t="str">
        <f>IFERROR(__xludf.DUMMYFUNCTION("""COMPUTED_VALUE"""),"0935516604")</f>
        <v>0935516604</v>
      </c>
      <c r="J178" s="76">
        <f>IFERROR(__xludf.DUMMYFUNCTION("""COMPUTED_VALUE"""),2.56)</f>
        <v>2.56</v>
      </c>
      <c r="K178" s="76">
        <f>IFERROR(__xludf.DUMMYFUNCTION("""COMPUTED_VALUE"""),117.0)</f>
        <v>117</v>
      </c>
      <c r="L178" s="76" t="str">
        <f>IFERROR(__xludf.DUMMYFUNCTION("""COMPUTED_VALUE"""),"Rồi")</f>
        <v>Rồi</v>
      </c>
      <c r="M178" s="76" t="str">
        <f>IFERROR(__xludf.DUMMYFUNCTION("""COMPUTED_VALUE"""),"Thực tập tốt nghiệp")</f>
        <v>Thực tập tốt nghiệp</v>
      </c>
      <c r="N178" s="76">
        <f>IFERROR(__xludf.DUMMYFUNCTION("""COMPUTED_VALUE"""),16.0)</f>
        <v>16</v>
      </c>
      <c r="O178" s="76" t="str">
        <f>IFERROR(__xludf.DUMMYFUNCTION("""COMPUTED_VALUE"""),"cam kết")</f>
        <v>cam kết</v>
      </c>
      <c r="P178" s="76"/>
      <c r="Q178" s="76"/>
      <c r="R178" s="76"/>
      <c r="S178" s="76" t="str">
        <f>IFERROR(__xludf.DUMMYFUNCTION("""COMPUTED_VALUE"""),"27/12/2024")</f>
        <v>27/12/2024</v>
      </c>
      <c r="T178" s="76"/>
      <c r="U178" s="102" t="str">
        <f>IFERROR(__xludf.DUMMYFUNCTION("""COMPUTED_VALUE"""),"Nguyễn Như Ý")</f>
        <v>Nguyễn Như Ý</v>
      </c>
      <c r="V178" s="76" t="str">
        <f>IFERROR(__xludf.DUMMYFUNCTION("""COMPUTED_VALUE"""),"Quản Trị Khách Sạn &amp; Nhà Hàng (Đại Học)")</f>
        <v>Quản Trị Khách Sạn &amp; Nhà Hàng (Đại Học)</v>
      </c>
      <c r="W178" s="76" t="str">
        <f>IFERROR(__xludf.DUMMYFUNCTION("""COMPUTED_VALUE"""),"Vanda Hotel")</f>
        <v>Vanda Hotel</v>
      </c>
      <c r="X178" s="76" t="str">
        <f>IFERROR(__xludf.DUMMYFUNCTION("""COMPUTED_VALUE"""),"Buồng phòng")</f>
        <v>Buồng phòng</v>
      </c>
      <c r="Y178" s="76" t="str">
        <f>IFERROR(__xludf.DUMMYFUNCTION("""COMPUTED_VALUE"""),"DUYỆT")</f>
        <v>DUYỆT</v>
      </c>
      <c r="Z178" s="76" t="str">
        <f>IFERROR(__xludf.DUMMYFUNCTION("""COMPUTED_VALUE"""),"không đủ điều kiện")</f>
        <v>không đủ điều kiện</v>
      </c>
      <c r="AA178" s="76" t="str">
        <f>IFERROR(__xludf.DUMMYFUNCTION("""COMPUTED_VALUE"""),"nnhuy0609@gmail.com")</f>
        <v>nnhuy0609@gmail.com</v>
      </c>
      <c r="AB178" s="76"/>
      <c r="AC178" s="76"/>
    </row>
    <row r="179">
      <c r="A179" s="100">
        <f>IFERROR(__xludf.DUMMYFUNCTION("""COMPUTED_VALUE"""),45653.51604150463)</f>
        <v>45653.51604</v>
      </c>
      <c r="B179" s="76" t="str">
        <f>IFERROR(__xludf.DUMMYFUNCTION("""COMPUTED_VALUE"""),"Thuyduyen251103@gmail.com")</f>
        <v>Thuyduyen251103@gmail.com</v>
      </c>
      <c r="C179" s="76">
        <f>IFERROR(__xludf.DUMMYFUNCTION("""COMPUTED_VALUE"""),2.7207125399E10)</f>
        <v>27207125399</v>
      </c>
      <c r="D179" s="76" t="str">
        <f>IFERROR(__xludf.DUMMYFUNCTION("""COMPUTED_VALUE"""),"Nguyễn Thị Thuỳ Duyên")</f>
        <v>Nguyễn Thị Thuỳ Duyên</v>
      </c>
      <c r="E179" s="101">
        <f>IFERROR(__xludf.DUMMYFUNCTION("""COMPUTED_VALUE"""),37950.0)</f>
        <v>37950</v>
      </c>
      <c r="F179" s="76" t="str">
        <f>IFERROR(__xludf.DUMMYFUNCTION("""COMPUTED_VALUE"""),"K27DLK4")</f>
        <v>K27DLK4</v>
      </c>
      <c r="G179" s="76" t="str">
        <f>IFERROR(__xludf.DUMMYFUNCTION("""COMPUTED_VALUE"""),"Quản trị Du lịch &amp; Khách sạn")</f>
        <v>Quản trị Du lịch &amp; Khách sạn</v>
      </c>
      <c r="H179" s="76" t="str">
        <f>IFERROR(__xludf.DUMMYFUNCTION("""COMPUTED_VALUE"""),"K27")</f>
        <v>K27</v>
      </c>
      <c r="I179" s="76" t="str">
        <f>IFERROR(__xludf.DUMMYFUNCTION("""COMPUTED_VALUE"""),"0989004980")</f>
        <v>0989004980</v>
      </c>
      <c r="J179" s="76">
        <f>IFERROR(__xludf.DUMMYFUNCTION("""COMPUTED_VALUE"""),2.71)</f>
        <v>2.71</v>
      </c>
      <c r="K179" s="76">
        <f>IFERROR(__xludf.DUMMYFUNCTION("""COMPUTED_VALUE"""),107.0)</f>
        <v>107</v>
      </c>
      <c r="L179" s="76" t="str">
        <f>IFERROR(__xludf.DUMMYFUNCTION("""COMPUTED_VALUE"""),"Rồi")</f>
        <v>Rồi</v>
      </c>
      <c r="M179" s="76" t="str">
        <f>IFERROR(__xludf.DUMMYFUNCTION("""COMPUTED_VALUE"""),"Thực tập tốt nghiệp")</f>
        <v>Thực tập tốt nghiệp</v>
      </c>
      <c r="N179" s="76">
        <f>IFERROR(__xludf.DUMMYFUNCTION("""COMPUTED_VALUE"""),19.0)</f>
        <v>19</v>
      </c>
      <c r="O179" s="76" t="str">
        <f>IFERROR(__xludf.DUMMYFUNCTION("""COMPUTED_VALUE"""),"cam kết")</f>
        <v>cam kết</v>
      </c>
      <c r="P179" s="76"/>
      <c r="Q179" s="76"/>
      <c r="R179" s="76"/>
      <c r="S179" s="76" t="str">
        <f>IFERROR(__xludf.DUMMYFUNCTION("""COMPUTED_VALUE"""),"27/12/2024")</f>
        <v>27/12/2024</v>
      </c>
      <c r="T179" s="76"/>
      <c r="U179" s="102" t="str">
        <f>IFERROR(__xludf.DUMMYFUNCTION("""COMPUTED_VALUE"""),"Nguyễn Thị Thùy Duyên")</f>
        <v>Nguyễn Thị Thùy Duyên</v>
      </c>
      <c r="V179" s="76" t="str">
        <f>IFERROR(__xludf.DUMMYFUNCTION("""COMPUTED_VALUE"""),"Quản Trị Khách Sạn &amp; Nhà Hàng (Đại Học)")</f>
        <v>Quản Trị Khách Sạn &amp; Nhà Hàng (Đại Học)</v>
      </c>
      <c r="W179" s="76" t="str">
        <f>IFERROR(__xludf.DUMMYFUNCTION("""COMPUTED_VALUE"""),"Rosamia Da Nang Hotel")</f>
        <v>Rosamia Da Nang Hotel</v>
      </c>
      <c r="X179" s="76" t="str">
        <f>IFERROR(__xludf.DUMMYFUNCTION("""COMPUTED_VALUE"""),"Buồng phòng")</f>
        <v>Buồng phòng</v>
      </c>
      <c r="Y179" s="76" t="str">
        <f>IFERROR(__xludf.DUMMYFUNCTION("""COMPUTED_VALUE"""),"DUYỆT")</f>
        <v>DUYỆT</v>
      </c>
      <c r="Z179" s="76" t="str">
        <f>IFERROR(__xludf.DUMMYFUNCTION("""COMPUTED_VALUE"""),"không đủ điều kiện")</f>
        <v>không đủ điều kiện</v>
      </c>
      <c r="AA179" s="76" t="str">
        <f>IFERROR(__xludf.DUMMYFUNCTION("""COMPUTED_VALUE"""),"Thuyduyen251103@gmail.com")</f>
        <v>Thuyduyen251103@gmail.com</v>
      </c>
      <c r="AB179" s="76"/>
      <c r="AC179" s="76"/>
    </row>
    <row r="180">
      <c r="A180" s="100">
        <f>IFERROR(__xludf.DUMMYFUNCTION("""COMPUTED_VALUE"""),45653.51758151621)</f>
        <v>45653.51758</v>
      </c>
      <c r="B180" s="76" t="str">
        <f>IFERROR(__xludf.DUMMYFUNCTION("""COMPUTED_VALUE"""),"lhdt1029@gmail.com")</f>
        <v>lhdt1029@gmail.com</v>
      </c>
      <c r="C180" s="76">
        <f>IFERROR(__xludf.DUMMYFUNCTION("""COMPUTED_VALUE"""),2.7207141496E10)</f>
        <v>27207141496</v>
      </c>
      <c r="D180" s="76" t="str">
        <f>IFERROR(__xludf.DUMMYFUNCTION("""COMPUTED_VALUE"""),"Lê Hoàng Đoan Trang")</f>
        <v>Lê Hoàng Đoan Trang</v>
      </c>
      <c r="E180" s="101">
        <f>IFERROR(__xludf.DUMMYFUNCTION("""COMPUTED_VALUE"""),37911.0)</f>
        <v>37911</v>
      </c>
      <c r="F180" s="76" t="str">
        <f>IFERROR(__xludf.DUMMYFUNCTION("""COMPUTED_VALUE"""),"K27DLK4")</f>
        <v>K27DLK4</v>
      </c>
      <c r="G180" s="76" t="str">
        <f>IFERROR(__xludf.DUMMYFUNCTION("""COMPUTED_VALUE"""),"Quản trị Du lịch &amp; Khách sạn")</f>
        <v>Quản trị Du lịch &amp; Khách sạn</v>
      </c>
      <c r="H180" s="76" t="str">
        <f>IFERROR(__xludf.DUMMYFUNCTION("""COMPUTED_VALUE"""),"K27")</f>
        <v>K27</v>
      </c>
      <c r="I180" s="76">
        <f>IFERROR(__xludf.DUMMYFUNCTION("""COMPUTED_VALUE"""),9.05686328E8)</f>
        <v>905686328</v>
      </c>
      <c r="J180" s="76">
        <f>IFERROR(__xludf.DUMMYFUNCTION("""COMPUTED_VALUE"""),2.59)</f>
        <v>2.59</v>
      </c>
      <c r="K180" s="76">
        <f>IFERROR(__xludf.DUMMYFUNCTION("""COMPUTED_VALUE"""),113.0)</f>
        <v>113</v>
      </c>
      <c r="L180" s="76" t="str">
        <f>IFERROR(__xludf.DUMMYFUNCTION("""COMPUTED_VALUE"""),"Rồi")</f>
        <v>Rồi</v>
      </c>
      <c r="M180" s="76" t="str">
        <f>IFERROR(__xludf.DUMMYFUNCTION("""COMPUTED_VALUE"""),"Thực tập tốt nghiệp")</f>
        <v>Thực tập tốt nghiệp</v>
      </c>
      <c r="N180" s="76">
        <f>IFERROR(__xludf.DUMMYFUNCTION("""COMPUTED_VALUE"""),19.0)</f>
        <v>19</v>
      </c>
      <c r="O180" s="76" t="str">
        <f>IFERROR(__xludf.DUMMYFUNCTION("""COMPUTED_VALUE"""),"cam kết")</f>
        <v>cam kết</v>
      </c>
      <c r="P180" s="76"/>
      <c r="Q180" s="76"/>
      <c r="R180" s="76"/>
      <c r="S180" s="76" t="str">
        <f>IFERROR(__xludf.DUMMYFUNCTION("""COMPUTED_VALUE"""),"27/12/2024")</f>
        <v>27/12/2024</v>
      </c>
      <c r="T180" s="76"/>
      <c r="U180" s="102" t="str">
        <f>IFERROR(__xludf.DUMMYFUNCTION("""COMPUTED_VALUE"""),"Lê Hoàng Đoan Trang")</f>
        <v>Lê Hoàng Đoan Trang</v>
      </c>
      <c r="V180" s="76" t="str">
        <f>IFERROR(__xludf.DUMMYFUNCTION("""COMPUTED_VALUE"""),"Quản Trị Khách Sạn &amp; Nhà Hàng (Đại Học)")</f>
        <v>Quản Trị Khách Sạn &amp; Nhà Hàng (Đại Học)</v>
      </c>
      <c r="W180" s="76" t="str">
        <f>IFERROR(__xludf.DUMMYFUNCTION("""COMPUTED_VALUE"""),"Vanda Hotel")</f>
        <v>Vanda Hotel</v>
      </c>
      <c r="X180" s="76" t="str">
        <f>IFERROR(__xludf.DUMMYFUNCTION("""COMPUTED_VALUE"""),"Buồng phòng")</f>
        <v>Buồng phòng</v>
      </c>
      <c r="Y180" s="76" t="str">
        <f>IFERROR(__xludf.DUMMYFUNCTION("""COMPUTED_VALUE"""),"DUYỆT")</f>
        <v>DUYỆT</v>
      </c>
      <c r="Z180" s="76" t="str">
        <f>IFERROR(__xludf.DUMMYFUNCTION("""COMPUTED_VALUE"""),"không đủ điều kiện")</f>
        <v>không đủ điều kiện</v>
      </c>
      <c r="AA180" s="76" t="str">
        <f>IFERROR(__xludf.DUMMYFUNCTION("""COMPUTED_VALUE"""),"lhdt1029@gmail.com")</f>
        <v>lhdt1029@gmail.com</v>
      </c>
      <c r="AB180" s="76"/>
      <c r="AC180" s="76"/>
    </row>
    <row r="181">
      <c r="A181" s="100">
        <f>IFERROR(__xludf.DUMMYFUNCTION("""COMPUTED_VALUE"""),45655.711766099535)</f>
        <v>45655.71177</v>
      </c>
      <c r="B181" s="76" t="str">
        <f>IFERROR(__xludf.DUMMYFUNCTION("""COMPUTED_VALUE"""),"nkanh1909@gmail.com")</f>
        <v>nkanh1909@gmail.com</v>
      </c>
      <c r="C181" s="76">
        <f>IFERROR(__xludf.DUMMYFUNCTION("""COMPUTED_VALUE"""),2.7217128739E10)</f>
        <v>27217128739</v>
      </c>
      <c r="D181" s="76" t="str">
        <f>IFERROR(__xludf.DUMMYFUNCTION("""COMPUTED_VALUE"""),"Nguyễn Khắc Anh")</f>
        <v>Nguyễn Khắc Anh</v>
      </c>
      <c r="E181" s="101">
        <f>IFERROR(__xludf.DUMMYFUNCTION("""COMPUTED_VALUE"""),37883.0)</f>
        <v>37883</v>
      </c>
      <c r="F181" s="76" t="str">
        <f>IFERROR(__xludf.DUMMYFUNCTION("""COMPUTED_VALUE"""),"K27DLK1")</f>
        <v>K27DLK1</v>
      </c>
      <c r="G181" s="76" t="str">
        <f>IFERROR(__xludf.DUMMYFUNCTION("""COMPUTED_VALUE"""),"Quản trị Du lịch &amp; Khách sạn")</f>
        <v>Quản trị Du lịch &amp; Khách sạn</v>
      </c>
      <c r="H181" s="76" t="str">
        <f>IFERROR(__xludf.DUMMYFUNCTION("""COMPUTED_VALUE"""),"K27")</f>
        <v>K27</v>
      </c>
      <c r="I181" s="76" t="str">
        <f>IFERROR(__xludf.DUMMYFUNCTION("""COMPUTED_VALUE"""),"0777062869")</f>
        <v>0777062869</v>
      </c>
      <c r="J181" s="76">
        <f>IFERROR(__xludf.DUMMYFUNCTION("""COMPUTED_VALUE"""),3.67)</f>
        <v>3.67</v>
      </c>
      <c r="K181" s="76">
        <f>IFERROR(__xludf.DUMMYFUNCTION("""COMPUTED_VALUE"""),115.0)</f>
        <v>115</v>
      </c>
      <c r="L181" s="76" t="str">
        <f>IFERROR(__xludf.DUMMYFUNCTION("""COMPUTED_VALUE"""),"Rồi")</f>
        <v>Rồi</v>
      </c>
      <c r="M181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81" s="76">
        <f>IFERROR(__xludf.DUMMYFUNCTION("""COMPUTED_VALUE"""),9.0)</f>
        <v>9</v>
      </c>
      <c r="O181" s="76" t="str">
        <f>IFERROR(__xludf.DUMMYFUNCTION("""COMPUTED_VALUE"""),"cam kết")</f>
        <v>cam kết</v>
      </c>
      <c r="P181" s="76"/>
      <c r="Q181" s="76"/>
      <c r="R181" s="76"/>
      <c r="S181" s="102">
        <f>IFERROR(__xludf.DUMMYFUNCTION("""COMPUTED_VALUE"""),45717.0)</f>
        <v>45717</v>
      </c>
      <c r="T181" s="76"/>
      <c r="U181" s="102" t="str">
        <f>IFERROR(__xludf.DUMMYFUNCTION("""COMPUTED_VALUE"""),"Nguyễn Khắc Anh")</f>
        <v>Nguyễn Khắc Anh</v>
      </c>
      <c r="V181" s="76" t="str">
        <f>IFERROR(__xludf.DUMMYFUNCTION("""COMPUTED_VALUE"""),"Quản Trị Khách Sạn &amp; Nhà Hàng (Đại Học)")</f>
        <v>Quản Trị Khách Sạn &amp; Nhà Hàng (Đại Học)</v>
      </c>
      <c r="W181" s="76" t="str">
        <f>IFERROR(__xludf.DUMMYFUNCTION("""COMPUTED_VALUE"""),"Hyatt regency DaNang Resort")</f>
        <v>Hyatt regency DaNang Resort</v>
      </c>
      <c r="X181" s="76" t="str">
        <f>IFERROR(__xludf.DUMMYFUNCTION("""COMPUTED_VALUE"""),"Nhà hàng")</f>
        <v>Nhà hàng</v>
      </c>
      <c r="Y181" s="76" t="str">
        <f>IFERROR(__xludf.DUMMYFUNCTION("""COMPUTED_VALUE"""),"DUYỆT")</f>
        <v>DUYỆT</v>
      </c>
      <c r="Z181" s="76" t="str">
        <f>IFERROR(__xludf.DUMMYFUNCTION("""COMPUTED_VALUE"""),"CHUYÊN ĐỀ")</f>
        <v>CHUYÊN ĐỀ</v>
      </c>
      <c r="AA181" s="76" t="str">
        <f>IFERROR(__xludf.DUMMYFUNCTION("""COMPUTED_VALUE"""),"nkanh1909@gmail.com")</f>
        <v>nkanh1909@gmail.com</v>
      </c>
      <c r="AB181" s="76" t="str">
        <f>IFERROR(__xludf.DUMMYFUNCTION("""COMPUTED_VALUE"""),"Nguyễn Khắc Anh")</f>
        <v>Nguyễn Khắc Anh</v>
      </c>
      <c r="AC181" s="76" t="str">
        <f>IFERROR(__xludf.DUMMYFUNCTION("""COMPUTED_VALUE"""),"ĐÃ NỘP")</f>
        <v>ĐÃ NỘP</v>
      </c>
    </row>
    <row r="182">
      <c r="A182" s="100">
        <f>IFERROR(__xludf.DUMMYFUNCTION("""COMPUTED_VALUE"""),45653.74457047453)</f>
        <v>45653.74457</v>
      </c>
      <c r="B182" s="76" t="str">
        <f>IFERROR(__xludf.DUMMYFUNCTION("""COMPUTED_VALUE"""),"Thanhhanef@gmail.com")</f>
        <v>Thanhhanef@gmail.com</v>
      </c>
      <c r="C182" s="76">
        <f>IFERROR(__xludf.DUMMYFUNCTION("""COMPUTED_VALUE"""),2.7207127705E10)</f>
        <v>27207127705</v>
      </c>
      <c r="D182" s="76" t="str">
        <f>IFERROR(__xludf.DUMMYFUNCTION("""COMPUTED_VALUE"""),"Nguyễn Thị Thanh Hà ")</f>
        <v>Nguyễn Thị Thanh Hà </v>
      </c>
      <c r="E182" s="101">
        <f>IFERROR(__xludf.DUMMYFUNCTION("""COMPUTED_VALUE"""),37814.0)</f>
        <v>37814</v>
      </c>
      <c r="F182" s="76" t="str">
        <f>IFERROR(__xludf.DUMMYFUNCTION("""COMPUTED_VALUE"""),"K27DLK5")</f>
        <v>K27DLK5</v>
      </c>
      <c r="G182" s="76" t="str">
        <f>IFERROR(__xludf.DUMMYFUNCTION("""COMPUTED_VALUE"""),"Quản trị Du lịch &amp; Khách sạn")</f>
        <v>Quản trị Du lịch &amp; Khách sạn</v>
      </c>
      <c r="H182" s="76" t="str">
        <f>IFERROR(__xludf.DUMMYFUNCTION("""COMPUTED_VALUE"""),"K27")</f>
        <v>K27</v>
      </c>
      <c r="I182" s="76" t="str">
        <f>IFERROR(__xludf.DUMMYFUNCTION("""COMPUTED_VALUE"""),"0819023337")</f>
        <v>0819023337</v>
      </c>
      <c r="J182" s="76">
        <f>IFERROR(__xludf.DUMMYFUNCTION("""COMPUTED_VALUE"""),3.05)</f>
        <v>3.05</v>
      </c>
      <c r="K182" s="76">
        <f>IFERROR(__xludf.DUMMYFUNCTION("""COMPUTED_VALUE"""),108.0)</f>
        <v>108</v>
      </c>
      <c r="L182" s="76" t="str">
        <f>IFERROR(__xludf.DUMMYFUNCTION("""COMPUTED_VALUE"""),"Rồi")</f>
        <v>Rồi</v>
      </c>
      <c r="M182" s="76" t="str">
        <f>IFERROR(__xludf.DUMMYFUNCTION("""COMPUTED_VALUE"""),"Thực tập tốt nghiệp")</f>
        <v>Thực tập tốt nghiệp</v>
      </c>
      <c r="N182" s="76">
        <f>IFERROR(__xludf.DUMMYFUNCTION("""COMPUTED_VALUE"""),19.0)</f>
        <v>19</v>
      </c>
      <c r="O182" s="76" t="str">
        <f>IFERROR(__xludf.DUMMYFUNCTION("""COMPUTED_VALUE"""),"cam kết")</f>
        <v>cam kết</v>
      </c>
      <c r="P182" s="76"/>
      <c r="Q182" s="76"/>
      <c r="R182" s="76"/>
      <c r="S182" s="102">
        <f>IFERROR(__xludf.DUMMYFUNCTION("""COMPUTED_VALUE"""),45717.0)</f>
        <v>45717</v>
      </c>
      <c r="T182" s="76"/>
      <c r="U182" s="102" t="str">
        <f>IFERROR(__xludf.DUMMYFUNCTION("""COMPUTED_VALUE"""),"Nguyễn Thị Thanh Hà")</f>
        <v>Nguyễn Thị Thanh Hà</v>
      </c>
      <c r="V182" s="76" t="str">
        <f>IFERROR(__xludf.DUMMYFUNCTION("""COMPUTED_VALUE"""),"Quản Trị Khách Sạn &amp; Nhà Hàng (Đại Học)")</f>
        <v>Quản Trị Khách Sạn &amp; Nhà Hàng (Đại Học)</v>
      </c>
      <c r="W182" s="76" t="str">
        <f>IFERROR(__xludf.DUMMYFUNCTION("""COMPUTED_VALUE"""),"New Orient Hotel Đà Nẵng")</f>
        <v>New Orient Hotel Đà Nẵng</v>
      </c>
      <c r="X182" s="76" t="str">
        <f>IFERROR(__xludf.DUMMYFUNCTION("""COMPUTED_VALUE"""),"Nhà hàng")</f>
        <v>Nhà hàng</v>
      </c>
      <c r="Y182" s="76" t="str">
        <f>IFERROR(__xludf.DUMMYFUNCTION("""COMPUTED_VALUE"""),"DUYỆT")</f>
        <v>DUYỆT</v>
      </c>
      <c r="Z182" s="76" t="str">
        <f>IFERROR(__xludf.DUMMYFUNCTION("""COMPUTED_VALUE"""),"không đủ điều kiện")</f>
        <v>không đủ điều kiện</v>
      </c>
      <c r="AA182" s="76" t="str">
        <f>IFERROR(__xludf.DUMMYFUNCTION("""COMPUTED_VALUE"""),"Thanhhanef@gmail.com")</f>
        <v>Thanhhanef@gmail.com</v>
      </c>
      <c r="AB182" s="76"/>
      <c r="AC182" s="76"/>
    </row>
    <row r="183">
      <c r="A183" s="100">
        <f>IFERROR(__xludf.DUMMYFUNCTION("""COMPUTED_VALUE"""),45658.60756297453)</f>
        <v>45658.60756</v>
      </c>
      <c r="B183" s="76" t="str">
        <f>IFERROR(__xludf.DUMMYFUNCTION("""COMPUTED_VALUE"""),"kieukieukiki5@gmail.com")</f>
        <v>kieukieukiki5@gmail.com</v>
      </c>
      <c r="C183" s="76">
        <f>IFERROR(__xludf.DUMMYFUNCTION("""COMPUTED_VALUE"""),2.7207138525E10)</f>
        <v>27207138525</v>
      </c>
      <c r="D183" s="76" t="str">
        <f>IFERROR(__xludf.DUMMYFUNCTION("""COMPUTED_VALUE"""),"Đặng Thị Thuý Kiều ")</f>
        <v>Đặng Thị Thuý Kiều </v>
      </c>
      <c r="E183" s="101">
        <f>IFERROR(__xludf.DUMMYFUNCTION("""COMPUTED_VALUE"""),37685.0)</f>
        <v>37685</v>
      </c>
      <c r="F183" s="76" t="str">
        <f>IFERROR(__xludf.DUMMYFUNCTION("""COMPUTED_VALUE"""),"K27 DLK3")</f>
        <v>K27 DLK3</v>
      </c>
      <c r="G183" s="76" t="str">
        <f>IFERROR(__xludf.DUMMYFUNCTION("""COMPUTED_VALUE"""),"Quản trị Du lịch &amp; Khách sạn")</f>
        <v>Quản trị Du lịch &amp; Khách sạn</v>
      </c>
      <c r="H183" s="76" t="str">
        <f>IFERROR(__xludf.DUMMYFUNCTION("""COMPUTED_VALUE"""),"K27")</f>
        <v>K27</v>
      </c>
      <c r="I183" s="76" t="str">
        <f>IFERROR(__xludf.DUMMYFUNCTION("""COMPUTED_VALUE"""),"0326110452")</f>
        <v>0326110452</v>
      </c>
      <c r="J183" s="76">
        <f>IFERROR(__xludf.DUMMYFUNCTION("""COMPUTED_VALUE"""),3.26)</f>
        <v>3.26</v>
      </c>
      <c r="K183" s="76">
        <f>IFERROR(__xludf.DUMMYFUNCTION("""COMPUTED_VALUE"""),115.0)</f>
        <v>115</v>
      </c>
      <c r="L183" s="76" t="str">
        <f>IFERROR(__xludf.DUMMYFUNCTION("""COMPUTED_VALUE"""),"Rồi")</f>
        <v>Rồi</v>
      </c>
      <c r="M183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83" s="76">
        <f>IFERROR(__xludf.DUMMYFUNCTION("""COMPUTED_VALUE"""),14.0)</f>
        <v>14</v>
      </c>
      <c r="O183" s="76" t="str">
        <f>IFERROR(__xludf.DUMMYFUNCTION("""COMPUTED_VALUE"""),"cam kết")</f>
        <v>cam kết</v>
      </c>
      <c r="P183" s="76" t="str">
        <f>IFERROR(__xludf.DUMMYFUNCTION("""COMPUTED_VALUE"""),"ĐÃ NỘP")</f>
        <v>ĐÃ NỘP</v>
      </c>
      <c r="Q183" s="76"/>
      <c r="R183" s="76"/>
      <c r="S183" s="102">
        <f>IFERROR(__xludf.DUMMYFUNCTION("""COMPUTED_VALUE"""),45717.0)</f>
        <v>45717</v>
      </c>
      <c r="T183" s="76"/>
      <c r="U183" s="102" t="str">
        <f>IFERROR(__xludf.DUMMYFUNCTION("""COMPUTED_VALUE"""),"Đặng Thị Thúy Kiều")</f>
        <v>Đặng Thị Thúy Kiều</v>
      </c>
      <c r="V183" s="76" t="str">
        <f>IFERROR(__xludf.DUMMYFUNCTION("""COMPUTED_VALUE"""),"Quản Trị Khách Sạn &amp; Nhà Hàng (Đại Học)")</f>
        <v>Quản Trị Khách Sạn &amp; Nhà Hàng (Đại Học)</v>
      </c>
      <c r="W183" s="76" t="str">
        <f>IFERROR(__xludf.DUMMYFUNCTION("""COMPUTED_VALUE"""),"Grand Mercure Đà Nẵng")</f>
        <v>Grand Mercure Đà Nẵng</v>
      </c>
      <c r="X183" s="76" t="str">
        <f>IFERROR(__xludf.DUMMYFUNCTION("""COMPUTED_VALUE"""),"Nhà hàng")</f>
        <v>Nhà hàng</v>
      </c>
      <c r="Y183" s="76" t="str">
        <f>IFERROR(__xludf.DUMMYFUNCTION("""COMPUTED_VALUE"""),"DUYỆT")</f>
        <v>DUYỆT</v>
      </c>
      <c r="Z183" s="76" t="str">
        <f>IFERROR(__xludf.DUMMYFUNCTION("""COMPUTED_VALUE"""),"CHUYÊN ĐỀ")</f>
        <v>CHUYÊN ĐỀ</v>
      </c>
      <c r="AA183" s="76" t="str">
        <f>IFERROR(__xludf.DUMMYFUNCTION("""COMPUTED_VALUE"""),"kieukieukiki5@gmail.com")</f>
        <v>kieukieukiki5@gmail.com</v>
      </c>
      <c r="AB183" s="76"/>
      <c r="AC183" s="76"/>
    </row>
    <row r="184">
      <c r="A184" s="100">
        <f>IFERROR(__xludf.DUMMYFUNCTION("""COMPUTED_VALUE"""),45657.93601074074)</f>
        <v>45657.93601</v>
      </c>
      <c r="B184" s="76" t="str">
        <f>IFERROR(__xludf.DUMMYFUNCTION("""COMPUTED_VALUE"""),"lequangson04092003@gmail.com")</f>
        <v>lequangson04092003@gmail.com</v>
      </c>
      <c r="C184" s="76">
        <f>IFERROR(__xludf.DUMMYFUNCTION("""COMPUTED_VALUE"""),2.7217137887E10)</f>
        <v>27217137887</v>
      </c>
      <c r="D184" s="76" t="str">
        <f>IFERROR(__xludf.DUMMYFUNCTION("""COMPUTED_VALUE"""),"Lê Quang Sơn ")</f>
        <v>Lê Quang Sơn </v>
      </c>
      <c r="E184" s="101">
        <f>IFERROR(__xludf.DUMMYFUNCTION("""COMPUTED_VALUE"""),37868.0)</f>
        <v>37868</v>
      </c>
      <c r="F184" s="76" t="str">
        <f>IFERROR(__xludf.DUMMYFUNCTION("""COMPUTED_VALUE"""),"K27DLK3")</f>
        <v>K27DLK3</v>
      </c>
      <c r="G184" s="76" t="str">
        <f>IFERROR(__xludf.DUMMYFUNCTION("""COMPUTED_VALUE"""),"Quản trị Du lịch &amp; Khách sạn")</f>
        <v>Quản trị Du lịch &amp; Khách sạn</v>
      </c>
      <c r="H184" s="76" t="str">
        <f>IFERROR(__xludf.DUMMYFUNCTION("""COMPUTED_VALUE"""),"K27")</f>
        <v>K27</v>
      </c>
      <c r="I184" s="76" t="str">
        <f>IFERROR(__xludf.DUMMYFUNCTION("""COMPUTED_VALUE"""),"0339295515")</f>
        <v>0339295515</v>
      </c>
      <c r="J184" s="76">
        <f>IFERROR(__xludf.DUMMYFUNCTION("""COMPUTED_VALUE"""),2.65)</f>
        <v>2.65</v>
      </c>
      <c r="K184" s="76">
        <f>IFERROR(__xludf.DUMMYFUNCTION("""COMPUTED_VALUE"""),106.0)</f>
        <v>106</v>
      </c>
      <c r="L184" s="76" t="str">
        <f>IFERROR(__xludf.DUMMYFUNCTION("""COMPUTED_VALUE"""),"Rồi")</f>
        <v>Rồi</v>
      </c>
      <c r="M184" s="76" t="str">
        <f>IFERROR(__xludf.DUMMYFUNCTION("""COMPUTED_VALUE"""),"Thực tập tốt nghiệp")</f>
        <v>Thực tập tốt nghiệp</v>
      </c>
      <c r="N184" s="76">
        <f>IFERROR(__xludf.DUMMYFUNCTION("""COMPUTED_VALUE"""),25.0)</f>
        <v>25</v>
      </c>
      <c r="O184" s="76" t="str">
        <f>IFERROR(__xludf.DUMMYFUNCTION("""COMPUTED_VALUE"""),"cam kết")</f>
        <v>cam kết</v>
      </c>
      <c r="P184" s="76"/>
      <c r="Q184" s="76"/>
      <c r="R184" s="76"/>
      <c r="S184" s="102">
        <f>IFERROR(__xludf.DUMMYFUNCTION("""COMPUTED_VALUE"""),45717.0)</f>
        <v>45717</v>
      </c>
      <c r="T184" s="76"/>
      <c r="U184" s="102" t="str">
        <f>IFERROR(__xludf.DUMMYFUNCTION("""COMPUTED_VALUE"""),"Lê Quang Sơn")</f>
        <v>Lê Quang Sơn</v>
      </c>
      <c r="V184" s="76" t="str">
        <f>IFERROR(__xludf.DUMMYFUNCTION("""COMPUTED_VALUE"""),"Quản Trị Khách Sạn &amp; Nhà Hàng (Đại Học)")</f>
        <v>Quản Trị Khách Sạn &amp; Nhà Hàng (Đại Học)</v>
      </c>
      <c r="W184" s="76" t="str">
        <f>IFERROR(__xludf.DUMMYFUNCTION("""COMPUTED_VALUE"""),"Khách sạn Avatar Đà Nẵng ")</f>
        <v>Khách sạn Avatar Đà Nẵng </v>
      </c>
      <c r="X184" s="76" t="str">
        <f>IFERROR(__xludf.DUMMYFUNCTION("""COMPUTED_VALUE"""),"Nhà hàng")</f>
        <v>Nhà hàng</v>
      </c>
      <c r="Y184" s="76" t="str">
        <f>IFERROR(__xludf.DUMMYFUNCTION("""COMPUTED_VALUE"""),"DUYỆT")</f>
        <v>DUYỆT</v>
      </c>
      <c r="Z184" s="76" t="str">
        <f>IFERROR(__xludf.DUMMYFUNCTION("""COMPUTED_VALUE"""),"không đủ điều kiện")</f>
        <v>không đủ điều kiện</v>
      </c>
      <c r="AA184" s="76" t="str">
        <f>IFERROR(__xludf.DUMMYFUNCTION("""COMPUTED_VALUE"""),"lequangson04092003@gmail.com")</f>
        <v>lequangson04092003@gmail.com</v>
      </c>
      <c r="AB184" s="76"/>
      <c r="AC184" s="76"/>
    </row>
    <row r="185">
      <c r="A185" s="100">
        <f>IFERROR(__xludf.DUMMYFUNCTION("""COMPUTED_VALUE"""),45654.50173744213)</f>
        <v>45654.50174</v>
      </c>
      <c r="B185" s="76" t="str">
        <f>IFERROR(__xludf.DUMMYFUNCTION("""COMPUTED_VALUE"""),"nguyenthidieuphuong2020@gmail.com")</f>
        <v>nguyenthidieuphuong2020@gmail.com</v>
      </c>
      <c r="C185" s="76">
        <f>IFERROR(__xludf.DUMMYFUNCTION("""COMPUTED_VALUE"""),2.7207147707E10)</f>
        <v>27207147707</v>
      </c>
      <c r="D185" s="76" t="str">
        <f>IFERROR(__xludf.DUMMYFUNCTION("""COMPUTED_VALUE"""),"Nguyễn Thị Diệu phương ")</f>
        <v>Nguyễn Thị Diệu phương </v>
      </c>
      <c r="E185" s="101">
        <f>IFERROR(__xludf.DUMMYFUNCTION("""COMPUTED_VALUE"""),37771.0)</f>
        <v>37771</v>
      </c>
      <c r="F185" s="76" t="str">
        <f>IFERROR(__xludf.DUMMYFUNCTION("""COMPUTED_VALUE"""),"DLK7")</f>
        <v>DLK7</v>
      </c>
      <c r="G185" s="76" t="str">
        <f>IFERROR(__xludf.DUMMYFUNCTION("""COMPUTED_VALUE"""),"Quản trị Du lịch &amp; Khách sạn")</f>
        <v>Quản trị Du lịch &amp; Khách sạn</v>
      </c>
      <c r="H185" s="76" t="str">
        <f>IFERROR(__xludf.DUMMYFUNCTION("""COMPUTED_VALUE"""),"K27")</f>
        <v>K27</v>
      </c>
      <c r="I185" s="76" t="str">
        <f>IFERROR(__xludf.DUMMYFUNCTION("""COMPUTED_VALUE"""),"0375395308")</f>
        <v>0375395308</v>
      </c>
      <c r="J185" s="76">
        <f>IFERROR(__xludf.DUMMYFUNCTION("""COMPUTED_VALUE"""),2.1)</f>
        <v>2.1</v>
      </c>
      <c r="K185" s="76">
        <f>IFERROR(__xludf.DUMMYFUNCTION("""COMPUTED_VALUE"""),124.0)</f>
        <v>124</v>
      </c>
      <c r="L185" s="76" t="str">
        <f>IFERROR(__xludf.DUMMYFUNCTION("""COMPUTED_VALUE"""),"Rồi")</f>
        <v>Rồi</v>
      </c>
      <c r="M185" s="76" t="str">
        <f>IFERROR(__xludf.DUMMYFUNCTION("""COMPUTED_VALUE"""),"Thực tập tốt nghiệp")</f>
        <v>Thực tập tốt nghiệp</v>
      </c>
      <c r="N185" s="76">
        <f>IFERROR(__xludf.DUMMYFUNCTION("""COMPUTED_VALUE"""),6.0)</f>
        <v>6</v>
      </c>
      <c r="O185" s="76" t="str">
        <f>IFERROR(__xludf.DUMMYFUNCTION("""COMPUTED_VALUE"""),"cam kết")</f>
        <v>cam kết</v>
      </c>
      <c r="P185" s="76"/>
      <c r="Q185" s="76"/>
      <c r="R185" s="76"/>
      <c r="S185" s="102">
        <f>IFERROR(__xludf.DUMMYFUNCTION("""COMPUTED_VALUE"""),45717.0)</f>
        <v>45717</v>
      </c>
      <c r="T185" s="76"/>
      <c r="U185" s="102" t="str">
        <f>IFERROR(__xludf.DUMMYFUNCTION("""COMPUTED_VALUE"""),"Nguyễn Thị Diệu Phương")</f>
        <v>Nguyễn Thị Diệu Phương</v>
      </c>
      <c r="V185" s="76" t="str">
        <f>IFERROR(__xludf.DUMMYFUNCTION("""COMPUTED_VALUE"""),"Quản Trị Khách Sạn &amp; Nhà Hàng (Đại Học)")</f>
        <v>Quản Trị Khách Sạn &amp; Nhà Hàng (Đại Học)</v>
      </c>
      <c r="W185" s="76" t="str">
        <f>IFERROR(__xludf.DUMMYFUNCTION("""COMPUTED_VALUE"""),"#N/A")</f>
        <v>#N/A</v>
      </c>
      <c r="X185" s="76" t="str">
        <f>IFERROR(__xludf.DUMMYFUNCTION("""COMPUTED_VALUE"""),"#N/A")</f>
        <v>#N/A</v>
      </c>
      <c r="Y185" s="76" t="str">
        <f>IFERROR(__xludf.DUMMYFUNCTION("""COMPUTED_VALUE"""),"#N/A")</f>
        <v>#N/A</v>
      </c>
      <c r="Z185" s="76" t="str">
        <f>IFERROR(__xludf.DUMMYFUNCTION("""COMPUTED_VALUE"""),"CHUYÊN ĐỀ")</f>
        <v>CHUYÊN ĐỀ</v>
      </c>
      <c r="AA185" s="76" t="str">
        <f>IFERROR(__xludf.DUMMYFUNCTION("""COMPUTED_VALUE"""),"nguyenthidieuphuong2020@gmail.com")</f>
        <v>nguyenthidieuphuong2020@gmail.com</v>
      </c>
      <c r="AB185" s="76"/>
      <c r="AC185" s="76"/>
    </row>
    <row r="186">
      <c r="A186" s="100">
        <f>IFERROR(__xludf.DUMMYFUNCTION("""COMPUTED_VALUE"""),45654.50512084491)</f>
        <v>45654.50512</v>
      </c>
      <c r="B186" s="76" t="str">
        <f>IFERROR(__xludf.DUMMYFUNCTION("""COMPUTED_VALUE"""),"thuongthuong1682003@gmail.com")</f>
        <v>thuongthuong1682003@gmail.com</v>
      </c>
      <c r="C186" s="76">
        <f>IFERROR(__xludf.DUMMYFUNCTION("""COMPUTED_VALUE"""),2.7207128839E10)</f>
        <v>27207128839</v>
      </c>
      <c r="D186" s="76" t="str">
        <f>IFERROR(__xludf.DUMMYFUNCTION("""COMPUTED_VALUE"""),"Nguyễn Thị Thu Thương")</f>
        <v>Nguyễn Thị Thu Thương</v>
      </c>
      <c r="E186" s="101">
        <f>IFERROR(__xludf.DUMMYFUNCTION("""COMPUTED_VALUE"""),37849.0)</f>
        <v>37849</v>
      </c>
      <c r="F186" s="76" t="str">
        <f>IFERROR(__xludf.DUMMYFUNCTION("""COMPUTED_VALUE"""),"K27DLK4")</f>
        <v>K27DLK4</v>
      </c>
      <c r="G186" s="76" t="str">
        <f>IFERROR(__xludf.DUMMYFUNCTION("""COMPUTED_VALUE"""),"Quản trị Du lịch &amp; Khách sạn")</f>
        <v>Quản trị Du lịch &amp; Khách sạn</v>
      </c>
      <c r="H186" s="76" t="str">
        <f>IFERROR(__xludf.DUMMYFUNCTION("""COMPUTED_VALUE"""),"K27")</f>
        <v>K27</v>
      </c>
      <c r="I186" s="76" t="str">
        <f>IFERROR(__xludf.DUMMYFUNCTION("""COMPUTED_VALUE"""),"0795598551")</f>
        <v>0795598551</v>
      </c>
      <c r="J186" s="76">
        <f>IFERROR(__xludf.DUMMYFUNCTION("""COMPUTED_VALUE"""),3.07)</f>
        <v>3.07</v>
      </c>
      <c r="K186" s="76">
        <f>IFERROR(__xludf.DUMMYFUNCTION("""COMPUTED_VALUE"""),115.0)</f>
        <v>115</v>
      </c>
      <c r="L186" s="76" t="str">
        <f>IFERROR(__xludf.DUMMYFUNCTION("""COMPUTED_VALUE"""),"Rồi")</f>
        <v>Rồi</v>
      </c>
      <c r="M186" s="76" t="str">
        <f>IFERROR(__xludf.DUMMYFUNCTION("""COMPUTED_VALUE"""),"Thực tập tốt nghiệp")</f>
        <v>Thực tập tốt nghiệp</v>
      </c>
      <c r="N186" s="76">
        <f>IFERROR(__xludf.DUMMYFUNCTION("""COMPUTED_VALUE"""),9.0)</f>
        <v>9</v>
      </c>
      <c r="O186" s="76" t="str">
        <f>IFERROR(__xludf.DUMMYFUNCTION("""COMPUTED_VALUE"""),"cam kết")</f>
        <v>cam kết</v>
      </c>
      <c r="P186" s="76"/>
      <c r="Q186" s="76"/>
      <c r="R186" s="76"/>
      <c r="S186" s="102">
        <f>IFERROR(__xludf.DUMMYFUNCTION("""COMPUTED_VALUE"""),45717.0)</f>
        <v>45717</v>
      </c>
      <c r="T186" s="76"/>
      <c r="U186" s="102" t="str">
        <f>IFERROR(__xludf.DUMMYFUNCTION("""COMPUTED_VALUE"""),"Nguyễn Thị Thu Thương")</f>
        <v>Nguyễn Thị Thu Thương</v>
      </c>
      <c r="V186" s="76" t="str">
        <f>IFERROR(__xludf.DUMMYFUNCTION("""COMPUTED_VALUE"""),"Quản Trị Khách Sạn &amp; Nhà Hàng (Đại Học)")</f>
        <v>Quản Trị Khách Sạn &amp; Nhà Hàng (Đại Học)</v>
      </c>
      <c r="W186" s="76" t="str">
        <f>IFERROR(__xludf.DUMMYFUNCTION("""COMPUTED_VALUE"""),"Vanda Hotel")</f>
        <v>Vanda Hotel</v>
      </c>
      <c r="X186" s="76" t="str">
        <f>IFERROR(__xludf.DUMMYFUNCTION("""COMPUTED_VALUE"""),"Nhà hàng")</f>
        <v>Nhà hàng</v>
      </c>
      <c r="Y186" s="76" t="str">
        <f>IFERROR(__xludf.DUMMYFUNCTION("""COMPUTED_VALUE"""),"DUYỆT")</f>
        <v>DUYỆT</v>
      </c>
      <c r="Z186" s="76" t="str">
        <f>IFERROR(__xludf.DUMMYFUNCTION("""COMPUTED_VALUE"""),"CHUYÊN ĐỀ")</f>
        <v>CHUYÊN ĐỀ</v>
      </c>
      <c r="AA186" s="76" t="str">
        <f>IFERROR(__xludf.DUMMYFUNCTION("""COMPUTED_VALUE"""),"thuongthuong1682003@gmail.com")</f>
        <v>thuongthuong1682003@gmail.com</v>
      </c>
      <c r="AB186" s="76"/>
      <c r="AC186" s="76"/>
    </row>
    <row r="187">
      <c r="A187" s="100">
        <f>IFERROR(__xludf.DUMMYFUNCTION("""COMPUTED_VALUE"""),45654.52103171297)</f>
        <v>45654.52103</v>
      </c>
      <c r="B187" s="76" t="str">
        <f>IFERROR(__xludf.DUMMYFUNCTION("""COMPUTED_VALUE"""),"vietvanthanh2003@gmail.com")</f>
        <v>vietvanthanh2003@gmail.com</v>
      </c>
      <c r="C187" s="76">
        <f>IFERROR(__xludf.DUMMYFUNCTION("""COMPUTED_VALUE"""),2.7217128905E10)</f>
        <v>27217128905</v>
      </c>
      <c r="D187" s="76" t="str">
        <f>IFERROR(__xludf.DUMMYFUNCTION("""COMPUTED_VALUE"""),"Văn Thanh Việt")</f>
        <v>Văn Thanh Việt</v>
      </c>
      <c r="E187" s="101">
        <f>IFERROR(__xludf.DUMMYFUNCTION("""COMPUTED_VALUE"""),37788.0)</f>
        <v>37788</v>
      </c>
      <c r="F187" s="76" t="str">
        <f>IFERROR(__xludf.DUMMYFUNCTION("""COMPUTED_VALUE"""),"K27PSUDLK 1")</f>
        <v>K27PSUDLK 1</v>
      </c>
      <c r="G187" s="76" t="str">
        <f>IFERROR(__xludf.DUMMYFUNCTION("""COMPUTED_VALUE"""),"Quản trị Du lịch &amp; Khách sạn chuẩn PSU")</f>
        <v>Quản trị Du lịch &amp; Khách sạn chuẩn PSU</v>
      </c>
      <c r="H187" s="76" t="str">
        <f>IFERROR(__xludf.DUMMYFUNCTION("""COMPUTED_VALUE"""),"K27")</f>
        <v>K27</v>
      </c>
      <c r="I187" s="76" t="str">
        <f>IFERROR(__xludf.DUMMYFUNCTION("""COMPUTED_VALUE"""),"0915066334")</f>
        <v>0915066334</v>
      </c>
      <c r="J187" s="76">
        <f>IFERROR(__xludf.DUMMYFUNCTION("""COMPUTED_VALUE"""),2.51)</f>
        <v>2.51</v>
      </c>
      <c r="K187" s="76">
        <f>IFERROR(__xludf.DUMMYFUNCTION("""COMPUTED_VALUE"""),111.0)</f>
        <v>111</v>
      </c>
      <c r="L187" s="76" t="str">
        <f>IFERROR(__xludf.DUMMYFUNCTION("""COMPUTED_VALUE"""),"Rồi")</f>
        <v>Rồi</v>
      </c>
      <c r="M187" s="76" t="str">
        <f>IFERROR(__xludf.DUMMYFUNCTION("""COMPUTED_VALUE"""),"Thực tập tốt nghiệp, Thi tốt nghiệp")</f>
        <v>Thực tập tốt nghiệp, Thi tốt nghiệp</v>
      </c>
      <c r="N187" s="76">
        <f>IFERROR(__xludf.DUMMYFUNCTION("""COMPUTED_VALUE"""),25.0)</f>
        <v>25</v>
      </c>
      <c r="O187" s="76" t="str">
        <f>IFERROR(__xludf.DUMMYFUNCTION("""COMPUTED_VALUE"""),"cam kết")</f>
        <v>cam kết</v>
      </c>
      <c r="P187" s="76" t="str">
        <f>IFERROR(__xludf.DUMMYFUNCTION("""COMPUTED_VALUE"""),"ĐÃ NỘP")</f>
        <v>ĐÃ NỘP</v>
      </c>
      <c r="Q187" s="76"/>
      <c r="R187" s="76"/>
      <c r="S187" s="102">
        <f>IFERROR(__xludf.DUMMYFUNCTION("""COMPUTED_VALUE"""),45717.0)</f>
        <v>45717</v>
      </c>
      <c r="T187" s="76"/>
      <c r="U187" s="102" t="str">
        <f>IFERROR(__xludf.DUMMYFUNCTION("""COMPUTED_VALUE"""),"Văn Thanh Việt")</f>
        <v>Văn Thanh Việt</v>
      </c>
      <c r="V187" s="76" t="str">
        <f>IFERROR(__xludf.DUMMYFUNCTION("""COMPUTED_VALUE"""),"Quản Trị Du Lịch &amp; Khách Sạn Chuẩn PSU (Đại Học)")</f>
        <v>Quản Trị Du Lịch &amp; Khách Sạn Chuẩn PSU (Đại Học)</v>
      </c>
      <c r="W187" s="76" t="str">
        <f>IFERROR(__xludf.DUMMYFUNCTION("""COMPUTED_VALUE"""),"Pullman Danang Beach Resort")</f>
        <v>Pullman Danang Beach Resort</v>
      </c>
      <c r="X187" s="76" t="str">
        <f>IFERROR(__xludf.DUMMYFUNCTION("""COMPUTED_VALUE"""),"Nhà hàng")</f>
        <v>Nhà hàng</v>
      </c>
      <c r="Y187" s="76" t="str">
        <f>IFERROR(__xludf.DUMMYFUNCTION("""COMPUTED_VALUE"""),"DUYỆT")</f>
        <v>DUYỆT</v>
      </c>
      <c r="Z187" s="76" t="str">
        <f>IFERROR(__xludf.DUMMYFUNCTION("""COMPUTED_VALUE"""),"không đủ điều kiện")</f>
        <v>không đủ điều kiện</v>
      </c>
      <c r="AA187" s="76" t="str">
        <f>IFERROR(__xludf.DUMMYFUNCTION("""COMPUTED_VALUE"""),"vietvanthanh2003@gmail.com")</f>
        <v>vietvanthanh2003@gmail.com</v>
      </c>
      <c r="AB187" s="76"/>
      <c r="AC187" s="76"/>
    </row>
    <row r="188">
      <c r="A188" s="100">
        <f>IFERROR(__xludf.DUMMYFUNCTION("""COMPUTED_VALUE"""),45654.53880540509)</f>
        <v>45654.53881</v>
      </c>
      <c r="B188" s="76" t="str">
        <f>IFERROR(__xludf.DUMMYFUNCTION("""COMPUTED_VALUE"""),"hientran.051003@gmail.com")</f>
        <v>hientran.051003@gmail.com</v>
      </c>
      <c r="C188" s="76">
        <f>IFERROR(__xludf.DUMMYFUNCTION("""COMPUTED_VALUE"""),2.7217133018E10)</f>
        <v>27217133018</v>
      </c>
      <c r="D188" s="76" t="str">
        <f>IFERROR(__xludf.DUMMYFUNCTION("""COMPUTED_VALUE"""),"Trần Nguyễn Thu Huyền")</f>
        <v>Trần Nguyễn Thu Huyền</v>
      </c>
      <c r="E188" s="101">
        <f>IFERROR(__xludf.DUMMYFUNCTION("""COMPUTED_VALUE"""),37899.0)</f>
        <v>37899</v>
      </c>
      <c r="F188" s="76" t="str">
        <f>IFERROR(__xludf.DUMMYFUNCTION("""COMPUTED_VALUE"""),"K27DLK6")</f>
        <v>K27DLK6</v>
      </c>
      <c r="G188" s="76" t="str">
        <f>IFERROR(__xludf.DUMMYFUNCTION("""COMPUTED_VALUE"""),"Quản trị Du lịch &amp; Khách sạn")</f>
        <v>Quản trị Du lịch &amp; Khách sạn</v>
      </c>
      <c r="H188" s="76" t="str">
        <f>IFERROR(__xludf.DUMMYFUNCTION("""COMPUTED_VALUE"""),"K27")</f>
        <v>K27</v>
      </c>
      <c r="I188" s="76" t="str">
        <f>IFERROR(__xludf.DUMMYFUNCTION("""COMPUTED_VALUE"""),"0935663316")</f>
        <v>0935663316</v>
      </c>
      <c r="J188" s="76">
        <f>IFERROR(__xludf.DUMMYFUNCTION("""COMPUTED_VALUE"""),3.09)</f>
        <v>3.09</v>
      </c>
      <c r="K188" s="76">
        <f>IFERROR(__xludf.DUMMYFUNCTION("""COMPUTED_VALUE"""),113.0)</f>
        <v>113</v>
      </c>
      <c r="L188" s="76" t="str">
        <f>IFERROR(__xludf.DUMMYFUNCTION("""COMPUTED_VALUE"""),"Rồi")</f>
        <v>Rồi</v>
      </c>
      <c r="M188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88" s="76">
        <f>IFERROR(__xludf.DUMMYFUNCTION("""COMPUTED_VALUE"""),10.0)</f>
        <v>10</v>
      </c>
      <c r="O188" s="76" t="str">
        <f>IFERROR(__xludf.DUMMYFUNCTION("""COMPUTED_VALUE"""),"cam kết")</f>
        <v>cam kết</v>
      </c>
      <c r="P188" s="76"/>
      <c r="Q188" s="76"/>
      <c r="R188" s="76"/>
      <c r="S188" s="102">
        <f>IFERROR(__xludf.DUMMYFUNCTION("""COMPUTED_VALUE"""),45717.0)</f>
        <v>45717</v>
      </c>
      <c r="T188" s="76"/>
      <c r="U188" s="102" t="str">
        <f>IFERROR(__xludf.DUMMYFUNCTION("""COMPUTED_VALUE"""),"Trần Nguyễn Thu Huyền")</f>
        <v>Trần Nguyễn Thu Huyền</v>
      </c>
      <c r="V188" s="76" t="str">
        <f>IFERROR(__xludf.DUMMYFUNCTION("""COMPUTED_VALUE"""),"Quản Trị Khách Sạn &amp; Nhà Hàng (Đại Học)")</f>
        <v>Quản Trị Khách Sạn &amp; Nhà Hàng (Đại Học)</v>
      </c>
      <c r="W188" s="76" t="str">
        <f>IFERROR(__xludf.DUMMYFUNCTION("""COMPUTED_VALUE"""),"Khách sạn Mandila Beach Đà Nẵng")</f>
        <v>Khách sạn Mandila Beach Đà Nẵng</v>
      </c>
      <c r="X188" s="76" t="str">
        <f>IFERROR(__xludf.DUMMYFUNCTION("""COMPUTED_VALUE"""),"Buồng phòng")</f>
        <v>Buồng phòng</v>
      </c>
      <c r="Y188" s="76" t="str">
        <f>IFERROR(__xludf.DUMMYFUNCTION("""COMPUTED_VALUE"""),"DUYỆT")</f>
        <v>DUYỆT</v>
      </c>
      <c r="Z188" s="76" t="str">
        <f>IFERROR(__xludf.DUMMYFUNCTION("""COMPUTED_VALUE"""),"CHUYÊN ĐỀ")</f>
        <v>CHUYÊN ĐỀ</v>
      </c>
      <c r="AA188" s="76" t="str">
        <f>IFERROR(__xludf.DUMMYFUNCTION("""COMPUTED_VALUE"""),"hientran.051003@gmail.com")</f>
        <v>hientran.051003@gmail.com</v>
      </c>
      <c r="AB188" s="76"/>
      <c r="AC188" s="76"/>
    </row>
    <row r="189">
      <c r="A189" s="100">
        <f>IFERROR(__xludf.DUMMYFUNCTION("""COMPUTED_VALUE"""),45656.58541322917)</f>
        <v>45656.58541</v>
      </c>
      <c r="B189" s="76" t="str">
        <f>IFERROR(__xludf.DUMMYFUNCTION("""COMPUTED_VALUE"""),"ovan8433@gmail.com")</f>
        <v>ovan8433@gmail.com</v>
      </c>
      <c r="C189" s="76">
        <f>IFERROR(__xludf.DUMMYFUNCTION("""COMPUTED_VALUE"""),2.6207124697E10)</f>
        <v>26207124697</v>
      </c>
      <c r="D189" s="76" t="str">
        <f>IFERROR(__xludf.DUMMYFUNCTION("""COMPUTED_VALUE"""),"Ông Thị Huyền Vân")</f>
        <v>Ông Thị Huyền Vân</v>
      </c>
      <c r="E189" s="101">
        <f>IFERROR(__xludf.DUMMYFUNCTION("""COMPUTED_VALUE"""),37483.0)</f>
        <v>37483</v>
      </c>
      <c r="F189" s="76" t="str">
        <f>IFERROR(__xludf.DUMMYFUNCTION("""COMPUTED_VALUE"""),"K26DLK16")</f>
        <v>K26DLK16</v>
      </c>
      <c r="G189" s="76" t="str">
        <f>IFERROR(__xludf.DUMMYFUNCTION("""COMPUTED_VALUE"""),"Quản trị Du lịch &amp; Khách sạn")</f>
        <v>Quản trị Du lịch &amp; Khách sạn</v>
      </c>
      <c r="H189" s="76" t="str">
        <f>IFERROR(__xludf.DUMMYFUNCTION("""COMPUTED_VALUE"""),"K26")</f>
        <v>K26</v>
      </c>
      <c r="I189" s="76" t="str">
        <f>IFERROR(__xludf.DUMMYFUNCTION("""COMPUTED_VALUE"""),"0901941061")</f>
        <v>0901941061</v>
      </c>
      <c r="J189" s="76">
        <f>IFERROR(__xludf.DUMMYFUNCTION("""COMPUTED_VALUE"""),2.87)</f>
        <v>2.87</v>
      </c>
      <c r="K189" s="76">
        <f>IFERROR(__xludf.DUMMYFUNCTION("""COMPUTED_VALUE"""),130.0)</f>
        <v>130</v>
      </c>
      <c r="L189" s="76" t="str">
        <f>IFERROR(__xludf.DUMMYFUNCTION("""COMPUTED_VALUE"""),"Rồi")</f>
        <v>Rồi</v>
      </c>
      <c r="M189" s="76" t="str">
        <f>IFERROR(__xludf.DUMMYFUNCTION("""COMPUTED_VALUE"""),"Thực tập tốt nghiệp, Công nhận tốt nghiệp")</f>
        <v>Thực tập tốt nghiệp, Công nhận tốt nghiệp</v>
      </c>
      <c r="N189" s="76">
        <f>IFERROR(__xludf.DUMMYFUNCTION("""COMPUTED_VALUE"""),0.0)</f>
        <v>0</v>
      </c>
      <c r="O189" s="76" t="str">
        <f>IFERROR(__xludf.DUMMYFUNCTION("""COMPUTED_VALUE"""),"cam kết")</f>
        <v>cam kết</v>
      </c>
      <c r="P189" s="76" t="str">
        <f>IFERROR(__xludf.DUMMYFUNCTION("""COMPUTED_VALUE"""),"ĐÃ NỘP")</f>
        <v>ĐÃ NỘP</v>
      </c>
      <c r="Q189" s="76" t="str">
        <f>IFERROR(__xludf.DUMMYFUNCTION("""COMPUTED_VALUE"""),"ĐÃ NỘP")</f>
        <v>ĐÃ NỘP</v>
      </c>
      <c r="R189" s="76">
        <f>IFERROR(__xludf.DUMMYFUNCTION("""COMPUTED_VALUE"""),18.0)</f>
        <v>18</v>
      </c>
      <c r="S189" s="102">
        <f>IFERROR(__xludf.DUMMYFUNCTION("""COMPUTED_VALUE"""),45870.0)</f>
        <v>45870</v>
      </c>
      <c r="T189" s="76"/>
      <c r="U189" s="102" t="str">
        <f>IFERROR(__xludf.DUMMYFUNCTION("""COMPUTED_VALUE"""),"Ông Thị Huyền Vân")</f>
        <v>Ông Thị Huyền Vân</v>
      </c>
      <c r="V189" s="76" t="str">
        <f>IFERROR(__xludf.DUMMYFUNCTION("""COMPUTED_VALUE"""),"Quản Trị Khách Sạn &amp; Nhà Hàng (Đại Học)")</f>
        <v>Quản Trị Khách Sạn &amp; Nhà Hàng (Đại Học)</v>
      </c>
      <c r="W189" s="76" t="str">
        <f>IFERROR(__xludf.DUMMYFUNCTION("""COMPUTED_VALUE"""),"Sala Danang Beach Hotel")</f>
        <v>Sala Danang Beach Hotel</v>
      </c>
      <c r="X189" s="76" t="str">
        <f>IFERROR(__xludf.DUMMYFUNCTION("""COMPUTED_VALUE"""),"Nhà hàng")</f>
        <v>Nhà hàng</v>
      </c>
      <c r="Y189" s="76" t="str">
        <f>IFERROR(__xludf.DUMMYFUNCTION("""COMPUTED_VALUE"""),"DUYỆT")</f>
        <v>DUYỆT</v>
      </c>
      <c r="Z189" s="76" t="str">
        <f>IFERROR(__xludf.DUMMYFUNCTION("""COMPUTED_VALUE"""),"CHUYÊN ĐỀ")</f>
        <v>CHUYÊN ĐỀ</v>
      </c>
      <c r="AA189" s="76" t="str">
        <f>IFERROR(__xludf.DUMMYFUNCTION("""COMPUTED_VALUE"""),"ovan8433@gmail.com")</f>
        <v>ovan8433@gmail.com</v>
      </c>
      <c r="AB189" s="76"/>
      <c r="AC189" s="76"/>
    </row>
    <row r="190">
      <c r="A190" s="100">
        <f>IFERROR(__xludf.DUMMYFUNCTION("""COMPUTED_VALUE"""),45658.70648962963)</f>
        <v>45658.70649</v>
      </c>
      <c r="B190" s="76" t="str">
        <f>IFERROR(__xludf.DUMMYFUNCTION("""COMPUTED_VALUE"""),"thitinh1603@gmail.com")</f>
        <v>thitinh1603@gmail.com</v>
      </c>
      <c r="C190" s="76">
        <f>IFERROR(__xludf.DUMMYFUNCTION("""COMPUTED_VALUE"""),2.7207145668E10)</f>
        <v>27207145668</v>
      </c>
      <c r="D190" s="76" t="str">
        <f>IFERROR(__xludf.DUMMYFUNCTION("""COMPUTED_VALUE"""),"Nguyễn Thị Tình ")</f>
        <v>Nguyễn Thị Tình </v>
      </c>
      <c r="E190" s="101">
        <f>IFERROR(__xludf.DUMMYFUNCTION("""COMPUTED_VALUE"""),37696.0)</f>
        <v>37696</v>
      </c>
      <c r="F190" s="76" t="str">
        <f>IFERROR(__xludf.DUMMYFUNCTION("""COMPUTED_VALUE"""),"K27DLK 7")</f>
        <v>K27DLK 7</v>
      </c>
      <c r="G190" s="76" t="str">
        <f>IFERROR(__xludf.DUMMYFUNCTION("""COMPUTED_VALUE"""),"Quản trị Du lịch &amp; Khách sạn")</f>
        <v>Quản trị Du lịch &amp; Khách sạn</v>
      </c>
      <c r="H190" s="76" t="str">
        <f>IFERROR(__xludf.DUMMYFUNCTION("""COMPUTED_VALUE"""),"K27")</f>
        <v>K27</v>
      </c>
      <c r="I190" s="76" t="str">
        <f>IFERROR(__xludf.DUMMYFUNCTION("""COMPUTED_VALUE"""),"0983380712")</f>
        <v>0983380712</v>
      </c>
      <c r="J190" s="76">
        <f>IFERROR(__xludf.DUMMYFUNCTION("""COMPUTED_VALUE"""),2.96)</f>
        <v>2.96</v>
      </c>
      <c r="K190" s="76">
        <f>IFERROR(__xludf.DUMMYFUNCTION("""COMPUTED_VALUE"""),130.0)</f>
        <v>130</v>
      </c>
      <c r="L190" s="76" t="str">
        <f>IFERROR(__xludf.DUMMYFUNCTION("""COMPUTED_VALUE"""),"Rồi")</f>
        <v>Rồi</v>
      </c>
      <c r="M190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90" s="76">
        <f>IFERROR(__xludf.DUMMYFUNCTION("""COMPUTED_VALUE"""),7.0)</f>
        <v>7</v>
      </c>
      <c r="O190" s="76" t="str">
        <f>IFERROR(__xludf.DUMMYFUNCTION("""COMPUTED_VALUE"""),"cam kết")</f>
        <v>cam kết</v>
      </c>
      <c r="P190" s="76"/>
      <c r="Q190" s="76"/>
      <c r="R190" s="76"/>
      <c r="S190" s="102">
        <f>IFERROR(__xludf.DUMMYFUNCTION("""COMPUTED_VALUE"""),45717.0)</f>
        <v>45717</v>
      </c>
      <c r="T190" s="76"/>
      <c r="U190" s="102" t="str">
        <f>IFERROR(__xludf.DUMMYFUNCTION("""COMPUTED_VALUE"""),"Nguyễn Thị Tình")</f>
        <v>Nguyễn Thị Tình</v>
      </c>
      <c r="V190" s="76" t="str">
        <f>IFERROR(__xludf.DUMMYFUNCTION("""COMPUTED_VALUE"""),"Quản Trị Khách Sạn &amp; Nhà Hàng (Đại Học)")</f>
        <v>Quản Trị Khách Sạn &amp; Nhà Hàng (Đại Học)</v>
      </c>
      <c r="W190" s="76" t="str">
        <f>IFERROR(__xludf.DUMMYFUNCTION("""COMPUTED_VALUE"""),"#N/A")</f>
        <v>#N/A</v>
      </c>
      <c r="X190" s="76" t="str">
        <f>IFERROR(__xludf.DUMMYFUNCTION("""COMPUTED_VALUE"""),"#N/A")</f>
        <v>#N/A</v>
      </c>
      <c r="Y190" s="76" t="str">
        <f>IFERROR(__xludf.DUMMYFUNCTION("""COMPUTED_VALUE"""),"#N/A")</f>
        <v>#N/A</v>
      </c>
      <c r="Z190" s="76" t="str">
        <f>IFERROR(__xludf.DUMMYFUNCTION("""COMPUTED_VALUE"""),"CHUYÊN ĐỀ")</f>
        <v>CHUYÊN ĐỀ</v>
      </c>
      <c r="AA190" s="76" t="str">
        <f>IFERROR(__xludf.DUMMYFUNCTION("""COMPUTED_VALUE"""),"thitinh1603@gmail.com")</f>
        <v>thitinh1603@gmail.com</v>
      </c>
      <c r="AB190" s="76"/>
      <c r="AC190" s="76"/>
    </row>
    <row r="191">
      <c r="A191" s="100">
        <f>IFERROR(__xludf.DUMMYFUNCTION("""COMPUTED_VALUE"""),45654.73104893518)</f>
        <v>45654.73105</v>
      </c>
      <c r="B191" s="76" t="str">
        <f>IFERROR(__xludf.DUMMYFUNCTION("""COMPUTED_VALUE"""),"honglantrinhqn2003@gmail.com")</f>
        <v>honglantrinhqn2003@gmail.com</v>
      </c>
      <c r="C191" s="76">
        <f>IFERROR(__xludf.DUMMYFUNCTION("""COMPUTED_VALUE"""),2.7207100676E10)</f>
        <v>27207100676</v>
      </c>
      <c r="D191" s="76" t="str">
        <f>IFERROR(__xludf.DUMMYFUNCTION("""COMPUTED_VALUE"""),"Hồng Thị Lan Trinh")</f>
        <v>Hồng Thị Lan Trinh</v>
      </c>
      <c r="E191" s="101">
        <f>IFERROR(__xludf.DUMMYFUNCTION("""COMPUTED_VALUE"""),37907.0)</f>
        <v>37907</v>
      </c>
      <c r="F191" s="76" t="str">
        <f>IFERROR(__xludf.DUMMYFUNCTION("""COMPUTED_VALUE"""),"K27DLK5")</f>
        <v>K27DLK5</v>
      </c>
      <c r="G191" s="76" t="str">
        <f>IFERROR(__xludf.DUMMYFUNCTION("""COMPUTED_VALUE"""),"Quản trị Du lịch &amp; Khách sạn")</f>
        <v>Quản trị Du lịch &amp; Khách sạn</v>
      </c>
      <c r="H191" s="76" t="str">
        <f>IFERROR(__xludf.DUMMYFUNCTION("""COMPUTED_VALUE"""),"K27")</f>
        <v>K27</v>
      </c>
      <c r="I191" s="76" t="str">
        <f>IFERROR(__xludf.DUMMYFUNCTION("""COMPUTED_VALUE"""),"0708542603")</f>
        <v>0708542603</v>
      </c>
      <c r="J191" s="76">
        <f>IFERROR(__xludf.DUMMYFUNCTION("""COMPUTED_VALUE"""),2.75)</f>
        <v>2.75</v>
      </c>
      <c r="K191" s="76">
        <f>IFERROR(__xludf.DUMMYFUNCTION("""COMPUTED_VALUE"""),109.0)</f>
        <v>109</v>
      </c>
      <c r="L191" s="76" t="str">
        <f>IFERROR(__xludf.DUMMYFUNCTION("""COMPUTED_VALUE"""),"Rồi")</f>
        <v>Rồi</v>
      </c>
      <c r="M191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91" s="76">
        <f>IFERROR(__xludf.DUMMYFUNCTION("""COMPUTED_VALUE"""),14.0)</f>
        <v>14</v>
      </c>
      <c r="O191" s="76" t="str">
        <f>IFERROR(__xludf.DUMMYFUNCTION("""COMPUTED_VALUE"""),"cam kết")</f>
        <v>cam kết</v>
      </c>
      <c r="P191" s="76"/>
      <c r="Q191" s="76"/>
      <c r="R191" s="76"/>
      <c r="S191" s="102">
        <f>IFERROR(__xludf.DUMMYFUNCTION("""COMPUTED_VALUE"""),45717.0)</f>
        <v>45717</v>
      </c>
      <c r="T191" s="76"/>
      <c r="U191" s="102" t="str">
        <f>IFERROR(__xludf.DUMMYFUNCTION("""COMPUTED_VALUE"""),"Hồng Thị Lan Trinh")</f>
        <v>Hồng Thị Lan Trinh</v>
      </c>
      <c r="V191" s="76" t="str">
        <f>IFERROR(__xludf.DUMMYFUNCTION("""COMPUTED_VALUE"""),"Quản Trị Khách Sạn &amp; Nhà Hàng (Đại Học)")</f>
        <v>Quản Trị Khách Sạn &amp; Nhà Hàng (Đại Học)</v>
      </c>
      <c r="W191" s="76" t="str">
        <f>IFERROR(__xludf.DUMMYFUNCTION("""COMPUTED_VALUE"""),"Sheraton Grand Danang resort and Convention Center")</f>
        <v>Sheraton Grand Danang resort and Convention Center</v>
      </c>
      <c r="X191" s="76" t="str">
        <f>IFERROR(__xludf.DUMMYFUNCTION("""COMPUTED_VALUE"""),"Nhà hàng")</f>
        <v>Nhà hàng</v>
      </c>
      <c r="Y191" s="76" t="str">
        <f>IFERROR(__xludf.DUMMYFUNCTION("""COMPUTED_VALUE"""),"DUYỆT")</f>
        <v>DUYỆT</v>
      </c>
      <c r="Z191" s="76" t="str">
        <f>IFERROR(__xludf.DUMMYFUNCTION("""COMPUTED_VALUE"""),"CHUYÊN ĐỀ")</f>
        <v>CHUYÊN ĐỀ</v>
      </c>
      <c r="AA191" s="76" t="str">
        <f>IFERROR(__xludf.DUMMYFUNCTION("""COMPUTED_VALUE"""),"honglantrinhqn2003@gmail.com")</f>
        <v>honglantrinhqn2003@gmail.com</v>
      </c>
      <c r="AB191" s="76"/>
      <c r="AC191" s="76"/>
    </row>
    <row r="192">
      <c r="A192" s="100">
        <f>IFERROR(__xludf.DUMMYFUNCTION("""COMPUTED_VALUE"""),45654.740008946756)</f>
        <v>45654.74001</v>
      </c>
      <c r="B192" s="76" t="str">
        <f>IFERROR(__xludf.DUMMYFUNCTION("""COMPUTED_VALUE"""),"phanthilananh1008@gmail.com")</f>
        <v>phanthilananh1008@gmail.com</v>
      </c>
      <c r="C192" s="76">
        <f>IFERROR(__xludf.DUMMYFUNCTION("""COMPUTED_VALUE"""),2.720710289E10)</f>
        <v>27207102890</v>
      </c>
      <c r="D192" s="76" t="str">
        <f>IFERROR(__xludf.DUMMYFUNCTION("""COMPUTED_VALUE"""),"PHAN THỊ LAN ANH")</f>
        <v>PHAN THỊ LAN ANH</v>
      </c>
      <c r="E192" s="101">
        <f>IFERROR(__xludf.DUMMYFUNCTION("""COMPUTED_VALUE"""),37843.0)</f>
        <v>37843</v>
      </c>
      <c r="F192" s="76" t="str">
        <f>IFERROR(__xludf.DUMMYFUNCTION("""COMPUTED_VALUE"""),"K27- DLK5")</f>
        <v>K27- DLK5</v>
      </c>
      <c r="G192" s="76" t="str">
        <f>IFERROR(__xludf.DUMMYFUNCTION("""COMPUTED_VALUE"""),"Quản trị Du lịch &amp; Khách sạn")</f>
        <v>Quản trị Du lịch &amp; Khách sạn</v>
      </c>
      <c r="H192" s="76" t="str">
        <f>IFERROR(__xludf.DUMMYFUNCTION("""COMPUTED_VALUE"""),"K27")</f>
        <v>K27</v>
      </c>
      <c r="I192" s="76" t="str">
        <f>IFERROR(__xludf.DUMMYFUNCTION("""COMPUTED_VALUE"""),"0777543419")</f>
        <v>0777543419</v>
      </c>
      <c r="J192" s="76">
        <f>IFERROR(__xludf.DUMMYFUNCTION("""COMPUTED_VALUE"""),2.69)</f>
        <v>2.69</v>
      </c>
      <c r="K192" s="76">
        <f>IFERROR(__xludf.DUMMYFUNCTION("""COMPUTED_VALUE"""),111.0)</f>
        <v>111</v>
      </c>
      <c r="L192" s="76" t="str">
        <f>IFERROR(__xludf.DUMMYFUNCTION("""COMPUTED_VALUE"""),"Rồi")</f>
        <v>Rồi</v>
      </c>
      <c r="M192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92" s="76">
        <f>IFERROR(__xludf.DUMMYFUNCTION("""COMPUTED_VALUE"""),15.0)</f>
        <v>15</v>
      </c>
      <c r="O192" s="76" t="str">
        <f>IFERROR(__xludf.DUMMYFUNCTION("""COMPUTED_VALUE"""),"cam kết")</f>
        <v>cam kết</v>
      </c>
      <c r="P192" s="76"/>
      <c r="Q192" s="76"/>
      <c r="R192" s="76"/>
      <c r="S192" s="102">
        <f>IFERROR(__xludf.DUMMYFUNCTION("""COMPUTED_VALUE"""),45717.0)</f>
        <v>45717</v>
      </c>
      <c r="T192" s="76"/>
      <c r="U192" s="102" t="str">
        <f>IFERROR(__xludf.DUMMYFUNCTION("""COMPUTED_VALUE"""),"Phan Thị Lan Anh")</f>
        <v>Phan Thị Lan Anh</v>
      </c>
      <c r="V192" s="76" t="str">
        <f>IFERROR(__xludf.DUMMYFUNCTION("""COMPUTED_VALUE"""),"Quản Trị Khách Sạn &amp; Nhà Hàng (Đại Học)")</f>
        <v>Quản Trị Khách Sạn &amp; Nhà Hàng (Đại Học)</v>
      </c>
      <c r="W192" s="76" t="str">
        <f>IFERROR(__xludf.DUMMYFUNCTION("""COMPUTED_VALUE"""),"#N/A")</f>
        <v>#N/A</v>
      </c>
      <c r="X192" s="76" t="str">
        <f>IFERROR(__xludf.DUMMYFUNCTION("""COMPUTED_VALUE"""),"#N/A")</f>
        <v>#N/A</v>
      </c>
      <c r="Y192" s="76" t="str">
        <f>IFERROR(__xludf.DUMMYFUNCTION("""COMPUTED_VALUE"""),"#N/A")</f>
        <v>#N/A</v>
      </c>
      <c r="Z192" s="76" t="str">
        <f>IFERROR(__xludf.DUMMYFUNCTION("""COMPUTED_VALUE"""),"CHUYÊN ĐỀ")</f>
        <v>CHUYÊN ĐỀ</v>
      </c>
      <c r="AA192" s="76" t="str">
        <f>IFERROR(__xludf.DUMMYFUNCTION("""COMPUTED_VALUE"""),"phanthilananh1008@gmail.com")</f>
        <v>phanthilananh1008@gmail.com</v>
      </c>
      <c r="AB192" s="76"/>
      <c r="AC192" s="76"/>
    </row>
    <row r="193">
      <c r="A193" s="100">
        <f>IFERROR(__xludf.DUMMYFUNCTION("""COMPUTED_VALUE"""),45660.44338818287)</f>
        <v>45660.44339</v>
      </c>
      <c r="B193" s="76" t="str">
        <f>IFERROR(__xludf.DUMMYFUNCTION("""COMPUTED_VALUE"""),"buitham01022003@gmail.com")</f>
        <v>buitham01022003@gmail.com</v>
      </c>
      <c r="C193" s="76">
        <f>IFERROR(__xludf.DUMMYFUNCTION("""COMPUTED_VALUE"""),2.7207127524E10)</f>
        <v>27207127524</v>
      </c>
      <c r="D193" s="76" t="str">
        <f>IFERROR(__xludf.DUMMYFUNCTION("""COMPUTED_VALUE"""),"Bùi Thị Thắm ")</f>
        <v>Bùi Thị Thắm </v>
      </c>
      <c r="E193" s="101">
        <f>IFERROR(__xludf.DUMMYFUNCTION("""COMPUTED_VALUE"""),37623.0)</f>
        <v>37623</v>
      </c>
      <c r="F193" s="76" t="str">
        <f>IFERROR(__xludf.DUMMYFUNCTION("""COMPUTED_VALUE"""),"K27DLK4")</f>
        <v>K27DLK4</v>
      </c>
      <c r="G193" s="76" t="str">
        <f>IFERROR(__xludf.DUMMYFUNCTION("""COMPUTED_VALUE"""),"Quản trị Du lịch &amp; Khách sạn")</f>
        <v>Quản trị Du lịch &amp; Khách sạn</v>
      </c>
      <c r="H193" s="76" t="str">
        <f>IFERROR(__xludf.DUMMYFUNCTION("""COMPUTED_VALUE"""),"K27")</f>
        <v>K27</v>
      </c>
      <c r="I193" s="76" t="str">
        <f>IFERROR(__xludf.DUMMYFUNCTION("""COMPUTED_VALUE"""),"0366563701")</f>
        <v>0366563701</v>
      </c>
      <c r="J193" s="76">
        <f>IFERROR(__xludf.DUMMYFUNCTION("""COMPUTED_VALUE"""),2.9)</f>
        <v>2.9</v>
      </c>
      <c r="K193" s="76">
        <f>IFERROR(__xludf.DUMMYFUNCTION("""COMPUTED_VALUE"""),115.0)</f>
        <v>115</v>
      </c>
      <c r="L193" s="76" t="str">
        <f>IFERROR(__xludf.DUMMYFUNCTION("""COMPUTED_VALUE"""),"Rồi")</f>
        <v>Rồi</v>
      </c>
      <c r="M193" s="76" t="str">
        <f>IFERROR(__xludf.DUMMYFUNCTION("""COMPUTED_VALUE"""),"Thực tập tốt nghiệp")</f>
        <v>Thực tập tốt nghiệp</v>
      </c>
      <c r="N193" s="76">
        <f>IFERROR(__xludf.DUMMYFUNCTION("""COMPUTED_VALUE"""),2.0)</f>
        <v>2</v>
      </c>
      <c r="O193" s="76" t="str">
        <f>IFERROR(__xludf.DUMMYFUNCTION("""COMPUTED_VALUE"""),"cam kết")</f>
        <v>cam kết</v>
      </c>
      <c r="P193" s="76"/>
      <c r="Q193" s="76"/>
      <c r="R193" s="76"/>
      <c r="S193" s="102">
        <f>IFERROR(__xludf.DUMMYFUNCTION("""COMPUTED_VALUE"""),45717.0)</f>
        <v>45717</v>
      </c>
      <c r="T193" s="76"/>
      <c r="U193" s="102" t="str">
        <f>IFERROR(__xludf.DUMMYFUNCTION("""COMPUTED_VALUE"""),"Bùi Thị Thắm")</f>
        <v>Bùi Thị Thắm</v>
      </c>
      <c r="V193" s="76" t="str">
        <f>IFERROR(__xludf.DUMMYFUNCTION("""COMPUTED_VALUE"""),"Quản Trị Khách Sạn &amp; Nhà Hàng (Đại Học)")</f>
        <v>Quản Trị Khách Sạn &amp; Nhà Hàng (Đại Học)</v>
      </c>
      <c r="W193" s="76" t="str">
        <f>IFERROR(__xludf.DUMMYFUNCTION("""COMPUTED_VALUE"""),"#N/A")</f>
        <v>#N/A</v>
      </c>
      <c r="X193" s="76" t="str">
        <f>IFERROR(__xludf.DUMMYFUNCTION("""COMPUTED_VALUE"""),"#N/A")</f>
        <v>#N/A</v>
      </c>
      <c r="Y193" s="76" t="str">
        <f>IFERROR(__xludf.DUMMYFUNCTION("""COMPUTED_VALUE"""),"#N/A")</f>
        <v>#N/A</v>
      </c>
      <c r="Z193" s="76" t="str">
        <f>IFERROR(__xludf.DUMMYFUNCTION("""COMPUTED_VALUE"""),"CHUYÊN ĐỀ")</f>
        <v>CHUYÊN ĐỀ</v>
      </c>
      <c r="AA193" s="76" t="str">
        <f>IFERROR(__xludf.DUMMYFUNCTION("""COMPUTED_VALUE"""),"buitham01022003@gmail.com")</f>
        <v>buitham01022003@gmail.com</v>
      </c>
      <c r="AB193" s="76"/>
      <c r="AC193" s="76"/>
    </row>
    <row r="194">
      <c r="A194" s="100">
        <f>IFERROR(__xludf.DUMMYFUNCTION("""COMPUTED_VALUE"""),45658.86082295139)</f>
        <v>45658.86082</v>
      </c>
      <c r="B194" s="76" t="str">
        <f>IFERROR(__xludf.DUMMYFUNCTION("""COMPUTED_VALUE"""),"truongvantung103@gmail.com")</f>
        <v>truongvantung103@gmail.com</v>
      </c>
      <c r="C194" s="76">
        <f>IFERROR(__xludf.DUMMYFUNCTION("""COMPUTED_VALUE"""),2.721713288E10)</f>
        <v>27217132880</v>
      </c>
      <c r="D194" s="76" t="str">
        <f>IFERROR(__xludf.DUMMYFUNCTION("""COMPUTED_VALUE"""),"Trương Văn Tùng")</f>
        <v>Trương Văn Tùng</v>
      </c>
      <c r="E194" s="101">
        <f>IFERROR(__xludf.DUMMYFUNCTION("""COMPUTED_VALUE"""),37681.0)</f>
        <v>37681</v>
      </c>
      <c r="F194" s="76" t="str">
        <f>IFERROR(__xludf.DUMMYFUNCTION("""COMPUTED_VALUE"""),"K27DLK4")</f>
        <v>K27DLK4</v>
      </c>
      <c r="G194" s="76" t="str">
        <f>IFERROR(__xludf.DUMMYFUNCTION("""COMPUTED_VALUE"""),"Quản trị Du lịch &amp; Khách sạn")</f>
        <v>Quản trị Du lịch &amp; Khách sạn</v>
      </c>
      <c r="H194" s="76" t="str">
        <f>IFERROR(__xludf.DUMMYFUNCTION("""COMPUTED_VALUE"""),"K27")</f>
        <v>K27</v>
      </c>
      <c r="I194" s="76" t="str">
        <f>IFERROR(__xludf.DUMMYFUNCTION("""COMPUTED_VALUE"""),"0867602447")</f>
        <v>0867602447</v>
      </c>
      <c r="J194" s="76">
        <f>IFERROR(__xludf.DUMMYFUNCTION("""COMPUTED_VALUE"""),2.85)</f>
        <v>2.85</v>
      </c>
      <c r="K194" s="76">
        <f>IFERROR(__xludf.DUMMYFUNCTION("""COMPUTED_VALUE"""),123.0)</f>
        <v>123</v>
      </c>
      <c r="L194" s="76" t="str">
        <f>IFERROR(__xludf.DUMMYFUNCTION("""COMPUTED_VALUE"""),"Rồi")</f>
        <v>Rồi</v>
      </c>
      <c r="M194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94" s="76">
        <f>IFERROR(__xludf.DUMMYFUNCTION("""COMPUTED_VALUE"""),5.0)</f>
        <v>5</v>
      </c>
      <c r="O194" s="76" t="str">
        <f>IFERROR(__xludf.DUMMYFUNCTION("""COMPUTED_VALUE"""),"cam kết")</f>
        <v>cam kết</v>
      </c>
      <c r="P194" s="76"/>
      <c r="Q194" s="76"/>
      <c r="R194" s="76"/>
      <c r="S194" s="102">
        <f>IFERROR(__xludf.DUMMYFUNCTION("""COMPUTED_VALUE"""),45717.0)</f>
        <v>45717</v>
      </c>
      <c r="T194" s="76"/>
      <c r="U194" s="102" t="str">
        <f>IFERROR(__xludf.DUMMYFUNCTION("""COMPUTED_VALUE"""),"Trương Văn Tùng")</f>
        <v>Trương Văn Tùng</v>
      </c>
      <c r="V194" s="76" t="str">
        <f>IFERROR(__xludf.DUMMYFUNCTION("""COMPUTED_VALUE"""),"Quản Trị Khách Sạn &amp; Nhà Hàng (Đại Học)")</f>
        <v>Quản Trị Khách Sạn &amp; Nhà Hàng (Đại Học)</v>
      </c>
      <c r="W194" s="76" t="str">
        <f>IFERROR(__xludf.DUMMYFUNCTION("""COMPUTED_VALUE"""),"Wyndham DaNang Golden Bay")</f>
        <v>Wyndham DaNang Golden Bay</v>
      </c>
      <c r="X194" s="76" t="str">
        <f>IFERROR(__xludf.DUMMYFUNCTION("""COMPUTED_VALUE"""),"Nhà hàng")</f>
        <v>Nhà hàng</v>
      </c>
      <c r="Y194" s="76" t="str">
        <f>IFERROR(__xludf.DUMMYFUNCTION("""COMPUTED_VALUE"""),"DUYỆT")</f>
        <v>DUYỆT</v>
      </c>
      <c r="Z194" s="76" t="str">
        <f>IFERROR(__xludf.DUMMYFUNCTION("""COMPUTED_VALUE"""),"CHUYÊN ĐỀ")</f>
        <v>CHUYÊN ĐỀ</v>
      </c>
      <c r="AA194" s="76" t="str">
        <f>IFERROR(__xludf.DUMMYFUNCTION("""COMPUTED_VALUE"""),"truongvantung103@gmail.com")</f>
        <v>truongvantung103@gmail.com</v>
      </c>
      <c r="AB194" s="76"/>
      <c r="AC194" s="76"/>
    </row>
    <row r="195">
      <c r="A195" s="100">
        <f>IFERROR(__xludf.DUMMYFUNCTION("""COMPUTED_VALUE"""),45655.615238831015)</f>
        <v>45655.61524</v>
      </c>
      <c r="B195" s="76" t="str">
        <f>IFERROR(__xludf.DUMMYFUNCTION("""COMPUTED_VALUE"""),"duongnguyenkhanhgiang@gmail.com")</f>
        <v>duongnguyenkhanhgiang@gmail.com</v>
      </c>
      <c r="C195" s="76">
        <f>IFERROR(__xludf.DUMMYFUNCTION("""COMPUTED_VALUE"""),2.720710085E10)</f>
        <v>27207100850</v>
      </c>
      <c r="D195" s="76" t="str">
        <f>IFERROR(__xludf.DUMMYFUNCTION("""COMPUTED_VALUE"""),"DƯƠNG NGUYỄN KHÁNH GIANG")</f>
        <v>DƯƠNG NGUYỄN KHÁNH GIANG</v>
      </c>
      <c r="E195" s="101">
        <f>IFERROR(__xludf.DUMMYFUNCTION("""COMPUTED_VALUE"""),37856.0)</f>
        <v>37856</v>
      </c>
      <c r="F195" s="76" t="str">
        <f>IFERROR(__xludf.DUMMYFUNCTION("""COMPUTED_VALUE"""),"K27DLK 1")</f>
        <v>K27DLK 1</v>
      </c>
      <c r="G195" s="76" t="str">
        <f>IFERROR(__xludf.DUMMYFUNCTION("""COMPUTED_VALUE"""),"Quản trị Du lịch &amp; Khách sạn")</f>
        <v>Quản trị Du lịch &amp; Khách sạn</v>
      </c>
      <c r="H195" s="76" t="str">
        <f>IFERROR(__xludf.DUMMYFUNCTION("""COMPUTED_VALUE"""),"K27")</f>
        <v>K27</v>
      </c>
      <c r="I195" s="76" t="str">
        <f>IFERROR(__xludf.DUMMYFUNCTION("""COMPUTED_VALUE"""),"0329659054")</f>
        <v>0329659054</v>
      </c>
      <c r="J195" s="76">
        <f>IFERROR(__xludf.DUMMYFUNCTION("""COMPUTED_VALUE"""),3.36)</f>
        <v>3.36</v>
      </c>
      <c r="K195" s="76">
        <f>IFERROR(__xludf.DUMMYFUNCTION("""COMPUTED_VALUE"""),115.0)</f>
        <v>115</v>
      </c>
      <c r="L195" s="76" t="str">
        <f>IFERROR(__xludf.DUMMYFUNCTION("""COMPUTED_VALUE"""),"Rồi")</f>
        <v>Rồi</v>
      </c>
      <c r="M195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95" s="76">
        <f>IFERROR(__xludf.DUMMYFUNCTION("""COMPUTED_VALUE"""),9.0)</f>
        <v>9</v>
      </c>
      <c r="O195" s="76" t="str">
        <f>IFERROR(__xludf.DUMMYFUNCTION("""COMPUTED_VALUE"""),"cam kết")</f>
        <v>cam kết</v>
      </c>
      <c r="P195" s="76"/>
      <c r="Q195" s="76"/>
      <c r="R195" s="76"/>
      <c r="S195" s="102">
        <f>IFERROR(__xludf.DUMMYFUNCTION("""COMPUTED_VALUE"""),45717.0)</f>
        <v>45717</v>
      </c>
      <c r="T195" s="76"/>
      <c r="U195" s="102" t="str">
        <f>IFERROR(__xludf.DUMMYFUNCTION("""COMPUTED_VALUE"""),"Dương Nguyễn Khánh Giang")</f>
        <v>Dương Nguyễn Khánh Giang</v>
      </c>
      <c r="V195" s="76" t="str">
        <f>IFERROR(__xludf.DUMMYFUNCTION("""COMPUTED_VALUE"""),"Quản Trị Khách Sạn &amp; Nhà Hàng (Đại Học)")</f>
        <v>Quản Trị Khách Sạn &amp; Nhà Hàng (Đại Học)</v>
      </c>
      <c r="W195" s="76" t="str">
        <f>IFERROR(__xludf.DUMMYFUNCTION("""COMPUTED_VALUE"""),"Meliá Vinpearl Danang Riverfront")</f>
        <v>Meliá Vinpearl Danang Riverfront</v>
      </c>
      <c r="X195" s="76" t="str">
        <f>IFERROR(__xludf.DUMMYFUNCTION("""COMPUTED_VALUE"""),"Buồng phòng")</f>
        <v>Buồng phòng</v>
      </c>
      <c r="Y195" s="76" t="str">
        <f>IFERROR(__xludf.DUMMYFUNCTION("""COMPUTED_VALUE"""),"DUYỆT")</f>
        <v>DUYỆT</v>
      </c>
      <c r="Z195" s="76" t="str">
        <f>IFERROR(__xludf.DUMMYFUNCTION("""COMPUTED_VALUE"""),"CHUYÊN ĐỀ")</f>
        <v>CHUYÊN ĐỀ</v>
      </c>
      <c r="AA195" s="76" t="str">
        <f>IFERROR(__xludf.DUMMYFUNCTION("""COMPUTED_VALUE"""),"duongnguyenkhanhgiang@gmail.com")</f>
        <v>duongnguyenkhanhgiang@gmail.com</v>
      </c>
      <c r="AB195" s="76" t="str">
        <f>IFERROR(__xludf.DUMMYFUNCTION("""COMPUTED_VALUE"""),"DƯƠNG NGUYỄN KHÁNH GIANG ")</f>
        <v>DƯƠNG NGUYỄN KHÁNH GIANG </v>
      </c>
      <c r="AC195" s="76" t="str">
        <f>IFERROR(__xludf.DUMMYFUNCTION("""COMPUTED_VALUE"""),"ĐÃ NỘP")</f>
        <v>ĐÃ NỘP</v>
      </c>
    </row>
    <row r="196">
      <c r="A196" s="100">
        <f>IFERROR(__xludf.DUMMYFUNCTION("""COMPUTED_VALUE"""),45655.65561990741)</f>
        <v>45655.65562</v>
      </c>
      <c r="B196" s="76" t="str">
        <f>IFERROR(__xludf.DUMMYFUNCTION("""COMPUTED_VALUE"""),"Nguyenphuonganh7@dtu.edu.vn")</f>
        <v>Nguyenphuonganh7@dtu.edu.vn</v>
      </c>
      <c r="C196" s="76">
        <f>IFERROR(__xludf.DUMMYFUNCTION("""COMPUTED_VALUE"""),2.7217101082E10)</f>
        <v>27217101082</v>
      </c>
      <c r="D196" s="76" t="str">
        <f>IFERROR(__xludf.DUMMYFUNCTION("""COMPUTED_VALUE"""),"Nguyễn Phương Anh")</f>
        <v>Nguyễn Phương Anh</v>
      </c>
      <c r="E196" s="101">
        <f>IFERROR(__xludf.DUMMYFUNCTION("""COMPUTED_VALUE"""),37978.0)</f>
        <v>37978</v>
      </c>
      <c r="F196" s="76" t="str">
        <f>IFERROR(__xludf.DUMMYFUNCTION("""COMPUTED_VALUE"""),"K27 DLK5")</f>
        <v>K27 DLK5</v>
      </c>
      <c r="G196" s="76" t="str">
        <f>IFERROR(__xludf.DUMMYFUNCTION("""COMPUTED_VALUE"""),"Quản trị Du lịch &amp; Khách sạn")</f>
        <v>Quản trị Du lịch &amp; Khách sạn</v>
      </c>
      <c r="H196" s="76" t="str">
        <f>IFERROR(__xludf.DUMMYFUNCTION("""COMPUTED_VALUE"""),"K27")</f>
        <v>K27</v>
      </c>
      <c r="I196" s="76" t="str">
        <f>IFERROR(__xludf.DUMMYFUNCTION("""COMPUTED_VALUE"""),"0898245540")</f>
        <v>0898245540</v>
      </c>
      <c r="J196" s="76">
        <f>IFERROR(__xludf.DUMMYFUNCTION("""COMPUTED_VALUE"""),2.73)</f>
        <v>2.73</v>
      </c>
      <c r="K196" s="76">
        <f>IFERROR(__xludf.DUMMYFUNCTION("""COMPUTED_VALUE"""),117.0)</f>
        <v>117</v>
      </c>
      <c r="L196" s="76" t="str">
        <f>IFERROR(__xludf.DUMMYFUNCTION("""COMPUTED_VALUE"""),"Rồi")</f>
        <v>Rồi</v>
      </c>
      <c r="M196" s="76" t="str">
        <f>IFERROR(__xludf.DUMMYFUNCTION("""COMPUTED_VALUE"""),"Thực tập tốt nghiệp")</f>
        <v>Thực tập tốt nghiệp</v>
      </c>
      <c r="N196" s="76">
        <f>IFERROR(__xludf.DUMMYFUNCTION("""COMPUTED_VALUE"""),9.0)</f>
        <v>9</v>
      </c>
      <c r="O196" s="76" t="str">
        <f>IFERROR(__xludf.DUMMYFUNCTION("""COMPUTED_VALUE"""),"cam kết")</f>
        <v>cam kết</v>
      </c>
      <c r="P196" s="76"/>
      <c r="Q196" s="76"/>
      <c r="R196" s="76"/>
      <c r="S196" s="102">
        <f>IFERROR(__xludf.DUMMYFUNCTION("""COMPUTED_VALUE"""),45717.0)</f>
        <v>45717</v>
      </c>
      <c r="T196" s="76"/>
      <c r="U196" s="102" t="str">
        <f>IFERROR(__xludf.DUMMYFUNCTION("""COMPUTED_VALUE"""),"Nguyễn Phương Anh")</f>
        <v>Nguyễn Phương Anh</v>
      </c>
      <c r="V196" s="76" t="str">
        <f>IFERROR(__xludf.DUMMYFUNCTION("""COMPUTED_VALUE"""),"Quản Trị Khách Sạn &amp; Nhà Hàng (Đại Học)")</f>
        <v>Quản Trị Khách Sạn &amp; Nhà Hàng (Đại Học)</v>
      </c>
      <c r="W196" s="76" t="str">
        <f>IFERROR(__xludf.DUMMYFUNCTION("""COMPUTED_VALUE"""),"Vanda Hotel")</f>
        <v>Vanda Hotel</v>
      </c>
      <c r="X196" s="76" t="str">
        <f>IFERROR(__xludf.DUMMYFUNCTION("""COMPUTED_VALUE"""),"Nhà hàng")</f>
        <v>Nhà hàng</v>
      </c>
      <c r="Y196" s="76" t="str">
        <f>IFERROR(__xludf.DUMMYFUNCTION("""COMPUTED_VALUE"""),"DUYỆT")</f>
        <v>DUYỆT</v>
      </c>
      <c r="Z196" s="76" t="str">
        <f>IFERROR(__xludf.DUMMYFUNCTION("""COMPUTED_VALUE"""),"CHUYÊN ĐỀ")</f>
        <v>CHUYÊN ĐỀ</v>
      </c>
      <c r="AA196" s="76" t="str">
        <f>IFERROR(__xludf.DUMMYFUNCTION("""COMPUTED_VALUE"""),"Nguyenphuonganh7@dtu.edu.vn")</f>
        <v>Nguyenphuonganh7@dtu.edu.vn</v>
      </c>
      <c r="AB196" s="76"/>
      <c r="AC196" s="76"/>
    </row>
    <row r="197">
      <c r="A197" s="100">
        <f>IFERROR(__xludf.DUMMYFUNCTION("""COMPUTED_VALUE"""),45655.725301666665)</f>
        <v>45655.7253</v>
      </c>
      <c r="B197" s="76" t="str">
        <f>IFERROR(__xludf.DUMMYFUNCTION("""COMPUTED_VALUE"""),"guineban2000@gmail.com")</f>
        <v>guineban2000@gmail.com</v>
      </c>
      <c r="C197" s="76">
        <f>IFERROR(__xludf.DUMMYFUNCTION("""COMPUTED_VALUE"""),2.4207105293E10)</f>
        <v>24207105293</v>
      </c>
      <c r="D197" s="76" t="str">
        <f>IFERROR(__xludf.DUMMYFUNCTION("""COMPUTED_VALUE"""),"H GUIN Ê BAN")</f>
        <v>H GUIN Ê BAN</v>
      </c>
      <c r="E197" s="101">
        <f>IFERROR(__xludf.DUMMYFUNCTION("""COMPUTED_VALUE"""),36810.0)</f>
        <v>36810</v>
      </c>
      <c r="F197" s="76" t="str">
        <f>IFERROR(__xludf.DUMMYFUNCTION("""COMPUTED_VALUE"""),"K24DLK12")</f>
        <v>K24DLK12</v>
      </c>
      <c r="G197" s="76" t="str">
        <f>IFERROR(__xludf.DUMMYFUNCTION("""COMPUTED_VALUE"""),"Quản trị Du lịch &amp; Khách sạn")</f>
        <v>Quản trị Du lịch &amp; Khách sạn</v>
      </c>
      <c r="H197" s="76" t="str">
        <f>IFERROR(__xludf.DUMMYFUNCTION("""COMPUTED_VALUE"""),"K24")</f>
        <v>K24</v>
      </c>
      <c r="I197" s="76" t="str">
        <f>IFERROR(__xludf.DUMMYFUNCTION("""COMPUTED_VALUE"""),"0981201062")</f>
        <v>0981201062</v>
      </c>
      <c r="J197" s="76">
        <f>IFERROR(__xludf.DUMMYFUNCTION("""COMPUTED_VALUE"""),2.55)</f>
        <v>2.55</v>
      </c>
      <c r="K197" s="76">
        <f>IFERROR(__xludf.DUMMYFUNCTION("""COMPUTED_VALUE"""),140.0)</f>
        <v>140</v>
      </c>
      <c r="L197" s="76" t="str">
        <f>IFERROR(__xludf.DUMMYFUNCTION("""COMPUTED_VALUE"""),"Rồi")</f>
        <v>Rồi</v>
      </c>
      <c r="M197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97" s="76">
        <f>IFERROR(__xludf.DUMMYFUNCTION("""COMPUTED_VALUE"""),0.0)</f>
        <v>0</v>
      </c>
      <c r="O197" s="76" t="str">
        <f>IFERROR(__xludf.DUMMYFUNCTION("""COMPUTED_VALUE"""),"cam kết")</f>
        <v>cam kết</v>
      </c>
      <c r="P197" s="76" t="str">
        <f>IFERROR(__xludf.DUMMYFUNCTION("""COMPUTED_VALUE"""),"ĐÃ NỘP")</f>
        <v>ĐÃ NỘP</v>
      </c>
      <c r="Q197" s="76" t="str">
        <f>IFERROR(__xludf.DUMMYFUNCTION("""COMPUTED_VALUE"""),"ĐÃ NỘP")</f>
        <v>ĐÃ NỘP</v>
      </c>
      <c r="R197" s="76">
        <f>IFERROR(__xludf.DUMMYFUNCTION("""COMPUTED_VALUE"""),19.0)</f>
        <v>19</v>
      </c>
      <c r="S197" s="76" t="str">
        <f>IFERROR(__xludf.DUMMYFUNCTION("""COMPUTED_VALUE"""),"18/01/2025")</f>
        <v>18/01/2025</v>
      </c>
      <c r="T197" s="76"/>
      <c r="U197" s="102" t="str">
        <f>IFERROR(__xludf.DUMMYFUNCTION("""COMPUTED_VALUE"""),"H Guin Êban")</f>
        <v>H Guin Êban</v>
      </c>
      <c r="V197" s="76" t="str">
        <f>IFERROR(__xludf.DUMMYFUNCTION("""COMPUTED_VALUE"""),"Quản Trị Khách Sạn &amp; Nhà Hàng (Đại Học)")</f>
        <v>Quản Trị Khách Sạn &amp; Nhà Hàng (Đại Học)</v>
      </c>
      <c r="W197" s="76" t="str">
        <f>IFERROR(__xludf.DUMMYFUNCTION("""COMPUTED_VALUE"""),"Diamond sea hotel")</f>
        <v>Diamond sea hotel</v>
      </c>
      <c r="X197" s="76" t="str">
        <f>IFERROR(__xludf.DUMMYFUNCTION("""COMPUTED_VALUE"""),"Nhà hàng")</f>
        <v>Nhà hàng</v>
      </c>
      <c r="Y197" s="76" t="str">
        <f>IFERROR(__xludf.DUMMYFUNCTION("""COMPUTED_VALUE"""),"DUYỆT")</f>
        <v>DUYỆT</v>
      </c>
      <c r="Z197" s="76" t="str">
        <f>IFERROR(__xludf.DUMMYFUNCTION("""COMPUTED_VALUE"""),"CHUYÊN ĐỀ")</f>
        <v>CHUYÊN ĐỀ</v>
      </c>
      <c r="AA197" s="76" t="str">
        <f>IFERROR(__xludf.DUMMYFUNCTION("""COMPUTED_VALUE"""),"guineban2000@gmail.com")</f>
        <v>guineban2000@gmail.com</v>
      </c>
      <c r="AB197" s="76"/>
      <c r="AC197" s="76"/>
    </row>
    <row r="198">
      <c r="A198" s="100">
        <f>IFERROR(__xludf.DUMMYFUNCTION("""COMPUTED_VALUE"""),45658.60725722222)</f>
        <v>45658.60726</v>
      </c>
      <c r="B198" s="76" t="str">
        <f>IFERROR(__xludf.DUMMYFUNCTION("""COMPUTED_VALUE"""),"hotcamtien1@gmail.com")</f>
        <v>hotcamtien1@gmail.com</v>
      </c>
      <c r="C198" s="76">
        <f>IFERROR(__xludf.DUMMYFUNCTION("""COMPUTED_VALUE"""),2.7207133398E10)</f>
        <v>27207133398</v>
      </c>
      <c r="D198" s="76" t="str">
        <f>IFERROR(__xludf.DUMMYFUNCTION("""COMPUTED_VALUE"""),"Hồ Thị Cẩm Tiên")</f>
        <v>Hồ Thị Cẩm Tiên</v>
      </c>
      <c r="E198" s="101">
        <f>IFERROR(__xludf.DUMMYFUNCTION("""COMPUTED_VALUE"""),37913.0)</f>
        <v>37913</v>
      </c>
      <c r="F198" s="76" t="str">
        <f>IFERROR(__xludf.DUMMYFUNCTION("""COMPUTED_VALUE"""),"K27DLK2")</f>
        <v>K27DLK2</v>
      </c>
      <c r="G198" s="76" t="str">
        <f>IFERROR(__xludf.DUMMYFUNCTION("""COMPUTED_VALUE"""),"Quản trị Du lịch &amp; Khách sạn")</f>
        <v>Quản trị Du lịch &amp; Khách sạn</v>
      </c>
      <c r="H198" s="76" t="str">
        <f>IFERROR(__xludf.DUMMYFUNCTION("""COMPUTED_VALUE"""),"K27")</f>
        <v>K27</v>
      </c>
      <c r="I198" s="76" t="str">
        <f>IFERROR(__xludf.DUMMYFUNCTION("""COMPUTED_VALUE"""),"0798326705")</f>
        <v>0798326705</v>
      </c>
      <c r="J198" s="76">
        <f>IFERROR(__xludf.DUMMYFUNCTION("""COMPUTED_VALUE"""),2.96)</f>
        <v>2.96</v>
      </c>
      <c r="K198" s="76">
        <f>IFERROR(__xludf.DUMMYFUNCTION("""COMPUTED_VALUE"""),111.0)</f>
        <v>111</v>
      </c>
      <c r="L198" s="76" t="str">
        <f>IFERROR(__xludf.DUMMYFUNCTION("""COMPUTED_VALUE"""),"Rồi")</f>
        <v>Rồi</v>
      </c>
      <c r="M198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98" s="76">
        <f>IFERROR(__xludf.DUMMYFUNCTION("""COMPUTED_VALUE"""),17.0)</f>
        <v>17</v>
      </c>
      <c r="O198" s="76" t="str">
        <f>IFERROR(__xludf.DUMMYFUNCTION("""COMPUTED_VALUE"""),"cam kết")</f>
        <v>cam kết</v>
      </c>
      <c r="P198" s="76"/>
      <c r="Q198" s="76"/>
      <c r="R198" s="76"/>
      <c r="S198" s="102">
        <f>IFERROR(__xludf.DUMMYFUNCTION("""COMPUTED_VALUE"""),45717.0)</f>
        <v>45717</v>
      </c>
      <c r="T198" s="76"/>
      <c r="U198" s="102" t="str">
        <f>IFERROR(__xludf.DUMMYFUNCTION("""COMPUTED_VALUE"""),"Hồ Thị Cẩm Tiên")</f>
        <v>Hồ Thị Cẩm Tiên</v>
      </c>
      <c r="V198" s="76" t="str">
        <f>IFERROR(__xludf.DUMMYFUNCTION("""COMPUTED_VALUE"""),"Quản Trị Khách Sạn &amp; Nhà Hàng (Đại Học)")</f>
        <v>Quản Trị Khách Sạn &amp; Nhà Hàng (Đại Học)</v>
      </c>
      <c r="W198" s="76" t="str">
        <f>IFERROR(__xludf.DUMMYFUNCTION("""COMPUTED_VALUE"""),"#N/A")</f>
        <v>#N/A</v>
      </c>
      <c r="X198" s="76" t="str">
        <f>IFERROR(__xludf.DUMMYFUNCTION("""COMPUTED_VALUE"""),"#N/A")</f>
        <v>#N/A</v>
      </c>
      <c r="Y198" s="76" t="str">
        <f>IFERROR(__xludf.DUMMYFUNCTION("""COMPUTED_VALUE"""),"#N/A")</f>
        <v>#N/A</v>
      </c>
      <c r="Z198" s="76" t="str">
        <f>IFERROR(__xludf.DUMMYFUNCTION("""COMPUTED_VALUE"""),"CHUYÊN ĐỀ")</f>
        <v>CHUYÊN ĐỀ</v>
      </c>
      <c r="AA198" s="76" t="str">
        <f>IFERROR(__xludf.DUMMYFUNCTION("""COMPUTED_VALUE"""),"hotcamtien1@gmail.com")</f>
        <v>hotcamtien1@gmail.com</v>
      </c>
      <c r="AB198" s="76"/>
      <c r="AC198" s="76"/>
    </row>
    <row r="199">
      <c r="A199" s="100">
        <f>IFERROR(__xludf.DUMMYFUNCTION("""COMPUTED_VALUE"""),45656.51957017361)</f>
        <v>45656.51957</v>
      </c>
      <c r="B199" s="76" t="str">
        <f>IFERROR(__xludf.DUMMYFUNCTION("""COMPUTED_VALUE"""),"ttri52278@gmail.com")</f>
        <v>ttri52278@gmail.com</v>
      </c>
      <c r="C199" s="76">
        <f>IFERROR(__xludf.DUMMYFUNCTION("""COMPUTED_VALUE"""),2.7217100378E10)</f>
        <v>27217100378</v>
      </c>
      <c r="D199" s="76" t="str">
        <f>IFERROR(__xludf.DUMMYFUNCTION("""COMPUTED_VALUE"""),"Trần Minh Trí")</f>
        <v>Trần Minh Trí</v>
      </c>
      <c r="E199" s="101">
        <f>IFERROR(__xludf.DUMMYFUNCTION("""COMPUTED_VALUE"""),37903.0)</f>
        <v>37903</v>
      </c>
      <c r="F199" s="76" t="str">
        <f>IFERROR(__xludf.DUMMYFUNCTION("""COMPUTED_VALUE"""),"K27DLK3")</f>
        <v>K27DLK3</v>
      </c>
      <c r="G199" s="76" t="str">
        <f>IFERROR(__xludf.DUMMYFUNCTION("""COMPUTED_VALUE"""),"Quản trị Du lịch &amp; Khách sạn")</f>
        <v>Quản trị Du lịch &amp; Khách sạn</v>
      </c>
      <c r="H199" s="76" t="str">
        <f>IFERROR(__xludf.DUMMYFUNCTION("""COMPUTED_VALUE"""),"K27")</f>
        <v>K27</v>
      </c>
      <c r="I199" s="76" t="str">
        <f>IFERROR(__xludf.DUMMYFUNCTION("""COMPUTED_VALUE"""),"0914689322")</f>
        <v>0914689322</v>
      </c>
      <c r="J199" s="76">
        <f>IFERROR(__xludf.DUMMYFUNCTION("""COMPUTED_VALUE"""),2.84)</f>
        <v>2.84</v>
      </c>
      <c r="K199" s="76">
        <f>IFERROR(__xludf.DUMMYFUNCTION("""COMPUTED_VALUE"""),112.0)</f>
        <v>112</v>
      </c>
      <c r="L199" s="76" t="str">
        <f>IFERROR(__xludf.DUMMYFUNCTION("""COMPUTED_VALUE"""),"Rồi")</f>
        <v>Rồi</v>
      </c>
      <c r="M199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199" s="76">
        <f>IFERROR(__xludf.DUMMYFUNCTION("""COMPUTED_VALUE"""),11.0)</f>
        <v>11</v>
      </c>
      <c r="O199" s="76" t="str">
        <f>IFERROR(__xludf.DUMMYFUNCTION("""COMPUTED_VALUE"""),"cam kết")</f>
        <v>cam kết</v>
      </c>
      <c r="P199" s="76"/>
      <c r="Q199" s="76"/>
      <c r="R199" s="76"/>
      <c r="S199" s="102">
        <f>IFERROR(__xludf.DUMMYFUNCTION("""COMPUTED_VALUE"""),45717.0)</f>
        <v>45717</v>
      </c>
      <c r="T199" s="76"/>
      <c r="U199" s="102" t="str">
        <f>IFERROR(__xludf.DUMMYFUNCTION("""COMPUTED_VALUE"""),"Trần Minh Trí")</f>
        <v>Trần Minh Trí</v>
      </c>
      <c r="V199" s="76" t="str">
        <f>IFERROR(__xludf.DUMMYFUNCTION("""COMPUTED_VALUE"""),"Quản Trị Khách Sạn &amp; Nhà Hàng (Đại Học)")</f>
        <v>Quản Trị Khách Sạn &amp; Nhà Hàng (Đại Học)</v>
      </c>
      <c r="W199" s="76" t="str">
        <f>IFERROR(__xludf.DUMMYFUNCTION("""COMPUTED_VALUE"""),"Khách sạn Hilton Đà Nẵng")</f>
        <v>Khách sạn Hilton Đà Nẵng</v>
      </c>
      <c r="X199" s="76" t="str">
        <f>IFERROR(__xludf.DUMMYFUNCTION("""COMPUTED_VALUE"""),"Nhà hàng")</f>
        <v>Nhà hàng</v>
      </c>
      <c r="Y199" s="76" t="str">
        <f>IFERROR(__xludf.DUMMYFUNCTION("""COMPUTED_VALUE"""),"DUYỆT")</f>
        <v>DUYỆT</v>
      </c>
      <c r="Z199" s="76" t="str">
        <f>IFERROR(__xludf.DUMMYFUNCTION("""COMPUTED_VALUE"""),"CHUYÊN ĐỀ")</f>
        <v>CHUYÊN ĐỀ</v>
      </c>
      <c r="AA199" s="76" t="str">
        <f>IFERROR(__xludf.DUMMYFUNCTION("""COMPUTED_VALUE"""),"ttri52278@gmail.com")</f>
        <v>ttri52278@gmail.com</v>
      </c>
      <c r="AB199" s="76"/>
      <c r="AC199" s="76"/>
    </row>
    <row r="200">
      <c r="A200" s="100">
        <f>IFERROR(__xludf.DUMMYFUNCTION("""COMPUTED_VALUE"""),45699.74831111111)</f>
        <v>45699.74831</v>
      </c>
      <c r="B200" s="76" t="str">
        <f>IFERROR(__xludf.DUMMYFUNCTION("""COMPUTED_VALUE"""),"nguyenthitrang150805@gmail.com")</f>
        <v>nguyenthitrang150805@gmail.com</v>
      </c>
      <c r="C200" s="76">
        <f>IFERROR(__xludf.DUMMYFUNCTION("""COMPUTED_VALUE"""),2.7207100837E10)</f>
        <v>27207100837</v>
      </c>
      <c r="D200" s="76" t="str">
        <f>IFERROR(__xludf.DUMMYFUNCTION("""COMPUTED_VALUE"""),"Nguyễn Thị Trang")</f>
        <v>Nguyễn Thị Trang</v>
      </c>
      <c r="E200" s="101">
        <f>IFERROR(__xludf.DUMMYFUNCTION("""COMPUTED_VALUE"""),37749.0)</f>
        <v>37749</v>
      </c>
      <c r="F200" s="76" t="str">
        <f>IFERROR(__xludf.DUMMYFUNCTION("""COMPUTED_VALUE"""),"K27DLK4")</f>
        <v>K27DLK4</v>
      </c>
      <c r="G200" s="76" t="str">
        <f>IFERROR(__xludf.DUMMYFUNCTION("""COMPUTED_VALUE"""),"Quản trị Du lịch &amp; Khách sạn")</f>
        <v>Quản trị Du lịch &amp; Khách sạn</v>
      </c>
      <c r="H200" s="76" t="str">
        <f>IFERROR(__xludf.DUMMYFUNCTION("""COMPUTED_VALUE"""),"K27")</f>
        <v>K27</v>
      </c>
      <c r="I200" s="76" t="str">
        <f>IFERROR(__xludf.DUMMYFUNCTION("""COMPUTED_VALUE"""),"0346787402")</f>
        <v>0346787402</v>
      </c>
      <c r="J200" s="76">
        <f>IFERROR(__xludf.DUMMYFUNCTION("""COMPUTED_VALUE"""),3.04)</f>
        <v>3.04</v>
      </c>
      <c r="K200" s="76">
        <f>IFERROR(__xludf.DUMMYFUNCTION("""COMPUTED_VALUE"""),112.0)</f>
        <v>112</v>
      </c>
      <c r="L200" s="76" t="str">
        <f>IFERROR(__xludf.DUMMYFUNCTION("""COMPUTED_VALUE"""),"Rồi")</f>
        <v>Rồi</v>
      </c>
      <c r="M200" s="76" t="str">
        <f>IFERROR(__xludf.DUMMYFUNCTION("""COMPUTED_VALUE"""),"Thực tập tốt nghiệp")</f>
        <v>Thực tập tốt nghiệp</v>
      </c>
      <c r="N200" s="76" t="str">
        <f>IFERROR(__xludf.DUMMYFUNCTION("""COMPUTED_VALUE"""),"Đang hk2 HOS 401")</f>
        <v>Đang hk2 HOS 401</v>
      </c>
      <c r="O200" s="76" t="str">
        <f>IFERROR(__xludf.DUMMYFUNCTION("""COMPUTED_VALUE"""),"cam kết")</f>
        <v>cam kết</v>
      </c>
      <c r="P200" s="76"/>
      <c r="Q200" s="76"/>
      <c r="R200" s="76"/>
      <c r="S200" s="102">
        <f>IFERROR(__xludf.DUMMYFUNCTION("""COMPUTED_VALUE"""),45717.0)</f>
        <v>45717</v>
      </c>
      <c r="T200" s="76"/>
      <c r="U200" s="102" t="str">
        <f>IFERROR(__xludf.DUMMYFUNCTION("""COMPUTED_VALUE"""),"Nguyễn Thị Trang")</f>
        <v>Nguyễn Thị Trang</v>
      </c>
      <c r="V200" s="76" t="str">
        <f>IFERROR(__xludf.DUMMYFUNCTION("""COMPUTED_VALUE"""),"Quản Trị Khách Sạn &amp; Nhà Hàng (Đại Học)")</f>
        <v>Quản Trị Khách Sạn &amp; Nhà Hàng (Đại Học)</v>
      </c>
      <c r="W200" s="76" t="str">
        <f>IFERROR(__xludf.DUMMYFUNCTION("""COMPUTED_VALUE"""),"The Nalod Đà Năng ")</f>
        <v>The Nalod Đà Năng </v>
      </c>
      <c r="X200" s="76" t="str">
        <f>IFERROR(__xludf.DUMMYFUNCTION("""COMPUTED_VALUE"""),"Nhà hàng")</f>
        <v>Nhà hàng</v>
      </c>
      <c r="Y200" s="76" t="str">
        <f>IFERROR(__xludf.DUMMYFUNCTION("""COMPUTED_VALUE"""),"KHÔNG DUYỆT")</f>
        <v>KHÔNG DUYỆT</v>
      </c>
      <c r="Z200" s="76" t="str">
        <f>IFERROR(__xludf.DUMMYFUNCTION("""COMPUTED_VALUE"""),"CHUYÊN ĐỀ")</f>
        <v>CHUYÊN ĐỀ</v>
      </c>
      <c r="AA200" s="76" t="str">
        <f>IFERROR(__xludf.DUMMYFUNCTION("""COMPUTED_VALUE"""),"nguyenthitrang150805@gmail.com")</f>
        <v>nguyenthitrang150805@gmail.com</v>
      </c>
      <c r="AB200" s="76"/>
      <c r="AC200" s="76"/>
    </row>
    <row r="201">
      <c r="A201" s="100">
        <f>IFERROR(__xludf.DUMMYFUNCTION("""COMPUTED_VALUE"""),45665.40170465277)</f>
        <v>45665.4017</v>
      </c>
      <c r="B201" s="76" t="str">
        <f>IFERROR(__xludf.DUMMYFUNCTION("""COMPUTED_VALUE"""),"minhtringuyentruong08@gmail.com")</f>
        <v>minhtringuyentruong08@gmail.com</v>
      </c>
      <c r="C201" s="76">
        <f>IFERROR(__xludf.DUMMYFUNCTION("""COMPUTED_VALUE"""),2.621723608E10)</f>
        <v>26217236080</v>
      </c>
      <c r="D201" s="76" t="str">
        <f>IFERROR(__xludf.DUMMYFUNCTION("""COMPUTED_VALUE"""),"Nguyễn Trương Minh Trí")</f>
        <v>Nguyễn Trương Minh Trí</v>
      </c>
      <c r="E201" s="101">
        <f>IFERROR(__xludf.DUMMYFUNCTION("""COMPUTED_VALUE"""),37107.0)</f>
        <v>37107</v>
      </c>
      <c r="F201" s="76" t="str">
        <f>IFERROR(__xludf.DUMMYFUNCTION("""COMPUTED_VALUE"""),"K26DLK16")</f>
        <v>K26DLK16</v>
      </c>
      <c r="G201" s="76" t="str">
        <f>IFERROR(__xludf.DUMMYFUNCTION("""COMPUTED_VALUE"""),"Quản trị Du lịch &amp; Khách sạn")</f>
        <v>Quản trị Du lịch &amp; Khách sạn</v>
      </c>
      <c r="H201" s="76" t="str">
        <f>IFERROR(__xludf.DUMMYFUNCTION("""COMPUTED_VALUE"""),"K26")</f>
        <v>K26</v>
      </c>
      <c r="I201" s="76" t="str">
        <f>IFERROR(__xludf.DUMMYFUNCTION("""COMPUTED_VALUE"""),"0348222256")</f>
        <v>0348222256</v>
      </c>
      <c r="J201" s="76">
        <f>IFERROR(__xludf.DUMMYFUNCTION("""COMPUTED_VALUE"""),2.35)</f>
        <v>2.35</v>
      </c>
      <c r="K201" s="76">
        <f>IFERROR(__xludf.DUMMYFUNCTION("""COMPUTED_VALUE"""),119.0)</f>
        <v>119</v>
      </c>
      <c r="L201" s="76" t="str">
        <f>IFERROR(__xludf.DUMMYFUNCTION("""COMPUTED_VALUE"""),"Rồi")</f>
        <v>Rồi</v>
      </c>
      <c r="M201" s="76" t="str">
        <f>IFERROR(__xludf.DUMMYFUNCTION("""COMPUTED_VALUE"""),"Thực tập tốt nghiệp")</f>
        <v>Thực tập tốt nghiệp</v>
      </c>
      <c r="N201" s="76">
        <f>IFERROR(__xludf.DUMMYFUNCTION("""COMPUTED_VALUE"""),6.0)</f>
        <v>6</v>
      </c>
      <c r="O201" s="76" t="str">
        <f>IFERROR(__xludf.DUMMYFUNCTION("""COMPUTED_VALUE"""),"cam kết")</f>
        <v>cam kết</v>
      </c>
      <c r="P201" s="76"/>
      <c r="Q201" s="76" t="str">
        <f>IFERROR(__xludf.DUMMYFUNCTION("""COMPUTED_VALUE"""),"ĐÃ NỘP")</f>
        <v>ĐÃ NỘP</v>
      </c>
      <c r="R201" s="76">
        <f>IFERROR(__xludf.DUMMYFUNCTION("""COMPUTED_VALUE"""),20.0)</f>
        <v>20</v>
      </c>
      <c r="S201" s="76"/>
      <c r="T201" s="76" t="str">
        <f>IFERROR(__xludf.DUMMYFUNCTION("""COMPUTED_VALUE"""),"đã nộp phiếu tiếp nhận sv tt")</f>
        <v>đã nộp phiếu tiếp nhận sv tt</v>
      </c>
      <c r="U201" s="102" t="str">
        <f>IFERROR(__xludf.DUMMYFUNCTION("""COMPUTED_VALUE"""),"Nguyễn Trương Minh Trí")</f>
        <v>Nguyễn Trương Minh Trí</v>
      </c>
      <c r="V201" s="76" t="str">
        <f>IFERROR(__xludf.DUMMYFUNCTION("""COMPUTED_VALUE"""),"Quản Trị Khách Sạn &amp; Nhà Hàng (Đại Học)")</f>
        <v>Quản Trị Khách Sạn &amp; Nhà Hàng (Đại Học)</v>
      </c>
      <c r="W201" s="76" t="str">
        <f>IFERROR(__xludf.DUMMYFUNCTION("""COMPUTED_VALUE"""),"Le Sands Oceanfront Da Nang Hotel")</f>
        <v>Le Sands Oceanfront Da Nang Hotel</v>
      </c>
      <c r="X201" s="76" t="str">
        <f>IFERROR(__xludf.DUMMYFUNCTION("""COMPUTED_VALUE"""),"Nhà hàng")</f>
        <v>Nhà hàng</v>
      </c>
      <c r="Y201" s="76" t="str">
        <f>IFERROR(__xludf.DUMMYFUNCTION("""COMPUTED_VALUE"""),"DUYỆT")</f>
        <v>DUYỆT</v>
      </c>
      <c r="Z201" s="76" t="str">
        <f>IFERROR(__xludf.DUMMYFUNCTION("""COMPUTED_VALUE"""),"CHUYÊN ĐỀ")</f>
        <v>CHUYÊN ĐỀ</v>
      </c>
      <c r="AA201" s="76" t="str">
        <f>IFERROR(__xludf.DUMMYFUNCTION("""COMPUTED_VALUE"""),"minhtringuyentruong08@gmail.com")</f>
        <v>minhtringuyentruong08@gmail.com</v>
      </c>
      <c r="AB201" s="76"/>
      <c r="AC201" s="76"/>
    </row>
    <row r="202">
      <c r="A202" s="100">
        <f>IFERROR(__xludf.DUMMYFUNCTION("""COMPUTED_VALUE"""),45656.60107350694)</f>
        <v>45656.60107</v>
      </c>
      <c r="B202" s="76" t="str">
        <f>IFERROR(__xludf.DUMMYFUNCTION("""COMPUTED_VALUE"""),"thanhtuyenpro26072003@gmail.com")</f>
        <v>thanhtuyenpro26072003@gmail.com</v>
      </c>
      <c r="C202" s="76">
        <f>IFERROR(__xludf.DUMMYFUNCTION("""COMPUTED_VALUE"""),2.7207132631E10)</f>
        <v>27207132631</v>
      </c>
      <c r="D202" s="76" t="str">
        <f>IFERROR(__xludf.DUMMYFUNCTION("""COMPUTED_VALUE"""),"Võ Thị Thanh Tuyền")</f>
        <v>Võ Thị Thanh Tuyền</v>
      </c>
      <c r="E202" s="101">
        <f>IFERROR(__xludf.DUMMYFUNCTION("""COMPUTED_VALUE"""),37828.0)</f>
        <v>37828</v>
      </c>
      <c r="F202" s="76" t="str">
        <f>IFERROR(__xludf.DUMMYFUNCTION("""COMPUTED_VALUE"""),"K27 DLK6")</f>
        <v>K27 DLK6</v>
      </c>
      <c r="G202" s="76" t="str">
        <f>IFERROR(__xludf.DUMMYFUNCTION("""COMPUTED_VALUE"""),"Quản trị Du lịch &amp; Khách sạn")</f>
        <v>Quản trị Du lịch &amp; Khách sạn</v>
      </c>
      <c r="H202" s="76" t="str">
        <f>IFERROR(__xludf.DUMMYFUNCTION("""COMPUTED_VALUE"""),"K27")</f>
        <v>K27</v>
      </c>
      <c r="I202" s="76" t="str">
        <f>IFERROR(__xludf.DUMMYFUNCTION("""COMPUTED_VALUE"""),"0779494325")</f>
        <v>0779494325</v>
      </c>
      <c r="J202" s="76">
        <f>IFERROR(__xludf.DUMMYFUNCTION("""COMPUTED_VALUE"""),2.63)</f>
        <v>2.63</v>
      </c>
      <c r="K202" s="76">
        <f>IFERROR(__xludf.DUMMYFUNCTION("""COMPUTED_VALUE"""),114.0)</f>
        <v>114</v>
      </c>
      <c r="L202" s="76" t="str">
        <f>IFERROR(__xludf.DUMMYFUNCTION("""COMPUTED_VALUE"""),"Rồi")</f>
        <v>Rồi</v>
      </c>
      <c r="M202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02" s="76">
        <f>IFERROR(__xludf.DUMMYFUNCTION("""COMPUTED_VALUE"""),10.0)</f>
        <v>10</v>
      </c>
      <c r="O202" s="76" t="str">
        <f>IFERROR(__xludf.DUMMYFUNCTION("""COMPUTED_VALUE"""),"cam kết")</f>
        <v>cam kết</v>
      </c>
      <c r="P202" s="76"/>
      <c r="Q202" s="76"/>
      <c r="R202" s="76"/>
      <c r="S202" s="102">
        <f>IFERROR(__xludf.DUMMYFUNCTION("""COMPUTED_VALUE"""),45717.0)</f>
        <v>45717</v>
      </c>
      <c r="T202" s="76"/>
      <c r="U202" s="102" t="str">
        <f>IFERROR(__xludf.DUMMYFUNCTION("""COMPUTED_VALUE"""),"Võ Thị Thanh Tuyền")</f>
        <v>Võ Thị Thanh Tuyền</v>
      </c>
      <c r="V202" s="76" t="str">
        <f>IFERROR(__xludf.DUMMYFUNCTION("""COMPUTED_VALUE"""),"Quản Trị Khách Sạn &amp; Nhà Hàng (Đại Học)")</f>
        <v>Quản Trị Khách Sạn &amp; Nhà Hàng (Đại Học)</v>
      </c>
      <c r="W202" s="76" t="str">
        <f>IFERROR(__xludf.DUMMYFUNCTION("""COMPUTED_VALUE"""),"Cicilia Hotel &amp; Spa")</f>
        <v>Cicilia Hotel &amp; Spa</v>
      </c>
      <c r="X202" s="76" t="str">
        <f>IFERROR(__xludf.DUMMYFUNCTION("""COMPUTED_VALUE"""),"Nhà hàng")</f>
        <v>Nhà hàng</v>
      </c>
      <c r="Y202" s="76" t="str">
        <f>IFERROR(__xludf.DUMMYFUNCTION("""COMPUTED_VALUE"""),"DUYỆT")</f>
        <v>DUYỆT</v>
      </c>
      <c r="Z202" s="76" t="str">
        <f>IFERROR(__xludf.DUMMYFUNCTION("""COMPUTED_VALUE"""),"CHUYÊN ĐỀ")</f>
        <v>CHUYÊN ĐỀ</v>
      </c>
      <c r="AA202" s="76" t="str">
        <f>IFERROR(__xludf.DUMMYFUNCTION("""COMPUTED_VALUE"""),"thanhtuyenpro26072003@gmail.com")</f>
        <v>thanhtuyenpro26072003@gmail.com</v>
      </c>
      <c r="AB202" s="76"/>
      <c r="AC202" s="76"/>
    </row>
    <row r="203">
      <c r="A203" s="100">
        <f>IFERROR(__xludf.DUMMYFUNCTION("""COMPUTED_VALUE"""),45656.72835150463)</f>
        <v>45656.72835</v>
      </c>
      <c r="B203" s="76" t="str">
        <f>IFERROR(__xludf.DUMMYFUNCTION("""COMPUTED_VALUE"""),"nguyentkimnguyen2@gmail.com")</f>
        <v>nguyentkimnguyen2@gmail.com</v>
      </c>
      <c r="C203" s="76">
        <f>IFERROR(__xludf.DUMMYFUNCTION("""COMPUTED_VALUE"""),2.7207130473E10)</f>
        <v>27207130473</v>
      </c>
      <c r="D203" s="76" t="str">
        <f>IFERROR(__xludf.DUMMYFUNCTION("""COMPUTED_VALUE"""),"Nguyễn Thị Kim Nguyên")</f>
        <v>Nguyễn Thị Kim Nguyên</v>
      </c>
      <c r="E203" s="101">
        <f>IFERROR(__xludf.DUMMYFUNCTION("""COMPUTED_VALUE"""),37654.0)</f>
        <v>37654</v>
      </c>
      <c r="F203" s="76" t="str">
        <f>IFERROR(__xludf.DUMMYFUNCTION("""COMPUTED_VALUE"""),"K27DLK3")</f>
        <v>K27DLK3</v>
      </c>
      <c r="G203" s="76" t="str">
        <f>IFERROR(__xludf.DUMMYFUNCTION("""COMPUTED_VALUE"""),"Quản trị Du lịch &amp; Khách sạn")</f>
        <v>Quản trị Du lịch &amp; Khách sạn</v>
      </c>
      <c r="H203" s="76" t="str">
        <f>IFERROR(__xludf.DUMMYFUNCTION("""COMPUTED_VALUE"""),"K27")</f>
        <v>K27</v>
      </c>
      <c r="I203" s="76" t="str">
        <f>IFERROR(__xludf.DUMMYFUNCTION("""COMPUTED_VALUE"""),"0935822973")</f>
        <v>0935822973</v>
      </c>
      <c r="J203" s="76">
        <f>IFERROR(__xludf.DUMMYFUNCTION("""COMPUTED_VALUE"""),3.13)</f>
        <v>3.13</v>
      </c>
      <c r="K203" s="76">
        <f>IFERROR(__xludf.DUMMYFUNCTION("""COMPUTED_VALUE"""),120.0)</f>
        <v>120</v>
      </c>
      <c r="L203" s="76" t="str">
        <f>IFERROR(__xludf.DUMMYFUNCTION("""COMPUTED_VALUE"""),"Rồi")</f>
        <v>Rồi</v>
      </c>
      <c r="M203" s="76" t="str">
        <f>IFERROR(__xludf.DUMMYFUNCTION("""COMPUTED_VALUE"""),"Thực tập tốt nghiệp")</f>
        <v>Thực tập tốt nghiệp</v>
      </c>
      <c r="N203" s="76">
        <f>IFERROR(__xludf.DUMMYFUNCTION("""COMPUTED_VALUE"""),6.0)</f>
        <v>6</v>
      </c>
      <c r="O203" s="76" t="str">
        <f>IFERROR(__xludf.DUMMYFUNCTION("""COMPUTED_VALUE"""),"cam kết")</f>
        <v>cam kết</v>
      </c>
      <c r="P203" s="76"/>
      <c r="Q203" s="76"/>
      <c r="R203" s="76"/>
      <c r="S203" s="102">
        <f>IFERROR(__xludf.DUMMYFUNCTION("""COMPUTED_VALUE"""),45717.0)</f>
        <v>45717</v>
      </c>
      <c r="T203" s="76"/>
      <c r="U203" s="102" t="str">
        <f>IFERROR(__xludf.DUMMYFUNCTION("""COMPUTED_VALUE"""),"Nguyễn Thị Kim Nguyên")</f>
        <v>Nguyễn Thị Kim Nguyên</v>
      </c>
      <c r="V203" s="76" t="str">
        <f>IFERROR(__xludf.DUMMYFUNCTION("""COMPUTED_VALUE"""),"Quản Trị Khách Sạn &amp; Nhà Hàng (Đại Học)")</f>
        <v>Quản Trị Khách Sạn &amp; Nhà Hàng (Đại Học)</v>
      </c>
      <c r="W203" s="76" t="str">
        <f>IFERROR(__xludf.DUMMYFUNCTION("""COMPUTED_VALUE"""),"Avatar Hotel ")</f>
        <v>Avatar Hotel </v>
      </c>
      <c r="X203" s="76" t="str">
        <f>IFERROR(__xludf.DUMMYFUNCTION("""COMPUTED_VALUE"""),"Buồng phòng")</f>
        <v>Buồng phòng</v>
      </c>
      <c r="Y203" s="76" t="str">
        <f>IFERROR(__xludf.DUMMYFUNCTION("""COMPUTED_VALUE"""),"DUYỆT")</f>
        <v>DUYỆT</v>
      </c>
      <c r="Z203" s="76" t="str">
        <f>IFERROR(__xludf.DUMMYFUNCTION("""COMPUTED_VALUE"""),"CHUYÊN ĐỀ")</f>
        <v>CHUYÊN ĐỀ</v>
      </c>
      <c r="AA203" s="76" t="str">
        <f>IFERROR(__xludf.DUMMYFUNCTION("""COMPUTED_VALUE"""),"nguyentkimnguyen2@gmail.com")</f>
        <v>nguyentkimnguyen2@gmail.com</v>
      </c>
      <c r="AB203" s="76"/>
      <c r="AC203" s="76"/>
    </row>
    <row r="204">
      <c r="A204" s="100">
        <f>IFERROR(__xludf.DUMMYFUNCTION("""COMPUTED_VALUE"""),45656.72850515046)</f>
        <v>45656.72851</v>
      </c>
      <c r="B204" s="76" t="str">
        <f>IFERROR(__xludf.DUMMYFUNCTION("""COMPUTED_VALUE"""),"ngomynuong0403@gmail.com")</f>
        <v>ngomynuong0403@gmail.com</v>
      </c>
      <c r="C204" s="76">
        <f>IFERROR(__xludf.DUMMYFUNCTION("""COMPUTED_VALUE"""),2.7207128299E10)</f>
        <v>27207128299</v>
      </c>
      <c r="D204" s="76" t="str">
        <f>IFERROR(__xludf.DUMMYFUNCTION("""COMPUTED_VALUE"""),"Ngô Thị Mỹ Nương ")</f>
        <v>Ngô Thị Mỹ Nương </v>
      </c>
      <c r="E204" s="101">
        <f>IFERROR(__xludf.DUMMYFUNCTION("""COMPUTED_VALUE"""),37684.0)</f>
        <v>37684</v>
      </c>
      <c r="F204" s="76" t="str">
        <f>IFERROR(__xludf.DUMMYFUNCTION("""COMPUTED_VALUE"""),"K27DLK3")</f>
        <v>K27DLK3</v>
      </c>
      <c r="G204" s="76" t="str">
        <f>IFERROR(__xludf.DUMMYFUNCTION("""COMPUTED_VALUE"""),"Quản trị Du lịch &amp; Khách sạn")</f>
        <v>Quản trị Du lịch &amp; Khách sạn</v>
      </c>
      <c r="H204" s="76" t="str">
        <f>IFERROR(__xludf.DUMMYFUNCTION("""COMPUTED_VALUE"""),"K27")</f>
        <v>K27</v>
      </c>
      <c r="I204" s="76" t="str">
        <f>IFERROR(__xludf.DUMMYFUNCTION("""COMPUTED_VALUE"""),"0394556635")</f>
        <v>0394556635</v>
      </c>
      <c r="J204" s="76" t="str">
        <f>IFERROR(__xludf.DUMMYFUNCTION("""COMPUTED_VALUE"""),"3,12")</f>
        <v>3,12</v>
      </c>
      <c r="K204" s="76">
        <f>IFERROR(__xludf.DUMMYFUNCTION("""COMPUTED_VALUE"""),121.0)</f>
        <v>121</v>
      </c>
      <c r="L204" s="76" t="str">
        <f>IFERROR(__xludf.DUMMYFUNCTION("""COMPUTED_VALUE"""),"Rồi")</f>
        <v>Rồi</v>
      </c>
      <c r="M204" s="76" t="str">
        <f>IFERROR(__xludf.DUMMYFUNCTION("""COMPUTED_VALUE"""),"Thực tập tốt nghiệp")</f>
        <v>Thực tập tốt nghiệp</v>
      </c>
      <c r="N204" s="76">
        <f>IFERROR(__xludf.DUMMYFUNCTION("""COMPUTED_VALUE"""),6.0)</f>
        <v>6</v>
      </c>
      <c r="O204" s="76" t="str">
        <f>IFERROR(__xludf.DUMMYFUNCTION("""COMPUTED_VALUE"""),"cam kết")</f>
        <v>cam kết</v>
      </c>
      <c r="P204" s="76"/>
      <c r="Q204" s="76"/>
      <c r="R204" s="76"/>
      <c r="S204" s="102">
        <f>IFERROR(__xludf.DUMMYFUNCTION("""COMPUTED_VALUE"""),45717.0)</f>
        <v>45717</v>
      </c>
      <c r="T204" s="76"/>
      <c r="U204" s="102" t="str">
        <f>IFERROR(__xludf.DUMMYFUNCTION("""COMPUTED_VALUE"""),"Ngô Thị Mỹ Nương")</f>
        <v>Ngô Thị Mỹ Nương</v>
      </c>
      <c r="V204" s="76" t="str">
        <f>IFERROR(__xludf.DUMMYFUNCTION("""COMPUTED_VALUE"""),"Quản Trị Khách Sạn &amp; Nhà Hàng (Đại Học)")</f>
        <v>Quản Trị Khách Sạn &amp; Nhà Hàng (Đại Học)</v>
      </c>
      <c r="W204" s="76" t="str">
        <f>IFERROR(__xludf.DUMMYFUNCTION("""COMPUTED_VALUE"""),"DLG Hotel DaNang")</f>
        <v>DLG Hotel DaNang</v>
      </c>
      <c r="X204" s="76" t="str">
        <f>IFERROR(__xludf.DUMMYFUNCTION("""COMPUTED_VALUE"""),"Buồng phòng")</f>
        <v>Buồng phòng</v>
      </c>
      <c r="Y204" s="76" t="str">
        <f>IFERROR(__xludf.DUMMYFUNCTION("""COMPUTED_VALUE"""),"DUYỆT")</f>
        <v>DUYỆT</v>
      </c>
      <c r="Z204" s="76" t="str">
        <f>IFERROR(__xludf.DUMMYFUNCTION("""COMPUTED_VALUE"""),"CHUYÊN ĐỀ")</f>
        <v>CHUYÊN ĐỀ</v>
      </c>
      <c r="AA204" s="76" t="str">
        <f>IFERROR(__xludf.DUMMYFUNCTION("""COMPUTED_VALUE"""),"ngomynuong0403@gmail.com")</f>
        <v>ngomynuong0403@gmail.com</v>
      </c>
      <c r="AB204" s="76"/>
      <c r="AC204" s="76"/>
    </row>
    <row r="205">
      <c r="A205" s="100">
        <f>IFERROR(__xludf.DUMMYFUNCTION("""COMPUTED_VALUE"""),45656.810441180554)</f>
        <v>45656.81044</v>
      </c>
      <c r="B205" s="76" t="str">
        <f>IFERROR(__xludf.DUMMYFUNCTION("""COMPUTED_VALUE"""),"quyduongpro2003@gmail.com")</f>
        <v>quyduongpro2003@gmail.com</v>
      </c>
      <c r="C205" s="76">
        <f>IFERROR(__xludf.DUMMYFUNCTION("""COMPUTED_VALUE"""),2.7217125794E10)</f>
        <v>27217125794</v>
      </c>
      <c r="D205" s="76" t="str">
        <f>IFERROR(__xludf.DUMMYFUNCTION("""COMPUTED_VALUE"""),"Phạm Trần Quí Dương")</f>
        <v>Phạm Trần Quí Dương</v>
      </c>
      <c r="E205" s="101">
        <f>IFERROR(__xludf.DUMMYFUNCTION("""COMPUTED_VALUE"""),37771.0)</f>
        <v>37771</v>
      </c>
      <c r="F205" s="76" t="str">
        <f>IFERROR(__xludf.DUMMYFUNCTION("""COMPUTED_VALUE"""),"K27DLK1")</f>
        <v>K27DLK1</v>
      </c>
      <c r="G205" s="76" t="str">
        <f>IFERROR(__xludf.DUMMYFUNCTION("""COMPUTED_VALUE"""),"Quản trị Du lịch &amp; Khách sạn")</f>
        <v>Quản trị Du lịch &amp; Khách sạn</v>
      </c>
      <c r="H205" s="76" t="str">
        <f>IFERROR(__xludf.DUMMYFUNCTION("""COMPUTED_VALUE"""),"K27")</f>
        <v>K27</v>
      </c>
      <c r="I205" s="76" t="str">
        <f>IFERROR(__xludf.DUMMYFUNCTION("""COMPUTED_VALUE"""),"0702566340")</f>
        <v>0702566340</v>
      </c>
      <c r="J205" s="76">
        <f>IFERROR(__xludf.DUMMYFUNCTION("""COMPUTED_VALUE"""),2.83)</f>
        <v>2.83</v>
      </c>
      <c r="K205" s="76">
        <f>IFERROR(__xludf.DUMMYFUNCTION("""COMPUTED_VALUE"""),112.0)</f>
        <v>112</v>
      </c>
      <c r="L205" s="76" t="str">
        <f>IFERROR(__xludf.DUMMYFUNCTION("""COMPUTED_VALUE"""),"Rồi")</f>
        <v>Rồi</v>
      </c>
      <c r="M205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05" s="76">
        <f>IFERROR(__xludf.DUMMYFUNCTION("""COMPUTED_VALUE"""),11.0)</f>
        <v>11</v>
      </c>
      <c r="O205" s="76" t="str">
        <f>IFERROR(__xludf.DUMMYFUNCTION("""COMPUTED_VALUE"""),"cam kết")</f>
        <v>cam kết</v>
      </c>
      <c r="P205" s="76"/>
      <c r="Q205" s="76"/>
      <c r="R205" s="76"/>
      <c r="S205" s="102">
        <f>IFERROR(__xludf.DUMMYFUNCTION("""COMPUTED_VALUE"""),45717.0)</f>
        <v>45717</v>
      </c>
      <c r="T205" s="76"/>
      <c r="U205" s="102" t="str">
        <f>IFERROR(__xludf.DUMMYFUNCTION("""COMPUTED_VALUE"""),"Phạm Trần Quí Dương")</f>
        <v>Phạm Trần Quí Dương</v>
      </c>
      <c r="V205" s="76" t="str">
        <f>IFERROR(__xludf.DUMMYFUNCTION("""COMPUTED_VALUE"""),"Quản Trị Khách Sạn &amp; Nhà Hàng (Đại Học)")</f>
        <v>Quản Trị Khách Sạn &amp; Nhà Hàng (Đại Học)</v>
      </c>
      <c r="W205" s="76" t="str">
        <f>IFERROR(__xludf.DUMMYFUNCTION("""COMPUTED_VALUE"""),"Grand Mercure Đà Nẵng")</f>
        <v>Grand Mercure Đà Nẵng</v>
      </c>
      <c r="X205" s="76" t="str">
        <f>IFERROR(__xludf.DUMMYFUNCTION("""COMPUTED_VALUE"""),"Buồng phòng")</f>
        <v>Buồng phòng</v>
      </c>
      <c r="Y205" s="76" t="str">
        <f>IFERROR(__xludf.DUMMYFUNCTION("""COMPUTED_VALUE"""),"DUYỆT")</f>
        <v>DUYỆT</v>
      </c>
      <c r="Z205" s="76" t="str">
        <f>IFERROR(__xludf.DUMMYFUNCTION("""COMPUTED_VALUE"""),"CHUYÊN ĐỀ")</f>
        <v>CHUYÊN ĐỀ</v>
      </c>
      <c r="AA205" s="76" t="str">
        <f>IFERROR(__xludf.DUMMYFUNCTION("""COMPUTED_VALUE"""),"quyduongpro2003@gmail.com")</f>
        <v>quyduongpro2003@gmail.com</v>
      </c>
      <c r="AB205" s="76"/>
      <c r="AC205" s="76"/>
    </row>
    <row r="206">
      <c r="A206" s="100">
        <f>IFERROR(__xludf.DUMMYFUNCTION("""COMPUTED_VALUE"""),45656.8425341088)</f>
        <v>45656.84253</v>
      </c>
      <c r="B206" s="76" t="str">
        <f>IFERROR(__xludf.DUMMYFUNCTION("""COMPUTED_VALUE"""),"phonghoang26082003@gmail.com")</f>
        <v>phonghoang26082003@gmail.com</v>
      </c>
      <c r="C206" s="76">
        <f>IFERROR(__xludf.DUMMYFUNCTION("""COMPUTED_VALUE"""),2.7218622482E10)</f>
        <v>27218622482</v>
      </c>
      <c r="D206" s="76" t="str">
        <f>IFERROR(__xludf.DUMMYFUNCTION("""COMPUTED_VALUE"""),"Từ Hoàng Phong")</f>
        <v>Từ Hoàng Phong</v>
      </c>
      <c r="E206" s="101">
        <f>IFERROR(__xludf.DUMMYFUNCTION("""COMPUTED_VALUE"""),37859.0)</f>
        <v>37859</v>
      </c>
      <c r="F206" s="76" t="str">
        <f>IFERROR(__xludf.DUMMYFUNCTION("""COMPUTED_VALUE"""),"DLK5")</f>
        <v>DLK5</v>
      </c>
      <c r="G206" s="76" t="str">
        <f>IFERROR(__xludf.DUMMYFUNCTION("""COMPUTED_VALUE"""),"Quản trị Du lịch &amp; Khách sạn")</f>
        <v>Quản trị Du lịch &amp; Khách sạn</v>
      </c>
      <c r="H206" s="76" t="str">
        <f>IFERROR(__xludf.DUMMYFUNCTION("""COMPUTED_VALUE"""),"K27")</f>
        <v>K27</v>
      </c>
      <c r="I206" s="76" t="str">
        <f>IFERROR(__xludf.DUMMYFUNCTION("""COMPUTED_VALUE"""),"0775488305")</f>
        <v>0775488305</v>
      </c>
      <c r="J206" s="76">
        <f>IFERROR(__xludf.DUMMYFUNCTION("""COMPUTED_VALUE"""),267.0)</f>
        <v>267</v>
      </c>
      <c r="K206" s="76">
        <f>IFERROR(__xludf.DUMMYFUNCTION("""COMPUTED_VALUE"""),107.0)</f>
        <v>107</v>
      </c>
      <c r="L206" s="76" t="str">
        <f>IFERROR(__xludf.DUMMYFUNCTION("""COMPUTED_VALUE"""),"Rồi")</f>
        <v>Rồi</v>
      </c>
      <c r="M206" s="76" t="str">
        <f>IFERROR(__xludf.DUMMYFUNCTION("""COMPUTED_VALUE"""),"Thực tập tốt nghiệp")</f>
        <v>Thực tập tốt nghiệp</v>
      </c>
      <c r="N206" s="76">
        <f>IFERROR(__xludf.DUMMYFUNCTION("""COMPUTED_VALUE"""),16.0)</f>
        <v>16</v>
      </c>
      <c r="O206" s="76" t="str">
        <f>IFERROR(__xludf.DUMMYFUNCTION("""COMPUTED_VALUE"""),"cam kết")</f>
        <v>cam kết</v>
      </c>
      <c r="P206" s="76"/>
      <c r="Q206" s="76"/>
      <c r="R206" s="76"/>
      <c r="S206" s="102">
        <f>IFERROR(__xludf.DUMMYFUNCTION("""COMPUTED_VALUE"""),45717.0)</f>
        <v>45717</v>
      </c>
      <c r="T206" s="76"/>
      <c r="U206" s="102" t="str">
        <f>IFERROR(__xludf.DUMMYFUNCTION("""COMPUTED_VALUE"""),"Từ Hoàng Phong")</f>
        <v>Từ Hoàng Phong</v>
      </c>
      <c r="V206" s="76" t="str">
        <f>IFERROR(__xludf.DUMMYFUNCTION("""COMPUTED_VALUE"""),"Quản Trị Khách Sạn &amp; Nhà Hàng (Đại Học)")</f>
        <v>Quản Trị Khách Sạn &amp; Nhà Hàng (Đại Học)</v>
      </c>
      <c r="W206" s="76" t="str">
        <f>IFERROR(__xludf.DUMMYFUNCTION("""COMPUTED_VALUE"""),"#N/A")</f>
        <v>#N/A</v>
      </c>
      <c r="X206" s="76" t="str">
        <f>IFERROR(__xludf.DUMMYFUNCTION("""COMPUTED_VALUE"""),"#N/A")</f>
        <v>#N/A</v>
      </c>
      <c r="Y206" s="76" t="str">
        <f>IFERROR(__xludf.DUMMYFUNCTION("""COMPUTED_VALUE"""),"#N/A")</f>
        <v>#N/A</v>
      </c>
      <c r="Z206" s="76" t="str">
        <f>IFERROR(__xludf.DUMMYFUNCTION("""COMPUTED_VALUE"""),"không đủ điều kiện")</f>
        <v>không đủ điều kiện</v>
      </c>
      <c r="AA206" s="76" t="str">
        <f>IFERROR(__xludf.DUMMYFUNCTION("""COMPUTED_VALUE"""),"phonghoang26082003@gmail.com")</f>
        <v>phonghoang26082003@gmail.com</v>
      </c>
      <c r="AB206" s="76"/>
      <c r="AC206" s="76"/>
    </row>
    <row r="207">
      <c r="A207" s="100">
        <f>IFERROR(__xludf.DUMMYFUNCTION("""COMPUTED_VALUE"""),45657.644092476854)</f>
        <v>45657.64409</v>
      </c>
      <c r="B207" s="76" t="str">
        <f>IFERROR(__xludf.DUMMYFUNCTION("""COMPUTED_VALUE"""),"letanhuy2010@gmail.com")</f>
        <v>letanhuy2010@gmail.com</v>
      </c>
      <c r="C207" s="76">
        <f>IFERROR(__xludf.DUMMYFUNCTION("""COMPUTED_VALUE"""),2.7217140939E10)</f>
        <v>27217140939</v>
      </c>
      <c r="D207" s="76" t="str">
        <f>IFERROR(__xludf.DUMMYFUNCTION("""COMPUTED_VALUE"""),"Lê Tấn Huy")</f>
        <v>Lê Tấn Huy</v>
      </c>
      <c r="E207" s="101">
        <f>IFERROR(__xludf.DUMMYFUNCTION("""COMPUTED_VALUE"""),37914.0)</f>
        <v>37914</v>
      </c>
      <c r="F207" s="76" t="str">
        <f>IFERROR(__xludf.DUMMYFUNCTION("""COMPUTED_VALUE"""),"K27DLK 6 ")</f>
        <v>K27DLK 6 </v>
      </c>
      <c r="G207" s="76" t="str">
        <f>IFERROR(__xludf.DUMMYFUNCTION("""COMPUTED_VALUE"""),"Quản trị Du lịch &amp; Khách sạn")</f>
        <v>Quản trị Du lịch &amp; Khách sạn</v>
      </c>
      <c r="H207" s="76" t="str">
        <f>IFERROR(__xludf.DUMMYFUNCTION("""COMPUTED_VALUE"""),"K27")</f>
        <v>K27</v>
      </c>
      <c r="I207" s="76" t="str">
        <f>IFERROR(__xludf.DUMMYFUNCTION("""COMPUTED_VALUE"""),"0774591249")</f>
        <v>0774591249</v>
      </c>
      <c r="J207" s="76">
        <f>IFERROR(__xludf.DUMMYFUNCTION("""COMPUTED_VALUE"""),2.88)</f>
        <v>2.88</v>
      </c>
      <c r="K207" s="76">
        <f>IFERROR(__xludf.DUMMYFUNCTION("""COMPUTED_VALUE"""),111.0)</f>
        <v>111</v>
      </c>
      <c r="L207" s="76" t="str">
        <f>IFERROR(__xludf.DUMMYFUNCTION("""COMPUTED_VALUE"""),"Rồi")</f>
        <v>Rồi</v>
      </c>
      <c r="M207" s="76" t="str">
        <f>IFERROR(__xludf.DUMMYFUNCTION("""COMPUTED_VALUE"""),"Thực tập tốt nghiệp")</f>
        <v>Thực tập tốt nghiệp</v>
      </c>
      <c r="N207" s="76">
        <f>IFERROR(__xludf.DUMMYFUNCTION("""COMPUTED_VALUE"""),5.0)</f>
        <v>5</v>
      </c>
      <c r="O207" s="76" t="str">
        <f>IFERROR(__xludf.DUMMYFUNCTION("""COMPUTED_VALUE"""),"cam kết")</f>
        <v>cam kết</v>
      </c>
      <c r="P207" s="76"/>
      <c r="Q207" s="76"/>
      <c r="R207" s="76"/>
      <c r="S207" s="102">
        <f>IFERROR(__xludf.DUMMYFUNCTION("""COMPUTED_VALUE"""),45717.0)</f>
        <v>45717</v>
      </c>
      <c r="T207" s="76"/>
      <c r="U207" s="102" t="str">
        <f>IFERROR(__xludf.DUMMYFUNCTION("""COMPUTED_VALUE"""),"Lê Tấn Huy")</f>
        <v>Lê Tấn Huy</v>
      </c>
      <c r="V207" s="76" t="str">
        <f>IFERROR(__xludf.DUMMYFUNCTION("""COMPUTED_VALUE"""),"Quản Trị Khách Sạn &amp; Nhà Hàng (Đại Học)")</f>
        <v>Quản Trị Khách Sạn &amp; Nhà Hàng (Đại Học)</v>
      </c>
      <c r="W207" s="76" t="str">
        <f>IFERROR(__xludf.DUMMYFUNCTION("""COMPUTED_VALUE"""),"Vanda Hotel")</f>
        <v>Vanda Hotel</v>
      </c>
      <c r="X207" s="76" t="str">
        <f>IFERROR(__xludf.DUMMYFUNCTION("""COMPUTED_VALUE"""),"Nhà hàng")</f>
        <v>Nhà hàng</v>
      </c>
      <c r="Y207" s="76" t="str">
        <f>IFERROR(__xludf.DUMMYFUNCTION("""COMPUTED_VALUE"""),"DUYỆT")</f>
        <v>DUYỆT</v>
      </c>
      <c r="Z207" s="76" t="str">
        <f>IFERROR(__xludf.DUMMYFUNCTION("""COMPUTED_VALUE"""),"CHUYÊN ĐỀ")</f>
        <v>CHUYÊN ĐỀ</v>
      </c>
      <c r="AA207" s="76" t="str">
        <f>IFERROR(__xludf.DUMMYFUNCTION("""COMPUTED_VALUE"""),"letanhuy2010@gmail.com")</f>
        <v>letanhuy2010@gmail.com</v>
      </c>
      <c r="AB207" s="76"/>
      <c r="AC207" s="76"/>
    </row>
    <row r="208">
      <c r="A208" s="100">
        <f>IFERROR(__xludf.DUMMYFUNCTION("""COMPUTED_VALUE"""),45657.687320173616)</f>
        <v>45657.68732</v>
      </c>
      <c r="B208" s="76" t="str">
        <f>IFERROR(__xludf.DUMMYFUNCTION("""COMPUTED_VALUE"""),"thuyvy17923@gmail.com")</f>
        <v>thuyvy17923@gmail.com</v>
      </c>
      <c r="C208" s="76">
        <f>IFERROR(__xludf.DUMMYFUNCTION("""COMPUTED_VALUE"""),2.7217133738E10)</f>
        <v>27217133738</v>
      </c>
      <c r="D208" s="76" t="str">
        <f>IFERROR(__xludf.DUMMYFUNCTION("""COMPUTED_VALUE"""),"Hoàng Trần Thuý Vy")</f>
        <v>Hoàng Trần Thuý Vy</v>
      </c>
      <c r="E208" s="101">
        <f>IFERROR(__xludf.DUMMYFUNCTION("""COMPUTED_VALUE"""),37881.0)</f>
        <v>37881</v>
      </c>
      <c r="F208" s="76" t="str">
        <f>IFERROR(__xludf.DUMMYFUNCTION("""COMPUTED_VALUE"""),"K27DLK1")</f>
        <v>K27DLK1</v>
      </c>
      <c r="G208" s="76" t="str">
        <f>IFERROR(__xludf.DUMMYFUNCTION("""COMPUTED_VALUE"""),"Quản trị Du lịch &amp; Khách sạn")</f>
        <v>Quản trị Du lịch &amp; Khách sạn</v>
      </c>
      <c r="H208" s="76" t="str">
        <f>IFERROR(__xludf.DUMMYFUNCTION("""COMPUTED_VALUE"""),"K27")</f>
        <v>K27</v>
      </c>
      <c r="I208" s="76" t="str">
        <f>IFERROR(__xludf.DUMMYFUNCTION("""COMPUTED_VALUE"""),"0795579551")</f>
        <v>0795579551</v>
      </c>
      <c r="J208" s="76">
        <f>IFERROR(__xludf.DUMMYFUNCTION("""COMPUTED_VALUE"""),3.53)</f>
        <v>3.53</v>
      </c>
      <c r="K208" s="76">
        <f>IFERROR(__xludf.DUMMYFUNCTION("""COMPUTED_VALUE"""),115.0)</f>
        <v>115</v>
      </c>
      <c r="L208" s="76" t="str">
        <f>IFERROR(__xludf.DUMMYFUNCTION("""COMPUTED_VALUE"""),"Rồi")</f>
        <v>Rồi</v>
      </c>
      <c r="M208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08" s="76">
        <f>IFERROR(__xludf.DUMMYFUNCTION("""COMPUTED_VALUE"""),9.0)</f>
        <v>9</v>
      </c>
      <c r="O208" s="76" t="str">
        <f>IFERROR(__xludf.DUMMYFUNCTION("""COMPUTED_VALUE"""),"cam kết")</f>
        <v>cam kết</v>
      </c>
      <c r="P208" s="76"/>
      <c r="Q208" s="76"/>
      <c r="R208" s="76"/>
      <c r="S208" s="102">
        <f>IFERROR(__xludf.DUMMYFUNCTION("""COMPUTED_VALUE"""),45717.0)</f>
        <v>45717</v>
      </c>
      <c r="T208" s="76"/>
      <c r="U208" s="102" t="str">
        <f>IFERROR(__xludf.DUMMYFUNCTION("""COMPUTED_VALUE"""),"Hoàng Trần Thuý Vy")</f>
        <v>Hoàng Trần Thuý Vy</v>
      </c>
      <c r="V208" s="76" t="str">
        <f>IFERROR(__xludf.DUMMYFUNCTION("""COMPUTED_VALUE"""),"Quản Trị Khách Sạn &amp; Nhà Hàng (Đại Học)")</f>
        <v>Quản Trị Khách Sạn &amp; Nhà Hàng (Đại Học)</v>
      </c>
      <c r="W208" s="76" t="str">
        <f>IFERROR(__xludf.DUMMYFUNCTION("""COMPUTED_VALUE"""),"Hyatt regency DaNang Resort")</f>
        <v>Hyatt regency DaNang Resort</v>
      </c>
      <c r="X208" s="76" t="str">
        <f>IFERROR(__xludf.DUMMYFUNCTION("""COMPUTED_VALUE"""),"Nhà hàng")</f>
        <v>Nhà hàng</v>
      </c>
      <c r="Y208" s="76" t="str">
        <f>IFERROR(__xludf.DUMMYFUNCTION("""COMPUTED_VALUE"""),"DUYỆT")</f>
        <v>DUYỆT</v>
      </c>
      <c r="Z208" s="76" t="str">
        <f>IFERROR(__xludf.DUMMYFUNCTION("""COMPUTED_VALUE"""),"CHUYÊN ĐỀ")</f>
        <v>CHUYÊN ĐỀ</v>
      </c>
      <c r="AA208" s="76" t="str">
        <f>IFERROR(__xludf.DUMMYFUNCTION("""COMPUTED_VALUE"""),"thuyvy17923@gmail.com")</f>
        <v>thuyvy17923@gmail.com</v>
      </c>
      <c r="AB208" s="76" t="str">
        <f>IFERROR(__xludf.DUMMYFUNCTION("""COMPUTED_VALUE"""),"Hoàng Trần Thuý Vy")</f>
        <v>Hoàng Trần Thuý Vy</v>
      </c>
      <c r="AC208" s="76" t="str">
        <f>IFERROR(__xludf.DUMMYFUNCTION("""COMPUTED_VALUE"""),"ĐÃ NỘP")</f>
        <v>ĐÃ NỘP</v>
      </c>
    </row>
    <row r="209">
      <c r="A209" s="100">
        <f>IFERROR(__xludf.DUMMYFUNCTION("""COMPUTED_VALUE"""),45657.690790775465)</f>
        <v>45657.69079</v>
      </c>
      <c r="B209" s="76" t="str">
        <f>IFERROR(__xludf.DUMMYFUNCTION("""COMPUTED_VALUE"""),"loibui1606@gmail.com")</f>
        <v>loibui1606@gmail.com</v>
      </c>
      <c r="C209" s="76">
        <f>IFERROR(__xludf.DUMMYFUNCTION("""COMPUTED_VALUE"""),2.7217127461E10)</f>
        <v>27217127461</v>
      </c>
      <c r="D209" s="76" t="str">
        <f>IFERROR(__xludf.DUMMYFUNCTION("""COMPUTED_VALUE"""),"Bùi Văn Lợi ")</f>
        <v>Bùi Văn Lợi </v>
      </c>
      <c r="E209" s="101">
        <f>IFERROR(__xludf.DUMMYFUNCTION("""COMPUTED_VALUE"""),37788.0)</f>
        <v>37788</v>
      </c>
      <c r="F209" s="76" t="str">
        <f>IFERROR(__xludf.DUMMYFUNCTION("""COMPUTED_VALUE"""),"K27DLK1")</f>
        <v>K27DLK1</v>
      </c>
      <c r="G209" s="76" t="str">
        <f>IFERROR(__xludf.DUMMYFUNCTION("""COMPUTED_VALUE"""),"Quản trị Du lịch &amp; Khách sạn")</f>
        <v>Quản trị Du lịch &amp; Khách sạn</v>
      </c>
      <c r="H209" s="76" t="str">
        <f>IFERROR(__xludf.DUMMYFUNCTION("""COMPUTED_VALUE"""),"K27")</f>
        <v>K27</v>
      </c>
      <c r="I209" s="76" t="str">
        <f>IFERROR(__xludf.DUMMYFUNCTION("""COMPUTED_VALUE"""),"0833198242")</f>
        <v>0833198242</v>
      </c>
      <c r="J209" s="76">
        <f>IFERROR(__xludf.DUMMYFUNCTION("""COMPUTED_VALUE"""),3.25)</f>
        <v>3.25</v>
      </c>
      <c r="K209" s="76">
        <f>IFERROR(__xludf.DUMMYFUNCTION("""COMPUTED_VALUE"""),115.0)</f>
        <v>115</v>
      </c>
      <c r="L209" s="76" t="str">
        <f>IFERROR(__xludf.DUMMYFUNCTION("""COMPUTED_VALUE"""),"Rồi")</f>
        <v>Rồi</v>
      </c>
      <c r="M209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09" s="76">
        <f>IFERROR(__xludf.DUMMYFUNCTION("""COMPUTED_VALUE"""),9.0)</f>
        <v>9</v>
      </c>
      <c r="O209" s="76" t="str">
        <f>IFERROR(__xludf.DUMMYFUNCTION("""COMPUTED_VALUE"""),"cam kết")</f>
        <v>cam kết</v>
      </c>
      <c r="P209" s="76"/>
      <c r="Q209" s="76"/>
      <c r="R209" s="76"/>
      <c r="S209" s="102">
        <f>IFERROR(__xludf.DUMMYFUNCTION("""COMPUTED_VALUE"""),45717.0)</f>
        <v>45717</v>
      </c>
      <c r="T209" s="76"/>
      <c r="U209" s="102" t="str">
        <f>IFERROR(__xludf.DUMMYFUNCTION("""COMPUTED_VALUE"""),"Bùi Văn Lợi")</f>
        <v>Bùi Văn Lợi</v>
      </c>
      <c r="V209" s="76" t="str">
        <f>IFERROR(__xludf.DUMMYFUNCTION("""COMPUTED_VALUE"""),"Quản Trị Khách Sạn &amp; Nhà Hàng (Đại Học)")</f>
        <v>Quản Trị Khách Sạn &amp; Nhà Hàng (Đại Học)</v>
      </c>
      <c r="W209" s="76" t="str">
        <f>IFERROR(__xludf.DUMMYFUNCTION("""COMPUTED_VALUE"""),"Novotel DaNang Premier Han River")</f>
        <v>Novotel DaNang Premier Han River</v>
      </c>
      <c r="X209" s="76" t="str">
        <f>IFERROR(__xludf.DUMMYFUNCTION("""COMPUTED_VALUE"""),"Buồng phòng")</f>
        <v>Buồng phòng</v>
      </c>
      <c r="Y209" s="76" t="str">
        <f>IFERROR(__xludf.DUMMYFUNCTION("""COMPUTED_VALUE"""),"DUYỆT")</f>
        <v>DUYỆT</v>
      </c>
      <c r="Z209" s="76" t="str">
        <f>IFERROR(__xludf.DUMMYFUNCTION("""COMPUTED_VALUE"""),"CHUYÊN ĐỀ")</f>
        <v>CHUYÊN ĐỀ</v>
      </c>
      <c r="AA209" s="76" t="str">
        <f>IFERROR(__xludf.DUMMYFUNCTION("""COMPUTED_VALUE"""),"loibui1606@gmail.com")</f>
        <v>loibui1606@gmail.com</v>
      </c>
      <c r="AB209" s="76" t="str">
        <f>IFERROR(__xludf.DUMMYFUNCTION("""COMPUTED_VALUE"""),"Bùi Văn Lợi ")</f>
        <v>Bùi Văn Lợi </v>
      </c>
      <c r="AC209" s="76" t="str">
        <f>IFERROR(__xludf.DUMMYFUNCTION("""COMPUTED_VALUE"""),"ĐÃ NỘP")</f>
        <v>ĐÃ NỘP</v>
      </c>
    </row>
    <row r="210">
      <c r="A210" s="100">
        <f>IFERROR(__xludf.DUMMYFUNCTION("""COMPUTED_VALUE"""),45657.69624398148)</f>
        <v>45657.69624</v>
      </c>
      <c r="B210" s="76" t="str">
        <f>IFERROR(__xludf.DUMMYFUNCTION("""COMPUTED_VALUE"""),"lec410443@gmail.com")</f>
        <v>lec410443@gmail.com</v>
      </c>
      <c r="C210" s="76">
        <f>IFERROR(__xludf.DUMMYFUNCTION("""COMPUTED_VALUE"""),2.7217144878E10)</f>
        <v>27217144878</v>
      </c>
      <c r="D210" s="76" t="str">
        <f>IFERROR(__xludf.DUMMYFUNCTION("""COMPUTED_VALUE"""),"Lê Ngọc Chinh")</f>
        <v>Lê Ngọc Chinh</v>
      </c>
      <c r="E210" s="101">
        <f>IFERROR(__xludf.DUMMYFUNCTION("""COMPUTED_VALUE"""),37679.0)</f>
        <v>37679</v>
      </c>
      <c r="F210" s="76" t="str">
        <f>IFERROR(__xludf.DUMMYFUNCTION("""COMPUTED_VALUE"""),"K27DLK1")</f>
        <v>K27DLK1</v>
      </c>
      <c r="G210" s="76" t="str">
        <f>IFERROR(__xludf.DUMMYFUNCTION("""COMPUTED_VALUE"""),"Quản trị Du lịch &amp; Khách sạn")</f>
        <v>Quản trị Du lịch &amp; Khách sạn</v>
      </c>
      <c r="H210" s="76" t="str">
        <f>IFERROR(__xludf.DUMMYFUNCTION("""COMPUTED_VALUE"""),"K27")</f>
        <v>K27</v>
      </c>
      <c r="I210" s="76" t="str">
        <f>IFERROR(__xludf.DUMMYFUNCTION("""COMPUTED_VALUE"""),"0369949927")</f>
        <v>0369949927</v>
      </c>
      <c r="J210" s="76">
        <f>IFERROR(__xludf.DUMMYFUNCTION("""COMPUTED_VALUE"""),3.42)</f>
        <v>3.42</v>
      </c>
      <c r="K210" s="76">
        <f>IFERROR(__xludf.DUMMYFUNCTION("""COMPUTED_VALUE"""),114.0)</f>
        <v>114</v>
      </c>
      <c r="L210" s="76" t="str">
        <f>IFERROR(__xludf.DUMMYFUNCTION("""COMPUTED_VALUE"""),"Rồi")</f>
        <v>Rồi</v>
      </c>
      <c r="M210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10" s="76">
        <f>IFERROR(__xludf.DUMMYFUNCTION("""COMPUTED_VALUE"""),10.0)</f>
        <v>10</v>
      </c>
      <c r="O210" s="76" t="str">
        <f>IFERROR(__xludf.DUMMYFUNCTION("""COMPUTED_VALUE"""),"cam kết")</f>
        <v>cam kết</v>
      </c>
      <c r="P210" s="76"/>
      <c r="Q210" s="76"/>
      <c r="R210" s="76"/>
      <c r="S210" s="102">
        <f>IFERROR(__xludf.DUMMYFUNCTION("""COMPUTED_VALUE"""),45717.0)</f>
        <v>45717</v>
      </c>
      <c r="T210" s="76"/>
      <c r="U210" s="102" t="str">
        <f>IFERROR(__xludf.DUMMYFUNCTION("""COMPUTED_VALUE"""),"Lê Ngọc Chinh")</f>
        <v>Lê Ngọc Chinh</v>
      </c>
      <c r="V210" s="76" t="str">
        <f>IFERROR(__xludf.DUMMYFUNCTION("""COMPUTED_VALUE"""),"Quản Trị Khách Sạn &amp; Nhà Hàng (Đại Học)")</f>
        <v>Quản Trị Khách Sạn &amp; Nhà Hàng (Đại Học)</v>
      </c>
      <c r="W210" s="76" t="str">
        <f>IFERROR(__xludf.DUMMYFUNCTION("""COMPUTED_VALUE"""),"Diamond Sea Hotel")</f>
        <v>Diamond Sea Hotel</v>
      </c>
      <c r="X210" s="76" t="str">
        <f>IFERROR(__xludf.DUMMYFUNCTION("""COMPUTED_VALUE"""),"Buồng phòng")</f>
        <v>Buồng phòng</v>
      </c>
      <c r="Y210" s="76" t="str">
        <f>IFERROR(__xludf.DUMMYFUNCTION("""COMPUTED_VALUE"""),"DUYỆT")</f>
        <v>DUYỆT</v>
      </c>
      <c r="Z210" s="76" t="str">
        <f>IFERROR(__xludf.DUMMYFUNCTION("""COMPUTED_VALUE"""),"CHUYÊN ĐỀ")</f>
        <v>CHUYÊN ĐỀ</v>
      </c>
      <c r="AA210" s="76" t="str">
        <f>IFERROR(__xludf.DUMMYFUNCTION("""COMPUTED_VALUE"""),"lec410443@gmail.com")</f>
        <v>lec410443@gmail.com</v>
      </c>
      <c r="AB210" s="76" t="str">
        <f>IFERROR(__xludf.DUMMYFUNCTION("""COMPUTED_VALUE"""),"Lê Ngọc Chinh")</f>
        <v>Lê Ngọc Chinh</v>
      </c>
      <c r="AC210" s="76" t="str">
        <f>IFERROR(__xludf.DUMMYFUNCTION("""COMPUTED_VALUE"""),"ĐÃ NỘP")</f>
        <v>ĐÃ NỘP</v>
      </c>
    </row>
    <row r="211">
      <c r="A211" s="100">
        <f>IFERROR(__xludf.DUMMYFUNCTION("""COMPUTED_VALUE"""),45657.69723708333)</f>
        <v>45657.69724</v>
      </c>
      <c r="B211" s="76" t="str">
        <f>IFERROR(__xludf.DUMMYFUNCTION("""COMPUTED_VALUE"""),"huuthang31102003@gmail.com")</f>
        <v>huuthang31102003@gmail.com</v>
      </c>
      <c r="C211" s="76">
        <f>IFERROR(__xludf.DUMMYFUNCTION("""COMPUTED_VALUE"""),2.7217141479E10)</f>
        <v>27217141479</v>
      </c>
      <c r="D211" s="76" t="str">
        <f>IFERROR(__xludf.DUMMYFUNCTION("""COMPUTED_VALUE"""),"Nguyễn Hữu Thắng")</f>
        <v>Nguyễn Hữu Thắng</v>
      </c>
      <c r="E211" s="101">
        <f>IFERROR(__xludf.DUMMYFUNCTION("""COMPUTED_VALUE"""),37925.0)</f>
        <v>37925</v>
      </c>
      <c r="F211" s="76" t="str">
        <f>IFERROR(__xludf.DUMMYFUNCTION("""COMPUTED_VALUE"""),"K27 DLK1")</f>
        <v>K27 DLK1</v>
      </c>
      <c r="G211" s="76" t="str">
        <f>IFERROR(__xludf.DUMMYFUNCTION("""COMPUTED_VALUE"""),"Quản trị Du lịch &amp; Khách sạn")</f>
        <v>Quản trị Du lịch &amp; Khách sạn</v>
      </c>
      <c r="H211" s="76" t="str">
        <f>IFERROR(__xludf.DUMMYFUNCTION("""COMPUTED_VALUE"""),"K27")</f>
        <v>K27</v>
      </c>
      <c r="I211" s="76" t="str">
        <f>IFERROR(__xludf.DUMMYFUNCTION("""COMPUTED_VALUE"""),"0779493716")</f>
        <v>0779493716</v>
      </c>
      <c r="J211" s="76">
        <f>IFERROR(__xludf.DUMMYFUNCTION("""COMPUTED_VALUE"""),2.91)</f>
        <v>2.91</v>
      </c>
      <c r="K211" s="76">
        <f>IFERROR(__xludf.DUMMYFUNCTION("""COMPUTED_VALUE"""),115.0)</f>
        <v>115</v>
      </c>
      <c r="L211" s="76" t="str">
        <f>IFERROR(__xludf.DUMMYFUNCTION("""COMPUTED_VALUE"""),"Rồi")</f>
        <v>Rồi</v>
      </c>
      <c r="M211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11" s="76">
        <f>IFERROR(__xludf.DUMMYFUNCTION("""COMPUTED_VALUE"""),9.0)</f>
        <v>9</v>
      </c>
      <c r="O211" s="76" t="str">
        <f>IFERROR(__xludf.DUMMYFUNCTION("""COMPUTED_VALUE"""),"cam kết")</f>
        <v>cam kết</v>
      </c>
      <c r="P211" s="76"/>
      <c r="Q211" s="76"/>
      <c r="R211" s="76"/>
      <c r="S211" s="102">
        <f>IFERROR(__xludf.DUMMYFUNCTION("""COMPUTED_VALUE"""),45717.0)</f>
        <v>45717</v>
      </c>
      <c r="T211" s="76"/>
      <c r="U211" s="102" t="str">
        <f>IFERROR(__xludf.DUMMYFUNCTION("""COMPUTED_VALUE"""),"Nguyễn Hữu Thắng")</f>
        <v>Nguyễn Hữu Thắng</v>
      </c>
      <c r="V211" s="76" t="str">
        <f>IFERROR(__xludf.DUMMYFUNCTION("""COMPUTED_VALUE"""),"Quản Trị Khách Sạn &amp; Nhà Hàng (Đại Học)")</f>
        <v>Quản Trị Khách Sạn &amp; Nhà Hàng (Đại Học)</v>
      </c>
      <c r="W211" s="76" t="str">
        <f>IFERROR(__xludf.DUMMYFUNCTION("""COMPUTED_VALUE"""),"Vanda Hotel")</f>
        <v>Vanda Hotel</v>
      </c>
      <c r="X211" s="76" t="str">
        <f>IFERROR(__xludf.DUMMYFUNCTION("""COMPUTED_VALUE"""),"Nhà hàng")</f>
        <v>Nhà hàng</v>
      </c>
      <c r="Y211" s="76" t="str">
        <f>IFERROR(__xludf.DUMMYFUNCTION("""COMPUTED_VALUE"""),"DUYỆT")</f>
        <v>DUYỆT</v>
      </c>
      <c r="Z211" s="76" t="str">
        <f>IFERROR(__xludf.DUMMYFUNCTION("""COMPUTED_VALUE"""),"CHUYÊN ĐỀ")</f>
        <v>CHUYÊN ĐỀ</v>
      </c>
      <c r="AA211" s="76" t="str">
        <f>IFERROR(__xludf.DUMMYFUNCTION("""COMPUTED_VALUE"""),"huuthang31102003@gmail.com")</f>
        <v>huuthang31102003@gmail.com</v>
      </c>
      <c r="AB211" s="76"/>
      <c r="AC211" s="76"/>
    </row>
    <row r="212">
      <c r="A212" s="100">
        <f>IFERROR(__xludf.DUMMYFUNCTION("""COMPUTED_VALUE"""),45657.88847825232)</f>
        <v>45657.88848</v>
      </c>
      <c r="B212" s="76" t="str">
        <f>IFERROR(__xludf.DUMMYFUNCTION("""COMPUTED_VALUE"""),"bngoc280803@gmail.com")</f>
        <v>bngoc280803@gmail.com</v>
      </c>
      <c r="C212" s="76">
        <f>IFERROR(__xludf.DUMMYFUNCTION("""COMPUTED_VALUE"""),2.7207122888E10)</f>
        <v>27207122888</v>
      </c>
      <c r="D212" s="76" t="str">
        <f>IFERROR(__xludf.DUMMYFUNCTION("""COMPUTED_VALUE"""),"Võ Thị Bích Ngọc")</f>
        <v>Võ Thị Bích Ngọc</v>
      </c>
      <c r="E212" s="101">
        <f>IFERROR(__xludf.DUMMYFUNCTION("""COMPUTED_VALUE"""),37861.0)</f>
        <v>37861</v>
      </c>
      <c r="F212" s="76" t="str">
        <f>IFERROR(__xludf.DUMMYFUNCTION("""COMPUTED_VALUE"""),"K27DLK 4")</f>
        <v>K27DLK 4</v>
      </c>
      <c r="G212" s="76" t="str">
        <f>IFERROR(__xludf.DUMMYFUNCTION("""COMPUTED_VALUE"""),"Quản trị Du lịch &amp; Khách sạn")</f>
        <v>Quản trị Du lịch &amp; Khách sạn</v>
      </c>
      <c r="H212" s="76" t="str">
        <f>IFERROR(__xludf.DUMMYFUNCTION("""COMPUTED_VALUE"""),"K27")</f>
        <v>K27</v>
      </c>
      <c r="I212" s="76" t="str">
        <f>IFERROR(__xludf.DUMMYFUNCTION("""COMPUTED_VALUE"""),"0334809597")</f>
        <v>0334809597</v>
      </c>
      <c r="J212" s="76">
        <f>IFERROR(__xludf.DUMMYFUNCTION("""COMPUTED_VALUE"""),3.03)</f>
        <v>3.03</v>
      </c>
      <c r="K212" s="76">
        <f>IFERROR(__xludf.DUMMYFUNCTION("""COMPUTED_VALUE"""),114.0)</f>
        <v>114</v>
      </c>
      <c r="L212" s="76" t="str">
        <f>IFERROR(__xludf.DUMMYFUNCTION("""COMPUTED_VALUE"""),"Rồi")</f>
        <v>Rồi</v>
      </c>
      <c r="M212" s="76" t="str">
        <f>IFERROR(__xludf.DUMMYFUNCTION("""COMPUTED_VALUE"""),"Thực tập tốt nghiệp")</f>
        <v>Thực tập tốt nghiệp</v>
      </c>
      <c r="N212" s="76">
        <f>IFERROR(__xludf.DUMMYFUNCTION("""COMPUTED_VALUE"""),13.0)</f>
        <v>13</v>
      </c>
      <c r="O212" s="76" t="str">
        <f>IFERROR(__xludf.DUMMYFUNCTION("""COMPUTED_VALUE"""),"cam kết")</f>
        <v>cam kết</v>
      </c>
      <c r="P212" s="76"/>
      <c r="Q212" s="76"/>
      <c r="R212" s="76"/>
      <c r="S212" s="102">
        <f>IFERROR(__xludf.DUMMYFUNCTION("""COMPUTED_VALUE"""),45717.0)</f>
        <v>45717</v>
      </c>
      <c r="T212" s="76"/>
      <c r="U212" s="102" t="str">
        <f>IFERROR(__xludf.DUMMYFUNCTION("""COMPUTED_VALUE"""),"Võ Thị Bích Ngọc")</f>
        <v>Võ Thị Bích Ngọc</v>
      </c>
      <c r="V212" s="76" t="str">
        <f>IFERROR(__xludf.DUMMYFUNCTION("""COMPUTED_VALUE"""),"Quản Trị Khách Sạn &amp; Nhà Hàng (Đại Học)")</f>
        <v>Quản Trị Khách Sạn &amp; Nhà Hàng (Đại Học)</v>
      </c>
      <c r="W212" s="76" t="str">
        <f>IFERROR(__xludf.DUMMYFUNCTION("""COMPUTED_VALUE"""),"Novotel DaNang Premier Han River")</f>
        <v>Novotel DaNang Premier Han River</v>
      </c>
      <c r="X212" s="76" t="str">
        <f>IFERROR(__xludf.DUMMYFUNCTION("""COMPUTED_VALUE"""),"Nhà hàng")</f>
        <v>Nhà hàng</v>
      </c>
      <c r="Y212" s="76" t="str">
        <f>IFERROR(__xludf.DUMMYFUNCTION("""COMPUTED_VALUE"""),"DUYỆT")</f>
        <v>DUYỆT</v>
      </c>
      <c r="Z212" s="76" t="str">
        <f>IFERROR(__xludf.DUMMYFUNCTION("""COMPUTED_VALUE"""),"CHUYÊN ĐỀ")</f>
        <v>CHUYÊN ĐỀ</v>
      </c>
      <c r="AA212" s="76" t="str">
        <f>IFERROR(__xludf.DUMMYFUNCTION("""COMPUTED_VALUE"""),"bngoc280803@gmail.com")</f>
        <v>bngoc280803@gmail.com</v>
      </c>
      <c r="AB212" s="76"/>
      <c r="AC212" s="76"/>
    </row>
    <row r="213">
      <c r="A213" s="100">
        <f>IFERROR(__xludf.DUMMYFUNCTION("""COMPUTED_VALUE"""),45658.4477406713)</f>
        <v>45658.44774</v>
      </c>
      <c r="B213" s="76" t="str">
        <f>IFERROR(__xludf.DUMMYFUNCTION("""COMPUTED_VALUE"""),"duyanhcunguyen@gmail.com")</f>
        <v>duyanhcunguyen@gmail.com</v>
      </c>
      <c r="C213" s="76">
        <f>IFERROR(__xludf.DUMMYFUNCTION("""COMPUTED_VALUE"""),2.5217104606E10)</f>
        <v>25217104606</v>
      </c>
      <c r="D213" s="76" t="str">
        <f>IFERROR(__xludf.DUMMYFUNCTION("""COMPUTED_VALUE"""),"Cù Nguyễn Duy Anh")</f>
        <v>Cù Nguyễn Duy Anh</v>
      </c>
      <c r="E213" s="101">
        <f>IFERROR(__xludf.DUMMYFUNCTION("""COMPUTED_VALUE"""),37249.0)</f>
        <v>37249</v>
      </c>
      <c r="F213" s="76" t="str">
        <f>IFERROR(__xludf.DUMMYFUNCTION("""COMPUTED_VALUE"""),"K25PSUDLK11")</f>
        <v>K25PSUDLK11</v>
      </c>
      <c r="G213" s="76" t="str">
        <f>IFERROR(__xludf.DUMMYFUNCTION("""COMPUTED_VALUE"""),"Quản trị Du lịch &amp; Khách sạn chuẩn PSU")</f>
        <v>Quản trị Du lịch &amp; Khách sạn chuẩn PSU</v>
      </c>
      <c r="H213" s="76" t="str">
        <f>IFERROR(__xludf.DUMMYFUNCTION("""COMPUTED_VALUE"""),"K25")</f>
        <v>K25</v>
      </c>
      <c r="I213" s="76" t="str">
        <f>IFERROR(__xludf.DUMMYFUNCTION("""COMPUTED_VALUE"""),"0707885127")</f>
        <v>0707885127</v>
      </c>
      <c r="J213" s="76">
        <f>IFERROR(__xludf.DUMMYFUNCTION("""COMPUTED_VALUE"""),2.6)</f>
        <v>2.6</v>
      </c>
      <c r="K213" s="76">
        <f>IFERROR(__xludf.DUMMYFUNCTION("""COMPUTED_VALUE"""),135.0)</f>
        <v>135</v>
      </c>
      <c r="L213" s="76" t="str">
        <f>IFERROR(__xludf.DUMMYFUNCTION("""COMPUTED_VALUE"""),"Rồi")</f>
        <v>Rồi</v>
      </c>
      <c r="M213" s="76" t="str">
        <f>IFERROR(__xludf.DUMMYFUNCTION("""COMPUTED_VALUE"""),"Thực tập tốt nghiệp")</f>
        <v>Thực tập tốt nghiệp</v>
      </c>
      <c r="N213" s="76">
        <f>IFERROR(__xludf.DUMMYFUNCTION("""COMPUTED_VALUE"""),3.0)</f>
        <v>3</v>
      </c>
      <c r="O213" s="76" t="str">
        <f>IFERROR(__xludf.DUMMYFUNCTION("""COMPUTED_VALUE"""),"cam kết")</f>
        <v>cam kết</v>
      </c>
      <c r="P213" s="76" t="str">
        <f>IFERROR(__xludf.DUMMYFUNCTION("""COMPUTED_VALUE"""),"ĐÃ NỘP")</f>
        <v>ĐÃ NỘP</v>
      </c>
      <c r="Q213" s="76" t="str">
        <f>IFERROR(__xludf.DUMMYFUNCTION("""COMPUTED_VALUE"""),"ĐÃ NỘP")</f>
        <v>ĐÃ NỘP</v>
      </c>
      <c r="R213" s="76">
        <f>IFERROR(__xludf.DUMMYFUNCTION("""COMPUTED_VALUE"""),21.0)</f>
        <v>21</v>
      </c>
      <c r="S213" s="102">
        <f>IFERROR(__xludf.DUMMYFUNCTION("""COMPUTED_VALUE"""),45717.0)</f>
        <v>45717</v>
      </c>
      <c r="T213" s="76"/>
      <c r="U213" s="102" t="str">
        <f>IFERROR(__xludf.DUMMYFUNCTION("""COMPUTED_VALUE"""),"Cù Nguyễn Duy Anh")</f>
        <v>Cù Nguyễn Duy Anh</v>
      </c>
      <c r="V213" s="76" t="str">
        <f>IFERROR(__xludf.DUMMYFUNCTION("""COMPUTED_VALUE"""),"Quản Trị Du Lịch &amp; Khách Sạn Chuẩn PSU (Đại Học)")</f>
        <v>Quản Trị Du Lịch &amp; Khách Sạn Chuẩn PSU (Đại Học)</v>
      </c>
      <c r="W213" s="76" t="str">
        <f>IFERROR(__xludf.DUMMYFUNCTION("""COMPUTED_VALUE"""),"Brilliant Hotel")</f>
        <v>Brilliant Hotel</v>
      </c>
      <c r="X213" s="76" t="str">
        <f>IFERROR(__xludf.DUMMYFUNCTION("""COMPUTED_VALUE"""),"Tiền sảnh")</f>
        <v>Tiền sảnh</v>
      </c>
      <c r="Y213" s="76" t="str">
        <f>IFERROR(__xludf.DUMMYFUNCTION("""COMPUTED_VALUE"""),"DUYỆT")</f>
        <v>DUYỆT</v>
      </c>
      <c r="Z213" s="76" t="str">
        <f>IFERROR(__xludf.DUMMYFUNCTION("""COMPUTED_VALUE"""),"CHUYÊN ĐỀ")</f>
        <v>CHUYÊN ĐỀ</v>
      </c>
      <c r="AA213" s="76" t="str">
        <f>IFERROR(__xludf.DUMMYFUNCTION("""COMPUTED_VALUE"""),"duyanhcunguyen@gmail.com")</f>
        <v>duyanhcunguyen@gmail.com</v>
      </c>
      <c r="AB213" s="76"/>
      <c r="AC213" s="76"/>
    </row>
    <row r="214">
      <c r="A214" s="100">
        <f>IFERROR(__xludf.DUMMYFUNCTION("""COMPUTED_VALUE"""),45658.53305520833)</f>
        <v>45658.53306</v>
      </c>
      <c r="B214" s="76" t="str">
        <f>IFERROR(__xludf.DUMMYFUNCTION("""COMPUTED_VALUE"""),"hochilynt@gmail.com")</f>
        <v>hochilynt@gmail.com</v>
      </c>
      <c r="C214" s="76">
        <f>IFERROR(__xludf.DUMMYFUNCTION("""COMPUTED_VALUE"""),2.621713326E10)</f>
        <v>26217133260</v>
      </c>
      <c r="D214" s="76" t="str">
        <f>IFERROR(__xludf.DUMMYFUNCTION("""COMPUTED_VALUE"""),"Hồ Chí Lý")</f>
        <v>Hồ Chí Lý</v>
      </c>
      <c r="E214" s="101">
        <f>IFERROR(__xludf.DUMMYFUNCTION("""COMPUTED_VALUE"""),37537.0)</f>
        <v>37537</v>
      </c>
      <c r="F214" s="76" t="str">
        <f>IFERROR(__xludf.DUMMYFUNCTION("""COMPUTED_VALUE"""),"K26PSUDLK1")</f>
        <v>K26PSUDLK1</v>
      </c>
      <c r="G214" s="76" t="str">
        <f>IFERROR(__xludf.DUMMYFUNCTION("""COMPUTED_VALUE"""),"Quản trị Du lịch &amp; Khách sạn chuẩn PSU")</f>
        <v>Quản trị Du lịch &amp; Khách sạn chuẩn PSU</v>
      </c>
      <c r="H214" s="76" t="str">
        <f>IFERROR(__xludf.DUMMYFUNCTION("""COMPUTED_VALUE"""),"K26")</f>
        <v>K26</v>
      </c>
      <c r="I214" s="76" t="str">
        <f>IFERROR(__xludf.DUMMYFUNCTION("""COMPUTED_VALUE"""),"0396970457")</f>
        <v>0396970457</v>
      </c>
      <c r="J214" s="76">
        <f>IFERROR(__xludf.DUMMYFUNCTION("""COMPUTED_VALUE"""),3.01)</f>
        <v>3.01</v>
      </c>
      <c r="K214" s="76">
        <f>IFERROR(__xludf.DUMMYFUNCTION("""COMPUTED_VALUE"""),125.0)</f>
        <v>125</v>
      </c>
      <c r="L214" s="76" t="str">
        <f>IFERROR(__xludf.DUMMYFUNCTION("""COMPUTED_VALUE"""),"Rồi")</f>
        <v>Rồi</v>
      </c>
      <c r="M214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14" s="76">
        <f>IFERROR(__xludf.DUMMYFUNCTION("""COMPUTED_VALUE"""),3.0)</f>
        <v>3</v>
      </c>
      <c r="O214" s="76" t="str">
        <f>IFERROR(__xludf.DUMMYFUNCTION("""COMPUTED_VALUE"""),"cam kết")</f>
        <v>cam kết</v>
      </c>
      <c r="P214" s="76" t="str">
        <f>IFERROR(__xludf.DUMMYFUNCTION("""COMPUTED_VALUE"""),"ĐÃ NỘP")</f>
        <v>ĐÃ NỘP</v>
      </c>
      <c r="Q214" s="76" t="str">
        <f>IFERROR(__xludf.DUMMYFUNCTION("""COMPUTED_VALUE"""),"ĐÃ NỘP")</f>
        <v>ĐÃ NỘP</v>
      </c>
      <c r="R214" s="76">
        <f>IFERROR(__xludf.DUMMYFUNCTION("""COMPUTED_VALUE"""),22.0)</f>
        <v>22</v>
      </c>
      <c r="S214" s="102">
        <f>IFERROR(__xludf.DUMMYFUNCTION("""COMPUTED_VALUE"""),45870.0)</f>
        <v>45870</v>
      </c>
      <c r="T214" s="76"/>
      <c r="U214" s="102" t="str">
        <f>IFERROR(__xludf.DUMMYFUNCTION("""COMPUTED_VALUE"""),"Hồ Chí Lý")</f>
        <v>Hồ Chí Lý</v>
      </c>
      <c r="V214" s="76" t="str">
        <f>IFERROR(__xludf.DUMMYFUNCTION("""COMPUTED_VALUE"""),"Quản Trị Du Lịch &amp; Khách Sạn Chuẩn PSU (Đại Học)")</f>
        <v>Quản Trị Du Lịch &amp; Khách Sạn Chuẩn PSU (Đại Học)</v>
      </c>
      <c r="W214" s="76" t="str">
        <f>IFERROR(__xludf.DUMMYFUNCTION("""COMPUTED_VALUE"""),"Khách sạn Shilla Monogram Quangnam Danang")</f>
        <v>Khách sạn Shilla Monogram Quangnam Danang</v>
      </c>
      <c r="X214" s="76" t="str">
        <f>IFERROR(__xludf.DUMMYFUNCTION("""COMPUTED_VALUE"""),"Nhà hàng")</f>
        <v>Nhà hàng</v>
      </c>
      <c r="Y214" s="76" t="str">
        <f>IFERROR(__xludf.DUMMYFUNCTION("""COMPUTED_VALUE"""),"DUYỆT")</f>
        <v>DUYỆT</v>
      </c>
      <c r="Z214" s="76" t="str">
        <f>IFERROR(__xludf.DUMMYFUNCTION("""COMPUTED_VALUE"""),"CHUYÊN ĐỀ")</f>
        <v>CHUYÊN ĐỀ</v>
      </c>
      <c r="AA214" s="76" t="str">
        <f>IFERROR(__xludf.DUMMYFUNCTION("""COMPUTED_VALUE"""),"hochilynt@gmail.com")</f>
        <v>hochilynt@gmail.com</v>
      </c>
      <c r="AB214" s="76"/>
      <c r="AC214" s="76"/>
    </row>
    <row r="215">
      <c r="A215" s="100">
        <f>IFERROR(__xludf.DUMMYFUNCTION("""COMPUTED_VALUE"""),45658.61685237268)</f>
        <v>45658.61685</v>
      </c>
      <c r="B215" s="76" t="str">
        <f>IFERROR(__xludf.DUMMYFUNCTION("""COMPUTED_VALUE"""),"thuhien2042@gmail.com")</f>
        <v>thuhien2042@gmail.com</v>
      </c>
      <c r="C215" s="76">
        <f>IFERROR(__xludf.DUMMYFUNCTION("""COMPUTED_VALUE"""),2.7207128512E10)</f>
        <v>27207128512</v>
      </c>
      <c r="D215" s="76" t="str">
        <f>IFERROR(__xludf.DUMMYFUNCTION("""COMPUTED_VALUE"""),"Nguyễn Thị Thu Hiền")</f>
        <v>Nguyễn Thị Thu Hiền</v>
      </c>
      <c r="E215" s="101">
        <f>IFERROR(__xludf.DUMMYFUNCTION("""COMPUTED_VALUE"""),37980.0)</f>
        <v>37980</v>
      </c>
      <c r="F215" s="76" t="str">
        <f>IFERROR(__xludf.DUMMYFUNCTION("""COMPUTED_VALUE"""),"K27DLK 1")</f>
        <v>K27DLK 1</v>
      </c>
      <c r="G215" s="76" t="str">
        <f>IFERROR(__xludf.DUMMYFUNCTION("""COMPUTED_VALUE"""),"Quản trị Du lịch &amp; Khách sạn")</f>
        <v>Quản trị Du lịch &amp; Khách sạn</v>
      </c>
      <c r="H215" s="76" t="str">
        <f>IFERROR(__xludf.DUMMYFUNCTION("""COMPUTED_VALUE"""),"K27")</f>
        <v>K27</v>
      </c>
      <c r="I215" s="76" t="str">
        <f>IFERROR(__xludf.DUMMYFUNCTION("""COMPUTED_VALUE"""),"0896406241")</f>
        <v>0896406241</v>
      </c>
      <c r="J215" s="76">
        <f>IFERROR(__xludf.DUMMYFUNCTION("""COMPUTED_VALUE"""),3.26)</f>
        <v>3.26</v>
      </c>
      <c r="K215" s="76">
        <f>IFERROR(__xludf.DUMMYFUNCTION("""COMPUTED_VALUE"""),112.0)</f>
        <v>112</v>
      </c>
      <c r="L215" s="76" t="str">
        <f>IFERROR(__xludf.DUMMYFUNCTION("""COMPUTED_VALUE"""),"Rồi")</f>
        <v>Rồi</v>
      </c>
      <c r="M215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15" s="76">
        <f>IFERROR(__xludf.DUMMYFUNCTION("""COMPUTED_VALUE"""),12.0)</f>
        <v>12</v>
      </c>
      <c r="O215" s="76" t="str">
        <f>IFERROR(__xludf.DUMMYFUNCTION("""COMPUTED_VALUE"""),"cam kết")</f>
        <v>cam kết</v>
      </c>
      <c r="P215" s="76"/>
      <c r="Q215" s="76"/>
      <c r="R215" s="76"/>
      <c r="S215" s="102">
        <f>IFERROR(__xludf.DUMMYFUNCTION("""COMPUTED_VALUE"""),45717.0)</f>
        <v>45717</v>
      </c>
      <c r="T215" s="76"/>
      <c r="U215" s="102" t="str">
        <f>IFERROR(__xludf.DUMMYFUNCTION("""COMPUTED_VALUE"""),"Nguyễn Thị Thu Hiền")</f>
        <v>Nguyễn Thị Thu Hiền</v>
      </c>
      <c r="V215" s="76" t="str">
        <f>IFERROR(__xludf.DUMMYFUNCTION("""COMPUTED_VALUE"""),"Quản Trị Khách Sạn &amp; Nhà Hàng (Đại Học)")</f>
        <v>Quản Trị Khách Sạn &amp; Nhà Hàng (Đại Học)</v>
      </c>
      <c r="W215" s="76" t="str">
        <f>IFERROR(__xludf.DUMMYFUNCTION("""COMPUTED_VALUE"""),"Diamond Sea Hotel")</f>
        <v>Diamond Sea Hotel</v>
      </c>
      <c r="X215" s="76" t="str">
        <f>IFERROR(__xludf.DUMMYFUNCTION("""COMPUTED_VALUE"""),"Buồng phòng")</f>
        <v>Buồng phòng</v>
      </c>
      <c r="Y215" s="76" t="str">
        <f>IFERROR(__xludf.DUMMYFUNCTION("""COMPUTED_VALUE"""),"DUYỆT")</f>
        <v>DUYỆT</v>
      </c>
      <c r="Z215" s="76" t="str">
        <f>IFERROR(__xludf.DUMMYFUNCTION("""COMPUTED_VALUE"""),"CHUYÊN ĐỀ")</f>
        <v>CHUYÊN ĐỀ</v>
      </c>
      <c r="AA215" s="76" t="str">
        <f>IFERROR(__xludf.DUMMYFUNCTION("""COMPUTED_VALUE"""),"thuhien2042@gmail.com")</f>
        <v>thuhien2042@gmail.com</v>
      </c>
      <c r="AB215" s="76"/>
      <c r="AC215" s="76"/>
    </row>
    <row r="216">
      <c r="A216" s="100">
        <f>IFERROR(__xludf.DUMMYFUNCTION("""COMPUTED_VALUE"""),45658.86496677084)</f>
        <v>45658.86497</v>
      </c>
      <c r="B216" s="76" t="str">
        <f>IFERROR(__xludf.DUMMYFUNCTION("""COMPUTED_VALUE"""),"khanhlinhp541@gmail.com")</f>
        <v>khanhlinhp541@gmail.com</v>
      </c>
      <c r="C216" s="76">
        <f>IFERROR(__xludf.DUMMYFUNCTION("""COMPUTED_VALUE"""),2.7207129929E10)</f>
        <v>27207129929</v>
      </c>
      <c r="D216" s="76" t="str">
        <f>IFERROR(__xludf.DUMMYFUNCTION("""COMPUTED_VALUE"""),"Phạm Khánh Linh")</f>
        <v>Phạm Khánh Linh</v>
      </c>
      <c r="E216" s="101">
        <f>IFERROR(__xludf.DUMMYFUNCTION("""COMPUTED_VALUE"""),37820.0)</f>
        <v>37820</v>
      </c>
      <c r="F216" s="76" t="str">
        <f>IFERROR(__xludf.DUMMYFUNCTION("""COMPUTED_VALUE"""),"K27DLK6")</f>
        <v>K27DLK6</v>
      </c>
      <c r="G216" s="76" t="str">
        <f>IFERROR(__xludf.DUMMYFUNCTION("""COMPUTED_VALUE"""),"Quản trị Du lịch &amp; Khách sạn")</f>
        <v>Quản trị Du lịch &amp; Khách sạn</v>
      </c>
      <c r="H216" s="76" t="str">
        <f>IFERROR(__xludf.DUMMYFUNCTION("""COMPUTED_VALUE"""),"K27")</f>
        <v>K27</v>
      </c>
      <c r="I216" s="76" t="str">
        <f>IFERROR(__xludf.DUMMYFUNCTION("""COMPUTED_VALUE"""),"0825950234")</f>
        <v>0825950234</v>
      </c>
      <c r="J216" s="76">
        <f>IFERROR(__xludf.DUMMYFUNCTION("""COMPUTED_VALUE"""),3.13)</f>
        <v>3.13</v>
      </c>
      <c r="K216" s="76">
        <f>IFERROR(__xludf.DUMMYFUNCTION("""COMPUTED_VALUE"""),115.0)</f>
        <v>115</v>
      </c>
      <c r="L216" s="76" t="str">
        <f>IFERROR(__xludf.DUMMYFUNCTION("""COMPUTED_VALUE"""),"Rồi")</f>
        <v>Rồi</v>
      </c>
      <c r="M216" s="76" t="str">
        <f>IFERROR(__xludf.DUMMYFUNCTION("""COMPUTED_VALUE"""),"Thực tập tốt nghiệp, Thi tốt nghiệp")</f>
        <v>Thực tập tốt nghiệp, Thi tốt nghiệp</v>
      </c>
      <c r="N216" s="76">
        <f>IFERROR(__xludf.DUMMYFUNCTION("""COMPUTED_VALUE"""),8.0)</f>
        <v>8</v>
      </c>
      <c r="O216" s="76" t="str">
        <f>IFERROR(__xludf.DUMMYFUNCTION("""COMPUTED_VALUE"""),"cam kết")</f>
        <v>cam kết</v>
      </c>
      <c r="P216" s="76"/>
      <c r="Q216" s="76"/>
      <c r="R216" s="76"/>
      <c r="S216" s="102">
        <f>IFERROR(__xludf.DUMMYFUNCTION("""COMPUTED_VALUE"""),45717.0)</f>
        <v>45717</v>
      </c>
      <c r="T216" s="76"/>
      <c r="U216" s="102" t="str">
        <f>IFERROR(__xludf.DUMMYFUNCTION("""COMPUTED_VALUE"""),"Phạm Khánh Linh")</f>
        <v>Phạm Khánh Linh</v>
      </c>
      <c r="V216" s="76" t="str">
        <f>IFERROR(__xludf.DUMMYFUNCTION("""COMPUTED_VALUE"""),"Quản Trị Khách Sạn &amp; Nhà Hàng (Đại Học)")</f>
        <v>Quản Trị Khách Sạn &amp; Nhà Hàng (Đại Học)</v>
      </c>
      <c r="W216" s="76" t="str">
        <f>IFERROR(__xludf.DUMMYFUNCTION("""COMPUTED_VALUE"""),"Novotel DaNang Premier Han River")</f>
        <v>Novotel DaNang Premier Han River</v>
      </c>
      <c r="X216" s="76" t="str">
        <f>IFERROR(__xludf.DUMMYFUNCTION("""COMPUTED_VALUE"""),"Lễ tân Spa")</f>
        <v>Lễ tân Spa</v>
      </c>
      <c r="Y216" s="76" t="str">
        <f>IFERROR(__xludf.DUMMYFUNCTION("""COMPUTED_VALUE"""),"DUYỆT")</f>
        <v>DUYỆT</v>
      </c>
      <c r="Z216" s="76" t="str">
        <f>IFERROR(__xludf.DUMMYFUNCTION("""COMPUTED_VALUE"""),"CHUYÊN ĐỀ")</f>
        <v>CHUYÊN ĐỀ</v>
      </c>
      <c r="AA216" s="76" t="str">
        <f>IFERROR(__xludf.DUMMYFUNCTION("""COMPUTED_VALUE"""),"khanhlinhp541@gmail.com")</f>
        <v>khanhlinhp541@gmail.com</v>
      </c>
      <c r="AB216" s="76"/>
      <c r="AC216" s="76"/>
    </row>
    <row r="217">
      <c r="A217" s="100">
        <f>IFERROR(__xludf.DUMMYFUNCTION("""COMPUTED_VALUE"""),45659.306239212965)</f>
        <v>45659.30624</v>
      </c>
      <c r="B217" s="76" t="str">
        <f>IFERROR(__xludf.DUMMYFUNCTION("""COMPUTED_VALUE"""),"nguyencconghau@gmail.com")</f>
        <v>nguyencconghau@gmail.com</v>
      </c>
      <c r="C217" s="76">
        <f>IFERROR(__xludf.DUMMYFUNCTION("""COMPUTED_VALUE"""),2.5217110499E10)</f>
        <v>25217110499</v>
      </c>
      <c r="D217" s="76" t="str">
        <f>IFERROR(__xludf.DUMMYFUNCTION("""COMPUTED_VALUE"""),"Nguyễn Công Hậu ")</f>
        <v>Nguyễn Công Hậu </v>
      </c>
      <c r="E217" s="101">
        <f>IFERROR(__xludf.DUMMYFUNCTION("""COMPUTED_VALUE"""),37123.0)</f>
        <v>37123</v>
      </c>
      <c r="F217" s="76" t="str">
        <f>IFERROR(__xludf.DUMMYFUNCTION("""COMPUTED_VALUE"""),"K25DLk24")</f>
        <v>K25DLk24</v>
      </c>
      <c r="G217" s="76" t="str">
        <f>IFERROR(__xludf.DUMMYFUNCTION("""COMPUTED_VALUE"""),"Quản trị Du lịch &amp; Khách sạn")</f>
        <v>Quản trị Du lịch &amp; Khách sạn</v>
      </c>
      <c r="H217" s="76" t="str">
        <f>IFERROR(__xludf.DUMMYFUNCTION("""COMPUTED_VALUE"""),"K25")</f>
        <v>K25</v>
      </c>
      <c r="I217" s="76" t="str">
        <f>IFERROR(__xludf.DUMMYFUNCTION("""COMPUTED_VALUE"""),"0905483087")</f>
        <v>0905483087</v>
      </c>
      <c r="J217" s="76">
        <f>IFERROR(__xludf.DUMMYFUNCTION("""COMPUTED_VALUE"""),2.82)</f>
        <v>2.82</v>
      </c>
      <c r="K217" s="76">
        <f>IFERROR(__xludf.DUMMYFUNCTION("""COMPUTED_VALUE"""),131.0)</f>
        <v>131</v>
      </c>
      <c r="L217" s="76" t="str">
        <f>IFERROR(__xludf.DUMMYFUNCTION("""COMPUTED_VALUE"""),"Rồi")</f>
        <v>Rồi</v>
      </c>
      <c r="M217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17" s="76">
        <f>IFERROR(__xludf.DUMMYFUNCTION("""COMPUTED_VALUE"""),0.0)</f>
        <v>0</v>
      </c>
      <c r="O217" s="76" t="str">
        <f>IFERROR(__xludf.DUMMYFUNCTION("""COMPUTED_VALUE"""),"cam kết")</f>
        <v>cam kết</v>
      </c>
      <c r="P217" s="76" t="str">
        <f>IFERROR(__xludf.DUMMYFUNCTION("""COMPUTED_VALUE"""),"ĐÃ NỘP")</f>
        <v>ĐÃ NỘP</v>
      </c>
      <c r="Q217" s="76" t="str">
        <f>IFERROR(__xludf.DUMMYFUNCTION("""COMPUTED_VALUE"""),"ĐÃ NỘP")</f>
        <v>ĐÃ NỘP</v>
      </c>
      <c r="R217" s="76">
        <f>IFERROR(__xludf.DUMMYFUNCTION("""COMPUTED_VALUE"""),23.0)</f>
        <v>23</v>
      </c>
      <c r="S217" s="102">
        <f>IFERROR(__xludf.DUMMYFUNCTION("""COMPUTED_VALUE"""),45717.0)</f>
        <v>45717</v>
      </c>
      <c r="T217" s="76"/>
      <c r="U217" s="102" t="str">
        <f>IFERROR(__xludf.DUMMYFUNCTION("""COMPUTED_VALUE"""),"Nguyễn Công Hậu")</f>
        <v>Nguyễn Công Hậu</v>
      </c>
      <c r="V217" s="76" t="str">
        <f>IFERROR(__xludf.DUMMYFUNCTION("""COMPUTED_VALUE"""),"Quản Trị Khách Sạn &amp; Nhà Hàng (Đại Học)")</f>
        <v>Quản Trị Khách Sạn &amp; Nhà Hàng (Đại Học)</v>
      </c>
      <c r="W217" s="76" t="str">
        <f>IFERROR(__xludf.DUMMYFUNCTION("""COMPUTED_VALUE"""),"Diamond Sea Hotel")</f>
        <v>Diamond Sea Hotel</v>
      </c>
      <c r="X217" s="76" t="str">
        <f>IFERROR(__xludf.DUMMYFUNCTION("""COMPUTED_VALUE"""),"Nhà hàng")</f>
        <v>Nhà hàng</v>
      </c>
      <c r="Y217" s="76" t="str">
        <f>IFERROR(__xludf.DUMMYFUNCTION("""COMPUTED_VALUE"""),"DUYỆT")</f>
        <v>DUYỆT</v>
      </c>
      <c r="Z217" s="76" t="str">
        <f>IFERROR(__xludf.DUMMYFUNCTION("""COMPUTED_VALUE"""),"CHUYÊN ĐỀ")</f>
        <v>CHUYÊN ĐỀ</v>
      </c>
      <c r="AA217" s="76" t="str">
        <f>IFERROR(__xludf.DUMMYFUNCTION("""COMPUTED_VALUE"""),"nguyencconghau@gmail.com")</f>
        <v>nguyencconghau@gmail.com</v>
      </c>
      <c r="AB217" s="76"/>
      <c r="AC217" s="76"/>
    </row>
    <row r="218">
      <c r="A218" s="100">
        <f>IFERROR(__xludf.DUMMYFUNCTION("""COMPUTED_VALUE"""),45659.47025028935)</f>
        <v>45659.47025</v>
      </c>
      <c r="B218" s="76" t="str">
        <f>IFERROR(__xludf.DUMMYFUNCTION("""COMPUTED_VALUE"""),"manhnguyenhuu007@gmail.com")</f>
        <v>manhnguyenhuu007@gmail.com</v>
      </c>
      <c r="C218" s="76">
        <f>IFERROR(__xludf.DUMMYFUNCTION("""COMPUTED_VALUE"""),2.5217204586E10)</f>
        <v>25217204586</v>
      </c>
      <c r="D218" s="76" t="str">
        <f>IFERROR(__xludf.DUMMYFUNCTION("""COMPUTED_VALUE"""),"Nguyễn Hữu Mạnh")</f>
        <v>Nguyễn Hữu Mạnh</v>
      </c>
      <c r="E218" s="101">
        <f>IFERROR(__xludf.DUMMYFUNCTION("""COMPUTED_VALUE"""),37166.0)</f>
        <v>37166</v>
      </c>
      <c r="F218" s="76" t="str">
        <f>IFERROR(__xludf.DUMMYFUNCTION("""COMPUTED_VALUE"""),"K25PSUDLK12")</f>
        <v>K25PSUDLK12</v>
      </c>
      <c r="G218" s="76" t="str">
        <f>IFERROR(__xludf.DUMMYFUNCTION("""COMPUTED_VALUE"""),"Quản trị Du lịch &amp; Khách sạn chuẩn PSU")</f>
        <v>Quản trị Du lịch &amp; Khách sạn chuẩn PSU</v>
      </c>
      <c r="H218" s="76" t="str">
        <f>IFERROR(__xludf.DUMMYFUNCTION("""COMPUTED_VALUE"""),"K25")</f>
        <v>K25</v>
      </c>
      <c r="I218" s="76" t="str">
        <f>IFERROR(__xludf.DUMMYFUNCTION("""COMPUTED_VALUE"""),"0905676425")</f>
        <v>0905676425</v>
      </c>
      <c r="J218" s="76">
        <f>IFERROR(__xludf.DUMMYFUNCTION("""COMPUTED_VALUE"""),2.51)</f>
        <v>2.51</v>
      </c>
      <c r="K218" s="76">
        <f>IFERROR(__xludf.DUMMYFUNCTION("""COMPUTED_VALUE"""),163.0)</f>
        <v>163</v>
      </c>
      <c r="L218" s="76" t="str">
        <f>IFERROR(__xludf.DUMMYFUNCTION("""COMPUTED_VALUE"""),"Rồi")</f>
        <v>Rồi</v>
      </c>
      <c r="M218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18" s="76">
        <f>IFERROR(__xludf.DUMMYFUNCTION("""COMPUTED_VALUE"""),0.0)</f>
        <v>0</v>
      </c>
      <c r="O218" s="76" t="str">
        <f>IFERROR(__xludf.DUMMYFUNCTION("""COMPUTED_VALUE"""),"cam kết")</f>
        <v>cam kết</v>
      </c>
      <c r="P218" s="76" t="str">
        <f>IFERROR(__xludf.DUMMYFUNCTION("""COMPUTED_VALUE"""),"ĐÃ NỘP")</f>
        <v>ĐÃ NỘP</v>
      </c>
      <c r="Q218" s="76" t="str">
        <f>IFERROR(__xludf.DUMMYFUNCTION("""COMPUTED_VALUE"""),"ĐÃ NỘP")</f>
        <v>ĐÃ NỘP</v>
      </c>
      <c r="R218" s="76">
        <f>IFERROR(__xludf.DUMMYFUNCTION("""COMPUTED_VALUE"""),39.0)</f>
        <v>39</v>
      </c>
      <c r="S218" s="102">
        <f>IFERROR(__xludf.DUMMYFUNCTION("""COMPUTED_VALUE"""),45931.0)</f>
        <v>45931</v>
      </c>
      <c r="T218" s="76"/>
      <c r="U218" s="102" t="str">
        <f>IFERROR(__xludf.DUMMYFUNCTION("""COMPUTED_VALUE"""),"Nguyễn Hữu Mạnh")</f>
        <v>Nguyễn Hữu Mạnh</v>
      </c>
      <c r="V218" s="76" t="str">
        <f>IFERROR(__xludf.DUMMYFUNCTION("""COMPUTED_VALUE"""),"Quản Trị Du Lịch &amp; Khách Sạn Chuẩn PSU (Đại Học)")</f>
        <v>Quản Trị Du Lịch &amp; Khách Sạn Chuẩn PSU (Đại Học)</v>
      </c>
      <c r="W218" s="76" t="str">
        <f>IFERROR(__xludf.DUMMYFUNCTION("""COMPUTED_VALUE"""),"Brilliant Hotel")</f>
        <v>Brilliant Hotel</v>
      </c>
      <c r="X218" s="76" t="str">
        <f>IFERROR(__xludf.DUMMYFUNCTION("""COMPUTED_VALUE"""),"Tiền sảnh")</f>
        <v>Tiền sảnh</v>
      </c>
      <c r="Y218" s="76" t="str">
        <f>IFERROR(__xludf.DUMMYFUNCTION("""COMPUTED_VALUE"""),"DUYỆT")</f>
        <v>DUYỆT</v>
      </c>
      <c r="Z218" s="76" t="str">
        <f>IFERROR(__xludf.DUMMYFUNCTION("""COMPUTED_VALUE"""),"CHUYÊN ĐỀ")</f>
        <v>CHUYÊN ĐỀ</v>
      </c>
      <c r="AA218" s="76" t="str">
        <f>IFERROR(__xludf.DUMMYFUNCTION("""COMPUTED_VALUE"""),"manhnguyenhuu007@gmail.com")</f>
        <v>manhnguyenhuu007@gmail.com</v>
      </c>
      <c r="AB218" s="76"/>
      <c r="AC218" s="76"/>
    </row>
    <row r="219">
      <c r="A219" s="100">
        <f>IFERROR(__xludf.DUMMYFUNCTION("""COMPUTED_VALUE"""),45659.53638071759)</f>
        <v>45659.53638</v>
      </c>
      <c r="B219" s="76" t="str">
        <f>IFERROR(__xludf.DUMMYFUNCTION("""COMPUTED_VALUE"""),"leyennhi3333@gmail.com")</f>
        <v>leyennhi3333@gmail.com</v>
      </c>
      <c r="C219" s="76">
        <f>IFERROR(__xludf.DUMMYFUNCTION("""COMPUTED_VALUE"""),2.72071474E10)</f>
        <v>27207147400</v>
      </c>
      <c r="D219" s="76" t="str">
        <f>IFERROR(__xludf.DUMMYFUNCTION("""COMPUTED_VALUE"""),"Lê Thị Yến Nhi")</f>
        <v>Lê Thị Yến Nhi</v>
      </c>
      <c r="E219" s="101">
        <f>IFERROR(__xludf.DUMMYFUNCTION("""COMPUTED_VALUE"""),37645.0)</f>
        <v>37645</v>
      </c>
      <c r="F219" s="76" t="str">
        <f>IFERROR(__xludf.DUMMYFUNCTION("""COMPUTED_VALUE"""),"K27DLK6")</f>
        <v>K27DLK6</v>
      </c>
      <c r="G219" s="76" t="str">
        <f>IFERROR(__xludf.DUMMYFUNCTION("""COMPUTED_VALUE"""),"Quản trị Du lịch &amp; Khách sạn")</f>
        <v>Quản trị Du lịch &amp; Khách sạn</v>
      </c>
      <c r="H219" s="76" t="str">
        <f>IFERROR(__xludf.DUMMYFUNCTION("""COMPUTED_VALUE"""),"K27")</f>
        <v>K27</v>
      </c>
      <c r="I219" s="76" t="str">
        <f>IFERROR(__xludf.DUMMYFUNCTION("""COMPUTED_VALUE"""),"0396095413")</f>
        <v>0396095413</v>
      </c>
      <c r="J219" s="76">
        <f>IFERROR(__xludf.DUMMYFUNCTION("""COMPUTED_VALUE"""),2.49)</f>
        <v>2.49</v>
      </c>
      <c r="K219" s="76">
        <f>IFERROR(__xludf.DUMMYFUNCTION("""COMPUTED_VALUE"""),115.0)</f>
        <v>115</v>
      </c>
      <c r="L219" s="76" t="str">
        <f>IFERROR(__xludf.DUMMYFUNCTION("""COMPUTED_VALUE"""),"Rồi")</f>
        <v>Rồi</v>
      </c>
      <c r="M219" s="76" t="str">
        <f>IFERROR(__xludf.DUMMYFUNCTION("""COMPUTED_VALUE"""),"Thực tập tốt nghiệp, Công nhận tốt nghiệp")</f>
        <v>Thực tập tốt nghiệp, Công nhận tốt nghiệp</v>
      </c>
      <c r="N219" s="76">
        <f>IFERROR(__xludf.DUMMYFUNCTION("""COMPUTED_VALUE"""),14.0)</f>
        <v>14</v>
      </c>
      <c r="O219" s="76" t="str">
        <f>IFERROR(__xludf.DUMMYFUNCTION("""COMPUTED_VALUE"""),"cam kết")</f>
        <v>cam kết</v>
      </c>
      <c r="P219" s="76"/>
      <c r="Q219" s="76"/>
      <c r="R219" s="76"/>
      <c r="S219" s="102">
        <f>IFERROR(__xludf.DUMMYFUNCTION("""COMPUTED_VALUE"""),45717.0)</f>
        <v>45717</v>
      </c>
      <c r="T219" s="76"/>
      <c r="U219" s="102" t="str">
        <f>IFERROR(__xludf.DUMMYFUNCTION("""COMPUTED_VALUE"""),"Lê Thị Yến Nhi")</f>
        <v>Lê Thị Yến Nhi</v>
      </c>
      <c r="V219" s="76" t="str">
        <f>IFERROR(__xludf.DUMMYFUNCTION("""COMPUTED_VALUE"""),"Quản Trị Khách Sạn &amp; Nhà Hàng (Đại Học)")</f>
        <v>Quản Trị Khách Sạn &amp; Nhà Hàng (Đại Học)</v>
      </c>
      <c r="W219" s="76" t="str">
        <f>IFERROR(__xludf.DUMMYFUNCTION("""COMPUTED_VALUE"""),"Radisson Hotel Danang")</f>
        <v>Radisson Hotel Danang</v>
      </c>
      <c r="X219" s="76" t="str">
        <f>IFERROR(__xludf.DUMMYFUNCTION("""COMPUTED_VALUE"""),"Nhà hàng")</f>
        <v>Nhà hàng</v>
      </c>
      <c r="Y219" s="76" t="str">
        <f>IFERROR(__xludf.DUMMYFUNCTION("""COMPUTED_VALUE"""),"DUYỆT")</f>
        <v>DUYỆT</v>
      </c>
      <c r="Z219" s="76" t="str">
        <f>IFERROR(__xludf.DUMMYFUNCTION("""COMPUTED_VALUE"""),"CHUYÊN ĐỀ")</f>
        <v>CHUYÊN ĐỀ</v>
      </c>
      <c r="AA219" s="76" t="str">
        <f>IFERROR(__xludf.DUMMYFUNCTION("""COMPUTED_VALUE"""),"leyennhi3333@gmail.com")</f>
        <v>leyennhi3333@gmail.com</v>
      </c>
      <c r="AB219" s="76"/>
      <c r="AC219" s="76"/>
    </row>
    <row r="220">
      <c r="A220" s="100">
        <f>IFERROR(__xludf.DUMMYFUNCTION("""COMPUTED_VALUE"""),45659.53643548611)</f>
        <v>45659.53644</v>
      </c>
      <c r="B220" s="76" t="str">
        <f>IFERROR(__xludf.DUMMYFUNCTION("""COMPUTED_VALUE"""),"trungtran85200@gmail.com")</f>
        <v>trungtran85200@gmail.com</v>
      </c>
      <c r="C220" s="76">
        <f>IFERROR(__xludf.DUMMYFUNCTION("""COMPUTED_VALUE"""),2.721712368E10)</f>
        <v>27217123680</v>
      </c>
      <c r="D220" s="76" t="str">
        <f>IFERROR(__xludf.DUMMYFUNCTION("""COMPUTED_VALUE"""),"Trần hữu chung")</f>
        <v>Trần hữu chung</v>
      </c>
      <c r="E220" s="101">
        <f>IFERROR(__xludf.DUMMYFUNCTION("""COMPUTED_VALUE"""),37971.0)</f>
        <v>37971</v>
      </c>
      <c r="F220" s="76" t="str">
        <f>IFERROR(__xludf.DUMMYFUNCTION("""COMPUTED_VALUE"""),"K27DLK5")</f>
        <v>K27DLK5</v>
      </c>
      <c r="G220" s="76" t="str">
        <f>IFERROR(__xludf.DUMMYFUNCTION("""COMPUTED_VALUE"""),"Quản trị Du lịch &amp; Khách sạn")</f>
        <v>Quản trị Du lịch &amp; Khách sạn</v>
      </c>
      <c r="H220" s="76" t="str">
        <f>IFERROR(__xludf.DUMMYFUNCTION("""COMPUTED_VALUE"""),"K27")</f>
        <v>K27</v>
      </c>
      <c r="I220" s="76" t="str">
        <f>IFERROR(__xludf.DUMMYFUNCTION("""COMPUTED_VALUE"""),"0356485200")</f>
        <v>0356485200</v>
      </c>
      <c r="J220" s="76">
        <f>IFERROR(__xludf.DUMMYFUNCTION("""COMPUTED_VALUE"""),2.67)</f>
        <v>2.67</v>
      </c>
      <c r="K220" s="76">
        <f>IFERROR(__xludf.DUMMYFUNCTION("""COMPUTED_VALUE"""),114.0)</f>
        <v>114</v>
      </c>
      <c r="L220" s="76" t="str">
        <f>IFERROR(__xludf.DUMMYFUNCTION("""COMPUTED_VALUE"""),"Rồi")</f>
        <v>Rồi</v>
      </c>
      <c r="M220" s="76" t="str">
        <f>IFERROR(__xludf.DUMMYFUNCTION("""COMPUTED_VALUE"""),"Thực tập tốt nghiệp, Công nhận tốt nghiệp")</f>
        <v>Thực tập tốt nghiệp, Công nhận tốt nghiệp</v>
      </c>
      <c r="N220" s="76">
        <f>IFERROR(__xludf.DUMMYFUNCTION("""COMPUTED_VALUE"""),15.0)</f>
        <v>15</v>
      </c>
      <c r="O220" s="76" t="str">
        <f>IFERROR(__xludf.DUMMYFUNCTION("""COMPUTED_VALUE"""),"cam kết")</f>
        <v>cam kết</v>
      </c>
      <c r="P220" s="76"/>
      <c r="Q220" s="76"/>
      <c r="R220" s="76"/>
      <c r="S220" s="102">
        <f>IFERROR(__xludf.DUMMYFUNCTION("""COMPUTED_VALUE"""),45717.0)</f>
        <v>45717</v>
      </c>
      <c r="T220" s="76"/>
      <c r="U220" s="102" t="str">
        <f>IFERROR(__xludf.DUMMYFUNCTION("""COMPUTED_VALUE"""),"Trần Hữu Chung")</f>
        <v>Trần Hữu Chung</v>
      </c>
      <c r="V220" s="76" t="str">
        <f>IFERROR(__xludf.DUMMYFUNCTION("""COMPUTED_VALUE"""),"Quản Trị Khách Sạn &amp; Nhà Hàng (Đại Học)")</f>
        <v>Quản Trị Khách Sạn &amp; Nhà Hàng (Đại Học)</v>
      </c>
      <c r="W220" s="76" t="str">
        <f>IFERROR(__xludf.DUMMYFUNCTION("""COMPUTED_VALUE"""),"Radisson hotel danang")</f>
        <v>Radisson hotel danang</v>
      </c>
      <c r="X220" s="76" t="str">
        <f>IFERROR(__xludf.DUMMYFUNCTION("""COMPUTED_VALUE"""),"Nhà hàng")</f>
        <v>Nhà hàng</v>
      </c>
      <c r="Y220" s="76" t="str">
        <f>IFERROR(__xludf.DUMMYFUNCTION("""COMPUTED_VALUE"""),"DUYỆT")</f>
        <v>DUYỆT</v>
      </c>
      <c r="Z220" s="76" t="str">
        <f>IFERROR(__xludf.DUMMYFUNCTION("""COMPUTED_VALUE"""),"CHUYÊN ĐỀ")</f>
        <v>CHUYÊN ĐỀ</v>
      </c>
      <c r="AA220" s="76" t="str">
        <f>IFERROR(__xludf.DUMMYFUNCTION("""COMPUTED_VALUE"""),"trungtran85200@gmail.com")</f>
        <v>trungtran85200@gmail.com</v>
      </c>
      <c r="AB220" s="76"/>
      <c r="AC220" s="76"/>
    </row>
    <row r="221">
      <c r="A221" s="100">
        <f>IFERROR(__xludf.DUMMYFUNCTION("""COMPUTED_VALUE"""),45659.57458305555)</f>
        <v>45659.57458</v>
      </c>
      <c r="B221" s="76" t="str">
        <f>IFERROR(__xludf.DUMMYFUNCTION("""COMPUTED_VALUE"""),"ngocngabao68@gmail.com")</f>
        <v>ngocngabao68@gmail.com</v>
      </c>
      <c r="C221" s="76">
        <f>IFERROR(__xludf.DUMMYFUNCTION("""COMPUTED_VALUE"""),2.7217152519E10)</f>
        <v>27217152519</v>
      </c>
      <c r="D221" s="76" t="str">
        <f>IFERROR(__xludf.DUMMYFUNCTION("""COMPUTED_VALUE"""),"Nguyễn Xuân Bảo")</f>
        <v>Nguyễn Xuân Bảo</v>
      </c>
      <c r="E221" s="101">
        <f>IFERROR(__xludf.DUMMYFUNCTION("""COMPUTED_VALUE"""),37700.0)</f>
        <v>37700</v>
      </c>
      <c r="F221" s="76" t="str">
        <f>IFERROR(__xludf.DUMMYFUNCTION("""COMPUTED_VALUE"""),"K27-DLK7")</f>
        <v>K27-DLK7</v>
      </c>
      <c r="G221" s="76" t="str">
        <f>IFERROR(__xludf.DUMMYFUNCTION("""COMPUTED_VALUE"""),"Quản trị Du lịch &amp; Khách sạn")</f>
        <v>Quản trị Du lịch &amp; Khách sạn</v>
      </c>
      <c r="H221" s="76" t="str">
        <f>IFERROR(__xludf.DUMMYFUNCTION("""COMPUTED_VALUE"""),"K27")</f>
        <v>K27</v>
      </c>
      <c r="I221" s="76" t="str">
        <f>IFERROR(__xludf.DUMMYFUNCTION("""COMPUTED_VALUE"""),"0358273324")</f>
        <v>0358273324</v>
      </c>
      <c r="J221" s="76">
        <f>IFERROR(__xludf.DUMMYFUNCTION("""COMPUTED_VALUE"""),2.73)</f>
        <v>2.73</v>
      </c>
      <c r="K221" s="76">
        <f>IFERROR(__xludf.DUMMYFUNCTION("""COMPUTED_VALUE"""),107.0)</f>
        <v>107</v>
      </c>
      <c r="L221" s="76" t="str">
        <f>IFERROR(__xludf.DUMMYFUNCTION("""COMPUTED_VALUE"""),"Rồi")</f>
        <v>Rồi</v>
      </c>
      <c r="M221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21" s="76">
        <f>IFERROR(__xludf.DUMMYFUNCTION("""COMPUTED_VALUE"""),17.0)</f>
        <v>17</v>
      </c>
      <c r="O221" s="76" t="str">
        <f>IFERROR(__xludf.DUMMYFUNCTION("""COMPUTED_VALUE"""),"cam kết")</f>
        <v>cam kết</v>
      </c>
      <c r="P221" s="76"/>
      <c r="Q221" s="76"/>
      <c r="R221" s="76"/>
      <c r="S221" s="102">
        <f>IFERROR(__xludf.DUMMYFUNCTION("""COMPUTED_VALUE"""),45717.0)</f>
        <v>45717</v>
      </c>
      <c r="T221" s="76"/>
      <c r="U221" s="102" t="str">
        <f>IFERROR(__xludf.DUMMYFUNCTION("""COMPUTED_VALUE"""),"Nguyễn Xuân Bảo")</f>
        <v>Nguyễn Xuân Bảo</v>
      </c>
      <c r="V221" s="76" t="str">
        <f>IFERROR(__xludf.DUMMYFUNCTION("""COMPUTED_VALUE"""),"Quản Trị Khách Sạn &amp; Nhà Hàng (Đại Học)")</f>
        <v>Quản Trị Khách Sạn &amp; Nhà Hàng (Đại Học)</v>
      </c>
      <c r="W221" s="76" t="str">
        <f>IFERROR(__xludf.DUMMYFUNCTION("""COMPUTED_VALUE"""),"Satya Danang Hotel")</f>
        <v>Satya Danang Hotel</v>
      </c>
      <c r="X221" s="76" t="str">
        <f>IFERROR(__xludf.DUMMYFUNCTION("""COMPUTED_VALUE"""),"Nhà hàng")</f>
        <v>Nhà hàng</v>
      </c>
      <c r="Y221" s="76" t="str">
        <f>IFERROR(__xludf.DUMMYFUNCTION("""COMPUTED_VALUE"""),"DUYỆT")</f>
        <v>DUYỆT</v>
      </c>
      <c r="Z221" s="76" t="str">
        <f>IFERROR(__xludf.DUMMYFUNCTION("""COMPUTED_VALUE"""),"không đủ điều kiện")</f>
        <v>không đủ điều kiện</v>
      </c>
      <c r="AA221" s="76" t="str">
        <f>IFERROR(__xludf.DUMMYFUNCTION("""COMPUTED_VALUE"""),"ngocngabao68@gmail.com")</f>
        <v>ngocngabao68@gmail.com</v>
      </c>
      <c r="AB221" s="76"/>
      <c r="AC221" s="76"/>
    </row>
    <row r="222">
      <c r="A222" s="100">
        <f>IFERROR(__xludf.DUMMYFUNCTION("""COMPUTED_VALUE"""),45659.61447208333)</f>
        <v>45659.61447</v>
      </c>
      <c r="B222" s="76" t="str">
        <f>IFERROR(__xludf.DUMMYFUNCTION("""COMPUTED_VALUE"""),"nguyenquynhnhu020603@gmail.com")</f>
        <v>nguyenquynhnhu020603@gmail.com</v>
      </c>
      <c r="C222" s="76">
        <f>IFERROR(__xludf.DUMMYFUNCTION("""COMPUTED_VALUE"""),2.7207100874E10)</f>
        <v>27207100874</v>
      </c>
      <c r="D222" s="76" t="str">
        <f>IFERROR(__xludf.DUMMYFUNCTION("""COMPUTED_VALUE"""),"Nguyễn Thị Quỳnh Như")</f>
        <v>Nguyễn Thị Quỳnh Như</v>
      </c>
      <c r="E222" s="101">
        <f>IFERROR(__xludf.DUMMYFUNCTION("""COMPUTED_VALUE"""),37774.0)</f>
        <v>37774</v>
      </c>
      <c r="F222" s="76" t="str">
        <f>IFERROR(__xludf.DUMMYFUNCTION("""COMPUTED_VALUE"""),"K27DLK4")</f>
        <v>K27DLK4</v>
      </c>
      <c r="G222" s="76" t="str">
        <f>IFERROR(__xludf.DUMMYFUNCTION("""COMPUTED_VALUE"""),"Quản trị Du lịch &amp; Khách sạn")</f>
        <v>Quản trị Du lịch &amp; Khách sạn</v>
      </c>
      <c r="H222" s="76" t="str">
        <f>IFERROR(__xludf.DUMMYFUNCTION("""COMPUTED_VALUE"""),"K27")</f>
        <v>K27</v>
      </c>
      <c r="I222" s="76" t="str">
        <f>IFERROR(__xludf.DUMMYFUNCTION("""COMPUTED_VALUE"""),"0935383425")</f>
        <v>0935383425</v>
      </c>
      <c r="J222" s="76">
        <f>IFERROR(__xludf.DUMMYFUNCTION("""COMPUTED_VALUE"""),2.43)</f>
        <v>2.43</v>
      </c>
      <c r="K222" s="76">
        <f>IFERROR(__xludf.DUMMYFUNCTION("""COMPUTED_VALUE"""),108.0)</f>
        <v>108</v>
      </c>
      <c r="L222" s="76" t="str">
        <f>IFERROR(__xludf.DUMMYFUNCTION("""COMPUTED_VALUE"""),"Rồi")</f>
        <v>Rồi</v>
      </c>
      <c r="M222" s="76" t="str">
        <f>IFERROR(__xludf.DUMMYFUNCTION("""COMPUTED_VALUE"""),"Thực tập tốt nghiệp")</f>
        <v>Thực tập tốt nghiệp</v>
      </c>
      <c r="N222" s="76">
        <f>IFERROR(__xludf.DUMMYFUNCTION("""COMPUTED_VALUE"""),31.0)</f>
        <v>31</v>
      </c>
      <c r="O222" s="76" t="str">
        <f>IFERROR(__xludf.DUMMYFUNCTION("""COMPUTED_VALUE"""),"cam kết")</f>
        <v>cam kết</v>
      </c>
      <c r="P222" s="76"/>
      <c r="Q222" s="76"/>
      <c r="R222" s="76"/>
      <c r="S222" s="102">
        <f>IFERROR(__xludf.DUMMYFUNCTION("""COMPUTED_VALUE"""),45717.0)</f>
        <v>45717</v>
      </c>
      <c r="T222" s="76"/>
      <c r="U222" s="102" t="str">
        <f>IFERROR(__xludf.DUMMYFUNCTION("""COMPUTED_VALUE"""),"Nguyễn Thị Quỳnh Như")</f>
        <v>Nguyễn Thị Quỳnh Như</v>
      </c>
      <c r="V222" s="76" t="str">
        <f>IFERROR(__xludf.DUMMYFUNCTION("""COMPUTED_VALUE"""),"Quản Trị Khách Sạn &amp; Nhà Hàng (Đại Học)")</f>
        <v>Quản Trị Khách Sạn &amp; Nhà Hàng (Đại Học)</v>
      </c>
      <c r="W222" s="76" t="str">
        <f>IFERROR(__xludf.DUMMYFUNCTION("""COMPUTED_VALUE"""),"Chicland Hotel")</f>
        <v>Chicland Hotel</v>
      </c>
      <c r="X222" s="76" t="str">
        <f>IFERROR(__xludf.DUMMYFUNCTION("""COMPUTED_VALUE"""),"Nhà hàng")</f>
        <v>Nhà hàng</v>
      </c>
      <c r="Y222" s="76" t="str">
        <f>IFERROR(__xludf.DUMMYFUNCTION("""COMPUTED_VALUE"""),"DUYỆT")</f>
        <v>DUYỆT</v>
      </c>
      <c r="Z222" s="76" t="str">
        <f>IFERROR(__xludf.DUMMYFUNCTION("""COMPUTED_VALUE"""),"không đủ điều kiện")</f>
        <v>không đủ điều kiện</v>
      </c>
      <c r="AA222" s="76" t="str">
        <f>IFERROR(__xludf.DUMMYFUNCTION("""COMPUTED_VALUE"""),"nguyenquynhnhu020603@gmail.com")</f>
        <v>nguyenquynhnhu020603@gmail.com</v>
      </c>
      <c r="AB222" s="76"/>
      <c r="AC222" s="76"/>
    </row>
    <row r="223">
      <c r="A223" s="100">
        <f>IFERROR(__xludf.DUMMYFUNCTION("""COMPUTED_VALUE"""),45660.469785625)</f>
        <v>45660.46979</v>
      </c>
      <c r="B223" s="76" t="str">
        <f>IFERROR(__xludf.DUMMYFUNCTION("""COMPUTED_VALUE"""),"vothithanhthao2k3qn@gmail.com")</f>
        <v>vothithanhthao2k3qn@gmail.com</v>
      </c>
      <c r="C223" s="76">
        <f>IFERROR(__xludf.DUMMYFUNCTION("""COMPUTED_VALUE"""),2.7207136307E10)</f>
        <v>27207136307</v>
      </c>
      <c r="D223" s="76" t="str">
        <f>IFERROR(__xludf.DUMMYFUNCTION("""COMPUTED_VALUE"""),"Võ Thị Thanh Thảo")</f>
        <v>Võ Thị Thanh Thảo</v>
      </c>
      <c r="E223" s="101">
        <f>IFERROR(__xludf.DUMMYFUNCTION("""COMPUTED_VALUE"""),37754.0)</f>
        <v>37754</v>
      </c>
      <c r="F223" s="76" t="str">
        <f>IFERROR(__xludf.DUMMYFUNCTION("""COMPUTED_VALUE"""),"K27-DLK5")</f>
        <v>K27-DLK5</v>
      </c>
      <c r="G223" s="76" t="str">
        <f>IFERROR(__xludf.DUMMYFUNCTION("""COMPUTED_VALUE"""),"Quản trị Du lịch &amp; Khách sạn")</f>
        <v>Quản trị Du lịch &amp; Khách sạn</v>
      </c>
      <c r="H223" s="76" t="str">
        <f>IFERROR(__xludf.DUMMYFUNCTION("""COMPUTED_VALUE"""),"K27")</f>
        <v>K27</v>
      </c>
      <c r="I223" s="76" t="str">
        <f>IFERROR(__xludf.DUMMYFUNCTION("""COMPUTED_VALUE"""),"0352061751")</f>
        <v>0352061751</v>
      </c>
      <c r="J223" s="76">
        <f>IFERROR(__xludf.DUMMYFUNCTION("""COMPUTED_VALUE"""),2.54)</f>
        <v>2.54</v>
      </c>
      <c r="K223" s="76">
        <f>IFERROR(__xludf.DUMMYFUNCTION("""COMPUTED_VALUE"""),112.0)</f>
        <v>112</v>
      </c>
      <c r="L223" s="76" t="str">
        <f>IFERROR(__xludf.DUMMYFUNCTION("""COMPUTED_VALUE"""),"Rồi")</f>
        <v>Rồi</v>
      </c>
      <c r="M223" s="76" t="str">
        <f>IFERROR(__xludf.DUMMYFUNCTION("""COMPUTED_VALUE"""),"Thực tập tốt nghiệp")</f>
        <v>Thực tập tốt nghiệp</v>
      </c>
      <c r="N223" s="76">
        <f>IFERROR(__xludf.DUMMYFUNCTION("""COMPUTED_VALUE"""),11.0)</f>
        <v>11</v>
      </c>
      <c r="O223" s="76" t="str">
        <f>IFERROR(__xludf.DUMMYFUNCTION("""COMPUTED_VALUE"""),"cam kết")</f>
        <v>cam kết</v>
      </c>
      <c r="P223" s="76"/>
      <c r="Q223" s="76"/>
      <c r="R223" s="76"/>
      <c r="S223" s="102">
        <f>IFERROR(__xludf.DUMMYFUNCTION("""COMPUTED_VALUE"""),45717.0)</f>
        <v>45717</v>
      </c>
      <c r="T223" s="76"/>
      <c r="U223" s="102" t="str">
        <f>IFERROR(__xludf.DUMMYFUNCTION("""COMPUTED_VALUE"""),"Võ Thị Thanh Thảo")</f>
        <v>Võ Thị Thanh Thảo</v>
      </c>
      <c r="V223" s="76" t="str">
        <f>IFERROR(__xludf.DUMMYFUNCTION("""COMPUTED_VALUE"""),"Quản Trị Khách Sạn &amp; Nhà Hàng (Đại Học)")</f>
        <v>Quản Trị Khách Sạn &amp; Nhà Hàng (Đại Học)</v>
      </c>
      <c r="W223" s="76" t="str">
        <f>IFERROR(__xludf.DUMMYFUNCTION("""COMPUTED_VALUE"""),"Da Nang Mikazuki Japanese Resorts &amp; Spa")</f>
        <v>Da Nang Mikazuki Japanese Resorts &amp; Spa</v>
      </c>
      <c r="X223" s="76" t="str">
        <f>IFERROR(__xludf.DUMMYFUNCTION("""COMPUTED_VALUE"""),"Buồng phòng")</f>
        <v>Buồng phòng</v>
      </c>
      <c r="Y223" s="76" t="str">
        <f>IFERROR(__xludf.DUMMYFUNCTION("""COMPUTED_VALUE"""),"DUYỆT")</f>
        <v>DUYỆT</v>
      </c>
      <c r="Z223" s="76" t="str">
        <f>IFERROR(__xludf.DUMMYFUNCTION("""COMPUTED_VALUE"""),"CHUYÊN ĐỀ")</f>
        <v>CHUYÊN ĐỀ</v>
      </c>
      <c r="AA223" s="76" t="str">
        <f>IFERROR(__xludf.DUMMYFUNCTION("""COMPUTED_VALUE"""),"vothithanhthao2k3qn@gmail.com")</f>
        <v>vothithanhthao2k3qn@gmail.com</v>
      </c>
      <c r="AB223" s="76"/>
      <c r="AC223" s="76"/>
    </row>
    <row r="224">
      <c r="A224" s="100">
        <f>IFERROR(__xludf.DUMMYFUNCTION("""COMPUTED_VALUE"""),45697.56612309028)</f>
        <v>45697.56612</v>
      </c>
      <c r="B224" s="76" t="str">
        <f>IFERROR(__xludf.DUMMYFUNCTION("""COMPUTED_VALUE"""),"buivanphongx01@gmail.com")</f>
        <v>buivanphongx01@gmail.com</v>
      </c>
      <c r="C224" s="76">
        <f>IFERROR(__xludf.DUMMYFUNCTION("""COMPUTED_VALUE"""),2.7217138091E10)</f>
        <v>27217138091</v>
      </c>
      <c r="D224" s="76" t="str">
        <f>IFERROR(__xludf.DUMMYFUNCTION("""COMPUTED_VALUE"""),"Bùi Văn Phong")</f>
        <v>Bùi Văn Phong</v>
      </c>
      <c r="E224" s="101">
        <f>IFERROR(__xludf.DUMMYFUNCTION("""COMPUTED_VALUE"""),37898.0)</f>
        <v>37898</v>
      </c>
      <c r="F224" s="76" t="str">
        <f>IFERROR(__xludf.DUMMYFUNCTION("""COMPUTED_VALUE"""),"K27DLK3")</f>
        <v>K27DLK3</v>
      </c>
      <c r="G224" s="76" t="str">
        <f>IFERROR(__xludf.DUMMYFUNCTION("""COMPUTED_VALUE"""),"Quản trị Du lịch &amp; Khách sạn")</f>
        <v>Quản trị Du lịch &amp; Khách sạn</v>
      </c>
      <c r="H224" s="76" t="str">
        <f>IFERROR(__xludf.DUMMYFUNCTION("""COMPUTED_VALUE"""),"K27")</f>
        <v>K27</v>
      </c>
      <c r="I224" s="76" t="str">
        <f>IFERROR(__xludf.DUMMYFUNCTION("""COMPUTED_VALUE"""),"0964704645")</f>
        <v>0964704645</v>
      </c>
      <c r="J224" s="76">
        <f>IFERROR(__xludf.DUMMYFUNCTION("""COMPUTED_VALUE"""),2.86)</f>
        <v>2.86</v>
      </c>
      <c r="K224" s="76">
        <f>IFERROR(__xludf.DUMMYFUNCTION("""COMPUTED_VALUE"""),117.0)</f>
        <v>117</v>
      </c>
      <c r="L224" s="76" t="str">
        <f>IFERROR(__xludf.DUMMYFUNCTION("""COMPUTED_VALUE"""),"Rồi")</f>
        <v>Rồi</v>
      </c>
      <c r="M224" s="76" t="str">
        <f>IFERROR(__xludf.DUMMYFUNCTION("""COMPUTED_VALUE"""),"Thực tập tốt nghiệp")</f>
        <v>Thực tập tốt nghiệp</v>
      </c>
      <c r="N224" s="76">
        <f>IFERROR(__xludf.DUMMYFUNCTION("""COMPUTED_VALUE"""),2.0)</f>
        <v>2</v>
      </c>
      <c r="O224" s="76" t="str">
        <f>IFERROR(__xludf.DUMMYFUNCTION("""COMPUTED_VALUE"""),"cam kết")</f>
        <v>cam kết</v>
      </c>
      <c r="P224" s="76"/>
      <c r="Q224" s="76"/>
      <c r="R224" s="76"/>
      <c r="S224" s="76"/>
      <c r="T224" s="76" t="str">
        <f>IFERROR(__xludf.DUMMYFUNCTION("""COMPUTED_VALUE"""),"sinh viên ghi sai MSSV")</f>
        <v>sinh viên ghi sai MSSV</v>
      </c>
      <c r="U224" s="102" t="str">
        <f>IFERROR(__xludf.DUMMYFUNCTION("""COMPUTED_VALUE"""),"Bùi Văn Phong")</f>
        <v>Bùi Văn Phong</v>
      </c>
      <c r="V224" s="76" t="str">
        <f>IFERROR(__xludf.DUMMYFUNCTION("""COMPUTED_VALUE"""),"Quản Trị Khách Sạn &amp; Nhà Hàng (Đại Học)")</f>
        <v>Quản Trị Khách Sạn &amp; Nhà Hàng (Đại Học)</v>
      </c>
      <c r="W224" s="76" t="str">
        <f>IFERROR(__xludf.DUMMYFUNCTION("""COMPUTED_VALUE"""),"DLG Hotel DaNang")</f>
        <v>DLG Hotel DaNang</v>
      </c>
      <c r="X224" s="76" t="str">
        <f>IFERROR(__xludf.DUMMYFUNCTION("""COMPUTED_VALUE"""),"Buồng phòng")</f>
        <v>Buồng phòng</v>
      </c>
      <c r="Y224" s="76" t="str">
        <f>IFERROR(__xludf.DUMMYFUNCTION("""COMPUTED_VALUE"""),"DUYỆT")</f>
        <v>DUYỆT</v>
      </c>
      <c r="Z224" s="76" t="str">
        <f>IFERROR(__xludf.DUMMYFUNCTION("""COMPUTED_VALUE"""),"CHUYÊN ĐỀ")</f>
        <v>CHUYÊN ĐỀ</v>
      </c>
      <c r="AA224" s="76" t="str">
        <f>IFERROR(__xludf.DUMMYFUNCTION("""COMPUTED_VALUE"""),"buivanphongx01@gmail.com")</f>
        <v>buivanphongx01@gmail.com</v>
      </c>
      <c r="AB224" s="76"/>
      <c r="AC224" s="76"/>
    </row>
    <row r="225">
      <c r="A225" s="100">
        <f>IFERROR(__xludf.DUMMYFUNCTION("""COMPUTED_VALUE"""),45660.62165306713)</f>
        <v>45660.62165</v>
      </c>
      <c r="B225" s="76" t="str">
        <f>IFERROR(__xludf.DUMMYFUNCTION("""COMPUTED_VALUE"""),"yennhinguyenthi241@gmail.com")</f>
        <v>yennhinguyenthi241@gmail.com</v>
      </c>
      <c r="C225" s="76">
        <f>IFERROR(__xludf.DUMMYFUNCTION("""COMPUTED_VALUE"""),2.7217100922E10)</f>
        <v>27217100922</v>
      </c>
      <c r="D225" s="76" t="str">
        <f>IFERROR(__xludf.DUMMYFUNCTION("""COMPUTED_VALUE"""),"Nguyễn Thị Yến Nhi ")</f>
        <v>Nguyễn Thị Yến Nhi </v>
      </c>
      <c r="E225" s="101">
        <f>IFERROR(__xludf.DUMMYFUNCTION("""COMPUTED_VALUE"""),37841.0)</f>
        <v>37841</v>
      </c>
      <c r="F225" s="76" t="str">
        <f>IFERROR(__xludf.DUMMYFUNCTION("""COMPUTED_VALUE"""),"K27DLK4")</f>
        <v>K27DLK4</v>
      </c>
      <c r="G225" s="76" t="str">
        <f>IFERROR(__xludf.DUMMYFUNCTION("""COMPUTED_VALUE"""),"Quản trị Du lịch &amp; Khách sạn")</f>
        <v>Quản trị Du lịch &amp; Khách sạn</v>
      </c>
      <c r="H225" s="76" t="str">
        <f>IFERROR(__xludf.DUMMYFUNCTION("""COMPUTED_VALUE"""),"K27")</f>
        <v>K27</v>
      </c>
      <c r="I225" s="76" t="str">
        <f>IFERROR(__xludf.DUMMYFUNCTION("""COMPUTED_VALUE"""),"0357884586")</f>
        <v>0357884586</v>
      </c>
      <c r="J225" s="76">
        <f>IFERROR(__xludf.DUMMYFUNCTION("""COMPUTED_VALUE"""),2.85)</f>
        <v>2.85</v>
      </c>
      <c r="K225" s="76">
        <f>IFERROR(__xludf.DUMMYFUNCTION("""COMPUTED_VALUE"""),109.0)</f>
        <v>109</v>
      </c>
      <c r="L225" s="76" t="str">
        <f>IFERROR(__xludf.DUMMYFUNCTION("""COMPUTED_VALUE"""),"Rồi")</f>
        <v>Rồi</v>
      </c>
      <c r="M225" s="76" t="str">
        <f>IFERROR(__xludf.DUMMYFUNCTION("""COMPUTED_VALUE"""),"Thực tập tốt nghiệp")</f>
        <v>Thực tập tốt nghiệp</v>
      </c>
      <c r="N225" s="76">
        <f>IFERROR(__xludf.DUMMYFUNCTION("""COMPUTED_VALUE"""),14.0)</f>
        <v>14</v>
      </c>
      <c r="O225" s="76" t="str">
        <f>IFERROR(__xludf.DUMMYFUNCTION("""COMPUTED_VALUE"""),"cam kết")</f>
        <v>cam kết</v>
      </c>
      <c r="P225" s="76"/>
      <c r="Q225" s="76"/>
      <c r="R225" s="76"/>
      <c r="S225" s="102">
        <f>IFERROR(__xludf.DUMMYFUNCTION("""COMPUTED_VALUE"""),45717.0)</f>
        <v>45717</v>
      </c>
      <c r="T225" s="76"/>
      <c r="U225" s="102" t="str">
        <f>IFERROR(__xludf.DUMMYFUNCTION("""COMPUTED_VALUE"""),"Nguyễn Thị Yến Nhi")</f>
        <v>Nguyễn Thị Yến Nhi</v>
      </c>
      <c r="V225" s="76" t="str">
        <f>IFERROR(__xludf.DUMMYFUNCTION("""COMPUTED_VALUE"""),"Quản Trị Khách Sạn &amp; Nhà Hàng (Đại Học)")</f>
        <v>Quản Trị Khách Sạn &amp; Nhà Hàng (Đại Học)</v>
      </c>
      <c r="W225" s="76" t="str">
        <f>IFERROR(__xludf.DUMMYFUNCTION("""COMPUTED_VALUE"""),"Novotel DaNang Premier Han River")</f>
        <v>Novotel DaNang Premier Han River</v>
      </c>
      <c r="X225" s="76" t="str">
        <f>IFERROR(__xludf.DUMMYFUNCTION("""COMPUTED_VALUE"""),"Nhà hàng")</f>
        <v>Nhà hàng</v>
      </c>
      <c r="Y225" s="76" t="str">
        <f>IFERROR(__xludf.DUMMYFUNCTION("""COMPUTED_VALUE"""),"DUYỆT")</f>
        <v>DUYỆT</v>
      </c>
      <c r="Z225" s="76" t="str">
        <f>IFERROR(__xludf.DUMMYFUNCTION("""COMPUTED_VALUE"""),"không đủ điều kiện")</f>
        <v>không đủ điều kiện</v>
      </c>
      <c r="AA225" s="76" t="str">
        <f>IFERROR(__xludf.DUMMYFUNCTION("""COMPUTED_VALUE"""),"yennhinguyenthi241@gmail.com")</f>
        <v>yennhinguyenthi241@gmail.com</v>
      </c>
      <c r="AB225" s="76"/>
      <c r="AC225" s="76"/>
    </row>
    <row r="226">
      <c r="A226" s="100">
        <f>IFERROR(__xludf.DUMMYFUNCTION("""COMPUTED_VALUE"""),45660.66050344908)</f>
        <v>45660.6605</v>
      </c>
      <c r="B226" s="76" t="str">
        <f>IFERROR(__xludf.DUMMYFUNCTION("""COMPUTED_VALUE"""),"hoangxuanphuoc6@gmail.com")</f>
        <v>hoangxuanphuoc6@gmail.com</v>
      </c>
      <c r="C226" s="76">
        <f>IFERROR(__xludf.DUMMYFUNCTION("""COMPUTED_VALUE"""),2.6217131257E10)</f>
        <v>26217131257</v>
      </c>
      <c r="D226" s="76" t="str">
        <f>IFERROR(__xludf.DUMMYFUNCTION("""COMPUTED_VALUE"""),"Hoàng Xuân Phước")</f>
        <v>Hoàng Xuân Phước</v>
      </c>
      <c r="E226" s="101">
        <f>IFERROR(__xludf.DUMMYFUNCTION("""COMPUTED_VALUE"""),36596.0)</f>
        <v>36596</v>
      </c>
      <c r="F226" s="76" t="str">
        <f>IFERROR(__xludf.DUMMYFUNCTION("""COMPUTED_VALUE"""),"K26PSUDLK1")</f>
        <v>K26PSUDLK1</v>
      </c>
      <c r="G226" s="76" t="str">
        <f>IFERROR(__xludf.DUMMYFUNCTION("""COMPUTED_VALUE"""),"Quản trị Du lịch &amp; Khách sạn chuẩn PSU")</f>
        <v>Quản trị Du lịch &amp; Khách sạn chuẩn PSU</v>
      </c>
      <c r="H226" s="76" t="str">
        <f>IFERROR(__xludf.DUMMYFUNCTION("""COMPUTED_VALUE"""),"K27")</f>
        <v>K27</v>
      </c>
      <c r="I226" s="76" t="str">
        <f>IFERROR(__xludf.DUMMYFUNCTION("""COMPUTED_VALUE"""),"0769701103")</f>
        <v>0769701103</v>
      </c>
      <c r="J226" s="76">
        <f>IFERROR(__xludf.DUMMYFUNCTION("""COMPUTED_VALUE"""),2.21)</f>
        <v>2.21</v>
      </c>
      <c r="K226" s="76">
        <f>IFERROR(__xludf.DUMMYFUNCTION("""COMPUTED_VALUE"""),128.0)</f>
        <v>128</v>
      </c>
      <c r="L226" s="76" t="str">
        <f>IFERROR(__xludf.DUMMYFUNCTION("""COMPUTED_VALUE"""),"Rồi")</f>
        <v>Rồi</v>
      </c>
      <c r="M226" s="76" t="str">
        <f>IFERROR(__xludf.DUMMYFUNCTION("""COMPUTED_VALUE"""),"Thực tập tốt nghiệp")</f>
        <v>Thực tập tốt nghiệp</v>
      </c>
      <c r="N226" s="76">
        <f>IFERROR(__xludf.DUMMYFUNCTION("""COMPUTED_VALUE"""),6.0)</f>
        <v>6</v>
      </c>
      <c r="O226" s="76" t="str">
        <f>IFERROR(__xludf.DUMMYFUNCTION("""COMPUTED_VALUE"""),"cam kết")</f>
        <v>cam kết</v>
      </c>
      <c r="P226" s="76" t="str">
        <f>IFERROR(__xludf.DUMMYFUNCTION("""COMPUTED_VALUE"""),"ĐÃ NỘP")</f>
        <v>ĐÃ NỘP</v>
      </c>
      <c r="Q226" s="76" t="str">
        <f>IFERROR(__xludf.DUMMYFUNCTION("""COMPUTED_VALUE"""),"ĐÃ NỘP")</f>
        <v>ĐÃ NỘP</v>
      </c>
      <c r="R226" s="76">
        <f>IFERROR(__xludf.DUMMYFUNCTION("""COMPUTED_VALUE"""),24.0)</f>
        <v>24</v>
      </c>
      <c r="S226" s="102">
        <f>IFERROR(__xludf.DUMMYFUNCTION("""COMPUTED_VALUE"""),45870.0)</f>
        <v>45870</v>
      </c>
      <c r="T226" s="76"/>
      <c r="U226" s="102" t="str">
        <f>IFERROR(__xludf.DUMMYFUNCTION("""COMPUTED_VALUE"""),"Hoàng Xuân Phước")</f>
        <v>Hoàng Xuân Phước</v>
      </c>
      <c r="V226" s="76" t="str">
        <f>IFERROR(__xludf.DUMMYFUNCTION("""COMPUTED_VALUE"""),"Quản Trị Du Lịch &amp; Khách Sạn Chuẩn PSU (Đại Học)")</f>
        <v>Quản Trị Du Lịch &amp; Khách Sạn Chuẩn PSU (Đại Học)</v>
      </c>
      <c r="W226" s="76" t="str">
        <f>IFERROR(__xludf.DUMMYFUNCTION("""COMPUTED_VALUE"""),"Meliá Danang Beach Resort")</f>
        <v>Meliá Danang Beach Resort</v>
      </c>
      <c r="X226" s="76" t="str">
        <f>IFERROR(__xludf.DUMMYFUNCTION("""COMPUTED_VALUE"""),"Nhà hàng")</f>
        <v>Nhà hàng</v>
      </c>
      <c r="Y226" s="76" t="str">
        <f>IFERROR(__xludf.DUMMYFUNCTION("""COMPUTED_VALUE"""),"DUYỆT")</f>
        <v>DUYỆT</v>
      </c>
      <c r="Z226" s="76" t="str">
        <f>IFERROR(__xludf.DUMMYFUNCTION("""COMPUTED_VALUE"""),"không đủ điều kiện")</f>
        <v>không đủ điều kiện</v>
      </c>
      <c r="AA226" s="76" t="str">
        <f>IFERROR(__xludf.DUMMYFUNCTION("""COMPUTED_VALUE"""),"hoangxuanphuoc6@gmail.com")</f>
        <v>hoangxuanphuoc6@gmail.com</v>
      </c>
      <c r="AB226" s="76"/>
      <c r="AC226" s="76"/>
    </row>
    <row r="227">
      <c r="A227" s="100">
        <f>IFERROR(__xludf.DUMMYFUNCTION("""COMPUTED_VALUE"""),45660.77875604166)</f>
        <v>45660.77876</v>
      </c>
      <c r="B227" s="76" t="str">
        <f>IFERROR(__xludf.DUMMYFUNCTION("""COMPUTED_VALUE"""),"ngobao2222@gmail.com")</f>
        <v>ngobao2222@gmail.com</v>
      </c>
      <c r="C227" s="76">
        <f>IFERROR(__xludf.DUMMYFUNCTION("""COMPUTED_VALUE"""),2.6217132797E10)</f>
        <v>26217132797</v>
      </c>
      <c r="D227" s="76" t="str">
        <f>IFERROR(__xludf.DUMMYFUNCTION("""COMPUTED_VALUE"""),"Trương Gia Bảo")</f>
        <v>Trương Gia Bảo</v>
      </c>
      <c r="E227" s="101">
        <f>IFERROR(__xludf.DUMMYFUNCTION("""COMPUTED_VALUE"""),37445.0)</f>
        <v>37445</v>
      </c>
      <c r="F227" s="76" t="str">
        <f>IFERROR(__xludf.DUMMYFUNCTION("""COMPUTED_VALUE"""),"K26DLK15")</f>
        <v>K26DLK15</v>
      </c>
      <c r="G227" s="76" t="str">
        <f>IFERROR(__xludf.DUMMYFUNCTION("""COMPUTED_VALUE"""),"Quản trị Du lịch &amp; Khách sạn")</f>
        <v>Quản trị Du lịch &amp; Khách sạn</v>
      </c>
      <c r="H227" s="76" t="str">
        <f>IFERROR(__xludf.DUMMYFUNCTION("""COMPUTED_VALUE"""),"K26")</f>
        <v>K26</v>
      </c>
      <c r="I227" s="76" t="str">
        <f>IFERROR(__xludf.DUMMYFUNCTION("""COMPUTED_VALUE"""),"0349484039")</f>
        <v>0349484039</v>
      </c>
      <c r="J227" s="76">
        <f>IFERROR(__xludf.DUMMYFUNCTION("""COMPUTED_VALUE"""),2.67)</f>
        <v>2.67</v>
      </c>
      <c r="K227" s="76">
        <f>IFERROR(__xludf.DUMMYFUNCTION("""COMPUTED_VALUE"""),130.0)</f>
        <v>130</v>
      </c>
      <c r="L227" s="76" t="str">
        <f>IFERROR(__xludf.DUMMYFUNCTION("""COMPUTED_VALUE"""),"Rồi")</f>
        <v>Rồi</v>
      </c>
      <c r="M227" s="76" t="str">
        <f>IFERROR(__xludf.DUMMYFUNCTION("""COMPUTED_VALUE"""),"Thực tập tốt nghiệp")</f>
        <v>Thực tập tốt nghiệp</v>
      </c>
      <c r="N227" s="76" t="str">
        <f>IFERROR(__xludf.DUMMYFUNCTION("""COMPUTED_VALUE"""),"Tiếng anh đầu ra, đồ án tốt nghiệp")</f>
        <v>Tiếng anh đầu ra, đồ án tốt nghiệp</v>
      </c>
      <c r="O227" s="76" t="str">
        <f>IFERROR(__xludf.DUMMYFUNCTION("""COMPUTED_VALUE"""),"cam kết")</f>
        <v>cam kết</v>
      </c>
      <c r="P227" s="76"/>
      <c r="Q227" s="76" t="str">
        <f>IFERROR(__xludf.DUMMYFUNCTION("""COMPUTED_VALUE"""),"CHƯA NỘP")</f>
        <v>CHƯA NỘP</v>
      </c>
      <c r="R227" s="76">
        <f>IFERROR(__xludf.DUMMYFUNCTION("""COMPUTED_VALUE"""),25.0)</f>
        <v>25</v>
      </c>
      <c r="S227" s="76"/>
      <c r="T227" s="76"/>
      <c r="U227" s="102" t="str">
        <f>IFERROR(__xludf.DUMMYFUNCTION("""COMPUTED_VALUE"""),"Trương Gia Bảo")</f>
        <v>Trương Gia Bảo</v>
      </c>
      <c r="V227" s="76" t="str">
        <f>IFERROR(__xludf.DUMMYFUNCTION("""COMPUTED_VALUE"""),"Quản Trị Khách Sạn &amp; Nhà Hàng (Đại Học)")</f>
        <v>Quản Trị Khách Sạn &amp; Nhà Hàng (Đại Học)</v>
      </c>
      <c r="W227" s="76" t="str">
        <f>IFERROR(__xludf.DUMMYFUNCTION("""COMPUTED_VALUE"""),"#N/A")</f>
        <v>#N/A</v>
      </c>
      <c r="X227" s="76" t="str">
        <f>IFERROR(__xludf.DUMMYFUNCTION("""COMPUTED_VALUE"""),"#N/A")</f>
        <v>#N/A</v>
      </c>
      <c r="Y227" s="76" t="str">
        <f>IFERROR(__xludf.DUMMYFUNCTION("""COMPUTED_VALUE"""),"#N/A")</f>
        <v>#N/A</v>
      </c>
      <c r="Z227" s="76" t="str">
        <f>IFERROR(__xludf.DUMMYFUNCTION("""COMPUTED_VALUE"""),"HỦY HỒ SƠ ĐĂNG KÝ THAM DỰ TỐT NGHIỆP ĐỢT 06/2025")</f>
        <v>HỦY HỒ SƠ ĐĂNG KÝ THAM DỰ TỐT NGHIỆP ĐỢT 06/2025</v>
      </c>
      <c r="AA227" s="76" t="str">
        <f>IFERROR(__xludf.DUMMYFUNCTION("""COMPUTED_VALUE"""),"ngobao2222@gmail.com")</f>
        <v>ngobao2222@gmail.com</v>
      </c>
      <c r="AB227" s="76"/>
      <c r="AC227" s="76"/>
    </row>
    <row r="228">
      <c r="A228" s="100">
        <f>IFERROR(__xludf.DUMMYFUNCTION("""COMPUTED_VALUE"""),45661.253929872684)</f>
        <v>45661.25393</v>
      </c>
      <c r="B228" s="76" t="str">
        <f>IFERROR(__xludf.DUMMYFUNCTION("""COMPUTED_VALUE"""),"trinhthiaithuong2000@gmail.com")</f>
        <v>trinhthiaithuong2000@gmail.com</v>
      </c>
      <c r="C228" s="76">
        <f>IFERROR(__xludf.DUMMYFUNCTION("""COMPUTED_VALUE"""),2.4207201291E10)</f>
        <v>24207201291</v>
      </c>
      <c r="D228" s="76" t="str">
        <f>IFERROR(__xludf.DUMMYFUNCTION("""COMPUTED_VALUE"""),"Trịnh Thị Ý Thương")</f>
        <v>Trịnh Thị Ý Thương</v>
      </c>
      <c r="E228" s="101">
        <f>IFERROR(__xludf.DUMMYFUNCTION("""COMPUTED_VALUE"""),36715.0)</f>
        <v>36715</v>
      </c>
      <c r="F228" s="76" t="str">
        <f>IFERROR(__xludf.DUMMYFUNCTION("""COMPUTED_VALUE"""),"K24PSUDLH")</f>
        <v>K24PSUDLH</v>
      </c>
      <c r="G228" s="76" t="str">
        <f>IFERROR(__xludf.DUMMYFUNCTION("""COMPUTED_VALUE"""),"Quản trị Du lịch &amp; Nhà hàng chuẩn PSU")</f>
        <v>Quản trị Du lịch &amp; Nhà hàng chuẩn PSU</v>
      </c>
      <c r="H228" s="76" t="str">
        <f>IFERROR(__xludf.DUMMYFUNCTION("""COMPUTED_VALUE"""),"K24")</f>
        <v>K24</v>
      </c>
      <c r="I228" s="76" t="str">
        <f>IFERROR(__xludf.DUMMYFUNCTION("""COMPUTED_VALUE"""),"0967611154")</f>
        <v>0967611154</v>
      </c>
      <c r="J228" s="76">
        <f>IFERROR(__xludf.DUMMYFUNCTION("""COMPUTED_VALUE"""),2.55)</f>
        <v>2.55</v>
      </c>
      <c r="K228" s="76">
        <f>IFERROR(__xludf.DUMMYFUNCTION("""COMPUTED_VALUE"""),152.0)</f>
        <v>152</v>
      </c>
      <c r="L228" s="76" t="str">
        <f>IFERROR(__xludf.DUMMYFUNCTION("""COMPUTED_VALUE"""),"Rồi")</f>
        <v>Rồi</v>
      </c>
      <c r="M228" s="76" t="str">
        <f>IFERROR(__xludf.DUMMYFUNCTION("""COMPUTED_VALUE"""),"Thực tập tốt nghiệp")</f>
        <v>Thực tập tốt nghiệp</v>
      </c>
      <c r="N228" s="76" t="str">
        <f>IFERROR(__xludf.DUMMYFUNCTION("""COMPUTED_VALUE"""),"Không có")</f>
        <v>Không có</v>
      </c>
      <c r="O228" s="76" t="str">
        <f>IFERROR(__xludf.DUMMYFUNCTION("""COMPUTED_VALUE"""),"cam kết")</f>
        <v>cam kết</v>
      </c>
      <c r="P228" s="76" t="str">
        <f>IFERROR(__xludf.DUMMYFUNCTION("""COMPUTED_VALUE"""),"ĐÃ NỘP")</f>
        <v>ĐÃ NỘP</v>
      </c>
      <c r="Q228" s="76" t="str">
        <f>IFERROR(__xludf.DUMMYFUNCTION("""COMPUTED_VALUE"""),"ĐÃ NỘP")</f>
        <v>ĐÃ NỘP</v>
      </c>
      <c r="R228" s="76">
        <f>IFERROR(__xludf.DUMMYFUNCTION("""COMPUTED_VALUE"""),26.0)</f>
        <v>26</v>
      </c>
      <c r="S228" s="76" t="str">
        <f>IFERROR(__xludf.DUMMYFUNCTION("""COMPUTED_VALUE"""),"20/01/2025")</f>
        <v>20/01/2025</v>
      </c>
      <c r="T228" s="76"/>
      <c r="U228" s="102" t="str">
        <f>IFERROR(__xludf.DUMMYFUNCTION("""COMPUTED_VALUE"""),"Trịnh Thị Ý Thương")</f>
        <v>Trịnh Thị Ý Thương</v>
      </c>
      <c r="V228" s="76" t="str">
        <f>IFERROR(__xludf.DUMMYFUNCTION("""COMPUTED_VALUE"""),"Quản Trị Du Lịch &amp; Nhà Hàng Chuẩn PSU (Đại Học)")</f>
        <v>Quản Trị Du Lịch &amp; Nhà Hàng Chuẩn PSU (Đại Học)</v>
      </c>
      <c r="W228" s="76" t="str">
        <f>IFERROR(__xludf.DUMMYFUNCTION("""COMPUTED_VALUE"""),"Chicland Hotel")</f>
        <v>Chicland Hotel</v>
      </c>
      <c r="X228" s="76" t="str">
        <f>IFERROR(__xludf.DUMMYFUNCTION("""COMPUTED_VALUE"""),"Nhà hàng")</f>
        <v>Nhà hàng</v>
      </c>
      <c r="Y228" s="76" t="str">
        <f>IFERROR(__xludf.DUMMYFUNCTION("""COMPUTED_VALUE"""),"KHÔNG DUYỆT")</f>
        <v>KHÔNG DUYỆT</v>
      </c>
      <c r="Z228" s="76" t="str">
        <f>IFERROR(__xludf.DUMMYFUNCTION("""COMPUTED_VALUE"""),"KHÓA LUẬN")</f>
        <v>KHÓA LUẬN</v>
      </c>
      <c r="AA228" s="76" t="str">
        <f>IFERROR(__xludf.DUMMYFUNCTION("""COMPUTED_VALUE"""),"trinhthiaithuong2000@gmail.com")</f>
        <v>trinhthiaithuong2000@gmail.com</v>
      </c>
      <c r="AB228" s="76"/>
      <c r="AC228" s="76"/>
    </row>
    <row r="229">
      <c r="A229" s="100">
        <f>IFERROR(__xludf.DUMMYFUNCTION("""COMPUTED_VALUE"""),45661.69447957176)</f>
        <v>45661.69448</v>
      </c>
      <c r="B229" s="76" t="str">
        <f>IFERROR(__xludf.DUMMYFUNCTION("""COMPUTED_VALUE"""),"hongphuc091102@gmail.com")</f>
        <v>hongphuc091102@gmail.com</v>
      </c>
      <c r="C229" s="76">
        <f>IFERROR(__xludf.DUMMYFUNCTION("""COMPUTED_VALUE"""),2.6217234333E10)</f>
        <v>26217234333</v>
      </c>
      <c r="D229" s="76" t="str">
        <f>IFERROR(__xludf.DUMMYFUNCTION("""COMPUTED_VALUE"""),"Bùi Phạm Hồng Phúc")</f>
        <v>Bùi Phạm Hồng Phúc</v>
      </c>
      <c r="E229" s="101">
        <f>IFERROR(__xludf.DUMMYFUNCTION("""COMPUTED_VALUE"""),37569.0)</f>
        <v>37569</v>
      </c>
      <c r="F229" s="76" t="str">
        <f>IFERROR(__xludf.DUMMYFUNCTION("""COMPUTED_VALUE"""),"K26DLK13")</f>
        <v>K26DLK13</v>
      </c>
      <c r="G229" s="76" t="str">
        <f>IFERROR(__xludf.DUMMYFUNCTION("""COMPUTED_VALUE"""),"Quản trị Du lịch &amp; Khách sạn")</f>
        <v>Quản trị Du lịch &amp; Khách sạn</v>
      </c>
      <c r="H229" s="76" t="str">
        <f>IFERROR(__xludf.DUMMYFUNCTION("""COMPUTED_VALUE"""),"K26")</f>
        <v>K26</v>
      </c>
      <c r="I229" s="76" t="str">
        <f>IFERROR(__xludf.DUMMYFUNCTION("""COMPUTED_VALUE"""),"0934889728")</f>
        <v>0934889728</v>
      </c>
      <c r="J229" s="76">
        <f>IFERROR(__xludf.DUMMYFUNCTION("""COMPUTED_VALUE"""),2.16)</f>
        <v>2.16</v>
      </c>
      <c r="K229" s="76">
        <f>IFERROR(__xludf.DUMMYFUNCTION("""COMPUTED_VALUE"""),125.0)</f>
        <v>125</v>
      </c>
      <c r="L229" s="76" t="str">
        <f>IFERROR(__xludf.DUMMYFUNCTION("""COMPUTED_VALUE"""),"Chưa")</f>
        <v>Chưa</v>
      </c>
      <c r="M229" s="76" t="str">
        <f>IFERROR(__xludf.DUMMYFUNCTION("""COMPUTED_VALUE"""),"Thực tập tốt nghiệp")</f>
        <v>Thực tập tốt nghiệp</v>
      </c>
      <c r="N229" s="76">
        <f>IFERROR(__xludf.DUMMYFUNCTION("""COMPUTED_VALUE"""),11.0)</f>
        <v>11</v>
      </c>
      <c r="O229" s="76" t="str">
        <f>IFERROR(__xludf.DUMMYFUNCTION("""COMPUTED_VALUE"""),"cam kết")</f>
        <v>cam kết</v>
      </c>
      <c r="P229" s="76" t="str">
        <f>IFERROR(__xludf.DUMMYFUNCTION("""COMPUTED_VALUE"""),"ĐÃ NỘP")</f>
        <v>ĐÃ NỘP</v>
      </c>
      <c r="Q229" s="76" t="str">
        <f>IFERROR(__xludf.DUMMYFUNCTION("""COMPUTED_VALUE"""),"ĐÃ NỘP")</f>
        <v>ĐÃ NỘP</v>
      </c>
      <c r="R229" s="76">
        <f>IFERROR(__xludf.DUMMYFUNCTION("""COMPUTED_VALUE"""),27.0)</f>
        <v>27</v>
      </c>
      <c r="S229" s="76" t="str">
        <f>IFERROR(__xludf.DUMMYFUNCTION("""COMPUTED_VALUE"""),"18/01/2025")</f>
        <v>18/01/2025</v>
      </c>
      <c r="T229" s="76"/>
      <c r="U229" s="102" t="str">
        <f>IFERROR(__xludf.DUMMYFUNCTION("""COMPUTED_VALUE"""),"Bùi Phạm Hồng Phúc")</f>
        <v>Bùi Phạm Hồng Phúc</v>
      </c>
      <c r="V229" s="76" t="str">
        <f>IFERROR(__xludf.DUMMYFUNCTION("""COMPUTED_VALUE"""),"Quản Trị Khách Sạn &amp; Nhà Hàng (Đại Học)")</f>
        <v>Quản Trị Khách Sạn &amp; Nhà Hàng (Đại Học)</v>
      </c>
      <c r="W229" s="76" t="str">
        <f>IFERROR(__xludf.DUMMYFUNCTION("""COMPUTED_VALUE"""),"#N/A")</f>
        <v>#N/A</v>
      </c>
      <c r="X229" s="76" t="str">
        <f>IFERROR(__xludf.DUMMYFUNCTION("""COMPUTED_VALUE"""),"#N/A")</f>
        <v>#N/A</v>
      </c>
      <c r="Y229" s="76" t="str">
        <f>IFERROR(__xludf.DUMMYFUNCTION("""COMPUTED_VALUE"""),"#N/A")</f>
        <v>#N/A</v>
      </c>
      <c r="Z229" s="76" t="str">
        <f>IFERROR(__xludf.DUMMYFUNCTION("""COMPUTED_VALUE"""),"HỦY HỒ SƠ ĐĂNG KÝ THAM DỰ TỐT NGHIỆP ĐỢT 06/2025")</f>
        <v>HỦY HỒ SƠ ĐĂNG KÝ THAM DỰ TỐT NGHIỆP ĐỢT 06/2025</v>
      </c>
      <c r="AA229" s="76" t="str">
        <f>IFERROR(__xludf.DUMMYFUNCTION("""COMPUTED_VALUE"""),"hongphuc091102@gmail.com")</f>
        <v>hongphuc091102@gmail.com</v>
      </c>
      <c r="AB229" s="76"/>
      <c r="AC229" s="76"/>
    </row>
    <row r="230">
      <c r="A230" s="100">
        <f>IFERROR(__xludf.DUMMYFUNCTION("""COMPUTED_VALUE"""),45662.19375295139)</f>
        <v>45662.19375</v>
      </c>
      <c r="B230" s="76" t="str">
        <f>IFERROR(__xludf.DUMMYFUNCTION("""COMPUTED_VALUE"""),"hoangthaopbc@gmail.com")</f>
        <v>hoangthaopbc@gmail.com</v>
      </c>
      <c r="C230" s="76">
        <f>IFERROR(__xludf.DUMMYFUNCTION("""COMPUTED_VALUE"""),2.6207231869E10)</f>
        <v>26207231869</v>
      </c>
      <c r="D230" s="76" t="str">
        <f>IFERROR(__xludf.DUMMYFUNCTION("""COMPUTED_VALUE"""),"Hoàng Thanh Thảo ")</f>
        <v>Hoàng Thanh Thảo </v>
      </c>
      <c r="E230" s="101">
        <f>IFERROR(__xludf.DUMMYFUNCTION("""COMPUTED_VALUE"""),37620.0)</f>
        <v>37620</v>
      </c>
      <c r="F230" s="76" t="str">
        <f>IFERROR(__xludf.DUMMYFUNCTION("""COMPUTED_VALUE"""),"K26DLK9")</f>
        <v>K26DLK9</v>
      </c>
      <c r="G230" s="76" t="str">
        <f>IFERROR(__xludf.DUMMYFUNCTION("""COMPUTED_VALUE"""),"Quản trị Du lịch &amp; Khách sạn")</f>
        <v>Quản trị Du lịch &amp; Khách sạn</v>
      </c>
      <c r="H230" s="76" t="str">
        <f>IFERROR(__xludf.DUMMYFUNCTION("""COMPUTED_VALUE"""),"K26")</f>
        <v>K26</v>
      </c>
      <c r="I230" s="76" t="str">
        <f>IFERROR(__xludf.DUMMYFUNCTION("""COMPUTED_VALUE"""),"0774800237")</f>
        <v>0774800237</v>
      </c>
      <c r="J230" s="76">
        <f>IFERROR(__xludf.DUMMYFUNCTION("""COMPUTED_VALUE"""),2.35)</f>
        <v>2.35</v>
      </c>
      <c r="K230" s="76">
        <f>IFERROR(__xludf.DUMMYFUNCTION("""COMPUTED_VALUE"""),138.0)</f>
        <v>138</v>
      </c>
      <c r="L230" s="76" t="str">
        <f>IFERROR(__xludf.DUMMYFUNCTION("""COMPUTED_VALUE"""),"Rồi")</f>
        <v>Rồi</v>
      </c>
      <c r="M230" s="76" t="str">
        <f>IFERROR(__xludf.DUMMYFUNCTION("""COMPUTED_VALUE"""),"Thực tập tốt nghiệp")</f>
        <v>Thực tập tốt nghiệp</v>
      </c>
      <c r="N230" s="76">
        <f>IFERROR(__xludf.DUMMYFUNCTION("""COMPUTED_VALUE"""),2.0)</f>
        <v>2</v>
      </c>
      <c r="O230" s="76" t="str">
        <f>IFERROR(__xludf.DUMMYFUNCTION("""COMPUTED_VALUE"""),"cam kết")</f>
        <v>cam kết</v>
      </c>
      <c r="P230" s="76"/>
      <c r="Q230" s="76" t="str">
        <f>IFERROR(__xludf.DUMMYFUNCTION("""COMPUTED_VALUE"""),"ĐÃ NỘP")</f>
        <v>ĐÃ NỘP</v>
      </c>
      <c r="R230" s="76">
        <f>IFERROR(__xludf.DUMMYFUNCTION("""COMPUTED_VALUE"""),28.0)</f>
        <v>28</v>
      </c>
      <c r="S230" s="76" t="str">
        <f>IFERROR(__xludf.DUMMYFUNCTION("""COMPUTED_VALUE"""),"18/01/2025")</f>
        <v>18/01/2025</v>
      </c>
      <c r="T230" s="76"/>
      <c r="U230" s="102" t="str">
        <f>IFERROR(__xludf.DUMMYFUNCTION("""COMPUTED_VALUE"""),"Hoàng Thanh Thảo")</f>
        <v>Hoàng Thanh Thảo</v>
      </c>
      <c r="V230" s="76" t="str">
        <f>IFERROR(__xludf.DUMMYFUNCTION("""COMPUTED_VALUE"""),"Quản Trị Khách Sạn &amp; Nhà Hàng (Đại Học)")</f>
        <v>Quản Trị Khách Sạn &amp; Nhà Hàng (Đại Học)</v>
      </c>
      <c r="W230" s="76" t="str">
        <f>IFERROR(__xludf.DUMMYFUNCTION("""COMPUTED_VALUE"""),"Sherwood Residence ")</f>
        <v>Sherwood Residence </v>
      </c>
      <c r="X230" s="76" t="str">
        <f>IFERROR(__xludf.DUMMYFUNCTION("""COMPUTED_VALUE"""),"Nhà hàng")</f>
        <v>Nhà hàng</v>
      </c>
      <c r="Y230" s="76" t="str">
        <f>IFERROR(__xludf.DUMMYFUNCTION("""COMPUTED_VALUE"""),"DUYỆT")</f>
        <v>DUYỆT</v>
      </c>
      <c r="Z230" s="76" t="str">
        <f>IFERROR(__xludf.DUMMYFUNCTION("""COMPUTED_VALUE"""),"CHUYÊN ĐỀ")</f>
        <v>CHUYÊN ĐỀ</v>
      </c>
      <c r="AA230" s="76" t="str">
        <f>IFERROR(__xludf.DUMMYFUNCTION("""COMPUTED_VALUE"""),"hoangthaopbc@gmail.com")</f>
        <v>hoangthaopbc@gmail.com</v>
      </c>
      <c r="AB230" s="76"/>
      <c r="AC230" s="76"/>
    </row>
    <row r="231">
      <c r="A231" s="100">
        <f>IFERROR(__xludf.DUMMYFUNCTION("""COMPUTED_VALUE"""),45675.46987538194)</f>
        <v>45675.46988</v>
      </c>
      <c r="B231" s="76" t="str">
        <f>IFERROR(__xludf.DUMMYFUNCTION("""COMPUTED_VALUE"""),"tranxuanthai02032000@gmail.com")</f>
        <v>tranxuanthai02032000@gmail.com</v>
      </c>
      <c r="C231" s="76">
        <f>IFERROR(__xludf.DUMMYFUNCTION("""COMPUTED_VALUE"""),2.5217202931E10)</f>
        <v>25217202931</v>
      </c>
      <c r="D231" s="76" t="str">
        <f>IFERROR(__xludf.DUMMYFUNCTION("""COMPUTED_VALUE"""),"Trần Xuân Thái")</f>
        <v>Trần Xuân Thái</v>
      </c>
      <c r="E231" s="101">
        <f>IFERROR(__xludf.DUMMYFUNCTION("""COMPUTED_VALUE"""),36559.0)</f>
        <v>36559</v>
      </c>
      <c r="F231" s="76" t="str">
        <f>IFERROR(__xludf.DUMMYFUNCTION("""COMPUTED_VALUE"""),"K25DLK23")</f>
        <v>K25DLK23</v>
      </c>
      <c r="G231" s="76" t="str">
        <f>IFERROR(__xludf.DUMMYFUNCTION("""COMPUTED_VALUE"""),"Quản trị Du lịch &amp; Khách sạn")</f>
        <v>Quản trị Du lịch &amp; Khách sạn</v>
      </c>
      <c r="H231" s="76" t="str">
        <f>IFERROR(__xludf.DUMMYFUNCTION("""COMPUTED_VALUE"""),"K25")</f>
        <v>K25</v>
      </c>
      <c r="I231" s="76" t="str">
        <f>IFERROR(__xludf.DUMMYFUNCTION("""COMPUTED_VALUE"""),"0899883969")</f>
        <v>0899883969</v>
      </c>
      <c r="J231" s="76">
        <f>IFERROR(__xludf.DUMMYFUNCTION("""COMPUTED_VALUE"""),2.25)</f>
        <v>2.25</v>
      </c>
      <c r="K231" s="76">
        <f>IFERROR(__xludf.DUMMYFUNCTION("""COMPUTED_VALUE"""),129.0)</f>
        <v>129</v>
      </c>
      <c r="L231" s="76" t="str">
        <f>IFERROR(__xludf.DUMMYFUNCTION("""COMPUTED_VALUE"""),"Rồi")</f>
        <v>Rồi</v>
      </c>
      <c r="M231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31" s="76" t="str">
        <f>IFERROR(__xludf.DUMMYFUNCTION("""COMPUTED_VALUE"""),"Không có ")</f>
        <v>Không có </v>
      </c>
      <c r="O231" s="76" t="str">
        <f>IFERROR(__xludf.DUMMYFUNCTION("""COMPUTED_VALUE"""),"cam kết")</f>
        <v>cam kết</v>
      </c>
      <c r="P231" s="76"/>
      <c r="Q231" s="76" t="str">
        <f>IFERROR(__xludf.DUMMYFUNCTION("""COMPUTED_VALUE"""),"ĐÃ NỘP")</f>
        <v>ĐÃ NỘP</v>
      </c>
      <c r="R231" s="76">
        <f>IFERROR(__xludf.DUMMYFUNCTION("""COMPUTED_VALUE"""),29.0)</f>
        <v>29</v>
      </c>
      <c r="S231" s="76" t="str">
        <f>IFERROR(__xludf.DUMMYFUNCTION("""COMPUTED_VALUE"""),"18/01/2025")</f>
        <v>18/01/2025</v>
      </c>
      <c r="T231" s="76"/>
      <c r="U231" s="102" t="str">
        <f>IFERROR(__xludf.DUMMYFUNCTION("""COMPUTED_VALUE"""),"Trần Xuân Thái")</f>
        <v>Trần Xuân Thái</v>
      </c>
      <c r="V231" s="76" t="str">
        <f>IFERROR(__xludf.DUMMYFUNCTION("""COMPUTED_VALUE"""),"Quản Trị Khách Sạn &amp; Nhà Hàng (Đại Học)")</f>
        <v>Quản Trị Khách Sạn &amp; Nhà Hàng (Đại Học)</v>
      </c>
      <c r="W231" s="76" t="str">
        <f>IFERROR(__xludf.DUMMYFUNCTION("""COMPUTED_VALUE"""),"Phú Long Tam Kỳ Hotel &amp; Restaurant")</f>
        <v>Phú Long Tam Kỳ Hotel &amp; Restaurant</v>
      </c>
      <c r="X231" s="76" t="str">
        <f>IFERROR(__xludf.DUMMYFUNCTION("""COMPUTED_VALUE"""),"Tiền sảnh")</f>
        <v>Tiền sảnh</v>
      </c>
      <c r="Y231" s="76" t="str">
        <f>IFERROR(__xludf.DUMMYFUNCTION("""COMPUTED_VALUE"""),"DUYỆT")</f>
        <v>DUYỆT</v>
      </c>
      <c r="Z231" s="76" t="str">
        <f>IFERROR(__xludf.DUMMYFUNCTION("""COMPUTED_VALUE"""),"CHUYÊN ĐỀ")</f>
        <v>CHUYÊN ĐỀ</v>
      </c>
      <c r="AA231" s="76" t="str">
        <f>IFERROR(__xludf.DUMMYFUNCTION("""COMPUTED_VALUE"""),"tranxuanthai02032000@gmail.com")</f>
        <v>tranxuanthai02032000@gmail.com</v>
      </c>
      <c r="AB231" s="76"/>
      <c r="AC231" s="76"/>
    </row>
    <row r="232">
      <c r="A232" s="100">
        <f>IFERROR(__xludf.DUMMYFUNCTION("""COMPUTED_VALUE"""),45663.43719065972)</f>
        <v>45663.43719</v>
      </c>
      <c r="B232" s="76" t="str">
        <f>IFERROR(__xludf.DUMMYFUNCTION("""COMPUTED_VALUE"""),"thosantienthuong368@gmail.com")</f>
        <v>thosantienthuong368@gmail.com</v>
      </c>
      <c r="C232" s="76">
        <f>IFERROR(__xludf.DUMMYFUNCTION("""COMPUTED_VALUE"""),2.7213239364E10)</f>
        <v>27213239364</v>
      </c>
      <c r="D232" s="76" t="str">
        <f>IFERROR(__xludf.DUMMYFUNCTION("""COMPUTED_VALUE"""),"Nguyễn Thịnh ")</f>
        <v>Nguyễn Thịnh </v>
      </c>
      <c r="E232" s="101">
        <f>IFERROR(__xludf.DUMMYFUNCTION("""COMPUTED_VALUE"""),37925.0)</f>
        <v>37925</v>
      </c>
      <c r="F232" s="76" t="str">
        <f>IFERROR(__xludf.DUMMYFUNCTION("""COMPUTED_VALUE"""),"K27DLK2 ")</f>
        <v>K27DLK2 </v>
      </c>
      <c r="G232" s="76" t="str">
        <f>IFERROR(__xludf.DUMMYFUNCTION("""COMPUTED_VALUE"""),"Quản trị Du lịch &amp; Khách sạn")</f>
        <v>Quản trị Du lịch &amp; Khách sạn</v>
      </c>
      <c r="H232" s="76" t="str">
        <f>IFERROR(__xludf.DUMMYFUNCTION("""COMPUTED_VALUE"""),"K27")</f>
        <v>K27</v>
      </c>
      <c r="I232" s="76" t="str">
        <f>IFERROR(__xludf.DUMMYFUNCTION("""COMPUTED_VALUE"""),"0899493908")</f>
        <v>0899493908</v>
      </c>
      <c r="J232" s="76">
        <f>IFERROR(__xludf.DUMMYFUNCTION("""COMPUTED_VALUE"""),2.69)</f>
        <v>2.69</v>
      </c>
      <c r="K232" s="76">
        <f>IFERROR(__xludf.DUMMYFUNCTION("""COMPUTED_VALUE"""),108.0)</f>
        <v>108</v>
      </c>
      <c r="L232" s="76" t="str">
        <f>IFERROR(__xludf.DUMMYFUNCTION("""COMPUTED_VALUE"""),"Rồi")</f>
        <v>Rồi</v>
      </c>
      <c r="M232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32" s="76">
        <f>IFERROR(__xludf.DUMMYFUNCTION("""COMPUTED_VALUE"""),23.0)</f>
        <v>23</v>
      </c>
      <c r="O232" s="76" t="str">
        <f>IFERROR(__xludf.DUMMYFUNCTION("""COMPUTED_VALUE"""),"cam kết")</f>
        <v>cam kết</v>
      </c>
      <c r="P232" s="76"/>
      <c r="Q232" s="76"/>
      <c r="R232" s="76"/>
      <c r="S232" s="102">
        <f>IFERROR(__xludf.DUMMYFUNCTION("""COMPUTED_VALUE"""),45870.0)</f>
        <v>45870</v>
      </c>
      <c r="T232" s="76"/>
      <c r="U232" s="102" t="str">
        <f>IFERROR(__xludf.DUMMYFUNCTION("""COMPUTED_VALUE"""),"Nguyễn Thịnh")</f>
        <v>Nguyễn Thịnh</v>
      </c>
      <c r="V232" s="76" t="str">
        <f>IFERROR(__xludf.DUMMYFUNCTION("""COMPUTED_VALUE"""),"Quản Trị Khách Sạn &amp; Nhà Hàng (Đại Học)")</f>
        <v>Quản Trị Khách Sạn &amp; Nhà Hàng (Đại Học)</v>
      </c>
      <c r="W232" s="76" t="str">
        <f>IFERROR(__xludf.DUMMYFUNCTION("""COMPUTED_VALUE"""),"#N/A")</f>
        <v>#N/A</v>
      </c>
      <c r="X232" s="76" t="str">
        <f>IFERROR(__xludf.DUMMYFUNCTION("""COMPUTED_VALUE"""),"#N/A")</f>
        <v>#N/A</v>
      </c>
      <c r="Y232" s="76" t="str">
        <f>IFERROR(__xludf.DUMMYFUNCTION("""COMPUTED_VALUE"""),"#N/A")</f>
        <v>#N/A</v>
      </c>
      <c r="Z232" s="76" t="str">
        <f>IFERROR(__xludf.DUMMYFUNCTION("""COMPUTED_VALUE"""),"CHUYÊN ĐỀ")</f>
        <v>CHUYÊN ĐỀ</v>
      </c>
      <c r="AA232" s="76" t="str">
        <f>IFERROR(__xludf.DUMMYFUNCTION("""COMPUTED_VALUE"""),"thosantienthuong368@gmail.com")</f>
        <v>thosantienthuong368@gmail.com</v>
      </c>
      <c r="AB232" s="76"/>
      <c r="AC232" s="76"/>
    </row>
    <row r="233">
      <c r="A233" s="100">
        <f>IFERROR(__xludf.DUMMYFUNCTION("""COMPUTED_VALUE"""),45663.48700439815)</f>
        <v>45663.487</v>
      </c>
      <c r="B233" s="76" t="str">
        <f>IFERROR(__xludf.DUMMYFUNCTION("""COMPUTED_VALUE"""),"thuanhoang1809@gmail.com")</f>
        <v>thuanhoang1809@gmail.com</v>
      </c>
      <c r="C233" s="76">
        <f>IFERROR(__xludf.DUMMYFUNCTION("""COMPUTED_VALUE"""),2.5217104376E10)</f>
        <v>25217104376</v>
      </c>
      <c r="D233" s="76" t="str">
        <f>IFERROR(__xludf.DUMMYFUNCTION("""COMPUTED_VALUE"""),"Phan Văn Thuận")</f>
        <v>Phan Văn Thuận</v>
      </c>
      <c r="E233" s="101">
        <f>IFERROR(__xludf.DUMMYFUNCTION("""COMPUTED_VALUE"""),37152.0)</f>
        <v>37152</v>
      </c>
      <c r="F233" s="76" t="str">
        <f>IFERROR(__xludf.DUMMYFUNCTION("""COMPUTED_VALUE"""),"K25 PSU DLK14")</f>
        <v>K25 PSU DLK14</v>
      </c>
      <c r="G233" s="76" t="str">
        <f>IFERROR(__xludf.DUMMYFUNCTION("""COMPUTED_VALUE"""),"Quản trị Du lịch &amp; Khách sạn chuẩn PSU")</f>
        <v>Quản trị Du lịch &amp; Khách sạn chuẩn PSU</v>
      </c>
      <c r="H233" s="76" t="str">
        <f>IFERROR(__xludf.DUMMYFUNCTION("""COMPUTED_VALUE"""),"K25")</f>
        <v>K25</v>
      </c>
      <c r="I233" s="76" t="str">
        <f>IFERROR(__xludf.DUMMYFUNCTION("""COMPUTED_VALUE"""),"0779584254")</f>
        <v>0779584254</v>
      </c>
      <c r="J233" s="76">
        <f>IFERROR(__xludf.DUMMYFUNCTION("""COMPUTED_VALUE"""),3.53)</f>
        <v>3.53</v>
      </c>
      <c r="K233" s="76">
        <f>IFERROR(__xludf.DUMMYFUNCTION("""COMPUTED_VALUE"""),143.0)</f>
        <v>143</v>
      </c>
      <c r="L233" s="76" t="str">
        <f>IFERROR(__xludf.DUMMYFUNCTION("""COMPUTED_VALUE"""),"Rồi")</f>
        <v>Rồi</v>
      </c>
      <c r="M233" s="76" t="str">
        <f>IFERROR(__xludf.DUMMYFUNCTION("""COMPUTED_VALUE"""),"Thực tập tốt nghiệp")</f>
        <v>Thực tập tốt nghiệp</v>
      </c>
      <c r="N233" s="76">
        <f>IFERROR(__xludf.DUMMYFUNCTION("""COMPUTED_VALUE"""),0.0)</f>
        <v>0</v>
      </c>
      <c r="O233" s="76" t="str">
        <f>IFERROR(__xludf.DUMMYFUNCTION("""COMPUTED_VALUE"""),"cam kết")</f>
        <v>cam kết</v>
      </c>
      <c r="P233" s="76" t="str">
        <f>IFERROR(__xludf.DUMMYFUNCTION("""COMPUTED_VALUE"""),"ĐÃ NỘP")</f>
        <v>ĐÃ NỘP</v>
      </c>
      <c r="Q233" s="76" t="str">
        <f>IFERROR(__xludf.DUMMYFUNCTION("""COMPUTED_VALUE"""),"ĐÃ NỘP")</f>
        <v>ĐÃ NỘP</v>
      </c>
      <c r="R233" s="76">
        <f>IFERROR(__xludf.DUMMYFUNCTION("""COMPUTED_VALUE"""),30.0)</f>
        <v>30</v>
      </c>
      <c r="S233" s="102">
        <f>IFERROR(__xludf.DUMMYFUNCTION("""COMPUTED_VALUE"""),45931.0)</f>
        <v>45931</v>
      </c>
      <c r="T233" s="76"/>
      <c r="U233" s="102" t="str">
        <f>IFERROR(__xludf.DUMMYFUNCTION("""COMPUTED_VALUE"""),"Phan Văn Thuận")</f>
        <v>Phan Văn Thuận</v>
      </c>
      <c r="V233" s="76" t="str">
        <f>IFERROR(__xludf.DUMMYFUNCTION("""COMPUTED_VALUE"""),"Quản Trị Du Lịch &amp; Khách Sạn Chuẩn PSU (Đại Học)")</f>
        <v>Quản Trị Du Lịch &amp; Khách Sạn Chuẩn PSU (Đại Học)</v>
      </c>
      <c r="W233" s="76" t="str">
        <f>IFERROR(__xludf.DUMMYFUNCTION("""COMPUTED_VALUE"""),"Premier Village Danang Resort")</f>
        <v>Premier Village Danang Resort</v>
      </c>
      <c r="X233" s="76" t="str">
        <f>IFERROR(__xludf.DUMMYFUNCTION("""COMPUTED_VALUE"""),"Nhà hàng")</f>
        <v>Nhà hàng</v>
      </c>
      <c r="Y233" s="76" t="str">
        <f>IFERROR(__xludf.DUMMYFUNCTION("""COMPUTED_VALUE"""),"DUYỆT")</f>
        <v>DUYỆT</v>
      </c>
      <c r="Z233" s="76" t="str">
        <f>IFERROR(__xludf.DUMMYFUNCTION("""COMPUTED_VALUE"""),"CHUYÊN ĐỀ")</f>
        <v>CHUYÊN ĐỀ</v>
      </c>
      <c r="AA233" s="76" t="str">
        <f>IFERROR(__xludf.DUMMYFUNCTION("""COMPUTED_VALUE"""),"thuanhoang1809@gmail.com")</f>
        <v>thuanhoang1809@gmail.com</v>
      </c>
      <c r="AB233" s="76"/>
      <c r="AC233" s="76"/>
    </row>
    <row r="234">
      <c r="A234" s="100">
        <f>IFERROR(__xludf.DUMMYFUNCTION("""COMPUTED_VALUE"""),45663.5137163426)</f>
        <v>45663.51372</v>
      </c>
      <c r="B234" s="76" t="str">
        <f>IFERROR(__xludf.DUMMYFUNCTION("""COMPUTED_VALUE"""),"phambichvan260601@gmail.com")</f>
        <v>phambichvan260601@gmail.com</v>
      </c>
      <c r="C234" s="76">
        <f>IFERROR(__xludf.DUMMYFUNCTION("""COMPUTED_VALUE"""),2.5207203604E10)</f>
        <v>25207203604</v>
      </c>
      <c r="D234" s="76" t="str">
        <f>IFERROR(__xludf.DUMMYFUNCTION("""COMPUTED_VALUE"""),"Phạm Thị Bích Vân")</f>
        <v>Phạm Thị Bích Vân</v>
      </c>
      <c r="E234" s="101">
        <f>IFERROR(__xludf.DUMMYFUNCTION("""COMPUTED_VALUE"""),37068.0)</f>
        <v>37068</v>
      </c>
      <c r="F234" s="76" t="str">
        <f>IFERROR(__xludf.DUMMYFUNCTION("""COMPUTED_VALUE"""),"K25DLK26")</f>
        <v>K25DLK26</v>
      </c>
      <c r="G234" s="76" t="str">
        <f>IFERROR(__xludf.DUMMYFUNCTION("""COMPUTED_VALUE"""),"Quản trị Du lịch &amp; Khách sạn")</f>
        <v>Quản trị Du lịch &amp; Khách sạn</v>
      </c>
      <c r="H234" s="76" t="str">
        <f>IFERROR(__xludf.DUMMYFUNCTION("""COMPUTED_VALUE"""),"K25")</f>
        <v>K25</v>
      </c>
      <c r="I234" s="76" t="str">
        <f>IFERROR(__xludf.DUMMYFUNCTION("""COMPUTED_VALUE"""),"0777549728")</f>
        <v>0777549728</v>
      </c>
      <c r="J234" s="76">
        <f>IFERROR(__xludf.DUMMYFUNCTION("""COMPUTED_VALUE"""),2.73)</f>
        <v>2.73</v>
      </c>
      <c r="K234" s="76">
        <f>IFERROR(__xludf.DUMMYFUNCTION("""COMPUTED_VALUE"""),129.0)</f>
        <v>129</v>
      </c>
      <c r="L234" s="76" t="str">
        <f>IFERROR(__xludf.DUMMYFUNCTION("""COMPUTED_VALUE"""),"Rồi")</f>
        <v>Rồi</v>
      </c>
      <c r="M234" s="76" t="str">
        <f>IFERROR(__xludf.DUMMYFUNCTION("""COMPUTED_VALUE"""),"Thực tập tốt nghiệp, Thi tốt nghiệp")</f>
        <v>Thực tập tốt nghiệp, Thi tốt nghiệp</v>
      </c>
      <c r="N234" s="76">
        <f>IFERROR(__xludf.DUMMYFUNCTION("""COMPUTED_VALUE"""),3.0)</f>
        <v>3</v>
      </c>
      <c r="O234" s="76" t="str">
        <f>IFERROR(__xludf.DUMMYFUNCTION("""COMPUTED_VALUE"""),"cam kết")</f>
        <v>cam kết</v>
      </c>
      <c r="P234" s="76" t="str">
        <f>IFERROR(__xludf.DUMMYFUNCTION("""COMPUTED_VALUE"""),"ĐÃ NỘP")</f>
        <v>ĐÃ NỘP</v>
      </c>
      <c r="Q234" s="76" t="str">
        <f>IFERROR(__xludf.DUMMYFUNCTION("""COMPUTED_VALUE"""),"ĐÃ NỘP")</f>
        <v>ĐÃ NỘP</v>
      </c>
      <c r="R234" s="76">
        <f>IFERROR(__xludf.DUMMYFUNCTION("""COMPUTED_VALUE"""),69.0)</f>
        <v>69</v>
      </c>
      <c r="S234" s="76" t="str">
        <f>IFERROR(__xludf.DUMMYFUNCTION("""COMPUTED_VALUE"""),"18/01/2025")</f>
        <v>18/01/2025</v>
      </c>
      <c r="T234" s="76"/>
      <c r="U234" s="102" t="str">
        <f>IFERROR(__xludf.DUMMYFUNCTION("""COMPUTED_VALUE"""),"Phạm Thị Bích Vân")</f>
        <v>Phạm Thị Bích Vân</v>
      </c>
      <c r="V234" s="76" t="str">
        <f>IFERROR(__xludf.DUMMYFUNCTION("""COMPUTED_VALUE"""),"Quản Trị Khách Sạn &amp; Nhà Hàng (Đại Học)")</f>
        <v>Quản Trị Khách Sạn &amp; Nhà Hàng (Đại Học)</v>
      </c>
      <c r="W234" s="76" t="str">
        <f>IFERROR(__xludf.DUMMYFUNCTION("""COMPUTED_VALUE"""),"Rosamia Da Nang Hotel")</f>
        <v>Rosamia Da Nang Hotel</v>
      </c>
      <c r="X234" s="76" t="str">
        <f>IFERROR(__xludf.DUMMYFUNCTION("""COMPUTED_VALUE"""),"Nhà hàng")</f>
        <v>Nhà hàng</v>
      </c>
      <c r="Y234" s="76" t="str">
        <f>IFERROR(__xludf.DUMMYFUNCTION("""COMPUTED_VALUE"""),"DUYỆT")</f>
        <v>DUYỆT</v>
      </c>
      <c r="Z234" s="76" t="str">
        <f>IFERROR(__xludf.DUMMYFUNCTION("""COMPUTED_VALUE"""),"CHUYÊN ĐỀ")</f>
        <v>CHUYÊN ĐỀ</v>
      </c>
      <c r="AA234" s="76" t="str">
        <f>IFERROR(__xludf.DUMMYFUNCTION("""COMPUTED_VALUE"""),"phambichvan260601@gmail.com")</f>
        <v>phambichvan260601@gmail.com</v>
      </c>
      <c r="AB234" s="76"/>
      <c r="AC234" s="76"/>
    </row>
    <row r="235">
      <c r="A235" s="100">
        <f>IFERROR(__xludf.DUMMYFUNCTION("""COMPUTED_VALUE"""),45663.7732359838)</f>
        <v>45663.77324</v>
      </c>
      <c r="B235" s="76" t="str">
        <f>IFERROR(__xludf.DUMMYFUNCTION("""COMPUTED_VALUE"""),"ngong2507@gmail.com")</f>
        <v>ngong2507@gmail.com</v>
      </c>
      <c r="C235" s="76">
        <f>IFERROR(__xludf.DUMMYFUNCTION("""COMPUTED_VALUE"""),2.6217125586E10)</f>
        <v>26217125586</v>
      </c>
      <c r="D235" s="76" t="str">
        <f>IFERROR(__xludf.DUMMYFUNCTION("""COMPUTED_VALUE"""),"Nguyễn Ngọ")</f>
        <v>Nguyễn Ngọ</v>
      </c>
      <c r="E235" s="101">
        <f>IFERROR(__xludf.DUMMYFUNCTION("""COMPUTED_VALUE"""),37462.0)</f>
        <v>37462</v>
      </c>
      <c r="F235" s="76" t="str">
        <f>IFERROR(__xludf.DUMMYFUNCTION("""COMPUTED_VALUE"""),"K26PSUDLK1")</f>
        <v>K26PSUDLK1</v>
      </c>
      <c r="G235" s="76" t="str">
        <f>IFERROR(__xludf.DUMMYFUNCTION("""COMPUTED_VALUE"""),"Quản trị Du lịch &amp; Khách sạn chuẩn PSU")</f>
        <v>Quản trị Du lịch &amp; Khách sạn chuẩn PSU</v>
      </c>
      <c r="H235" s="76" t="str">
        <f>IFERROR(__xludf.DUMMYFUNCTION("""COMPUTED_VALUE"""),"K26")</f>
        <v>K26</v>
      </c>
      <c r="I235" s="76" t="str">
        <f>IFERROR(__xludf.DUMMYFUNCTION("""COMPUTED_VALUE"""),"0901172893")</f>
        <v>0901172893</v>
      </c>
      <c r="J235" s="76">
        <f>IFERROR(__xludf.DUMMYFUNCTION("""COMPUTED_VALUE"""),3.72)</f>
        <v>3.72</v>
      </c>
      <c r="K235" s="76">
        <f>IFERROR(__xludf.DUMMYFUNCTION("""COMPUTED_VALUE"""),128.0)</f>
        <v>128</v>
      </c>
      <c r="L235" s="76" t="str">
        <f>IFERROR(__xludf.DUMMYFUNCTION("""COMPUTED_VALUE"""),"Rồi")</f>
        <v>Rồi</v>
      </c>
      <c r="M235" s="76" t="str">
        <f>IFERROR(__xludf.DUMMYFUNCTION("""COMPUTED_VALUE"""),"Thực tập tốt nghiệp, Thi tốt nghiệp")</f>
        <v>Thực tập tốt nghiệp, Thi tốt nghiệp</v>
      </c>
      <c r="N235" s="76">
        <f>IFERROR(__xludf.DUMMYFUNCTION("""COMPUTED_VALUE"""),0.0)</f>
        <v>0</v>
      </c>
      <c r="O235" s="76" t="str">
        <f>IFERROR(__xludf.DUMMYFUNCTION("""COMPUTED_VALUE"""),"cam kết")</f>
        <v>cam kết</v>
      </c>
      <c r="P235" s="76" t="str">
        <f>IFERROR(__xludf.DUMMYFUNCTION("""COMPUTED_VALUE"""),"ĐÃ NỘP")</f>
        <v>ĐÃ NỘP</v>
      </c>
      <c r="Q235" s="76" t="str">
        <f>IFERROR(__xludf.DUMMYFUNCTION("""COMPUTED_VALUE"""),"ĐÃ NỘP")</f>
        <v>ĐÃ NỘP</v>
      </c>
      <c r="R235" s="76">
        <f>IFERROR(__xludf.DUMMYFUNCTION("""COMPUTED_VALUE"""),31.0)</f>
        <v>31</v>
      </c>
      <c r="S235" s="102">
        <f>IFERROR(__xludf.DUMMYFUNCTION("""COMPUTED_VALUE"""),45870.0)</f>
        <v>45870</v>
      </c>
      <c r="T235" s="76"/>
      <c r="U235" s="102" t="str">
        <f>IFERROR(__xludf.DUMMYFUNCTION("""COMPUTED_VALUE"""),"Nguyễn Ngọ")</f>
        <v>Nguyễn Ngọ</v>
      </c>
      <c r="V235" s="76" t="str">
        <f>IFERROR(__xludf.DUMMYFUNCTION("""COMPUTED_VALUE"""),"Quản Trị Du Lịch &amp; Khách Sạn Chuẩn PSU (Đại Học)")</f>
        <v>Quản Trị Du Lịch &amp; Khách Sạn Chuẩn PSU (Đại Học)</v>
      </c>
      <c r="W235" s="76" t="str">
        <f>IFERROR(__xludf.DUMMYFUNCTION("""COMPUTED_VALUE"""),"Premier Village Danang Resort")</f>
        <v>Premier Village Danang Resort</v>
      </c>
      <c r="X235" s="76" t="str">
        <f>IFERROR(__xludf.DUMMYFUNCTION("""COMPUTED_VALUE"""),"Nhà hàng")</f>
        <v>Nhà hàng</v>
      </c>
      <c r="Y235" s="76" t="str">
        <f>IFERROR(__xludf.DUMMYFUNCTION("""COMPUTED_VALUE"""),"DUYỆT")</f>
        <v>DUYỆT</v>
      </c>
      <c r="Z235" s="76" t="str">
        <f>IFERROR(__xludf.DUMMYFUNCTION("""COMPUTED_VALUE"""),"KHÓA LUẬN")</f>
        <v>KHÓA LUẬN</v>
      </c>
      <c r="AA235" s="76" t="str">
        <f>IFERROR(__xludf.DUMMYFUNCTION("""COMPUTED_VALUE"""),"ngong2507@gmail.com")</f>
        <v>ngong2507@gmail.com</v>
      </c>
      <c r="AB235" s="76" t="str">
        <f>IFERROR(__xludf.DUMMYFUNCTION("""COMPUTED_VALUE"""),"#N/A")</f>
        <v>#N/A</v>
      </c>
      <c r="AC235" s="76" t="str">
        <f>IFERROR(__xludf.DUMMYFUNCTION("""COMPUTED_VALUE"""),"#N/A")</f>
        <v>#N/A</v>
      </c>
    </row>
    <row r="236">
      <c r="A236" s="100">
        <f>IFERROR(__xludf.DUMMYFUNCTION("""COMPUTED_VALUE"""),45664.395813020834)</f>
        <v>45664.39581</v>
      </c>
      <c r="B236" s="76" t="str">
        <f>IFERROR(__xludf.DUMMYFUNCTION("""COMPUTED_VALUE"""),"nguyenhaphong04052002@gmail.com")</f>
        <v>nguyenhaphong04052002@gmail.com</v>
      </c>
      <c r="C236" s="76">
        <f>IFERROR(__xludf.DUMMYFUNCTION("""COMPUTED_VALUE"""),2.6217125462E10)</f>
        <v>26217125462</v>
      </c>
      <c r="D236" s="76" t="str">
        <f>IFERROR(__xludf.DUMMYFUNCTION("""COMPUTED_VALUE"""),"Nguyễn Hà Phong")</f>
        <v>Nguyễn Hà Phong</v>
      </c>
      <c r="E236" s="101">
        <f>IFERROR(__xludf.DUMMYFUNCTION("""COMPUTED_VALUE"""),37380.0)</f>
        <v>37380</v>
      </c>
      <c r="F236" s="76" t="str">
        <f>IFERROR(__xludf.DUMMYFUNCTION("""COMPUTED_VALUE"""),"K26PSUDLK1")</f>
        <v>K26PSUDLK1</v>
      </c>
      <c r="G236" s="76" t="str">
        <f>IFERROR(__xludf.DUMMYFUNCTION("""COMPUTED_VALUE"""),"Quản trị Du lịch &amp; Khách sạn chuẩn PSU")</f>
        <v>Quản trị Du lịch &amp; Khách sạn chuẩn PSU</v>
      </c>
      <c r="H236" s="76" t="str">
        <f>IFERROR(__xludf.DUMMYFUNCTION("""COMPUTED_VALUE"""),"K26")</f>
        <v>K26</v>
      </c>
      <c r="I236" s="76" t="str">
        <f>IFERROR(__xludf.DUMMYFUNCTION("""COMPUTED_VALUE"""),"0923385166")</f>
        <v>0923385166</v>
      </c>
      <c r="J236" s="76">
        <f>IFERROR(__xludf.DUMMYFUNCTION("""COMPUTED_VALUE"""),2.83)</f>
        <v>2.83</v>
      </c>
      <c r="K236" s="76">
        <f>IFERROR(__xludf.DUMMYFUNCTION("""COMPUTED_VALUE"""),128.0)</f>
        <v>128</v>
      </c>
      <c r="L236" s="76" t="str">
        <f>IFERROR(__xludf.DUMMYFUNCTION("""COMPUTED_VALUE"""),"Rồi")</f>
        <v>Rồi</v>
      </c>
      <c r="M236" s="76" t="str">
        <f>IFERROR(__xludf.DUMMYFUNCTION("""COMPUTED_VALUE"""),"Thực tập tốt nghiệp, Thi tốt nghiệp")</f>
        <v>Thực tập tốt nghiệp, Thi tốt nghiệp</v>
      </c>
      <c r="N236" s="76">
        <f>IFERROR(__xludf.DUMMYFUNCTION("""COMPUTED_VALUE"""),0.0)</f>
        <v>0</v>
      </c>
      <c r="O236" s="76" t="str">
        <f>IFERROR(__xludf.DUMMYFUNCTION("""COMPUTED_VALUE"""),"cam kết")</f>
        <v>cam kết</v>
      </c>
      <c r="P236" s="76" t="str">
        <f>IFERROR(__xludf.DUMMYFUNCTION("""COMPUTED_VALUE"""),"ĐÃ NỘP")</f>
        <v>ĐÃ NỘP</v>
      </c>
      <c r="Q236" s="76" t="str">
        <f>IFERROR(__xludf.DUMMYFUNCTION("""COMPUTED_VALUE"""),"ĐÃ NỘP")</f>
        <v>ĐÃ NỘP</v>
      </c>
      <c r="R236" s="76">
        <f>IFERROR(__xludf.DUMMYFUNCTION("""COMPUTED_VALUE"""),32.0)</f>
        <v>32</v>
      </c>
      <c r="S236" s="102">
        <f>IFERROR(__xludf.DUMMYFUNCTION("""COMPUTED_VALUE"""),45870.0)</f>
        <v>45870</v>
      </c>
      <c r="T236" s="76"/>
      <c r="U236" s="102" t="str">
        <f>IFERROR(__xludf.DUMMYFUNCTION("""COMPUTED_VALUE"""),"Nguyễn Hà Phong")</f>
        <v>Nguyễn Hà Phong</v>
      </c>
      <c r="V236" s="76" t="str">
        <f>IFERROR(__xludf.DUMMYFUNCTION("""COMPUTED_VALUE"""),"Quản Trị Du Lịch &amp; Khách Sạn Chuẩn PSU (Đại Học)")</f>
        <v>Quản Trị Du Lịch &amp; Khách Sạn Chuẩn PSU (Đại Học)</v>
      </c>
      <c r="W236" s="76" t="str">
        <f>IFERROR(__xludf.DUMMYFUNCTION("""COMPUTED_VALUE"""),"Meliá Danang Beach Resort")</f>
        <v>Meliá Danang Beach Resort</v>
      </c>
      <c r="X236" s="76" t="str">
        <f>IFERROR(__xludf.DUMMYFUNCTION("""COMPUTED_VALUE"""),"Tiền sảnh")</f>
        <v>Tiền sảnh</v>
      </c>
      <c r="Y236" s="76" t="str">
        <f>IFERROR(__xludf.DUMMYFUNCTION("""COMPUTED_VALUE"""),"DUYỆT")</f>
        <v>DUYỆT</v>
      </c>
      <c r="Z236" s="76" t="str">
        <f>IFERROR(__xludf.DUMMYFUNCTION("""COMPUTED_VALUE"""),"CHUYÊN ĐỀ")</f>
        <v>CHUYÊN ĐỀ</v>
      </c>
      <c r="AA236" s="76" t="str">
        <f>IFERROR(__xludf.DUMMYFUNCTION("""COMPUTED_VALUE"""),"nguyenhaphong04052002@gmail.com")</f>
        <v>nguyenhaphong04052002@gmail.com</v>
      </c>
      <c r="AB236" s="76"/>
      <c r="AC236" s="76"/>
    </row>
    <row r="237">
      <c r="A237" s="100">
        <f>IFERROR(__xludf.DUMMYFUNCTION("""COMPUTED_VALUE"""),45664.44447969907)</f>
        <v>45664.44448</v>
      </c>
      <c r="B237" s="76" t="str">
        <f>IFERROR(__xludf.DUMMYFUNCTION("""COMPUTED_VALUE"""),"hieuthaovothi@gmail.com")</f>
        <v>hieuthaovothi@gmail.com</v>
      </c>
      <c r="C237" s="76">
        <f>IFERROR(__xludf.DUMMYFUNCTION("""COMPUTED_VALUE"""),2.6207135165E10)</f>
        <v>26207135165</v>
      </c>
      <c r="D237" s="76" t="str">
        <f>IFERROR(__xludf.DUMMYFUNCTION("""COMPUTED_VALUE"""),"Võ Thị Hiếu Thảo ")</f>
        <v>Võ Thị Hiếu Thảo </v>
      </c>
      <c r="E237" s="101">
        <f>IFERROR(__xludf.DUMMYFUNCTION("""COMPUTED_VALUE"""),37519.0)</f>
        <v>37519</v>
      </c>
      <c r="F237" s="76" t="str">
        <f>IFERROR(__xludf.DUMMYFUNCTION("""COMPUTED_VALUE"""),"K26DLK14")</f>
        <v>K26DLK14</v>
      </c>
      <c r="G237" s="76" t="str">
        <f>IFERROR(__xludf.DUMMYFUNCTION("""COMPUTED_VALUE"""),"Quản trị Du lịch &amp; Khách sạn")</f>
        <v>Quản trị Du lịch &amp; Khách sạn</v>
      </c>
      <c r="H237" s="76" t="str">
        <f>IFERROR(__xludf.DUMMYFUNCTION("""COMPUTED_VALUE"""),"K26")</f>
        <v>K26</v>
      </c>
      <c r="I237" s="76" t="str">
        <f>IFERROR(__xludf.DUMMYFUNCTION("""COMPUTED_VALUE"""),"0934033975")</f>
        <v>0934033975</v>
      </c>
      <c r="J237" s="76">
        <f>IFERROR(__xludf.DUMMYFUNCTION("""COMPUTED_VALUE"""),2.36)</f>
        <v>2.36</v>
      </c>
      <c r="K237" s="76">
        <f>IFERROR(__xludf.DUMMYFUNCTION("""COMPUTED_VALUE"""),125.0)</f>
        <v>125</v>
      </c>
      <c r="L237" s="76" t="str">
        <f>IFERROR(__xludf.DUMMYFUNCTION("""COMPUTED_VALUE"""),"Rồi")</f>
        <v>Rồi</v>
      </c>
      <c r="M237" s="76" t="str">
        <f>IFERROR(__xludf.DUMMYFUNCTION("""COMPUTED_VALUE"""),"Thực tập tốt nghiệp")</f>
        <v>Thực tập tốt nghiệp</v>
      </c>
      <c r="N237" s="76">
        <f>IFERROR(__xludf.DUMMYFUNCTION("""COMPUTED_VALUE"""),4.0)</f>
        <v>4</v>
      </c>
      <c r="O237" s="76" t="str">
        <f>IFERROR(__xludf.DUMMYFUNCTION("""COMPUTED_VALUE"""),"cam kết")</f>
        <v>cam kết</v>
      </c>
      <c r="P237" s="76"/>
      <c r="Q237" s="76" t="str">
        <f>IFERROR(__xludf.DUMMYFUNCTION("""COMPUTED_VALUE"""),"ĐÃ NỘP")</f>
        <v>ĐÃ NỘP</v>
      </c>
      <c r="R237" s="76">
        <f>IFERROR(__xludf.DUMMYFUNCTION("""COMPUTED_VALUE"""),33.0)</f>
        <v>33</v>
      </c>
      <c r="S237" s="102">
        <f>IFERROR(__xludf.DUMMYFUNCTION("""COMPUTED_VALUE"""),45870.0)</f>
        <v>45870</v>
      </c>
      <c r="T237" s="76"/>
      <c r="U237" s="102" t="str">
        <f>IFERROR(__xludf.DUMMYFUNCTION("""COMPUTED_VALUE"""),"Võ Thị Hiếu Thảo")</f>
        <v>Võ Thị Hiếu Thảo</v>
      </c>
      <c r="V237" s="76" t="str">
        <f>IFERROR(__xludf.DUMMYFUNCTION("""COMPUTED_VALUE"""),"Quản Trị Khách Sạn &amp; Nhà Hàng (Đại Học)")</f>
        <v>Quản Trị Khách Sạn &amp; Nhà Hàng (Đại Học)</v>
      </c>
      <c r="W237" s="76" t="str">
        <f>IFERROR(__xludf.DUMMYFUNCTION("""COMPUTED_VALUE"""),"Avatar Hotel ")</f>
        <v>Avatar Hotel </v>
      </c>
      <c r="X237" s="76" t="str">
        <f>IFERROR(__xludf.DUMMYFUNCTION("""COMPUTED_VALUE"""),"Nhà hàng")</f>
        <v>Nhà hàng</v>
      </c>
      <c r="Y237" s="76" t="str">
        <f>IFERROR(__xludf.DUMMYFUNCTION("""COMPUTED_VALUE"""),"DUYỆT")</f>
        <v>DUYỆT</v>
      </c>
      <c r="Z237" s="76" t="str">
        <f>IFERROR(__xludf.DUMMYFUNCTION("""COMPUTED_VALUE"""),"CHUYÊN ĐỀ")</f>
        <v>CHUYÊN ĐỀ</v>
      </c>
      <c r="AA237" s="76" t="str">
        <f>IFERROR(__xludf.DUMMYFUNCTION("""COMPUTED_VALUE"""),"hieuthaovothi@gmail.com")</f>
        <v>hieuthaovothi@gmail.com</v>
      </c>
      <c r="AB237" s="76"/>
      <c r="AC237" s="76"/>
    </row>
    <row r="238">
      <c r="A238" s="100">
        <f>IFERROR(__xludf.DUMMYFUNCTION("""COMPUTED_VALUE"""),45664.64048260417)</f>
        <v>45664.64048</v>
      </c>
      <c r="B238" s="76" t="str">
        <f>IFERROR(__xludf.DUMMYFUNCTION("""COMPUTED_VALUE"""),"kally1237@outlook.com")</f>
        <v>kally1237@outlook.com</v>
      </c>
      <c r="C238" s="76">
        <f>IFERROR(__xludf.DUMMYFUNCTION("""COMPUTED_VALUE"""),2.5207203811E10)</f>
        <v>25207203811</v>
      </c>
      <c r="D238" s="76" t="str">
        <f>IFERROR(__xludf.DUMMYFUNCTION("""COMPUTED_VALUE"""),"NGUYỄN THỊ KIỀU TRINH")</f>
        <v>NGUYỄN THỊ KIỀU TRINH</v>
      </c>
      <c r="E238" s="101">
        <f>IFERROR(__xludf.DUMMYFUNCTION("""COMPUTED_VALUE"""),36947.0)</f>
        <v>36947</v>
      </c>
      <c r="F238" s="76" t="str">
        <f>IFERROR(__xludf.DUMMYFUNCTION("""COMPUTED_VALUE"""),"K26PSUDLK3")</f>
        <v>K26PSUDLK3</v>
      </c>
      <c r="G238" s="76" t="str">
        <f>IFERROR(__xludf.DUMMYFUNCTION("""COMPUTED_VALUE"""),"Quản trị Du lịch &amp; Khách sạn chuẩn PSU")</f>
        <v>Quản trị Du lịch &amp; Khách sạn chuẩn PSU</v>
      </c>
      <c r="H238" s="76" t="str">
        <f>IFERROR(__xludf.DUMMYFUNCTION("""COMPUTED_VALUE"""),"K26")</f>
        <v>K26</v>
      </c>
      <c r="I238" s="76" t="str">
        <f>IFERROR(__xludf.DUMMYFUNCTION("""COMPUTED_VALUE"""),"0898435704")</f>
        <v>0898435704</v>
      </c>
      <c r="J238" s="76">
        <f>IFERROR(__xludf.DUMMYFUNCTION("""COMPUTED_VALUE"""),3.09)</f>
        <v>3.09</v>
      </c>
      <c r="K238" s="76">
        <f>IFERROR(__xludf.DUMMYFUNCTION("""COMPUTED_VALUE"""),163.0)</f>
        <v>163</v>
      </c>
      <c r="L238" s="76" t="str">
        <f>IFERROR(__xludf.DUMMYFUNCTION("""COMPUTED_VALUE"""),"Rồi")</f>
        <v>Rồi</v>
      </c>
      <c r="M238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38" s="76">
        <f>IFERROR(__xludf.DUMMYFUNCTION("""COMPUTED_VALUE"""),3.0)</f>
        <v>3</v>
      </c>
      <c r="O238" s="76" t="str">
        <f>IFERROR(__xludf.DUMMYFUNCTION("""COMPUTED_VALUE"""),"cam kết")</f>
        <v>cam kết</v>
      </c>
      <c r="P238" s="76" t="str">
        <f>IFERROR(__xludf.DUMMYFUNCTION("""COMPUTED_VALUE"""),"ĐÃ NỘP")</f>
        <v>ĐÃ NỘP</v>
      </c>
      <c r="Q238" s="76" t="str">
        <f>IFERROR(__xludf.DUMMYFUNCTION("""COMPUTED_VALUE"""),"ĐÃ NỘP")</f>
        <v>ĐÃ NỘP</v>
      </c>
      <c r="R238" s="76">
        <f>IFERROR(__xludf.DUMMYFUNCTION("""COMPUTED_VALUE"""),34.0)</f>
        <v>34</v>
      </c>
      <c r="S238" s="76"/>
      <c r="T238" s="76" t="str">
        <f>IFERROR(__xludf.DUMMYFUNCTION("""COMPUTED_VALUE"""),"sv đã nộp phiếu tiếp nhận sv tt")</f>
        <v>sv đã nộp phiếu tiếp nhận sv tt</v>
      </c>
      <c r="U238" s="102" t="str">
        <f>IFERROR(__xludf.DUMMYFUNCTION("""COMPUTED_VALUE"""),"Nguyễn Thị Kiều Trinh")</f>
        <v>Nguyễn Thị Kiều Trinh</v>
      </c>
      <c r="V238" s="76" t="str">
        <f>IFERROR(__xludf.DUMMYFUNCTION("""COMPUTED_VALUE"""),"Quản Trị Du Lịch &amp; Khách Sạn Chuẩn PSU (Đại Học)")</f>
        <v>Quản Trị Du Lịch &amp; Khách Sạn Chuẩn PSU (Đại Học)</v>
      </c>
      <c r="W238" s="76" t="str">
        <f>IFERROR(__xludf.DUMMYFUNCTION("""COMPUTED_VALUE"""),"Melia ChiangMai ThaiLand")</f>
        <v>Melia ChiangMai ThaiLand</v>
      </c>
      <c r="X238" s="76" t="str">
        <f>IFERROR(__xludf.DUMMYFUNCTION("""COMPUTED_VALUE"""),"F&amp;B coordinator")</f>
        <v>F&amp;B coordinator</v>
      </c>
      <c r="Y238" s="76" t="str">
        <f>IFERROR(__xludf.DUMMYFUNCTION("""COMPUTED_VALUE"""),"DUYỆT")</f>
        <v>DUYỆT</v>
      </c>
      <c r="Z238" s="76" t="str">
        <f>IFERROR(__xludf.DUMMYFUNCTION("""COMPUTED_VALUE"""),"CHUYÊN ĐỀ")</f>
        <v>CHUYÊN ĐỀ</v>
      </c>
      <c r="AA238" s="76" t="str">
        <f>IFERROR(__xludf.DUMMYFUNCTION("""COMPUTED_VALUE"""),"kally1237@outlook.com")</f>
        <v>kally1237@outlook.com</v>
      </c>
      <c r="AB238" s="76"/>
      <c r="AC238" s="76"/>
    </row>
    <row r="239">
      <c r="A239" s="100">
        <f>IFERROR(__xludf.DUMMYFUNCTION("""COMPUTED_VALUE"""),45664.64883276621)</f>
        <v>45664.64883</v>
      </c>
      <c r="B239" s="76" t="str">
        <f>IFERROR(__xludf.DUMMYFUNCTION("""COMPUTED_VALUE"""),"lamtuankiet2002yahoo@gmail.com")</f>
        <v>lamtuankiet2002yahoo@gmail.com</v>
      </c>
      <c r="C239" s="76">
        <f>IFERROR(__xludf.DUMMYFUNCTION("""COMPUTED_VALUE"""),2.6217126206E10)</f>
        <v>26217126206</v>
      </c>
      <c r="D239" s="76" t="str">
        <f>IFERROR(__xludf.DUMMYFUNCTION("""COMPUTED_VALUE"""),"Lâm Tuấn Kiệt")</f>
        <v>Lâm Tuấn Kiệt</v>
      </c>
      <c r="E239" s="101">
        <f>IFERROR(__xludf.DUMMYFUNCTION("""COMPUTED_VALUE"""),37318.0)</f>
        <v>37318</v>
      </c>
      <c r="F239" s="76" t="str">
        <f>IFERROR(__xludf.DUMMYFUNCTION("""COMPUTED_VALUE"""),"K26PSUDLK 1")</f>
        <v>K26PSUDLK 1</v>
      </c>
      <c r="G239" s="76" t="str">
        <f>IFERROR(__xludf.DUMMYFUNCTION("""COMPUTED_VALUE"""),"Quản trị Du lịch &amp; Khách sạn chuẩn PSU")</f>
        <v>Quản trị Du lịch &amp; Khách sạn chuẩn PSU</v>
      </c>
      <c r="H239" s="76" t="str">
        <f>IFERROR(__xludf.DUMMYFUNCTION("""COMPUTED_VALUE"""),"K26")</f>
        <v>K26</v>
      </c>
      <c r="I239" s="76" t="str">
        <f>IFERROR(__xludf.DUMMYFUNCTION("""COMPUTED_VALUE"""),"0825000302")</f>
        <v>0825000302</v>
      </c>
      <c r="J239" s="76">
        <f>IFERROR(__xludf.DUMMYFUNCTION("""COMPUTED_VALUE"""),3.18)</f>
        <v>3.18</v>
      </c>
      <c r="K239" s="76">
        <f>IFERROR(__xludf.DUMMYFUNCTION("""COMPUTED_VALUE"""),128.0)</f>
        <v>128</v>
      </c>
      <c r="L239" s="76" t="str">
        <f>IFERROR(__xludf.DUMMYFUNCTION("""COMPUTED_VALUE"""),"Rồi")</f>
        <v>Rồi</v>
      </c>
      <c r="M239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39" s="76">
        <f>IFERROR(__xludf.DUMMYFUNCTION("""COMPUTED_VALUE"""),0.0)</f>
        <v>0</v>
      </c>
      <c r="O239" s="76" t="str">
        <f>IFERROR(__xludf.DUMMYFUNCTION("""COMPUTED_VALUE"""),"cam kết")</f>
        <v>cam kết</v>
      </c>
      <c r="P239" s="76" t="str">
        <f>IFERROR(__xludf.DUMMYFUNCTION("""COMPUTED_VALUE"""),"ĐÃ NỘP")</f>
        <v>ĐÃ NỘP</v>
      </c>
      <c r="Q239" s="76" t="str">
        <f>IFERROR(__xludf.DUMMYFUNCTION("""COMPUTED_VALUE"""),"ĐÃ NỘP")</f>
        <v>ĐÃ NỘP</v>
      </c>
      <c r="R239" s="76">
        <f>IFERROR(__xludf.DUMMYFUNCTION("""COMPUTED_VALUE"""),35.0)</f>
        <v>35</v>
      </c>
      <c r="S239" s="102">
        <f>IFERROR(__xludf.DUMMYFUNCTION("""COMPUTED_VALUE"""),45870.0)</f>
        <v>45870</v>
      </c>
      <c r="T239" s="76"/>
      <c r="U239" s="102" t="str">
        <f>IFERROR(__xludf.DUMMYFUNCTION("""COMPUTED_VALUE"""),"Lâm Tuấn Kiệt")</f>
        <v>Lâm Tuấn Kiệt</v>
      </c>
      <c r="V239" s="76" t="str">
        <f>IFERROR(__xludf.DUMMYFUNCTION("""COMPUTED_VALUE"""),"Quản Trị Du Lịch &amp; Khách Sạn Chuẩn PSU (Đại Học)")</f>
        <v>Quản Trị Du Lịch &amp; Khách Sạn Chuẩn PSU (Đại Học)</v>
      </c>
      <c r="W239" s="76" t="str">
        <f>IFERROR(__xludf.DUMMYFUNCTION("""COMPUTED_VALUE"""),"Khách sạn Shilla Monogram Quangnam Danang")</f>
        <v>Khách sạn Shilla Monogram Quangnam Danang</v>
      </c>
      <c r="X239" s="76" t="str">
        <f>IFERROR(__xludf.DUMMYFUNCTION("""COMPUTED_VALUE"""),"Nhà hàng")</f>
        <v>Nhà hàng</v>
      </c>
      <c r="Y239" s="76" t="str">
        <f>IFERROR(__xludf.DUMMYFUNCTION("""COMPUTED_VALUE"""),"DUYỆT")</f>
        <v>DUYỆT</v>
      </c>
      <c r="Z239" s="76" t="str">
        <f>IFERROR(__xludf.DUMMYFUNCTION("""COMPUTED_VALUE"""),"CHUYÊN ĐỀ")</f>
        <v>CHUYÊN ĐỀ</v>
      </c>
      <c r="AA239" s="76" t="str">
        <f>IFERROR(__xludf.DUMMYFUNCTION("""COMPUTED_VALUE"""),"lamtuankiet2002yahoo@gmail.com")</f>
        <v>lamtuankiet2002yahoo@gmail.com</v>
      </c>
      <c r="AB239" s="76"/>
      <c r="AC239" s="76"/>
    </row>
    <row r="240">
      <c r="A240" s="100">
        <f>IFERROR(__xludf.DUMMYFUNCTION("""COMPUTED_VALUE"""),45664.68738046296)</f>
        <v>45664.68738</v>
      </c>
      <c r="B240" s="76" t="str">
        <f>IFERROR(__xludf.DUMMYFUNCTION("""COMPUTED_VALUE"""),"trungtoan0801@gmail.com")</f>
        <v>trungtoan0801@gmail.com</v>
      </c>
      <c r="C240" s="76">
        <f>IFERROR(__xludf.DUMMYFUNCTION("""COMPUTED_VALUE"""),2.6217129382E10)</f>
        <v>26217129382</v>
      </c>
      <c r="D240" s="76" t="str">
        <f>IFERROR(__xludf.DUMMYFUNCTION("""COMPUTED_VALUE"""),"Nguyễn Hữu Trung Toàn")</f>
        <v>Nguyễn Hữu Trung Toàn</v>
      </c>
      <c r="E240" s="101">
        <f>IFERROR(__xludf.DUMMYFUNCTION("""COMPUTED_VALUE"""),37264.0)</f>
        <v>37264</v>
      </c>
      <c r="F240" s="76" t="str">
        <f>IFERROR(__xludf.DUMMYFUNCTION("""COMPUTED_VALUE"""),"K26PSUDLK1")</f>
        <v>K26PSUDLK1</v>
      </c>
      <c r="G240" s="76" t="str">
        <f>IFERROR(__xludf.DUMMYFUNCTION("""COMPUTED_VALUE"""),"Quản trị Du lịch &amp; Khách sạn chuẩn PSU")</f>
        <v>Quản trị Du lịch &amp; Khách sạn chuẩn PSU</v>
      </c>
      <c r="H240" s="76" t="str">
        <f>IFERROR(__xludf.DUMMYFUNCTION("""COMPUTED_VALUE"""),"K26")</f>
        <v>K26</v>
      </c>
      <c r="I240" s="76" t="str">
        <f>IFERROR(__xludf.DUMMYFUNCTION("""COMPUTED_VALUE"""),"0345576907")</f>
        <v>0345576907</v>
      </c>
      <c r="J240" s="76">
        <f>IFERROR(__xludf.DUMMYFUNCTION("""COMPUTED_VALUE"""),2.9)</f>
        <v>2.9</v>
      </c>
      <c r="K240" s="76">
        <f>IFERROR(__xludf.DUMMYFUNCTION("""COMPUTED_VALUE"""),128.0)</f>
        <v>128</v>
      </c>
      <c r="L240" s="76" t="str">
        <f>IFERROR(__xludf.DUMMYFUNCTION("""COMPUTED_VALUE"""),"Rồi")</f>
        <v>Rồi</v>
      </c>
      <c r="M240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40" s="76">
        <f>IFERROR(__xludf.DUMMYFUNCTION("""COMPUTED_VALUE"""),0.0)</f>
        <v>0</v>
      </c>
      <c r="O240" s="76" t="str">
        <f>IFERROR(__xludf.DUMMYFUNCTION("""COMPUTED_VALUE"""),"cam kết")</f>
        <v>cam kết</v>
      </c>
      <c r="P240" s="76" t="str">
        <f>IFERROR(__xludf.DUMMYFUNCTION("""COMPUTED_VALUE"""),"ĐÃ NỘP")</f>
        <v>ĐÃ NỘP</v>
      </c>
      <c r="Q240" s="76" t="str">
        <f>IFERROR(__xludf.DUMMYFUNCTION("""COMPUTED_VALUE"""),"ĐÃ NỘP")</f>
        <v>ĐÃ NỘP</v>
      </c>
      <c r="R240" s="76">
        <f>IFERROR(__xludf.DUMMYFUNCTION("""COMPUTED_VALUE"""),36.0)</f>
        <v>36</v>
      </c>
      <c r="S240" s="102">
        <f>IFERROR(__xludf.DUMMYFUNCTION("""COMPUTED_VALUE"""),45870.0)</f>
        <v>45870</v>
      </c>
      <c r="T240" s="76"/>
      <c r="U240" s="102" t="str">
        <f>IFERROR(__xludf.DUMMYFUNCTION("""COMPUTED_VALUE"""),"Nguyễn Hữu Trung Toàn")</f>
        <v>Nguyễn Hữu Trung Toàn</v>
      </c>
      <c r="V240" s="76" t="str">
        <f>IFERROR(__xludf.DUMMYFUNCTION("""COMPUTED_VALUE"""),"Quản Trị Du Lịch &amp; Khách Sạn Chuẩn PSU (Đại Học)")</f>
        <v>Quản Trị Du Lịch &amp; Khách Sạn Chuẩn PSU (Đại Học)</v>
      </c>
      <c r="W240" s="76" t="str">
        <f>IFERROR(__xludf.DUMMYFUNCTION("""COMPUTED_VALUE"""),"Khách sạn Shilla Monogram Quangnam Danang")</f>
        <v>Khách sạn Shilla Monogram Quangnam Danang</v>
      </c>
      <c r="X240" s="76" t="str">
        <f>IFERROR(__xludf.DUMMYFUNCTION("""COMPUTED_VALUE"""),"Nhà hàng")</f>
        <v>Nhà hàng</v>
      </c>
      <c r="Y240" s="76" t="str">
        <f>IFERROR(__xludf.DUMMYFUNCTION("""COMPUTED_VALUE"""),"DUYỆT")</f>
        <v>DUYỆT</v>
      </c>
      <c r="Z240" s="76" t="str">
        <f>IFERROR(__xludf.DUMMYFUNCTION("""COMPUTED_VALUE"""),"CHUYÊN ĐỀ")</f>
        <v>CHUYÊN ĐỀ</v>
      </c>
      <c r="AA240" s="76" t="str">
        <f>IFERROR(__xludf.DUMMYFUNCTION("""COMPUTED_VALUE"""),"trungtoan0801@gmail.com")</f>
        <v>trungtoan0801@gmail.com</v>
      </c>
      <c r="AB240" s="76"/>
      <c r="AC240" s="76"/>
    </row>
    <row r="241">
      <c r="A241" s="100">
        <f>IFERROR(__xludf.DUMMYFUNCTION("""COMPUTED_VALUE"""),45665.39534574074)</f>
        <v>45665.39535</v>
      </c>
      <c r="B241" s="76" t="str">
        <f>IFERROR(__xludf.DUMMYFUNCTION("""COMPUTED_VALUE"""),"vantam1103@gmail.com")</f>
        <v>vantam1103@gmail.com</v>
      </c>
      <c r="C241" s="76">
        <f>IFERROR(__xludf.DUMMYFUNCTION("""COMPUTED_VALUE"""),2.5217103085E10)</f>
        <v>25217103085</v>
      </c>
      <c r="D241" s="76" t="str">
        <f>IFERROR(__xludf.DUMMYFUNCTION("""COMPUTED_VALUE"""),"Nguyễn Võ Văn Tâm")</f>
        <v>Nguyễn Võ Văn Tâm</v>
      </c>
      <c r="E241" s="101">
        <f>IFERROR(__xludf.DUMMYFUNCTION("""COMPUTED_VALUE"""),36961.0)</f>
        <v>36961</v>
      </c>
      <c r="F241" s="76" t="str">
        <f>IFERROR(__xludf.DUMMYFUNCTION("""COMPUTED_VALUE"""),"K25PSUDLK1")</f>
        <v>K25PSUDLK1</v>
      </c>
      <c r="G241" s="76" t="str">
        <f>IFERROR(__xludf.DUMMYFUNCTION("""COMPUTED_VALUE"""),"Quản trị Du lịch &amp; Khách sạn chuẩn PSU")</f>
        <v>Quản trị Du lịch &amp; Khách sạn chuẩn PSU</v>
      </c>
      <c r="H241" s="76" t="str">
        <f>IFERROR(__xludf.DUMMYFUNCTION("""COMPUTED_VALUE"""),"K25")</f>
        <v>K25</v>
      </c>
      <c r="I241" s="76" t="str">
        <f>IFERROR(__xludf.DUMMYFUNCTION("""COMPUTED_VALUE"""),"0828025651")</f>
        <v>0828025651</v>
      </c>
      <c r="J241" s="76">
        <f>IFERROR(__xludf.DUMMYFUNCTION("""COMPUTED_VALUE"""),2.22)</f>
        <v>2.22</v>
      </c>
      <c r="K241" s="76">
        <f>IFERROR(__xludf.DUMMYFUNCTION("""COMPUTED_VALUE"""),135.0)</f>
        <v>135</v>
      </c>
      <c r="L241" s="76" t="str">
        <f>IFERROR(__xludf.DUMMYFUNCTION("""COMPUTED_VALUE"""),"Rồi")</f>
        <v>Rồi</v>
      </c>
      <c r="M241" s="76" t="str">
        <f>IFERROR(__xludf.DUMMYFUNCTION("""COMPUTED_VALUE"""),"Thực tập tốt nghiệp, Công nhận tốt nghiệp")</f>
        <v>Thực tập tốt nghiệp, Công nhận tốt nghiệp</v>
      </c>
      <c r="N241" s="76">
        <f>IFERROR(__xludf.DUMMYFUNCTION("""COMPUTED_VALUE"""),0.0)</f>
        <v>0</v>
      </c>
      <c r="O241" s="76" t="str">
        <f>IFERROR(__xludf.DUMMYFUNCTION("""COMPUTED_VALUE"""),"cam kết")</f>
        <v>cam kết</v>
      </c>
      <c r="P241" s="76" t="str">
        <f>IFERROR(__xludf.DUMMYFUNCTION("""COMPUTED_VALUE"""),"ĐÃ NỘP")</f>
        <v>ĐÃ NỘP</v>
      </c>
      <c r="Q241" s="76" t="str">
        <f>IFERROR(__xludf.DUMMYFUNCTION("""COMPUTED_VALUE"""),"ĐÃ NỘP")</f>
        <v>ĐÃ NỘP</v>
      </c>
      <c r="R241" s="76">
        <f>IFERROR(__xludf.DUMMYFUNCTION("""COMPUTED_VALUE"""),37.0)</f>
        <v>37</v>
      </c>
      <c r="S241" s="76"/>
      <c r="T241" s="76" t="str">
        <f>IFERROR(__xludf.DUMMYFUNCTION("""COMPUTED_VALUE"""),"đã nộp phiếu tiếp nhận sv tt")</f>
        <v>đã nộp phiếu tiếp nhận sv tt</v>
      </c>
      <c r="U241" s="102" t="str">
        <f>IFERROR(__xludf.DUMMYFUNCTION("""COMPUTED_VALUE"""),"Nguyễn Võ Văn Tâm")</f>
        <v>Nguyễn Võ Văn Tâm</v>
      </c>
      <c r="V241" s="76" t="str">
        <f>IFERROR(__xludf.DUMMYFUNCTION("""COMPUTED_VALUE"""),"Quản Trị Du Lịch &amp; Khách Sạn Chuẩn PSU (Đại Học)")</f>
        <v>Quản Trị Du Lịch &amp; Khách Sạn Chuẩn PSU (Đại Học)</v>
      </c>
      <c r="W241" s="76" t="str">
        <f>IFERROR(__xludf.DUMMYFUNCTION("""COMPUTED_VALUE"""),"Da Nang Mikazuki Japanese Resorts &amp; Spa")</f>
        <v>Da Nang Mikazuki Japanese Resorts &amp; Spa</v>
      </c>
      <c r="X241" s="76" t="str">
        <f>IFERROR(__xludf.DUMMYFUNCTION("""COMPUTED_VALUE"""),"Nhà hàng")</f>
        <v>Nhà hàng</v>
      </c>
      <c r="Y241" s="76" t="str">
        <f>IFERROR(__xludf.DUMMYFUNCTION("""COMPUTED_VALUE"""),"DUYỆT")</f>
        <v>DUYỆT</v>
      </c>
      <c r="Z241" s="76" t="str">
        <f>IFERROR(__xludf.DUMMYFUNCTION("""COMPUTED_VALUE"""),"CHUYÊN ĐỀ")</f>
        <v>CHUYÊN ĐỀ</v>
      </c>
      <c r="AA241" s="76" t="str">
        <f>IFERROR(__xludf.DUMMYFUNCTION("""COMPUTED_VALUE"""),"vantam1103@gmail.com")</f>
        <v>vantam1103@gmail.com</v>
      </c>
      <c r="AB241" s="76"/>
      <c r="AC241" s="76"/>
    </row>
    <row r="242">
      <c r="A242" s="100">
        <f>IFERROR(__xludf.DUMMYFUNCTION("""COMPUTED_VALUE"""),45665.57137048611)</f>
        <v>45665.57137</v>
      </c>
      <c r="B242" s="76" t="str">
        <f>IFERROR(__xludf.DUMMYFUNCTION("""COMPUTED_VALUE"""),"ng.congquoc@gmail.com")</f>
        <v>ng.congquoc@gmail.com</v>
      </c>
      <c r="C242" s="76">
        <f>IFERROR(__xludf.DUMMYFUNCTION("""COMPUTED_VALUE"""),2.321713977E9)</f>
        <v>2321713977</v>
      </c>
      <c r="D242" s="76" t="str">
        <f>IFERROR(__xludf.DUMMYFUNCTION("""COMPUTED_VALUE"""),"Nguyễn Công Quốc")</f>
        <v>Nguyễn Công Quốc</v>
      </c>
      <c r="E242" s="101">
        <f>IFERROR(__xludf.DUMMYFUNCTION("""COMPUTED_VALUE"""),36263.0)</f>
        <v>36263</v>
      </c>
      <c r="F242" s="76" t="str">
        <f>IFERROR(__xludf.DUMMYFUNCTION("""COMPUTED_VALUE"""),"K23DLK9")</f>
        <v>K23DLK9</v>
      </c>
      <c r="G242" s="76" t="str">
        <f>IFERROR(__xludf.DUMMYFUNCTION("""COMPUTED_VALUE"""),"Quản trị Du lịch &amp; Khách sạn")</f>
        <v>Quản trị Du lịch &amp; Khách sạn</v>
      </c>
      <c r="H242" s="76" t="str">
        <f>IFERROR(__xludf.DUMMYFUNCTION("""COMPUTED_VALUE"""),"K26")</f>
        <v>K26</v>
      </c>
      <c r="I242" s="76" t="str">
        <f>IFERROR(__xludf.DUMMYFUNCTION("""COMPUTED_VALUE"""),"0392245257")</f>
        <v>0392245257</v>
      </c>
      <c r="J242" s="76">
        <f>IFERROR(__xludf.DUMMYFUNCTION("""COMPUTED_VALUE"""),2.17)</f>
        <v>2.17</v>
      </c>
      <c r="K242" s="76">
        <f>IFERROR(__xludf.DUMMYFUNCTION("""COMPUTED_VALUE"""),138.0)</f>
        <v>138</v>
      </c>
      <c r="L242" s="76" t="str">
        <f>IFERROR(__xludf.DUMMYFUNCTION("""COMPUTED_VALUE"""),"Rồi")</f>
        <v>Rồi</v>
      </c>
      <c r="M242" s="76" t="str">
        <f>IFERROR(__xludf.DUMMYFUNCTION("""COMPUTED_VALUE"""),"Thực tập tốt nghiệp")</f>
        <v>Thực tập tốt nghiệp</v>
      </c>
      <c r="N242" s="76">
        <f>IFERROR(__xludf.DUMMYFUNCTION("""COMPUTED_VALUE"""),9.0)</f>
        <v>9</v>
      </c>
      <c r="O242" s="76" t="str">
        <f>IFERROR(__xludf.DUMMYFUNCTION("""COMPUTED_VALUE"""),"cam kết")</f>
        <v>cam kết</v>
      </c>
      <c r="P242" s="76" t="str">
        <f>IFERROR(__xludf.DUMMYFUNCTION("""COMPUTED_VALUE"""),"ĐÃ NỘP")</f>
        <v>ĐÃ NỘP</v>
      </c>
      <c r="Q242" s="76" t="str">
        <f>IFERROR(__xludf.DUMMYFUNCTION("""COMPUTED_VALUE"""),"ĐÃ NỘP")</f>
        <v>ĐÃ NỘP</v>
      </c>
      <c r="R242" s="76">
        <f>IFERROR(__xludf.DUMMYFUNCTION("""COMPUTED_VALUE"""),38.0)</f>
        <v>38</v>
      </c>
      <c r="S242" s="102">
        <f>IFERROR(__xludf.DUMMYFUNCTION("""COMPUTED_VALUE"""),45931.0)</f>
        <v>45931</v>
      </c>
      <c r="T242" s="76"/>
      <c r="U242" s="102" t="str">
        <f>IFERROR(__xludf.DUMMYFUNCTION("""COMPUTED_VALUE"""),"Nguyễn Công Quốc")</f>
        <v>Nguyễn Công Quốc</v>
      </c>
      <c r="V242" s="76" t="str">
        <f>IFERROR(__xludf.DUMMYFUNCTION("""COMPUTED_VALUE"""),"Quản Trị Khách Sạn &amp; Nhà Hàng (Đại Học)")</f>
        <v>Quản Trị Khách Sạn &amp; Nhà Hàng (Đại Học)</v>
      </c>
      <c r="W242" s="76" t="str">
        <f>IFERROR(__xludf.DUMMYFUNCTION("""COMPUTED_VALUE"""),"Grand Tourane Hotel")</f>
        <v>Grand Tourane Hotel</v>
      </c>
      <c r="X242" s="76" t="str">
        <f>IFERROR(__xludf.DUMMYFUNCTION("""COMPUTED_VALUE"""),"Nhà hàng")</f>
        <v>Nhà hàng</v>
      </c>
      <c r="Y242" s="76" t="str">
        <f>IFERROR(__xludf.DUMMYFUNCTION("""COMPUTED_VALUE"""),"DUYỆT")</f>
        <v>DUYỆT</v>
      </c>
      <c r="Z242" s="76" t="str">
        <f>IFERROR(__xludf.DUMMYFUNCTION("""COMPUTED_VALUE"""),"không đủ điều kiện")</f>
        <v>không đủ điều kiện</v>
      </c>
      <c r="AA242" s="76" t="str">
        <f>IFERROR(__xludf.DUMMYFUNCTION("""COMPUTED_VALUE"""),"ng.congquoc@gmail.com")</f>
        <v>ng.congquoc@gmail.com</v>
      </c>
      <c r="AB242" s="76"/>
      <c r="AC242" s="76"/>
    </row>
    <row r="243">
      <c r="A243" s="100">
        <f>IFERROR(__xludf.DUMMYFUNCTION("""COMPUTED_VALUE"""),45665.81709412037)</f>
        <v>45665.81709</v>
      </c>
      <c r="B243" s="76" t="str">
        <f>IFERROR(__xludf.DUMMYFUNCTION("""COMPUTED_VALUE"""),"tuakb881@gmail.com")</f>
        <v>tuakb881@gmail.com</v>
      </c>
      <c r="C243" s="76">
        <f>IFERROR(__xludf.DUMMYFUNCTION("""COMPUTED_VALUE"""),2.5217107474E10)</f>
        <v>25217107474</v>
      </c>
      <c r="D243" s="76" t="str">
        <f>IFERROR(__xludf.DUMMYFUNCTION("""COMPUTED_VALUE"""),"Lê Anh Tú")</f>
        <v>Lê Anh Tú</v>
      </c>
      <c r="E243" s="101">
        <f>IFERROR(__xludf.DUMMYFUNCTION("""COMPUTED_VALUE"""),37122.0)</f>
        <v>37122</v>
      </c>
      <c r="F243" s="76" t="str">
        <f>IFERROR(__xludf.DUMMYFUNCTION("""COMPUTED_VALUE"""),"K25PSUDLK17")</f>
        <v>K25PSUDLK17</v>
      </c>
      <c r="G243" s="76" t="str">
        <f>IFERROR(__xludf.DUMMYFUNCTION("""COMPUTED_VALUE"""),"Quản trị Du lịch &amp; Khách sạn chuẩn PSU")</f>
        <v>Quản trị Du lịch &amp; Khách sạn chuẩn PSU</v>
      </c>
      <c r="H243" s="76" t="str">
        <f>IFERROR(__xludf.DUMMYFUNCTION("""COMPUTED_VALUE"""),"K25")</f>
        <v>K25</v>
      </c>
      <c r="I243" s="76" t="str">
        <f>IFERROR(__xludf.DUMMYFUNCTION("""COMPUTED_VALUE"""),"0399934068")</f>
        <v>0399934068</v>
      </c>
      <c r="J243" s="76" t="str">
        <f>IFERROR(__xludf.DUMMYFUNCTION("""COMPUTED_VALUE"""),"Em đang đợi điểm môn cuối ạ")</f>
        <v>Em đang đợi điểm môn cuối ạ</v>
      </c>
      <c r="K243" s="76">
        <f>IFERROR(__xludf.DUMMYFUNCTION("""COMPUTED_VALUE"""),140.0)</f>
        <v>140</v>
      </c>
      <c r="L243" s="76" t="str">
        <f>IFERROR(__xludf.DUMMYFUNCTION("""COMPUTED_VALUE"""),"Rồi")</f>
        <v>Rồi</v>
      </c>
      <c r="M243" s="76" t="str">
        <f>IFERROR(__xludf.DUMMYFUNCTION("""COMPUTED_VALUE"""),"Thực tập tốt nghiệp, Thi tốt nghiệp")</f>
        <v>Thực tập tốt nghiệp, Thi tốt nghiệp</v>
      </c>
      <c r="N243" s="76">
        <f>IFERROR(__xludf.DUMMYFUNCTION("""COMPUTED_VALUE"""),3.0)</f>
        <v>3</v>
      </c>
      <c r="O243" s="76" t="str">
        <f>IFERROR(__xludf.DUMMYFUNCTION("""COMPUTED_VALUE"""),"cam kết")</f>
        <v>cam kết</v>
      </c>
      <c r="P243" s="76" t="str">
        <f>IFERROR(__xludf.DUMMYFUNCTION("""COMPUTED_VALUE"""),"ĐÃ NỘP")</f>
        <v>ĐÃ NỘP</v>
      </c>
      <c r="Q243" s="76" t="str">
        <f>IFERROR(__xludf.DUMMYFUNCTION("""COMPUTED_VALUE"""),"ĐÃ NỘP")</f>
        <v>ĐÃ NỘP</v>
      </c>
      <c r="R243" s="76">
        <f>IFERROR(__xludf.DUMMYFUNCTION("""COMPUTED_VALUE"""),40.0)</f>
        <v>40</v>
      </c>
      <c r="S243" s="76" t="str">
        <f>IFERROR(__xludf.DUMMYFUNCTION("""COMPUTED_VALUE"""),"18/01/2025")</f>
        <v>18/01/2025</v>
      </c>
      <c r="T243" s="76"/>
      <c r="U243" s="102" t="str">
        <f>IFERROR(__xludf.DUMMYFUNCTION("""COMPUTED_VALUE"""),"Lê Anh Tú")</f>
        <v>Lê Anh Tú</v>
      </c>
      <c r="V243" s="76" t="str">
        <f>IFERROR(__xludf.DUMMYFUNCTION("""COMPUTED_VALUE"""),"Quản Trị Du Lịch &amp; Khách Sạn Chuẩn PSU (Đại Học)")</f>
        <v>Quản Trị Du Lịch &amp; Khách Sạn Chuẩn PSU (Đại Học)</v>
      </c>
      <c r="W243" s="76" t="str">
        <f>IFERROR(__xludf.DUMMYFUNCTION("""COMPUTED_VALUE"""),"Mường Thanh Luxury Đà Nẵng Hotel")</f>
        <v>Mường Thanh Luxury Đà Nẵng Hotel</v>
      </c>
      <c r="X243" s="76" t="str">
        <f>IFERROR(__xludf.DUMMYFUNCTION("""COMPUTED_VALUE"""),"Tiền sảnh")</f>
        <v>Tiền sảnh</v>
      </c>
      <c r="Y243" s="76" t="str">
        <f>IFERROR(__xludf.DUMMYFUNCTION("""COMPUTED_VALUE"""),"KHÔNG DUYỆT")</f>
        <v>KHÔNG DUYỆT</v>
      </c>
      <c r="Z243" s="76" t="str">
        <f>IFERROR(__xludf.DUMMYFUNCTION("""COMPUTED_VALUE"""),"CHUYÊN ĐỀ")</f>
        <v>CHUYÊN ĐỀ</v>
      </c>
      <c r="AA243" s="76" t="str">
        <f>IFERROR(__xludf.DUMMYFUNCTION("""COMPUTED_VALUE"""),"tuakb881@gmail.com")</f>
        <v>tuakb881@gmail.com</v>
      </c>
      <c r="AB243" s="76"/>
      <c r="AC243" s="76"/>
    </row>
    <row r="244">
      <c r="A244" s="100">
        <f>IFERROR(__xludf.DUMMYFUNCTION("""COMPUTED_VALUE"""),45670.53708079861)</f>
        <v>45670.53708</v>
      </c>
      <c r="B244" s="76" t="str">
        <f>IFERROR(__xludf.DUMMYFUNCTION("""COMPUTED_VALUE"""),"loannthanh03@gmail.com")</f>
        <v>loannthanh03@gmail.com</v>
      </c>
      <c r="C244" s="76">
        <f>IFERROR(__xludf.DUMMYFUNCTION("""COMPUTED_VALUE"""),2.7207100474E10)</f>
        <v>27207100474</v>
      </c>
      <c r="D244" s="76" t="str">
        <f>IFERROR(__xludf.DUMMYFUNCTION("""COMPUTED_VALUE"""),"Đỗ Trần Thanh Loan")</f>
        <v>Đỗ Trần Thanh Loan</v>
      </c>
      <c r="E244" s="101">
        <f>IFERROR(__xludf.DUMMYFUNCTION("""COMPUTED_VALUE"""),37973.0)</f>
        <v>37973</v>
      </c>
      <c r="F244" s="76" t="str">
        <f>IFERROR(__xludf.DUMMYFUNCTION("""COMPUTED_VALUE"""),"K27DLK2")</f>
        <v>K27DLK2</v>
      </c>
      <c r="G244" s="76" t="str">
        <f>IFERROR(__xludf.DUMMYFUNCTION("""COMPUTED_VALUE"""),"Quản trị Du lịch &amp; Khách sạn")</f>
        <v>Quản trị Du lịch &amp; Khách sạn</v>
      </c>
      <c r="H244" s="76" t="str">
        <f>IFERROR(__xludf.DUMMYFUNCTION("""COMPUTED_VALUE"""),"K27")</f>
        <v>K27</v>
      </c>
      <c r="I244" s="76" t="str">
        <f>IFERROR(__xludf.DUMMYFUNCTION("""COMPUTED_VALUE"""),"0702350700")</f>
        <v>0702350700</v>
      </c>
      <c r="J244" s="76">
        <f>IFERROR(__xludf.DUMMYFUNCTION("""COMPUTED_VALUE"""),2.53)</f>
        <v>2.53</v>
      </c>
      <c r="K244" s="76">
        <f>IFERROR(__xludf.DUMMYFUNCTION("""COMPUTED_VALUE"""),104.0)</f>
        <v>104</v>
      </c>
      <c r="L244" s="76" t="str">
        <f>IFERROR(__xludf.DUMMYFUNCTION("""COMPUTED_VALUE"""),"Rồi")</f>
        <v>Rồi</v>
      </c>
      <c r="M244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44" s="76">
        <f>IFERROR(__xludf.DUMMYFUNCTION("""COMPUTED_VALUE"""),28.0)</f>
        <v>28</v>
      </c>
      <c r="O244" s="76" t="str">
        <f>IFERROR(__xludf.DUMMYFUNCTION("""COMPUTED_VALUE"""),"cam kết")</f>
        <v>cam kết</v>
      </c>
      <c r="P244" s="76"/>
      <c r="Q244" s="76"/>
      <c r="R244" s="76"/>
      <c r="S244" s="102">
        <f>IFERROR(__xludf.DUMMYFUNCTION("""COMPUTED_VALUE"""),45931.0)</f>
        <v>45931</v>
      </c>
      <c r="T244" s="76"/>
      <c r="U244" s="102" t="str">
        <f>IFERROR(__xludf.DUMMYFUNCTION("""COMPUTED_VALUE"""),"Đỗ Trần Thanh Loan")</f>
        <v>Đỗ Trần Thanh Loan</v>
      </c>
      <c r="V244" s="76" t="str">
        <f>IFERROR(__xludf.DUMMYFUNCTION("""COMPUTED_VALUE"""),"Quản Trị Khách Sạn &amp; Nhà Hàng (Đại Học)")</f>
        <v>Quản Trị Khách Sạn &amp; Nhà Hàng (Đại Học)</v>
      </c>
      <c r="W244" s="76" t="str">
        <f>IFERROR(__xludf.DUMMYFUNCTION("""COMPUTED_VALUE"""),"#N/A")</f>
        <v>#N/A</v>
      </c>
      <c r="X244" s="76" t="str">
        <f>IFERROR(__xludf.DUMMYFUNCTION("""COMPUTED_VALUE"""),"#N/A")</f>
        <v>#N/A</v>
      </c>
      <c r="Y244" s="76" t="str">
        <f>IFERROR(__xludf.DUMMYFUNCTION("""COMPUTED_VALUE"""),"#N/A")</f>
        <v>#N/A</v>
      </c>
      <c r="Z244" s="76" t="str">
        <f>IFERROR(__xludf.DUMMYFUNCTION("""COMPUTED_VALUE"""),"không đủ điều kiện")</f>
        <v>không đủ điều kiện</v>
      </c>
      <c r="AA244" s="76" t="str">
        <f>IFERROR(__xludf.DUMMYFUNCTION("""COMPUTED_VALUE"""),"loannthanh03@gmail.com")</f>
        <v>loannthanh03@gmail.com</v>
      </c>
      <c r="AB244" s="76"/>
      <c r="AC244" s="76"/>
    </row>
    <row r="245">
      <c r="A245" s="100">
        <f>IFERROR(__xludf.DUMMYFUNCTION("""COMPUTED_VALUE"""),45666.69521795139)</f>
        <v>45666.69522</v>
      </c>
      <c r="B245" s="76" t="str">
        <f>IFERROR(__xludf.DUMMYFUNCTION("""COMPUTED_VALUE"""),"dangletuongvy95@gmail.com")</f>
        <v>dangletuongvy95@gmail.com</v>
      </c>
      <c r="C245" s="76">
        <f>IFERROR(__xludf.DUMMYFUNCTION("""COMPUTED_VALUE"""),2.5207117065E10)</f>
        <v>25207117065</v>
      </c>
      <c r="D245" s="76" t="str">
        <f>IFERROR(__xludf.DUMMYFUNCTION("""COMPUTED_VALUE"""),"Đặng Lê Tường Vy ")</f>
        <v>Đặng Lê Tường Vy </v>
      </c>
      <c r="E245" s="101">
        <f>IFERROR(__xludf.DUMMYFUNCTION("""COMPUTED_VALUE"""),37020.0)</f>
        <v>37020</v>
      </c>
      <c r="F245" s="76" t="str">
        <f>IFERROR(__xludf.DUMMYFUNCTION("""COMPUTED_VALUE"""),"K25DLK23")</f>
        <v>K25DLK23</v>
      </c>
      <c r="G245" s="76" t="str">
        <f>IFERROR(__xludf.DUMMYFUNCTION("""COMPUTED_VALUE"""),"Quản trị Du lịch &amp; Khách sạn")</f>
        <v>Quản trị Du lịch &amp; Khách sạn</v>
      </c>
      <c r="H245" s="76" t="str">
        <f>IFERROR(__xludf.DUMMYFUNCTION("""COMPUTED_VALUE"""),"K25")</f>
        <v>K25</v>
      </c>
      <c r="I245" s="76" t="str">
        <f>IFERROR(__xludf.DUMMYFUNCTION("""COMPUTED_VALUE"""),"0906446583")</f>
        <v>0906446583</v>
      </c>
      <c r="J245" s="76">
        <f>IFERROR(__xludf.DUMMYFUNCTION("""COMPUTED_VALUE"""),3.23)</f>
        <v>3.23</v>
      </c>
      <c r="K245" s="76">
        <f>IFERROR(__xludf.DUMMYFUNCTION("""COMPUTED_VALUE"""),134.0)</f>
        <v>134</v>
      </c>
      <c r="L245" s="76" t="str">
        <f>IFERROR(__xludf.DUMMYFUNCTION("""COMPUTED_VALUE"""),"Rồi")</f>
        <v>Rồi</v>
      </c>
      <c r="M245" s="76" t="str">
        <f>IFERROR(__xludf.DUMMYFUNCTION("""COMPUTED_VALUE"""),"Thực tập tốt nghiệp")</f>
        <v>Thực tập tốt nghiệp</v>
      </c>
      <c r="N245" s="76">
        <f>IFERROR(__xludf.DUMMYFUNCTION("""COMPUTED_VALUE"""),0.0)</f>
        <v>0</v>
      </c>
      <c r="O245" s="76" t="str">
        <f>IFERROR(__xludf.DUMMYFUNCTION("""COMPUTED_VALUE"""),"cam kết")</f>
        <v>cam kết</v>
      </c>
      <c r="P245" s="76" t="str">
        <f>IFERROR(__xludf.DUMMYFUNCTION("""COMPUTED_VALUE"""),"ĐÃ NỘP")</f>
        <v>ĐÃ NỘP</v>
      </c>
      <c r="Q245" s="76" t="str">
        <f>IFERROR(__xludf.DUMMYFUNCTION("""COMPUTED_VALUE"""),"ĐÃ NỘP")</f>
        <v>ĐÃ NỘP</v>
      </c>
      <c r="R245" s="76">
        <f>IFERROR(__xludf.DUMMYFUNCTION("""COMPUTED_VALUE"""),41.0)</f>
        <v>41</v>
      </c>
      <c r="S245" s="76" t="str">
        <f>IFERROR(__xludf.DUMMYFUNCTION("""COMPUTED_VALUE"""),"14/01/2025")</f>
        <v>14/01/2025</v>
      </c>
      <c r="T245" s="76"/>
      <c r="U245" s="102" t="str">
        <f>IFERROR(__xludf.DUMMYFUNCTION("""COMPUTED_VALUE"""),"Đặng Lê Tường Vy")</f>
        <v>Đặng Lê Tường Vy</v>
      </c>
      <c r="V245" s="76" t="str">
        <f>IFERROR(__xludf.DUMMYFUNCTION("""COMPUTED_VALUE"""),"Quản Trị Khách Sạn &amp; Nhà Hàng (Đại Học)")</f>
        <v>Quản Trị Khách Sạn &amp; Nhà Hàng (Đại Học)</v>
      </c>
      <c r="W245" s="76" t="str">
        <f>IFERROR(__xludf.DUMMYFUNCTION("""COMPUTED_VALUE"""),"#N/A")</f>
        <v>#N/A</v>
      </c>
      <c r="X245" s="76" t="str">
        <f>IFERROR(__xludf.DUMMYFUNCTION("""COMPUTED_VALUE"""),"#N/A")</f>
        <v>#N/A</v>
      </c>
      <c r="Y245" s="76" t="str">
        <f>IFERROR(__xludf.DUMMYFUNCTION("""COMPUTED_VALUE"""),"#N/A")</f>
        <v>#N/A</v>
      </c>
      <c r="Z245" s="76" t="str">
        <f>IFERROR(__xludf.DUMMYFUNCTION("""COMPUTED_VALUE"""),"HỦY HỒ SƠ ĐĂNG KÝ THAM DỰ TỐT NGHIỆP ĐỢT 06/2025")</f>
        <v>HỦY HỒ SƠ ĐĂNG KÝ THAM DỰ TỐT NGHIỆP ĐỢT 06/2025</v>
      </c>
      <c r="AA245" s="76" t="str">
        <f>IFERROR(__xludf.DUMMYFUNCTION("""COMPUTED_VALUE"""),"dangletuongvy95@gmail.com")</f>
        <v>dangletuongvy95@gmail.com</v>
      </c>
      <c r="AB245" s="76"/>
      <c r="AC245" s="76"/>
    </row>
    <row r="246">
      <c r="A246" s="100">
        <f>IFERROR(__xludf.DUMMYFUNCTION("""COMPUTED_VALUE"""),45666.797560844905)</f>
        <v>45666.79756</v>
      </c>
      <c r="B246" s="76" t="str">
        <f>IFERROR(__xludf.DUMMYFUNCTION("""COMPUTED_VALUE"""),"luunguyencattuyen@gmail.com")</f>
        <v>luunguyencattuyen@gmail.com</v>
      </c>
      <c r="C246" s="76">
        <f>IFERROR(__xludf.DUMMYFUNCTION("""COMPUTED_VALUE"""),2.7202821012E10)</f>
        <v>27202821012</v>
      </c>
      <c r="D246" s="76" t="str">
        <f>IFERROR(__xludf.DUMMYFUNCTION("""COMPUTED_VALUE"""),"Lưu Nguyễn Cát Tuyên")</f>
        <v>Lưu Nguyễn Cát Tuyên</v>
      </c>
      <c r="E246" s="101">
        <f>IFERROR(__xludf.DUMMYFUNCTION("""COMPUTED_VALUE"""),37910.0)</f>
        <v>37910</v>
      </c>
      <c r="F246" s="76" t="str">
        <f>IFERROR(__xludf.DUMMYFUNCTION("""COMPUTED_VALUE"""),"K27DLK7")</f>
        <v>K27DLK7</v>
      </c>
      <c r="G246" s="76" t="str">
        <f>IFERROR(__xludf.DUMMYFUNCTION("""COMPUTED_VALUE"""),"Quản trị Du lịch &amp; Khách sạn")</f>
        <v>Quản trị Du lịch &amp; Khách sạn</v>
      </c>
      <c r="H246" s="76" t="str">
        <f>IFERROR(__xludf.DUMMYFUNCTION("""COMPUTED_VALUE"""),"K27")</f>
        <v>K27</v>
      </c>
      <c r="I246" s="76" t="str">
        <f>IFERROR(__xludf.DUMMYFUNCTION("""COMPUTED_VALUE"""),"0383685587")</f>
        <v>0383685587</v>
      </c>
      <c r="J246" s="76">
        <f>IFERROR(__xludf.DUMMYFUNCTION("""COMPUTED_VALUE"""),2.5)</f>
        <v>2.5</v>
      </c>
      <c r="K246" s="76">
        <f>IFERROR(__xludf.DUMMYFUNCTION("""COMPUTED_VALUE"""),116.0)</f>
        <v>116</v>
      </c>
      <c r="L246" s="76" t="str">
        <f>IFERROR(__xludf.DUMMYFUNCTION("""COMPUTED_VALUE"""),"Rồi")</f>
        <v>Rồi</v>
      </c>
      <c r="M246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46" s="76">
        <f>IFERROR(__xludf.DUMMYFUNCTION("""COMPUTED_VALUE"""),10.0)</f>
        <v>10</v>
      </c>
      <c r="O246" s="76" t="str">
        <f>IFERROR(__xludf.DUMMYFUNCTION("""COMPUTED_VALUE"""),"cam kết")</f>
        <v>cam kết</v>
      </c>
      <c r="P246" s="76"/>
      <c r="Q246" s="76"/>
      <c r="R246" s="76"/>
      <c r="S246" s="102">
        <f>IFERROR(__xludf.DUMMYFUNCTION("""COMPUTED_VALUE"""),45931.0)</f>
        <v>45931</v>
      </c>
      <c r="T246" s="76"/>
      <c r="U246" s="102" t="str">
        <f>IFERROR(__xludf.DUMMYFUNCTION("""COMPUTED_VALUE"""),"Lưu Nguyễn Cát Tuyên")</f>
        <v>Lưu Nguyễn Cát Tuyên</v>
      </c>
      <c r="V246" s="76" t="str">
        <f>IFERROR(__xludf.DUMMYFUNCTION("""COMPUTED_VALUE"""),"Quản Trị Khách Sạn &amp; Nhà Hàng (Đại Học)")</f>
        <v>Quản Trị Khách Sạn &amp; Nhà Hàng (Đại Học)</v>
      </c>
      <c r="W246" s="76" t="str">
        <f>IFERROR(__xludf.DUMMYFUNCTION("""COMPUTED_VALUE"""),"Renaissance Hoi An Resort &amp; Spa")</f>
        <v>Renaissance Hoi An Resort &amp; Spa</v>
      </c>
      <c r="X246" s="76" t="str">
        <f>IFERROR(__xludf.DUMMYFUNCTION("""COMPUTED_VALUE"""),"Buồng phòng")</f>
        <v>Buồng phòng</v>
      </c>
      <c r="Y246" s="76" t="str">
        <f>IFERROR(__xludf.DUMMYFUNCTION("""COMPUTED_VALUE"""),"DUYỆT")</f>
        <v>DUYỆT</v>
      </c>
      <c r="Z246" s="76" t="str">
        <f>IFERROR(__xludf.DUMMYFUNCTION("""COMPUTED_VALUE"""),"CHUYÊN ĐỀ")</f>
        <v>CHUYÊN ĐỀ</v>
      </c>
      <c r="AA246" s="76" t="str">
        <f>IFERROR(__xludf.DUMMYFUNCTION("""COMPUTED_VALUE"""),"luunguyencattuyen@gmail.com")</f>
        <v>luunguyencattuyen@gmail.com</v>
      </c>
      <c r="AB246" s="76"/>
      <c r="AC246" s="76"/>
    </row>
    <row r="247">
      <c r="A247" s="100">
        <f>IFERROR(__xludf.DUMMYFUNCTION("""COMPUTED_VALUE"""),45667.43648820602)</f>
        <v>45667.43649</v>
      </c>
      <c r="B247" s="76" t="str">
        <f>IFERROR(__xludf.DUMMYFUNCTION("""COMPUTED_VALUE"""),"trongvudna123@gmail.com")</f>
        <v>trongvudna123@gmail.com</v>
      </c>
      <c r="C247" s="76">
        <f>IFERROR(__xludf.DUMMYFUNCTION("""COMPUTED_VALUE"""),2.6217100821E10)</f>
        <v>26217100821</v>
      </c>
      <c r="D247" s="76" t="str">
        <f>IFERROR(__xludf.DUMMYFUNCTION("""COMPUTED_VALUE"""),"Đỗ Trọng Vũ ")</f>
        <v>Đỗ Trọng Vũ </v>
      </c>
      <c r="E247" s="101">
        <f>IFERROR(__xludf.DUMMYFUNCTION("""COMPUTED_VALUE"""),37328.0)</f>
        <v>37328</v>
      </c>
      <c r="F247" s="76" t="str">
        <f>IFERROR(__xludf.DUMMYFUNCTION("""COMPUTED_VALUE"""),"K26DLK13")</f>
        <v>K26DLK13</v>
      </c>
      <c r="G247" s="76" t="str">
        <f>IFERROR(__xludf.DUMMYFUNCTION("""COMPUTED_VALUE"""),"Quản trị Du lịch &amp; Khách sạn")</f>
        <v>Quản trị Du lịch &amp; Khách sạn</v>
      </c>
      <c r="H247" s="76" t="str">
        <f>IFERROR(__xludf.DUMMYFUNCTION("""COMPUTED_VALUE"""),"K26")</f>
        <v>K26</v>
      </c>
      <c r="I247" s="76" t="str">
        <f>IFERROR(__xludf.DUMMYFUNCTION("""COMPUTED_VALUE"""),"0905746203")</f>
        <v>0905746203</v>
      </c>
      <c r="J247" s="76">
        <f>IFERROR(__xludf.DUMMYFUNCTION("""COMPUTED_VALUE"""),2.69)</f>
        <v>2.69</v>
      </c>
      <c r="K247" s="76">
        <f>IFERROR(__xludf.DUMMYFUNCTION("""COMPUTED_VALUE"""),118.0)</f>
        <v>118</v>
      </c>
      <c r="L247" s="76" t="str">
        <f>IFERROR(__xludf.DUMMYFUNCTION("""COMPUTED_VALUE"""),"Rồi")</f>
        <v>Rồi</v>
      </c>
      <c r="M247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47" s="76">
        <f>IFERROR(__xludf.DUMMYFUNCTION("""COMPUTED_VALUE"""),11.0)</f>
        <v>11</v>
      </c>
      <c r="O247" s="76" t="str">
        <f>IFERROR(__xludf.DUMMYFUNCTION("""COMPUTED_VALUE"""),"cam kết")</f>
        <v>cam kết</v>
      </c>
      <c r="P247" s="76" t="str">
        <f>IFERROR(__xludf.DUMMYFUNCTION("""COMPUTED_VALUE"""),"ĐÃ NỘP")</f>
        <v>ĐÃ NỘP</v>
      </c>
      <c r="Q247" s="76" t="str">
        <f>IFERROR(__xludf.DUMMYFUNCTION("""COMPUTED_VALUE"""),"ĐÃ NỘP")</f>
        <v>ĐÃ NỘP</v>
      </c>
      <c r="R247" s="76">
        <f>IFERROR(__xludf.DUMMYFUNCTION("""COMPUTED_VALUE"""),42.0)</f>
        <v>42</v>
      </c>
      <c r="S247" s="76" t="str">
        <f>IFERROR(__xludf.DUMMYFUNCTION("""COMPUTED_VALUE"""),"18/01/2025")</f>
        <v>18/01/2025</v>
      </c>
      <c r="T247" s="76"/>
      <c r="U247" s="102" t="str">
        <f>IFERROR(__xludf.DUMMYFUNCTION("""COMPUTED_VALUE"""),"Đỗ Trọng Vũ")</f>
        <v>Đỗ Trọng Vũ</v>
      </c>
      <c r="V247" s="76" t="str">
        <f>IFERROR(__xludf.DUMMYFUNCTION("""COMPUTED_VALUE"""),"Quản Trị Khách Sạn &amp; Nhà Hàng (Đại Học)")</f>
        <v>Quản Trị Khách Sạn &amp; Nhà Hàng (Đại Học)</v>
      </c>
      <c r="W247" s="76" t="str">
        <f>IFERROR(__xludf.DUMMYFUNCTION("""COMPUTED_VALUE"""),"#N/A")</f>
        <v>#N/A</v>
      </c>
      <c r="X247" s="76" t="str">
        <f>IFERROR(__xludf.DUMMYFUNCTION("""COMPUTED_VALUE"""),"#N/A")</f>
        <v>#N/A</v>
      </c>
      <c r="Y247" s="76" t="str">
        <f>IFERROR(__xludf.DUMMYFUNCTION("""COMPUTED_VALUE"""),"#N/A")</f>
        <v>#N/A</v>
      </c>
      <c r="Z247" s="76" t="str">
        <f>IFERROR(__xludf.DUMMYFUNCTION("""COMPUTED_VALUE"""),"HỦY HỒ SƠ ĐĂNG KÝ THAM DỰ TỐT NGHIỆP ĐỢT 06/2025")</f>
        <v>HỦY HỒ SƠ ĐĂNG KÝ THAM DỰ TỐT NGHIỆP ĐỢT 06/2025</v>
      </c>
      <c r="AA247" s="76" t="str">
        <f>IFERROR(__xludf.DUMMYFUNCTION("""COMPUTED_VALUE"""),"trongvudna123@gmail.com")</f>
        <v>trongvudna123@gmail.com</v>
      </c>
      <c r="AB247" s="76"/>
      <c r="AC247" s="76"/>
    </row>
    <row r="248">
      <c r="A248" s="100">
        <f>IFERROR(__xludf.DUMMYFUNCTION("""COMPUTED_VALUE"""),45667.593246793986)</f>
        <v>45667.59325</v>
      </c>
      <c r="B248" s="76" t="str">
        <f>IFERROR(__xludf.DUMMYFUNCTION("""COMPUTED_VALUE"""),"nmy11.4m@gmail.com")</f>
        <v>nmy11.4m@gmail.com</v>
      </c>
      <c r="C248" s="76">
        <f>IFERROR(__xludf.DUMMYFUNCTION("""COMPUTED_VALUE"""),2.4207108486E10)</f>
        <v>24207108486</v>
      </c>
      <c r="D248" s="76" t="str">
        <f>IFERROR(__xludf.DUMMYFUNCTION("""COMPUTED_VALUE"""),"Nguyễn Thị Thuỳ Dương")</f>
        <v>Nguyễn Thị Thuỳ Dương</v>
      </c>
      <c r="E248" s="101">
        <f>IFERROR(__xludf.DUMMYFUNCTION("""COMPUTED_VALUE"""),36627.0)</f>
        <v>36627</v>
      </c>
      <c r="F248" s="76" t="str">
        <f>IFERROR(__xludf.DUMMYFUNCTION("""COMPUTED_VALUE"""),"K25PSUDLK15")</f>
        <v>K25PSUDLK15</v>
      </c>
      <c r="G248" s="76" t="str">
        <f>IFERROR(__xludf.DUMMYFUNCTION("""COMPUTED_VALUE"""),"Quản trị Du lịch &amp; Khách sạn chuẩn PSU")</f>
        <v>Quản trị Du lịch &amp; Khách sạn chuẩn PSU</v>
      </c>
      <c r="H248" s="76" t="str">
        <f>IFERROR(__xludf.DUMMYFUNCTION("""COMPUTED_VALUE"""),"K25")</f>
        <v>K25</v>
      </c>
      <c r="I248" s="76" t="str">
        <f>IFERROR(__xludf.DUMMYFUNCTION("""COMPUTED_VALUE"""),"0373114140")</f>
        <v>0373114140</v>
      </c>
      <c r="J248" s="76">
        <f>IFERROR(__xludf.DUMMYFUNCTION("""COMPUTED_VALUE"""),2.53)</f>
        <v>2.53</v>
      </c>
      <c r="K248" s="76">
        <f>IFERROR(__xludf.DUMMYFUNCTION("""COMPUTED_VALUE"""),149.0)</f>
        <v>149</v>
      </c>
      <c r="L248" s="76" t="str">
        <f>IFERROR(__xludf.DUMMYFUNCTION("""COMPUTED_VALUE"""),"Rồi")</f>
        <v>Rồi</v>
      </c>
      <c r="M248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48" s="76">
        <f>IFERROR(__xludf.DUMMYFUNCTION("""COMPUTED_VALUE"""),0.0)</f>
        <v>0</v>
      </c>
      <c r="O248" s="76" t="str">
        <f>IFERROR(__xludf.DUMMYFUNCTION("""COMPUTED_VALUE"""),"cam kết")</f>
        <v>cam kết</v>
      </c>
      <c r="P248" s="76"/>
      <c r="Q248" s="76" t="str">
        <f>IFERROR(__xludf.DUMMYFUNCTION("""COMPUTED_VALUE"""),"ĐÃ NỘP")</f>
        <v>ĐÃ NỘP</v>
      </c>
      <c r="R248" s="76">
        <f>IFERROR(__xludf.DUMMYFUNCTION("""COMPUTED_VALUE"""),43.0)</f>
        <v>43</v>
      </c>
      <c r="S248" s="102">
        <f>IFERROR(__xludf.DUMMYFUNCTION("""COMPUTED_VALUE"""),45993.0)</f>
        <v>45993</v>
      </c>
      <c r="T248" s="76"/>
      <c r="U248" s="102" t="str">
        <f>IFERROR(__xludf.DUMMYFUNCTION("""COMPUTED_VALUE"""),"Nguyễn Thị Thùy Dương")</f>
        <v>Nguyễn Thị Thùy Dương</v>
      </c>
      <c r="V248" s="76" t="str">
        <f>IFERROR(__xludf.DUMMYFUNCTION("""COMPUTED_VALUE"""),"Quản Trị Du Lịch &amp; Khách Sạn Chuẩn PSU (Đại Học)")</f>
        <v>Quản Trị Du Lịch &amp; Khách Sạn Chuẩn PSU (Đại Học)</v>
      </c>
      <c r="W248" s="76" t="str">
        <f>IFERROR(__xludf.DUMMYFUNCTION("""COMPUTED_VALUE"""),"Da Nang Mikazuki Japanese Resorts &amp; Spa")</f>
        <v>Da Nang Mikazuki Japanese Resorts &amp; Spa</v>
      </c>
      <c r="X248" s="76" t="str">
        <f>IFERROR(__xludf.DUMMYFUNCTION("""COMPUTED_VALUE"""),"Làm tất cả vị trí khi thực tập ở Water Park Mikazuki ")</f>
        <v>Làm tất cả vị trí khi thực tập ở Water Park Mikazuki </v>
      </c>
      <c r="Y248" s="76" t="str">
        <f>IFERROR(__xludf.DUMMYFUNCTION("""COMPUTED_VALUE"""),"KHÔNG DUYỆT")</f>
        <v>KHÔNG DUYỆT</v>
      </c>
      <c r="Z248" s="76" t="str">
        <f>IFERROR(__xludf.DUMMYFUNCTION("""COMPUTED_VALUE"""),"CHUYÊN ĐỀ")</f>
        <v>CHUYÊN ĐỀ</v>
      </c>
      <c r="AA248" s="76" t="str">
        <f>IFERROR(__xludf.DUMMYFUNCTION("""COMPUTED_VALUE"""),"nmy11.4m@gmail.com")</f>
        <v>nmy11.4m@gmail.com</v>
      </c>
      <c r="AB248" s="76"/>
      <c r="AC248" s="76"/>
    </row>
    <row r="249">
      <c r="A249" s="100">
        <f>IFERROR(__xludf.DUMMYFUNCTION("""COMPUTED_VALUE"""),45668.005386377314)</f>
        <v>45668.00539</v>
      </c>
      <c r="B249" s="76" t="str">
        <f>IFERROR(__xludf.DUMMYFUNCTION("""COMPUTED_VALUE"""),"dinhkhiemqtks@gmail.com")</f>
        <v>dinhkhiemqtks@gmail.com</v>
      </c>
      <c r="C249" s="76">
        <f>IFERROR(__xludf.DUMMYFUNCTION("""COMPUTED_VALUE"""),2.7217100634E10)</f>
        <v>27217100634</v>
      </c>
      <c r="D249" s="76" t="str">
        <f>IFERROR(__xludf.DUMMYFUNCTION("""COMPUTED_VALUE"""),"Huỳnh Đình Khiêm")</f>
        <v>Huỳnh Đình Khiêm</v>
      </c>
      <c r="E249" s="101">
        <f>IFERROR(__xludf.DUMMYFUNCTION("""COMPUTED_VALUE"""),37975.0)</f>
        <v>37975</v>
      </c>
      <c r="F249" s="76" t="str">
        <f>IFERROR(__xludf.DUMMYFUNCTION("""COMPUTED_VALUE"""),"K27DLK3")</f>
        <v>K27DLK3</v>
      </c>
      <c r="G249" s="76" t="str">
        <f>IFERROR(__xludf.DUMMYFUNCTION("""COMPUTED_VALUE"""),"Quản trị Du lịch &amp; Khách sạn")</f>
        <v>Quản trị Du lịch &amp; Khách sạn</v>
      </c>
      <c r="H249" s="76" t="str">
        <f>IFERROR(__xludf.DUMMYFUNCTION("""COMPUTED_VALUE"""),"K27")</f>
        <v>K27</v>
      </c>
      <c r="I249" s="76" t="str">
        <f>IFERROR(__xludf.DUMMYFUNCTION("""COMPUTED_VALUE"""),"0905980434")</f>
        <v>0905980434</v>
      </c>
      <c r="J249" s="76">
        <f>IFERROR(__xludf.DUMMYFUNCTION("""COMPUTED_VALUE"""),2.45)</f>
        <v>2.45</v>
      </c>
      <c r="K249" s="76">
        <f>IFERROR(__xludf.DUMMYFUNCTION("""COMPUTED_VALUE"""),108.0)</f>
        <v>108</v>
      </c>
      <c r="L249" s="76" t="str">
        <f>IFERROR(__xludf.DUMMYFUNCTION("""COMPUTED_VALUE"""),"Rồi")</f>
        <v>Rồi</v>
      </c>
      <c r="M249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49" s="76">
        <f>IFERROR(__xludf.DUMMYFUNCTION("""COMPUTED_VALUE"""),5.0)</f>
        <v>5</v>
      </c>
      <c r="O249" s="76" t="str">
        <f>IFERROR(__xludf.DUMMYFUNCTION("""COMPUTED_VALUE"""),"cam kết")</f>
        <v>cam kết</v>
      </c>
      <c r="P249" s="76"/>
      <c r="Q249" s="76"/>
      <c r="R249" s="76"/>
      <c r="S249" s="102">
        <f>IFERROR(__xludf.DUMMYFUNCTION("""COMPUTED_VALUE"""),45931.0)</f>
        <v>45931</v>
      </c>
      <c r="T249" s="76"/>
      <c r="U249" s="102" t="str">
        <f>IFERROR(__xludf.DUMMYFUNCTION("""COMPUTED_VALUE"""),"Huỳnh Đình Khiêm")</f>
        <v>Huỳnh Đình Khiêm</v>
      </c>
      <c r="V249" s="76" t="str">
        <f>IFERROR(__xludf.DUMMYFUNCTION("""COMPUTED_VALUE"""),"Quản Trị Khách Sạn &amp; Nhà Hàng (Đại Học)")</f>
        <v>Quản Trị Khách Sạn &amp; Nhà Hàng (Đại Học)</v>
      </c>
      <c r="W249" s="76" t="str">
        <f>IFERROR(__xludf.DUMMYFUNCTION("""COMPUTED_VALUE"""),"#N/A")</f>
        <v>#N/A</v>
      </c>
      <c r="X249" s="76" t="str">
        <f>IFERROR(__xludf.DUMMYFUNCTION("""COMPUTED_VALUE"""),"#N/A")</f>
        <v>#N/A</v>
      </c>
      <c r="Y249" s="76" t="str">
        <f>IFERROR(__xludf.DUMMYFUNCTION("""COMPUTED_VALUE"""),"#N/A")</f>
        <v>#N/A</v>
      </c>
      <c r="Z249" s="76" t="str">
        <f>IFERROR(__xludf.DUMMYFUNCTION("""COMPUTED_VALUE"""),"không đủ điều kiện")</f>
        <v>không đủ điều kiện</v>
      </c>
      <c r="AA249" s="76" t="str">
        <f>IFERROR(__xludf.DUMMYFUNCTION("""COMPUTED_VALUE"""),"dinhkhiemqtks@gmail.com")</f>
        <v>dinhkhiemqtks@gmail.com</v>
      </c>
      <c r="AB249" s="76"/>
      <c r="AC249" s="76"/>
    </row>
    <row r="250">
      <c r="A250" s="100">
        <f>IFERROR(__xludf.DUMMYFUNCTION("""COMPUTED_VALUE"""),45668.50224078704)</f>
        <v>45668.50224</v>
      </c>
      <c r="B250" s="76" t="str">
        <f>IFERROR(__xludf.DUMMYFUNCTION("""COMPUTED_VALUE"""),"kimjunminkim@gmail.com")</f>
        <v>kimjunminkim@gmail.com</v>
      </c>
      <c r="C250" s="76">
        <f>IFERROR(__xludf.DUMMYFUNCTION("""COMPUTED_VALUE"""),2.6217134576E10)</f>
        <v>26217134576</v>
      </c>
      <c r="D250" s="76" t="str">
        <f>IFERROR(__xludf.DUMMYFUNCTION("""COMPUTED_VALUE"""),"Trần Kim Anh Tú")</f>
        <v>Trần Kim Anh Tú</v>
      </c>
      <c r="E250" s="101">
        <f>IFERROR(__xludf.DUMMYFUNCTION("""COMPUTED_VALUE"""),37259.0)</f>
        <v>37259</v>
      </c>
      <c r="F250" s="76" t="str">
        <f>IFERROR(__xludf.DUMMYFUNCTION("""COMPUTED_VALUE"""),"K26PSUDLK2")</f>
        <v>K26PSUDLK2</v>
      </c>
      <c r="G250" s="76" t="str">
        <f>IFERROR(__xludf.DUMMYFUNCTION("""COMPUTED_VALUE"""),"Quản trị Du lịch &amp; Khách sạn chuẩn PSU")</f>
        <v>Quản trị Du lịch &amp; Khách sạn chuẩn PSU</v>
      </c>
      <c r="H250" s="76" t="str">
        <f>IFERROR(__xludf.DUMMYFUNCTION("""COMPUTED_VALUE"""),"K26")</f>
        <v>K26</v>
      </c>
      <c r="I250" s="76" t="str">
        <f>IFERROR(__xludf.DUMMYFUNCTION("""COMPUTED_VALUE"""),"0905084110")</f>
        <v>0905084110</v>
      </c>
      <c r="J250" s="76">
        <f>IFERROR(__xludf.DUMMYFUNCTION("""COMPUTED_VALUE"""),2.84)</f>
        <v>2.84</v>
      </c>
      <c r="K250" s="76">
        <f>IFERROR(__xludf.DUMMYFUNCTION("""COMPUTED_VALUE"""),133.0)</f>
        <v>133</v>
      </c>
      <c r="L250" s="76" t="str">
        <f>IFERROR(__xludf.DUMMYFUNCTION("""COMPUTED_VALUE"""),"Rồi")</f>
        <v>Rồi</v>
      </c>
      <c r="M250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50" s="76">
        <f>IFERROR(__xludf.DUMMYFUNCTION("""COMPUTED_VALUE"""),0.0)</f>
        <v>0</v>
      </c>
      <c r="O250" s="76" t="str">
        <f>IFERROR(__xludf.DUMMYFUNCTION("""COMPUTED_VALUE"""),"cam kết")</f>
        <v>cam kết</v>
      </c>
      <c r="P250" s="76" t="str">
        <f>IFERROR(__xludf.DUMMYFUNCTION("""COMPUTED_VALUE"""),"ĐÃ NỘP")</f>
        <v>ĐÃ NỘP</v>
      </c>
      <c r="Q250" s="76" t="str">
        <f>IFERROR(__xludf.DUMMYFUNCTION("""COMPUTED_VALUE"""),"ĐÃ NỘP")</f>
        <v>ĐÃ NỘP</v>
      </c>
      <c r="R250" s="76">
        <f>IFERROR(__xludf.DUMMYFUNCTION("""COMPUTED_VALUE"""),44.0)</f>
        <v>44</v>
      </c>
      <c r="S250" s="76" t="str">
        <f>IFERROR(__xludf.DUMMYFUNCTION("""COMPUTED_VALUE"""),"18/01/2025")</f>
        <v>18/01/2025</v>
      </c>
      <c r="T250" s="76"/>
      <c r="U250" s="102" t="str">
        <f>IFERROR(__xludf.DUMMYFUNCTION("""COMPUTED_VALUE"""),"Trần Kim Anh Tú")</f>
        <v>Trần Kim Anh Tú</v>
      </c>
      <c r="V250" s="76" t="str">
        <f>IFERROR(__xludf.DUMMYFUNCTION("""COMPUTED_VALUE"""),"Quản Trị Du Lịch &amp; Khách Sạn Chuẩn PSU (Đại Học)")</f>
        <v>Quản Trị Du Lịch &amp; Khách Sạn Chuẩn PSU (Đại Học)</v>
      </c>
      <c r="W250" s="76" t="str">
        <f>IFERROR(__xludf.DUMMYFUNCTION("""COMPUTED_VALUE"""),"Khách sạn Shilla Monogram Quangnam Danang")</f>
        <v>Khách sạn Shilla Monogram Quangnam Danang</v>
      </c>
      <c r="X250" s="76" t="str">
        <f>IFERROR(__xludf.DUMMYFUNCTION("""COMPUTED_VALUE"""),"Nhà hàng")</f>
        <v>Nhà hàng</v>
      </c>
      <c r="Y250" s="76" t="str">
        <f>IFERROR(__xludf.DUMMYFUNCTION("""COMPUTED_VALUE"""),"DUYỆT")</f>
        <v>DUYỆT</v>
      </c>
      <c r="Z250" s="76" t="str">
        <f>IFERROR(__xludf.DUMMYFUNCTION("""COMPUTED_VALUE"""),"CHUYÊN ĐỀ")</f>
        <v>CHUYÊN ĐỀ</v>
      </c>
      <c r="AA250" s="76" t="str">
        <f>IFERROR(__xludf.DUMMYFUNCTION("""COMPUTED_VALUE"""),"kimjunminkim@gmail.com")</f>
        <v>kimjunminkim@gmail.com</v>
      </c>
      <c r="AB250" s="76"/>
      <c r="AC250" s="76"/>
    </row>
    <row r="251">
      <c r="A251" s="100">
        <f>IFERROR(__xludf.DUMMYFUNCTION("""COMPUTED_VALUE"""),45668.66327070602)</f>
        <v>45668.66327</v>
      </c>
      <c r="B251" s="76" t="str">
        <f>IFERROR(__xludf.DUMMYFUNCTION("""COMPUTED_VALUE"""),"anhle.bc28@gmail.com")</f>
        <v>anhle.bc28@gmail.com</v>
      </c>
      <c r="C251" s="76">
        <f>IFERROR(__xludf.DUMMYFUNCTION("""COMPUTED_VALUE"""),2.7217146062E10)</f>
        <v>27217146062</v>
      </c>
      <c r="D251" s="76" t="str">
        <f>IFERROR(__xludf.DUMMYFUNCTION("""COMPUTED_VALUE"""),"Lê Quốc Anh")</f>
        <v>Lê Quốc Anh</v>
      </c>
      <c r="E251" s="101">
        <f>IFERROR(__xludf.DUMMYFUNCTION("""COMPUTED_VALUE"""),37830.0)</f>
        <v>37830</v>
      </c>
      <c r="F251" s="76" t="str">
        <f>IFERROR(__xludf.DUMMYFUNCTION("""COMPUTED_VALUE"""),"K27DLK7")</f>
        <v>K27DLK7</v>
      </c>
      <c r="G251" s="76" t="str">
        <f>IFERROR(__xludf.DUMMYFUNCTION("""COMPUTED_VALUE"""),"Quản trị Du lịch &amp; Khách sạn")</f>
        <v>Quản trị Du lịch &amp; Khách sạn</v>
      </c>
      <c r="H251" s="76" t="str">
        <f>IFERROR(__xludf.DUMMYFUNCTION("""COMPUTED_VALUE"""),"K27")</f>
        <v>K27</v>
      </c>
      <c r="I251" s="76" t="str">
        <f>IFERROR(__xludf.DUMMYFUNCTION("""COMPUTED_VALUE"""),"0789472807")</f>
        <v>0789472807</v>
      </c>
      <c r="J251" s="76">
        <f>IFERROR(__xludf.DUMMYFUNCTION("""COMPUTED_VALUE"""),2.92)</f>
        <v>2.92</v>
      </c>
      <c r="K251" s="76">
        <f>IFERROR(__xludf.DUMMYFUNCTION("""COMPUTED_VALUE"""),110.0)</f>
        <v>110</v>
      </c>
      <c r="L251" s="76" t="str">
        <f>IFERROR(__xludf.DUMMYFUNCTION("""COMPUTED_VALUE"""),"Rồi")</f>
        <v>Rồi</v>
      </c>
      <c r="M251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51" s="76">
        <f>IFERROR(__xludf.DUMMYFUNCTION("""COMPUTED_VALUE"""),19.0)</f>
        <v>19</v>
      </c>
      <c r="O251" s="76" t="str">
        <f>IFERROR(__xludf.DUMMYFUNCTION("""COMPUTED_VALUE"""),"cam kết")</f>
        <v>cam kết</v>
      </c>
      <c r="P251" s="76"/>
      <c r="Q251" s="76"/>
      <c r="R251" s="76"/>
      <c r="S251" s="76" t="str">
        <f>IFERROR(__xludf.DUMMYFUNCTION("""COMPUTED_VALUE"""),"14/01/2025")</f>
        <v>14/01/2025</v>
      </c>
      <c r="T251" s="76"/>
      <c r="U251" s="102" t="str">
        <f>IFERROR(__xludf.DUMMYFUNCTION("""COMPUTED_VALUE"""),"Lê Quốc Anh")</f>
        <v>Lê Quốc Anh</v>
      </c>
      <c r="V251" s="76" t="str">
        <f>IFERROR(__xludf.DUMMYFUNCTION("""COMPUTED_VALUE"""),"Quản Trị Khách Sạn &amp; Nhà Hàng (Đại Học)")</f>
        <v>Quản Trị Khách Sạn &amp; Nhà Hàng (Đại Học)</v>
      </c>
      <c r="W251" s="76" t="str">
        <f>IFERROR(__xludf.DUMMYFUNCTION("""COMPUTED_VALUE"""),"Grand Mercure Đà Nẵng")</f>
        <v>Grand Mercure Đà Nẵng</v>
      </c>
      <c r="X251" s="76" t="str">
        <f>IFERROR(__xludf.DUMMYFUNCTION("""COMPUTED_VALUE"""),"Nhà hàng")</f>
        <v>Nhà hàng</v>
      </c>
      <c r="Y251" s="76" t="str">
        <f>IFERROR(__xludf.DUMMYFUNCTION("""COMPUTED_VALUE"""),"DUYỆT")</f>
        <v>DUYỆT</v>
      </c>
      <c r="Z251" s="76" t="str">
        <f>IFERROR(__xludf.DUMMYFUNCTION("""COMPUTED_VALUE"""),"CHUYÊN ĐỀ")</f>
        <v>CHUYÊN ĐỀ</v>
      </c>
      <c r="AA251" s="76" t="str">
        <f>IFERROR(__xludf.DUMMYFUNCTION("""COMPUTED_VALUE"""),"anhle.bc28@gmail.com")</f>
        <v>anhle.bc28@gmail.com</v>
      </c>
      <c r="AB251" s="76"/>
      <c r="AC251" s="76"/>
    </row>
    <row r="252">
      <c r="A252" s="100">
        <f>IFERROR(__xludf.DUMMYFUNCTION("""COMPUTED_VALUE"""),45669.656325081014)</f>
        <v>45669.65633</v>
      </c>
      <c r="B252" s="76" t="str">
        <f>IFERROR(__xludf.DUMMYFUNCTION("""COMPUTED_VALUE"""),"thaoly53b@gmail.com")</f>
        <v>thaoly53b@gmail.com</v>
      </c>
      <c r="C252" s="76">
        <f>IFERROR(__xludf.DUMMYFUNCTION("""COMPUTED_VALUE"""),2.5207108683E10)</f>
        <v>25207108683</v>
      </c>
      <c r="D252" s="76" t="str">
        <f>IFERROR(__xludf.DUMMYFUNCTION("""COMPUTED_VALUE"""),"Nguyễn Thị Thảo Ly")</f>
        <v>Nguyễn Thị Thảo Ly</v>
      </c>
      <c r="E252" s="101">
        <f>IFERROR(__xludf.DUMMYFUNCTION("""COMPUTED_VALUE"""),36960.0)</f>
        <v>36960</v>
      </c>
      <c r="F252" s="76" t="str">
        <f>IFERROR(__xludf.DUMMYFUNCTION("""COMPUTED_VALUE"""),"K28PSUDLK 3")</f>
        <v>K28PSUDLK 3</v>
      </c>
      <c r="G252" s="76" t="str">
        <f>IFERROR(__xludf.DUMMYFUNCTION("""COMPUTED_VALUE"""),"Quản trị Du lịch &amp; Khách sạn chuẩn PSU")</f>
        <v>Quản trị Du lịch &amp; Khách sạn chuẩn PSU</v>
      </c>
      <c r="H252" s="76" t="str">
        <f>IFERROR(__xludf.DUMMYFUNCTION("""COMPUTED_VALUE"""),"K28")</f>
        <v>K28</v>
      </c>
      <c r="I252" s="76" t="str">
        <f>IFERROR(__xludf.DUMMYFUNCTION("""COMPUTED_VALUE"""),"0706702940")</f>
        <v>0706702940</v>
      </c>
      <c r="J252" s="76">
        <f>IFERROR(__xludf.DUMMYFUNCTION("""COMPUTED_VALUE"""),3.52)</f>
        <v>3.52</v>
      </c>
      <c r="K252" s="76">
        <f>IFERROR(__xludf.DUMMYFUNCTION("""COMPUTED_VALUE"""),131.0)</f>
        <v>131</v>
      </c>
      <c r="L252" s="76" t="str">
        <f>IFERROR(__xludf.DUMMYFUNCTION("""COMPUTED_VALUE"""),"Rồi")</f>
        <v>Rồi</v>
      </c>
      <c r="M252" s="76" t="str">
        <f>IFERROR(__xludf.DUMMYFUNCTION("""COMPUTED_VALUE"""),"Thực tập tốt nghiệp")</f>
        <v>Thực tập tốt nghiệp</v>
      </c>
      <c r="N252" s="76">
        <f>IFERROR(__xludf.DUMMYFUNCTION("""COMPUTED_VALUE"""),3.0)</f>
        <v>3</v>
      </c>
      <c r="O252" s="76" t="str">
        <f>IFERROR(__xludf.DUMMYFUNCTION("""COMPUTED_VALUE"""),"cam kết")</f>
        <v>cam kết</v>
      </c>
      <c r="P252" s="76"/>
      <c r="Q252" s="76" t="str">
        <f>IFERROR(__xludf.DUMMYFUNCTION("""COMPUTED_VALUE"""),"CHƯA NỘP")</f>
        <v>CHƯA NỘP</v>
      </c>
      <c r="R252" s="76"/>
      <c r="S252" s="76"/>
      <c r="T252" s="76" t="str">
        <f>IFERROR(__xludf.DUMMYFUNCTION("""COMPUTED_VALUE"""),"SV phải hoàn thành  PSU-ACC 202 mới đủ điều kiện thực tập")</f>
        <v>SV phải hoàn thành  PSU-ACC 202 mới đủ điều kiện thực tập</v>
      </c>
      <c r="U252" s="102" t="str">
        <f>IFERROR(__xludf.DUMMYFUNCTION("""COMPUTED_VALUE"""),"Nguyễn Thị Thảo Ly")</f>
        <v>Nguyễn Thị Thảo Ly</v>
      </c>
      <c r="V252" s="76" t="str">
        <f>IFERROR(__xludf.DUMMYFUNCTION("""COMPUTED_VALUE"""),"Quản Trị Du Lịch &amp; Khách Sạn Chuẩn PSU (Đại Học)")</f>
        <v>Quản Trị Du Lịch &amp; Khách Sạn Chuẩn PSU (Đại Học)</v>
      </c>
      <c r="W252" s="76" t="str">
        <f>IFERROR(__xludf.DUMMYFUNCTION("""COMPUTED_VALUE"""),"#N/A")</f>
        <v>#N/A</v>
      </c>
      <c r="X252" s="76" t="str">
        <f>IFERROR(__xludf.DUMMYFUNCTION("""COMPUTED_VALUE"""),"#N/A")</f>
        <v>#N/A</v>
      </c>
      <c r="Y252" s="76" t="str">
        <f>IFERROR(__xludf.DUMMYFUNCTION("""COMPUTED_VALUE"""),"#N/A")</f>
        <v>#N/A</v>
      </c>
      <c r="Z252" s="76" t="str">
        <f>IFERROR(__xludf.DUMMYFUNCTION("""COMPUTED_VALUE"""),"HỦY HỒ SƠ ĐĂNG KÝ THAM DỰ TỐT NGHIỆP ĐỢT 06/2025")</f>
        <v>HỦY HỒ SƠ ĐĂNG KÝ THAM DỰ TỐT NGHIỆP ĐỢT 06/2025</v>
      </c>
      <c r="AA252" s="76" t="str">
        <f>IFERROR(__xludf.DUMMYFUNCTION("""COMPUTED_VALUE"""),"thaoly53b@gmail.com")</f>
        <v>thaoly53b@gmail.com</v>
      </c>
      <c r="AB252" s="76"/>
      <c r="AC252" s="76"/>
    </row>
    <row r="253">
      <c r="A253" s="100">
        <f>IFERROR(__xludf.DUMMYFUNCTION("""COMPUTED_VALUE"""),45670.448972777776)</f>
        <v>45670.44897</v>
      </c>
      <c r="B253" s="76" t="str">
        <f>IFERROR(__xludf.DUMMYFUNCTION("""COMPUTED_VALUE"""),"Trandinhtanhao3@gmail.com")</f>
        <v>Trandinhtanhao3@gmail.com</v>
      </c>
      <c r="C253" s="76">
        <f>IFERROR(__xludf.DUMMYFUNCTION("""COMPUTED_VALUE"""),2.5217207909E10)</f>
        <v>25217207909</v>
      </c>
      <c r="D253" s="76" t="str">
        <f>IFERROR(__xludf.DUMMYFUNCTION("""COMPUTED_VALUE"""),"Trần Đình Tấn Hào ")</f>
        <v>Trần Đình Tấn Hào </v>
      </c>
      <c r="E253" s="101">
        <f>IFERROR(__xludf.DUMMYFUNCTION("""COMPUTED_VALUE"""),37227.0)</f>
        <v>37227</v>
      </c>
      <c r="F253" s="76" t="str">
        <f>IFERROR(__xludf.DUMMYFUNCTION("""COMPUTED_VALUE"""),"K26PSUDLK")</f>
        <v>K26PSUDLK</v>
      </c>
      <c r="G253" s="76" t="str">
        <f>IFERROR(__xludf.DUMMYFUNCTION("""COMPUTED_VALUE"""),"Quản trị Du lịch &amp; Khách sạn chuẩn PSU")</f>
        <v>Quản trị Du lịch &amp; Khách sạn chuẩn PSU</v>
      </c>
      <c r="H253" s="76" t="str">
        <f>IFERROR(__xludf.DUMMYFUNCTION("""COMPUTED_VALUE"""),"K26")</f>
        <v>K26</v>
      </c>
      <c r="I253" s="76" t="str">
        <f>IFERROR(__xludf.DUMMYFUNCTION("""COMPUTED_VALUE"""),"0793643674")</f>
        <v>0793643674</v>
      </c>
      <c r="J253" s="76">
        <f>IFERROR(__xludf.DUMMYFUNCTION("""COMPUTED_VALUE"""),2.91)</f>
        <v>2.91</v>
      </c>
      <c r="K253" s="76">
        <f>IFERROR(__xludf.DUMMYFUNCTION("""COMPUTED_VALUE"""),138.0)</f>
        <v>138</v>
      </c>
      <c r="L253" s="76" t="str">
        <f>IFERROR(__xludf.DUMMYFUNCTION("""COMPUTED_VALUE"""),"Rồi")</f>
        <v>Rồi</v>
      </c>
      <c r="M253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53" s="76">
        <f>IFERROR(__xludf.DUMMYFUNCTION("""COMPUTED_VALUE"""),0.0)</f>
        <v>0</v>
      </c>
      <c r="O253" s="76" t="str">
        <f>IFERROR(__xludf.DUMMYFUNCTION("""COMPUTED_VALUE"""),"cam kết")</f>
        <v>cam kết</v>
      </c>
      <c r="P253" s="76" t="str">
        <f>IFERROR(__xludf.DUMMYFUNCTION("""COMPUTED_VALUE"""),"ĐÃ NỘP")</f>
        <v>ĐÃ NỘP</v>
      </c>
      <c r="Q253" s="76" t="str">
        <f>IFERROR(__xludf.DUMMYFUNCTION("""COMPUTED_VALUE"""),"ĐÃ NỘP")</f>
        <v>ĐÃ NỘP</v>
      </c>
      <c r="R253" s="76">
        <f>IFERROR(__xludf.DUMMYFUNCTION("""COMPUTED_VALUE"""),45.0)</f>
        <v>45</v>
      </c>
      <c r="S253" s="76" t="str">
        <f>IFERROR(__xludf.DUMMYFUNCTION("""COMPUTED_VALUE"""),"14/01/2025")</f>
        <v>14/01/2025</v>
      </c>
      <c r="T253" s="76"/>
      <c r="U253" s="102" t="str">
        <f>IFERROR(__xludf.DUMMYFUNCTION("""COMPUTED_VALUE"""),"Trần Đình Tấn Hào")</f>
        <v>Trần Đình Tấn Hào</v>
      </c>
      <c r="V253" s="76" t="str">
        <f>IFERROR(__xludf.DUMMYFUNCTION("""COMPUTED_VALUE"""),"Quản Trị Du Lịch &amp; Khách Sạn Chuẩn PSU (Đại Học)")</f>
        <v>Quản Trị Du Lịch &amp; Khách Sạn Chuẩn PSU (Đại Học)</v>
      </c>
      <c r="W253" s="76" t="str">
        <f>IFERROR(__xludf.DUMMYFUNCTION("""COMPUTED_VALUE"""),"Premier Village Danang Resort")</f>
        <v>Premier Village Danang Resort</v>
      </c>
      <c r="X253" s="76" t="str">
        <f>IFERROR(__xludf.DUMMYFUNCTION("""COMPUTED_VALUE"""),"Nhà hàng")</f>
        <v>Nhà hàng</v>
      </c>
      <c r="Y253" s="76" t="str">
        <f>IFERROR(__xludf.DUMMYFUNCTION("""COMPUTED_VALUE"""),"DUYỆT")</f>
        <v>DUYỆT</v>
      </c>
      <c r="Z253" s="76" t="str">
        <f>IFERROR(__xludf.DUMMYFUNCTION("""COMPUTED_VALUE"""),"CHUYÊN ĐỀ")</f>
        <v>CHUYÊN ĐỀ</v>
      </c>
      <c r="AA253" s="76" t="str">
        <f>IFERROR(__xludf.DUMMYFUNCTION("""COMPUTED_VALUE"""),"Trandinhtanhao3@gmail.com")</f>
        <v>Trandinhtanhao3@gmail.com</v>
      </c>
      <c r="AB253" s="76"/>
      <c r="AC253" s="76"/>
    </row>
    <row r="254">
      <c r="A254" s="100">
        <f>IFERROR(__xludf.DUMMYFUNCTION("""COMPUTED_VALUE"""),45670.53136916667)</f>
        <v>45670.53137</v>
      </c>
      <c r="B254" s="76" t="str">
        <f>IFERROR(__xludf.DUMMYFUNCTION("""COMPUTED_VALUE"""),"oriongalaxy2003@gmail.com")</f>
        <v>oriongalaxy2003@gmail.com</v>
      </c>
      <c r="C254" s="76">
        <f>IFERROR(__xludf.DUMMYFUNCTION("""COMPUTED_VALUE"""),2.7213239364E10)</f>
        <v>27213239364</v>
      </c>
      <c r="D254" s="76" t="str">
        <f>IFERROR(__xludf.DUMMYFUNCTION("""COMPUTED_VALUE"""),"Nguyễn Thịnh ")</f>
        <v>Nguyễn Thịnh </v>
      </c>
      <c r="E254" s="101">
        <f>IFERROR(__xludf.DUMMYFUNCTION("""COMPUTED_VALUE"""),37925.0)</f>
        <v>37925</v>
      </c>
      <c r="F254" s="76" t="str">
        <f>IFERROR(__xludf.DUMMYFUNCTION("""COMPUTED_VALUE"""),"K27DLK2")</f>
        <v>K27DLK2</v>
      </c>
      <c r="G254" s="76" t="str">
        <f>IFERROR(__xludf.DUMMYFUNCTION("""COMPUTED_VALUE"""),"Quản trị Du lịch &amp; Khách sạn")</f>
        <v>Quản trị Du lịch &amp; Khách sạn</v>
      </c>
      <c r="H254" s="76" t="str">
        <f>IFERROR(__xludf.DUMMYFUNCTION("""COMPUTED_VALUE"""),"K27")</f>
        <v>K27</v>
      </c>
      <c r="I254" s="76" t="str">
        <f>IFERROR(__xludf.DUMMYFUNCTION("""COMPUTED_VALUE"""),"0899493908")</f>
        <v>0899493908</v>
      </c>
      <c r="J254" s="76">
        <f>IFERROR(__xludf.DUMMYFUNCTION("""COMPUTED_VALUE"""),2.69)</f>
        <v>2.69</v>
      </c>
      <c r="K254" s="76">
        <f>IFERROR(__xludf.DUMMYFUNCTION("""COMPUTED_VALUE"""),108.0)</f>
        <v>108</v>
      </c>
      <c r="L254" s="76" t="str">
        <f>IFERROR(__xludf.DUMMYFUNCTION("""COMPUTED_VALUE"""),"Rồi")</f>
        <v>Rồi</v>
      </c>
      <c r="M254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54" s="76">
        <f>IFERROR(__xludf.DUMMYFUNCTION("""COMPUTED_VALUE"""),23.0)</f>
        <v>23</v>
      </c>
      <c r="O254" s="76" t="str">
        <f>IFERROR(__xludf.DUMMYFUNCTION("""COMPUTED_VALUE"""),"cam kết")</f>
        <v>cam kết</v>
      </c>
      <c r="P254" s="76"/>
      <c r="Q254" s="76"/>
      <c r="R254" s="76"/>
      <c r="S254" s="76" t="str">
        <f>IFERROR(__xludf.DUMMYFUNCTION("""COMPUTED_VALUE"""),"14/01/2025")</f>
        <v>14/01/2025</v>
      </c>
      <c r="T254" s="76"/>
      <c r="U254" s="102" t="str">
        <f>IFERROR(__xludf.DUMMYFUNCTION("""COMPUTED_VALUE"""),"Nguyễn Thịnh")</f>
        <v>Nguyễn Thịnh</v>
      </c>
      <c r="V254" s="76" t="str">
        <f>IFERROR(__xludf.DUMMYFUNCTION("""COMPUTED_VALUE"""),"Quản Trị Khách Sạn &amp; Nhà Hàng (Đại Học)")</f>
        <v>Quản Trị Khách Sạn &amp; Nhà Hàng (Đại Học)</v>
      </c>
      <c r="W254" s="76" t="str">
        <f>IFERROR(__xludf.DUMMYFUNCTION("""COMPUTED_VALUE"""),"#N/A")</f>
        <v>#N/A</v>
      </c>
      <c r="X254" s="76" t="str">
        <f>IFERROR(__xludf.DUMMYFUNCTION("""COMPUTED_VALUE"""),"#N/A")</f>
        <v>#N/A</v>
      </c>
      <c r="Y254" s="76" t="str">
        <f>IFERROR(__xludf.DUMMYFUNCTION("""COMPUTED_VALUE"""),"#N/A")</f>
        <v>#N/A</v>
      </c>
      <c r="Z254" s="76" t="str">
        <f>IFERROR(__xludf.DUMMYFUNCTION("""COMPUTED_VALUE"""),"CHUYÊN ĐỀ")</f>
        <v>CHUYÊN ĐỀ</v>
      </c>
      <c r="AA254" s="76" t="str">
        <f>IFERROR(__xludf.DUMMYFUNCTION("""COMPUTED_VALUE"""),"oriongalaxy2003@gmail.com")</f>
        <v>oriongalaxy2003@gmail.com</v>
      </c>
      <c r="AB254" s="76"/>
      <c r="AC254" s="76"/>
    </row>
    <row r="255">
      <c r="A255" s="100">
        <f>IFERROR(__xludf.DUMMYFUNCTION("""COMPUTED_VALUE"""),45670.77561846065)</f>
        <v>45670.77562</v>
      </c>
      <c r="B255" s="76" t="str">
        <f>IFERROR(__xludf.DUMMYFUNCTION("""COMPUTED_VALUE"""),"truongthanhlong1809@gmail.com")</f>
        <v>truongthanhlong1809@gmail.com</v>
      </c>
      <c r="C255" s="76">
        <f>IFERROR(__xludf.DUMMYFUNCTION("""COMPUTED_VALUE"""),2.6211031383E10)</f>
        <v>26211031383</v>
      </c>
      <c r="D255" s="76" t="str">
        <f>IFERROR(__xludf.DUMMYFUNCTION("""COMPUTED_VALUE"""),"Trương Thành Long ")</f>
        <v>Trương Thành Long </v>
      </c>
      <c r="E255" s="101">
        <f>IFERROR(__xludf.DUMMYFUNCTION("""COMPUTED_VALUE"""),37152.0)</f>
        <v>37152</v>
      </c>
      <c r="F255" s="76" t="str">
        <f>IFERROR(__xludf.DUMMYFUNCTION("""COMPUTED_VALUE"""),"K26DLK4")</f>
        <v>K26DLK4</v>
      </c>
      <c r="G255" s="76" t="str">
        <f>IFERROR(__xludf.DUMMYFUNCTION("""COMPUTED_VALUE"""),"Quản trị Du lịch &amp; Khách sạn")</f>
        <v>Quản trị Du lịch &amp; Khách sạn</v>
      </c>
      <c r="H255" s="76" t="str">
        <f>IFERROR(__xludf.DUMMYFUNCTION("""COMPUTED_VALUE"""),"K26")</f>
        <v>K26</v>
      </c>
      <c r="I255" s="76" t="str">
        <f>IFERROR(__xludf.DUMMYFUNCTION("""COMPUTED_VALUE"""),"0522863461")</f>
        <v>0522863461</v>
      </c>
      <c r="J255" s="76">
        <f>IFERROR(__xludf.DUMMYFUNCTION("""COMPUTED_VALUE"""),2.76)</f>
        <v>2.76</v>
      </c>
      <c r="K255" s="76">
        <f>IFERROR(__xludf.DUMMYFUNCTION("""COMPUTED_VALUE"""),136.0)</f>
        <v>136</v>
      </c>
      <c r="L255" s="76" t="str">
        <f>IFERROR(__xludf.DUMMYFUNCTION("""COMPUTED_VALUE"""),"Rồi")</f>
        <v>Rồi</v>
      </c>
      <c r="M255" s="76" t="str">
        <f>IFERROR(__xludf.DUMMYFUNCTION("""COMPUTED_VALUE"""),"Thực tập tốt nghiệp")</f>
        <v>Thực tập tốt nghiệp</v>
      </c>
      <c r="N255" s="76">
        <f>IFERROR(__xludf.DUMMYFUNCTION("""COMPUTED_VALUE"""),0.0)</f>
        <v>0</v>
      </c>
      <c r="O255" s="76" t="str">
        <f>IFERROR(__xludf.DUMMYFUNCTION("""COMPUTED_VALUE"""),"cam kết")</f>
        <v>cam kết</v>
      </c>
      <c r="P255" s="76" t="str">
        <f>IFERROR(__xludf.DUMMYFUNCTION("""COMPUTED_VALUE"""),"ĐÃ NỘP")</f>
        <v>ĐÃ NỘP</v>
      </c>
      <c r="Q255" s="76" t="str">
        <f>IFERROR(__xludf.DUMMYFUNCTION("""COMPUTED_VALUE"""),"ĐÃ NỘP")</f>
        <v>ĐÃ NỘP</v>
      </c>
      <c r="R255" s="76">
        <f>IFERROR(__xludf.DUMMYFUNCTION("""COMPUTED_VALUE"""),46.0)</f>
        <v>46</v>
      </c>
      <c r="S255" s="76" t="str">
        <f>IFERROR(__xludf.DUMMYFUNCTION("""COMPUTED_VALUE"""),"14/01/2025")</f>
        <v>14/01/2025</v>
      </c>
      <c r="T255" s="76"/>
      <c r="U255" s="102" t="str">
        <f>IFERROR(__xludf.DUMMYFUNCTION("""COMPUTED_VALUE"""),"Trương Thành Long")</f>
        <v>Trương Thành Long</v>
      </c>
      <c r="V255" s="76" t="str">
        <f>IFERROR(__xludf.DUMMYFUNCTION("""COMPUTED_VALUE"""),"Quản Trị Khách Sạn &amp; Nhà Hàng (Đại Học)")</f>
        <v>Quản Trị Khách Sạn &amp; Nhà Hàng (Đại Học)</v>
      </c>
      <c r="W255" s="76" t="str">
        <f>IFERROR(__xludf.DUMMYFUNCTION("""COMPUTED_VALUE"""),"Crowne Plaza Danang")</f>
        <v>Crowne Plaza Danang</v>
      </c>
      <c r="X255" s="76" t="str">
        <f>IFERROR(__xludf.DUMMYFUNCTION("""COMPUTED_VALUE"""),"Nhà hàng")</f>
        <v>Nhà hàng</v>
      </c>
      <c r="Y255" s="76" t="str">
        <f>IFERROR(__xludf.DUMMYFUNCTION("""COMPUTED_VALUE"""),"DUYỆT")</f>
        <v>DUYỆT</v>
      </c>
      <c r="Z255" s="76" t="str">
        <f>IFERROR(__xludf.DUMMYFUNCTION("""COMPUTED_VALUE"""),"CHUYÊN ĐỀ")</f>
        <v>CHUYÊN ĐỀ</v>
      </c>
      <c r="AA255" s="76" t="str">
        <f>IFERROR(__xludf.DUMMYFUNCTION("""COMPUTED_VALUE"""),"truongthanhlong1809@gmail.com")</f>
        <v>truongthanhlong1809@gmail.com</v>
      </c>
      <c r="AB255" s="76"/>
      <c r="AC255" s="76"/>
    </row>
    <row r="256">
      <c r="A256" s="100">
        <f>IFERROR(__xludf.DUMMYFUNCTION("""COMPUTED_VALUE"""),45671.03773740741)</f>
        <v>45671.03774</v>
      </c>
      <c r="B256" s="76" t="str">
        <f>IFERROR(__xludf.DUMMYFUNCTION("""COMPUTED_VALUE"""),"nguyenminhphuong30121611@gmail.com")</f>
        <v>nguyenminhphuong30121611@gmail.com</v>
      </c>
      <c r="C256" s="76">
        <f>IFERROR(__xludf.DUMMYFUNCTION("""COMPUTED_VALUE"""),2.620712583E10)</f>
        <v>26207125830</v>
      </c>
      <c r="D256" s="76" t="str">
        <f>IFERROR(__xludf.DUMMYFUNCTION("""COMPUTED_VALUE"""),"Nguyễn Minh Phương")</f>
        <v>Nguyễn Minh Phương</v>
      </c>
      <c r="E256" s="101">
        <f>IFERROR(__xludf.DUMMYFUNCTION("""COMPUTED_VALUE"""),37576.0)</f>
        <v>37576</v>
      </c>
      <c r="F256" s="76" t="str">
        <f>IFERROR(__xludf.DUMMYFUNCTION("""COMPUTED_VALUE"""),"K26DLK10")</f>
        <v>K26DLK10</v>
      </c>
      <c r="G256" s="76" t="str">
        <f>IFERROR(__xludf.DUMMYFUNCTION("""COMPUTED_VALUE"""),"Quản trị Du lịch &amp; Khách sạn")</f>
        <v>Quản trị Du lịch &amp; Khách sạn</v>
      </c>
      <c r="H256" s="76" t="str">
        <f>IFERROR(__xludf.DUMMYFUNCTION("""COMPUTED_VALUE"""),"K26")</f>
        <v>K26</v>
      </c>
      <c r="I256" s="76" t="str">
        <f>IFERROR(__xludf.DUMMYFUNCTION("""COMPUTED_VALUE"""),"0775464998")</f>
        <v>0775464998</v>
      </c>
      <c r="J256" s="76">
        <f>IFERROR(__xludf.DUMMYFUNCTION("""COMPUTED_VALUE"""),2.44)</f>
        <v>2.44</v>
      </c>
      <c r="K256" s="76">
        <f>IFERROR(__xludf.DUMMYFUNCTION("""COMPUTED_VALUE"""),136.0)</f>
        <v>136</v>
      </c>
      <c r="L256" s="76" t="str">
        <f>IFERROR(__xludf.DUMMYFUNCTION("""COMPUTED_VALUE"""),"Rồi")</f>
        <v>Rồi</v>
      </c>
      <c r="M256" s="76" t="str">
        <f>IFERROR(__xludf.DUMMYFUNCTION("""COMPUTED_VALUE"""),"Thực tập tốt nghiệp")</f>
        <v>Thực tập tốt nghiệp</v>
      </c>
      <c r="N256" s="76">
        <f>IFERROR(__xludf.DUMMYFUNCTION("""COMPUTED_VALUE"""),0.0)</f>
        <v>0</v>
      </c>
      <c r="O256" s="76" t="str">
        <f>IFERROR(__xludf.DUMMYFUNCTION("""COMPUTED_VALUE"""),"cam kết")</f>
        <v>cam kết</v>
      </c>
      <c r="P256" s="76" t="str">
        <f>IFERROR(__xludf.DUMMYFUNCTION("""COMPUTED_VALUE"""),"ĐÃ NỘP")</f>
        <v>ĐÃ NỘP</v>
      </c>
      <c r="Q256" s="76" t="str">
        <f>IFERROR(__xludf.DUMMYFUNCTION("""COMPUTED_VALUE"""),"ĐÃ NỘP")</f>
        <v>ĐÃ NỘP</v>
      </c>
      <c r="R256" s="76">
        <f>IFERROR(__xludf.DUMMYFUNCTION("""COMPUTED_VALUE"""),48.0)</f>
        <v>48</v>
      </c>
      <c r="S256" s="76" t="str">
        <f>IFERROR(__xludf.DUMMYFUNCTION("""COMPUTED_VALUE"""),"18/01/2025")</f>
        <v>18/01/2025</v>
      </c>
      <c r="T256" s="76"/>
      <c r="U256" s="102" t="str">
        <f>IFERROR(__xludf.DUMMYFUNCTION("""COMPUTED_VALUE"""),"Nguyễn Minh Phương")</f>
        <v>Nguyễn Minh Phương</v>
      </c>
      <c r="V256" s="76" t="str">
        <f>IFERROR(__xludf.DUMMYFUNCTION("""COMPUTED_VALUE"""),"Quản Trị Khách Sạn &amp; Nhà Hàng (Đại Học)")</f>
        <v>Quản Trị Khách Sạn &amp; Nhà Hàng (Đại Học)</v>
      </c>
      <c r="W256" s="76" t="str">
        <f>IFERROR(__xludf.DUMMYFUNCTION("""COMPUTED_VALUE"""),"Premier Village Danang Resort")</f>
        <v>Premier Village Danang Resort</v>
      </c>
      <c r="X256" s="76" t="str">
        <f>IFERROR(__xludf.DUMMYFUNCTION("""COMPUTED_VALUE"""),"Buồng phòng")</f>
        <v>Buồng phòng</v>
      </c>
      <c r="Y256" s="76" t="str">
        <f>IFERROR(__xludf.DUMMYFUNCTION("""COMPUTED_VALUE"""),"DUYỆT")</f>
        <v>DUYỆT</v>
      </c>
      <c r="Z256" s="76" t="str">
        <f>IFERROR(__xludf.DUMMYFUNCTION("""COMPUTED_VALUE"""),"CHUYÊN ĐỀ")</f>
        <v>CHUYÊN ĐỀ</v>
      </c>
      <c r="AA256" s="76" t="str">
        <f>IFERROR(__xludf.DUMMYFUNCTION("""COMPUTED_VALUE"""),"nguyenminhphuong30121611@gmail.com")</f>
        <v>nguyenminhphuong30121611@gmail.com</v>
      </c>
      <c r="AB256" s="76"/>
      <c r="AC256" s="76"/>
    </row>
    <row r="257">
      <c r="A257" s="100">
        <f>IFERROR(__xludf.DUMMYFUNCTION("""COMPUTED_VALUE"""),45671.253644861106)</f>
        <v>45671.25364</v>
      </c>
      <c r="B257" s="76" t="str">
        <f>IFERROR(__xludf.DUMMYFUNCTION("""COMPUTED_VALUE"""),"tuyetnhidinh2709@gmail.com")</f>
        <v>tuyetnhidinh2709@gmail.com</v>
      </c>
      <c r="C257" s="76">
        <f>IFERROR(__xludf.DUMMYFUNCTION("""COMPUTED_VALUE"""),2.6207130385E10)</f>
        <v>26207130385</v>
      </c>
      <c r="D257" s="76" t="str">
        <f>IFERROR(__xludf.DUMMYFUNCTION("""COMPUTED_VALUE"""),"Đinh Thị Tuyết Nhi ")</f>
        <v>Đinh Thị Tuyết Nhi </v>
      </c>
      <c r="E257" s="101">
        <f>IFERROR(__xludf.DUMMYFUNCTION("""COMPUTED_VALUE"""),37526.0)</f>
        <v>37526</v>
      </c>
      <c r="F257" s="76" t="str">
        <f>IFERROR(__xludf.DUMMYFUNCTION("""COMPUTED_VALUE"""),"K26DLK9")</f>
        <v>K26DLK9</v>
      </c>
      <c r="G257" s="76" t="str">
        <f>IFERROR(__xludf.DUMMYFUNCTION("""COMPUTED_VALUE"""),"Quản trị Du lịch &amp; Khách sạn")</f>
        <v>Quản trị Du lịch &amp; Khách sạn</v>
      </c>
      <c r="H257" s="76" t="str">
        <f>IFERROR(__xludf.DUMMYFUNCTION("""COMPUTED_VALUE"""),"K26")</f>
        <v>K26</v>
      </c>
      <c r="I257" s="76" t="str">
        <f>IFERROR(__xludf.DUMMYFUNCTION("""COMPUTED_VALUE"""),"0775425303")</f>
        <v>0775425303</v>
      </c>
      <c r="J257" s="76">
        <f>IFERROR(__xludf.DUMMYFUNCTION("""COMPUTED_VALUE"""),3.35)</f>
        <v>3.35</v>
      </c>
      <c r="K257" s="76">
        <f>IFERROR(__xludf.DUMMYFUNCTION("""COMPUTED_VALUE"""),130.0)</f>
        <v>130</v>
      </c>
      <c r="L257" s="76" t="str">
        <f>IFERROR(__xludf.DUMMYFUNCTION("""COMPUTED_VALUE"""),"Rồi")</f>
        <v>Rồi</v>
      </c>
      <c r="M257" s="76" t="str">
        <f>IFERROR(__xludf.DUMMYFUNCTION("""COMPUTED_VALUE"""),"Công nhận tốt nghiệp")</f>
        <v>Công nhận tốt nghiệp</v>
      </c>
      <c r="N257" s="76">
        <f>IFERROR(__xludf.DUMMYFUNCTION("""COMPUTED_VALUE"""),0.0)</f>
        <v>0</v>
      </c>
      <c r="O257" s="76" t="str">
        <f>IFERROR(__xludf.DUMMYFUNCTION("""COMPUTED_VALUE"""),"cam kết")</f>
        <v>cam kết</v>
      </c>
      <c r="P257" s="76"/>
      <c r="Q257" s="76" t="str">
        <f>IFERROR(__xludf.DUMMYFUNCTION("""COMPUTED_VALUE"""),"ĐÃ NỘP")</f>
        <v>ĐÃ NỘP</v>
      </c>
      <c r="R257" s="76">
        <f>IFERROR(__xludf.DUMMYFUNCTION("""COMPUTED_VALUE"""),49.0)</f>
        <v>49</v>
      </c>
      <c r="S257" s="76" t="str">
        <f>IFERROR(__xludf.DUMMYFUNCTION("""COMPUTED_VALUE"""),"14/01/2025")</f>
        <v>14/01/2025</v>
      </c>
      <c r="T257" s="76"/>
      <c r="U257" s="102" t="str">
        <f>IFERROR(__xludf.DUMMYFUNCTION("""COMPUTED_VALUE"""),"Đinh Thị Tuyết Nhi")</f>
        <v>Đinh Thị Tuyết Nhi</v>
      </c>
      <c r="V257" s="76" t="str">
        <f>IFERROR(__xludf.DUMMYFUNCTION("""COMPUTED_VALUE"""),"Quản Trị Khách Sạn &amp; Nhà Hàng (Đại Học)")</f>
        <v>Quản Trị Khách Sạn &amp; Nhà Hàng (Đại Học)</v>
      </c>
      <c r="W257" s="76"/>
      <c r="X257" s="76"/>
      <c r="Y257" s="76"/>
      <c r="Z257" s="76"/>
      <c r="AA257" s="76" t="str">
        <f>IFERROR(__xludf.DUMMYFUNCTION("""COMPUTED_VALUE"""),"tuyetnhidinh2709@gmail.com")</f>
        <v>tuyetnhidinh2709@gmail.com</v>
      </c>
      <c r="AB257" s="76"/>
      <c r="AC257" s="76"/>
    </row>
    <row r="258">
      <c r="A258" s="100">
        <f>IFERROR(__xludf.DUMMYFUNCTION("""COMPUTED_VALUE"""),45671.56030736111)</f>
        <v>45671.56031</v>
      </c>
      <c r="B258" s="76" t="str">
        <f>IFERROR(__xludf.DUMMYFUNCTION("""COMPUTED_VALUE"""),"cunbalan1311@gmail.com")</f>
        <v>cunbalan1311@gmail.com</v>
      </c>
      <c r="C258" s="76">
        <f>IFERROR(__xludf.DUMMYFUNCTION("""COMPUTED_VALUE"""),2.7217133248E10)</f>
        <v>27217133248</v>
      </c>
      <c r="D258" s="76" t="str">
        <f>IFERROR(__xludf.DUMMYFUNCTION("""COMPUTED_VALUE"""),"Lê Hoàng Long")</f>
        <v>Lê Hoàng Long</v>
      </c>
      <c r="E258" s="101">
        <f>IFERROR(__xludf.DUMMYFUNCTION("""COMPUTED_VALUE"""),37907.0)</f>
        <v>37907</v>
      </c>
      <c r="F258" s="76" t="str">
        <f>IFERROR(__xludf.DUMMYFUNCTION("""COMPUTED_VALUE"""),"K27 DLK6")</f>
        <v>K27 DLK6</v>
      </c>
      <c r="G258" s="76" t="str">
        <f>IFERROR(__xludf.DUMMYFUNCTION("""COMPUTED_VALUE"""),"Quản trị Du lịch &amp; Khách sạn")</f>
        <v>Quản trị Du lịch &amp; Khách sạn</v>
      </c>
      <c r="H258" s="76" t="str">
        <f>IFERROR(__xludf.DUMMYFUNCTION("""COMPUTED_VALUE"""),"K27")</f>
        <v>K27</v>
      </c>
      <c r="I258" s="76" t="str">
        <f>IFERROR(__xludf.DUMMYFUNCTION("""COMPUTED_VALUE"""),"0931983051")</f>
        <v>0931983051</v>
      </c>
      <c r="J258" s="76">
        <f>IFERROR(__xludf.DUMMYFUNCTION("""COMPUTED_VALUE"""),2.84)</f>
        <v>2.84</v>
      </c>
      <c r="K258" s="76">
        <f>IFERROR(__xludf.DUMMYFUNCTION("""COMPUTED_VALUE"""),125.0)</f>
        <v>125</v>
      </c>
      <c r="L258" s="76" t="str">
        <f>IFERROR(__xludf.DUMMYFUNCTION("""COMPUTED_VALUE"""),"Rồi")</f>
        <v>Rồi</v>
      </c>
      <c r="M258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58" s="76">
        <f>IFERROR(__xludf.DUMMYFUNCTION("""COMPUTED_VALUE"""),13.0)</f>
        <v>13</v>
      </c>
      <c r="O258" s="76" t="str">
        <f>IFERROR(__xludf.DUMMYFUNCTION("""COMPUTED_VALUE"""),"cam kết")</f>
        <v>cam kết</v>
      </c>
      <c r="P258" s="76"/>
      <c r="Q258" s="76"/>
      <c r="R258" s="76"/>
      <c r="S258" s="76" t="str">
        <f>IFERROR(__xludf.DUMMYFUNCTION("""COMPUTED_VALUE"""),"14/01/2025")</f>
        <v>14/01/2025</v>
      </c>
      <c r="T258" s="76"/>
      <c r="U258" s="102" t="str">
        <f>IFERROR(__xludf.DUMMYFUNCTION("""COMPUTED_VALUE"""),"Lê Hoàng Long")</f>
        <v>Lê Hoàng Long</v>
      </c>
      <c r="V258" s="76" t="str">
        <f>IFERROR(__xludf.DUMMYFUNCTION("""COMPUTED_VALUE"""),"Quản Trị Khách Sạn &amp; Nhà Hàng (Đại Học)")</f>
        <v>Quản Trị Khách Sạn &amp; Nhà Hàng (Đại Học)</v>
      </c>
      <c r="W258" s="76" t="str">
        <f>IFERROR(__xludf.DUMMYFUNCTION("""COMPUTED_VALUE"""),"Grand Tourane Hotel")</f>
        <v>Grand Tourane Hotel</v>
      </c>
      <c r="X258" s="76" t="str">
        <f>IFERROR(__xludf.DUMMYFUNCTION("""COMPUTED_VALUE"""),"Nhà hàng")</f>
        <v>Nhà hàng</v>
      </c>
      <c r="Y258" s="76" t="str">
        <f>IFERROR(__xludf.DUMMYFUNCTION("""COMPUTED_VALUE"""),"DUYỆT")</f>
        <v>DUYỆT</v>
      </c>
      <c r="Z258" s="76" t="str">
        <f>IFERROR(__xludf.DUMMYFUNCTION("""COMPUTED_VALUE"""),"không đủ điều kiện")</f>
        <v>không đủ điều kiện</v>
      </c>
      <c r="AA258" s="76" t="str">
        <f>IFERROR(__xludf.DUMMYFUNCTION("""COMPUTED_VALUE"""),"cunbalan1311@gmail.com")</f>
        <v>cunbalan1311@gmail.com</v>
      </c>
      <c r="AB258" s="76"/>
      <c r="AC258" s="76"/>
    </row>
    <row r="259">
      <c r="A259" s="100">
        <f>IFERROR(__xludf.DUMMYFUNCTION("""COMPUTED_VALUE"""),45671.68682178241)</f>
        <v>45671.68682</v>
      </c>
      <c r="B259" s="76" t="str">
        <f>IFERROR(__xludf.DUMMYFUNCTION("""COMPUTED_VALUE"""),"lungocman1234@gmail.com")</f>
        <v>lungocman1234@gmail.com</v>
      </c>
      <c r="C259" s="76">
        <f>IFERROR(__xludf.DUMMYFUNCTION("""COMPUTED_VALUE"""),2.4207102344E10)</f>
        <v>24207102344</v>
      </c>
      <c r="D259" s="76" t="str">
        <f>IFERROR(__xludf.DUMMYFUNCTION("""COMPUTED_VALUE"""),"Lư Ngọc Mẫn")</f>
        <v>Lư Ngọc Mẫn</v>
      </c>
      <c r="E259" s="101">
        <f>IFERROR(__xludf.DUMMYFUNCTION("""COMPUTED_VALUE"""),35873.0)</f>
        <v>35873</v>
      </c>
      <c r="F259" s="76" t="str">
        <f>IFERROR(__xludf.DUMMYFUNCTION("""COMPUTED_VALUE"""),"K25DLK20")</f>
        <v>K25DLK20</v>
      </c>
      <c r="G259" s="76" t="str">
        <f>IFERROR(__xludf.DUMMYFUNCTION("""COMPUTED_VALUE"""),"Quản trị Du lịch &amp; Khách sạn")</f>
        <v>Quản trị Du lịch &amp; Khách sạn</v>
      </c>
      <c r="H259" s="76" t="str">
        <f>IFERROR(__xludf.DUMMYFUNCTION("""COMPUTED_VALUE"""),"K25")</f>
        <v>K25</v>
      </c>
      <c r="I259" s="76" t="str">
        <f>IFERROR(__xludf.DUMMYFUNCTION("""COMPUTED_VALUE"""),"0906757487")</f>
        <v>0906757487</v>
      </c>
      <c r="J259" s="76">
        <f>IFERROR(__xludf.DUMMYFUNCTION("""COMPUTED_VALUE"""),2.89)</f>
        <v>2.89</v>
      </c>
      <c r="K259" s="76">
        <f>IFERROR(__xludf.DUMMYFUNCTION("""COMPUTED_VALUE"""),137.0)</f>
        <v>137</v>
      </c>
      <c r="L259" s="76" t="str">
        <f>IFERROR(__xludf.DUMMYFUNCTION("""COMPUTED_VALUE"""),"Rồi")</f>
        <v>Rồi</v>
      </c>
      <c r="M259" s="76" t="str">
        <f>IFERROR(__xludf.DUMMYFUNCTION("""COMPUTED_VALUE"""),"Thực tập tốt nghiệp, Công nhận tốt nghiệp")</f>
        <v>Thực tập tốt nghiệp, Công nhận tốt nghiệp</v>
      </c>
      <c r="N259" s="76">
        <f>IFERROR(__xludf.DUMMYFUNCTION("""COMPUTED_VALUE"""),0.0)</f>
        <v>0</v>
      </c>
      <c r="O259" s="76" t="str">
        <f>IFERROR(__xludf.DUMMYFUNCTION("""COMPUTED_VALUE"""),"cam kết")</f>
        <v>cam kết</v>
      </c>
      <c r="P259" s="76" t="str">
        <f>IFERROR(__xludf.DUMMYFUNCTION("""COMPUTED_VALUE"""),"ĐÃ NỘP")</f>
        <v>ĐÃ NỘP</v>
      </c>
      <c r="Q259" s="76" t="str">
        <f>IFERROR(__xludf.DUMMYFUNCTION("""COMPUTED_VALUE"""),"ĐÃ NỘP")</f>
        <v>ĐÃ NỘP</v>
      </c>
      <c r="R259" s="76">
        <f>IFERROR(__xludf.DUMMYFUNCTION("""COMPUTED_VALUE"""),51.0)</f>
        <v>51</v>
      </c>
      <c r="S259" s="76" t="str">
        <f>IFERROR(__xludf.DUMMYFUNCTION("""COMPUTED_VALUE"""),"18/01/2025")</f>
        <v>18/01/2025</v>
      </c>
      <c r="T259" s="76"/>
      <c r="U259" s="102" t="str">
        <f>IFERROR(__xludf.DUMMYFUNCTION("""COMPUTED_VALUE"""),"Lư Ngọc Mẫn")</f>
        <v>Lư Ngọc Mẫn</v>
      </c>
      <c r="V259" s="76" t="str">
        <f>IFERROR(__xludf.DUMMYFUNCTION("""COMPUTED_VALUE"""),"Quản Trị Khách Sạn &amp; Nhà Hàng (Đại Học)")</f>
        <v>Quản Trị Khách Sạn &amp; Nhà Hàng (Đại Học)</v>
      </c>
      <c r="W259" s="76" t="str">
        <f>IFERROR(__xludf.DUMMYFUNCTION("""COMPUTED_VALUE"""),"New Orient Hotel Đà Nẵng")</f>
        <v>New Orient Hotel Đà Nẵng</v>
      </c>
      <c r="X259" s="76" t="str">
        <f>IFERROR(__xludf.DUMMYFUNCTION("""COMPUTED_VALUE"""),"Tiền sảnh")</f>
        <v>Tiền sảnh</v>
      </c>
      <c r="Y259" s="76" t="str">
        <f>IFERROR(__xludf.DUMMYFUNCTION("""COMPUTED_VALUE"""),"DUYỆT")</f>
        <v>DUYỆT</v>
      </c>
      <c r="Z259" s="76" t="str">
        <f>IFERROR(__xludf.DUMMYFUNCTION("""COMPUTED_VALUE"""),"CHUYÊN ĐỀ")</f>
        <v>CHUYÊN ĐỀ</v>
      </c>
      <c r="AA259" s="76" t="str">
        <f>IFERROR(__xludf.DUMMYFUNCTION("""COMPUTED_VALUE"""),"lungocman1234@gmail.com")</f>
        <v>lungocman1234@gmail.com</v>
      </c>
      <c r="AB259" s="76"/>
      <c r="AC259" s="76"/>
    </row>
    <row r="260">
      <c r="A260" s="100">
        <f>IFERROR(__xludf.DUMMYFUNCTION("""COMPUTED_VALUE"""),45672.51461780093)</f>
        <v>45672.51462</v>
      </c>
      <c r="B260" s="76" t="str">
        <f>IFERROR(__xludf.DUMMYFUNCTION("""COMPUTED_VALUE"""),"khanhtruong.work@gmail.com")</f>
        <v>khanhtruong.work@gmail.com</v>
      </c>
      <c r="C260" s="76">
        <f>IFERROR(__xludf.DUMMYFUNCTION("""COMPUTED_VALUE"""),2.6217122489E10)</f>
        <v>26217122489</v>
      </c>
      <c r="D260" s="76" t="str">
        <f>IFERROR(__xludf.DUMMYFUNCTION("""COMPUTED_VALUE"""),"Trương Văn Khánh")</f>
        <v>Trương Văn Khánh</v>
      </c>
      <c r="E260" s="101">
        <f>IFERROR(__xludf.DUMMYFUNCTION("""COMPUTED_VALUE"""),36787.0)</f>
        <v>36787</v>
      </c>
      <c r="F260" s="76" t="str">
        <f>IFERROR(__xludf.DUMMYFUNCTION("""COMPUTED_VALUE"""),"K26DLK4")</f>
        <v>K26DLK4</v>
      </c>
      <c r="G260" s="76" t="str">
        <f>IFERROR(__xludf.DUMMYFUNCTION("""COMPUTED_VALUE"""),"Quản trị Du lịch &amp; Khách sạn")</f>
        <v>Quản trị Du lịch &amp; Khách sạn</v>
      </c>
      <c r="H260" s="76" t="str">
        <f>IFERROR(__xludf.DUMMYFUNCTION("""COMPUTED_VALUE"""),"K26")</f>
        <v>K26</v>
      </c>
      <c r="I260" s="76" t="str">
        <f>IFERROR(__xludf.DUMMYFUNCTION("""COMPUTED_VALUE"""),"0924216383")</f>
        <v>0924216383</v>
      </c>
      <c r="J260" s="76">
        <f>IFERROR(__xludf.DUMMYFUNCTION("""COMPUTED_VALUE"""),2.39)</f>
        <v>2.39</v>
      </c>
      <c r="K260" s="76">
        <f>IFERROR(__xludf.DUMMYFUNCTION("""COMPUTED_VALUE"""),121.0)</f>
        <v>121</v>
      </c>
      <c r="L260" s="76" t="str">
        <f>IFERROR(__xludf.DUMMYFUNCTION("""COMPUTED_VALUE"""),"Rồi")</f>
        <v>Rồi</v>
      </c>
      <c r="M260" s="76" t="str">
        <f>IFERROR(__xludf.DUMMYFUNCTION("""COMPUTED_VALUE"""),"Thực tập tốt nghiệp, Thi tốt nghiệp")</f>
        <v>Thực tập tốt nghiệp, Thi tốt nghiệp</v>
      </c>
      <c r="N260" s="76">
        <f>IFERROR(__xludf.DUMMYFUNCTION("""COMPUTED_VALUE"""),5.0)</f>
        <v>5</v>
      </c>
      <c r="O260" s="76" t="str">
        <f>IFERROR(__xludf.DUMMYFUNCTION("""COMPUTED_VALUE"""),"cam kết")</f>
        <v>cam kết</v>
      </c>
      <c r="P260" s="76" t="str">
        <f>IFERROR(__xludf.DUMMYFUNCTION("""COMPUTED_VALUE"""),"ĐÃ NỘP")</f>
        <v>ĐÃ NỘP</v>
      </c>
      <c r="Q260" s="76" t="str">
        <f>IFERROR(__xludf.DUMMYFUNCTION("""COMPUTED_VALUE"""),"ĐÃ NỘP")</f>
        <v>ĐÃ NỘP</v>
      </c>
      <c r="R260" s="76">
        <f>IFERROR(__xludf.DUMMYFUNCTION("""COMPUTED_VALUE"""),52.0)</f>
        <v>52</v>
      </c>
      <c r="S260" s="76" t="str">
        <f>IFERROR(__xludf.DUMMYFUNCTION("""COMPUTED_VALUE"""),"18/01/2025")</f>
        <v>18/01/2025</v>
      </c>
      <c r="T260" s="76"/>
      <c r="U260" s="102" t="str">
        <f>IFERROR(__xludf.DUMMYFUNCTION("""COMPUTED_VALUE"""),"Trương Văn Khánh")</f>
        <v>Trương Văn Khánh</v>
      </c>
      <c r="V260" s="76" t="str">
        <f>IFERROR(__xludf.DUMMYFUNCTION("""COMPUTED_VALUE"""),"Quản Trị Khách Sạn &amp; Nhà Hàng (Đại Học)")</f>
        <v>Quản Trị Khách Sạn &amp; Nhà Hàng (Đại Học)</v>
      </c>
      <c r="W260" s="76" t="str">
        <f>IFERROR(__xludf.DUMMYFUNCTION("""COMPUTED_VALUE"""),"Grand Tourane Hotel")</f>
        <v>Grand Tourane Hotel</v>
      </c>
      <c r="X260" s="76" t="str">
        <f>IFERROR(__xludf.DUMMYFUNCTION("""COMPUTED_VALUE"""),"Nhà hàng")</f>
        <v>Nhà hàng</v>
      </c>
      <c r="Y260" s="76" t="str">
        <f>IFERROR(__xludf.DUMMYFUNCTION("""COMPUTED_VALUE"""),"DUYỆT")</f>
        <v>DUYỆT</v>
      </c>
      <c r="Z260" s="76" t="str">
        <f>IFERROR(__xludf.DUMMYFUNCTION("""COMPUTED_VALUE"""),"không đủ điều kiện")</f>
        <v>không đủ điều kiện</v>
      </c>
      <c r="AA260" s="76" t="str">
        <f>IFERROR(__xludf.DUMMYFUNCTION("""COMPUTED_VALUE"""),"khanhtruong.work@gmail.com")</f>
        <v>khanhtruong.work@gmail.com</v>
      </c>
      <c r="AB260" s="76"/>
      <c r="AC260" s="76"/>
    </row>
    <row r="261">
      <c r="A261" s="100">
        <f>IFERROR(__xludf.DUMMYFUNCTION("""COMPUTED_VALUE"""),45674.95707369213)</f>
        <v>45674.95707</v>
      </c>
      <c r="B261" s="76" t="str">
        <f>IFERROR(__xludf.DUMMYFUNCTION("""COMPUTED_VALUE"""),"dung96702@gmail.com")</f>
        <v>dung96702@gmail.com</v>
      </c>
      <c r="C261" s="76">
        <f>IFERROR(__xludf.DUMMYFUNCTION("""COMPUTED_VALUE"""),2.6207100647E10)</f>
        <v>26207100647</v>
      </c>
      <c r="D261" s="76" t="str">
        <f>IFERROR(__xludf.DUMMYFUNCTION("""COMPUTED_VALUE"""),"Huỳnh Thị Bích Dung")</f>
        <v>Huỳnh Thị Bích Dung</v>
      </c>
      <c r="E261" s="101">
        <f>IFERROR(__xludf.DUMMYFUNCTION("""COMPUTED_VALUE"""),37555.0)</f>
        <v>37555</v>
      </c>
      <c r="F261" s="76" t="str">
        <f>IFERROR(__xludf.DUMMYFUNCTION("""COMPUTED_VALUE"""),"K27PSUDLK 1")</f>
        <v>K27PSUDLK 1</v>
      </c>
      <c r="G261" s="76" t="str">
        <f>IFERROR(__xludf.DUMMYFUNCTION("""COMPUTED_VALUE"""),"Quản trị Du lịch &amp; Khách sạn chuẩn PSU")</f>
        <v>Quản trị Du lịch &amp; Khách sạn chuẩn PSU</v>
      </c>
      <c r="H261" s="76" t="str">
        <f>IFERROR(__xludf.DUMMYFUNCTION("""COMPUTED_VALUE"""),"K27")</f>
        <v>K27</v>
      </c>
      <c r="I261" s="76" t="str">
        <f>IFERROR(__xludf.DUMMYFUNCTION("""COMPUTED_VALUE"""),"0395788872")</f>
        <v>0395788872</v>
      </c>
      <c r="J261" s="76">
        <f>IFERROR(__xludf.DUMMYFUNCTION("""COMPUTED_VALUE"""),2.73)</f>
        <v>2.73</v>
      </c>
      <c r="K261" s="76">
        <f>IFERROR(__xludf.DUMMYFUNCTION("""COMPUTED_VALUE"""),130.0)</f>
        <v>130</v>
      </c>
      <c r="L261" s="76" t="str">
        <f>IFERROR(__xludf.DUMMYFUNCTION("""COMPUTED_VALUE"""),"Rồi")</f>
        <v>Rồi</v>
      </c>
      <c r="M261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61" s="76">
        <f>IFERROR(__xludf.DUMMYFUNCTION("""COMPUTED_VALUE"""),0.0)</f>
        <v>0</v>
      </c>
      <c r="O261" s="76" t="str">
        <f>IFERROR(__xludf.DUMMYFUNCTION("""COMPUTED_VALUE"""),"cam kết")</f>
        <v>cam kết</v>
      </c>
      <c r="P261" s="76" t="str">
        <f>IFERROR(__xludf.DUMMYFUNCTION("""COMPUTED_VALUE"""),"ĐÃ NỘP")</f>
        <v>ĐÃ NỘP</v>
      </c>
      <c r="Q261" s="76" t="str">
        <f>IFERROR(__xludf.DUMMYFUNCTION("""COMPUTED_VALUE"""),"ĐÃ NỘP")</f>
        <v>ĐÃ NỘP</v>
      </c>
      <c r="R261" s="76">
        <f>IFERROR(__xludf.DUMMYFUNCTION("""COMPUTED_VALUE"""),53.0)</f>
        <v>53</v>
      </c>
      <c r="S261" s="76" t="str">
        <f>IFERROR(__xludf.DUMMYFUNCTION("""COMPUTED_VALUE"""),"18/01/2025")</f>
        <v>18/01/2025</v>
      </c>
      <c r="T261" s="76"/>
      <c r="U261" s="102" t="str">
        <f>IFERROR(__xludf.DUMMYFUNCTION("""COMPUTED_VALUE"""),"Huỳnh Thị Bích Dung")</f>
        <v>Huỳnh Thị Bích Dung</v>
      </c>
      <c r="V261" s="76" t="str">
        <f>IFERROR(__xludf.DUMMYFUNCTION("""COMPUTED_VALUE"""),"Quản Trị Du Lịch &amp; Khách Sạn Chuẩn PSU (Đại Học)")</f>
        <v>Quản Trị Du Lịch &amp; Khách Sạn Chuẩn PSU (Đại Học)</v>
      </c>
      <c r="W261" s="76" t="str">
        <f>IFERROR(__xludf.DUMMYFUNCTION("""COMPUTED_VALUE"""),"Renaissance Hoi An Resort &amp; Spa")</f>
        <v>Renaissance Hoi An Resort &amp; Spa</v>
      </c>
      <c r="X261" s="76" t="str">
        <f>IFERROR(__xludf.DUMMYFUNCTION("""COMPUTED_VALUE"""),"Nhà hàng")</f>
        <v>Nhà hàng</v>
      </c>
      <c r="Y261" s="76" t="str">
        <f>IFERROR(__xludf.DUMMYFUNCTION("""COMPUTED_VALUE"""),"DUYỆT")</f>
        <v>DUYỆT</v>
      </c>
      <c r="Z261" s="76" t="str">
        <f>IFERROR(__xludf.DUMMYFUNCTION("""COMPUTED_VALUE"""),"CHUYÊN ĐỀ")</f>
        <v>CHUYÊN ĐỀ</v>
      </c>
      <c r="AA261" s="76" t="str">
        <f>IFERROR(__xludf.DUMMYFUNCTION("""COMPUTED_VALUE"""),"dung96702@gmail.com")</f>
        <v>dung96702@gmail.com</v>
      </c>
      <c r="AB261" s="76"/>
      <c r="AC261" s="76"/>
    </row>
    <row r="262">
      <c r="A262" s="100">
        <f>IFERROR(__xludf.DUMMYFUNCTION("""COMPUTED_VALUE"""),45672.645815509255)</f>
        <v>45672.64582</v>
      </c>
      <c r="B262" s="76" t="str">
        <f>IFERROR(__xludf.DUMMYFUNCTION("""COMPUTED_VALUE"""),"hongdan227@gmail.com")</f>
        <v>hongdan227@gmail.com</v>
      </c>
      <c r="C262" s="76">
        <f>IFERROR(__xludf.DUMMYFUNCTION("""COMPUTED_VALUE"""),2.6217135049E10)</f>
        <v>26217135049</v>
      </c>
      <c r="D262" s="76" t="str">
        <f>IFERROR(__xludf.DUMMYFUNCTION("""COMPUTED_VALUE"""),"Lê Hồng Dân ")</f>
        <v>Lê Hồng Dân </v>
      </c>
      <c r="E262" s="101">
        <f>IFERROR(__xludf.DUMMYFUNCTION("""COMPUTED_VALUE"""),37459.0)</f>
        <v>37459</v>
      </c>
      <c r="F262" s="76" t="str">
        <f>IFERROR(__xludf.DUMMYFUNCTION("""COMPUTED_VALUE"""),"K26DLK5")</f>
        <v>K26DLK5</v>
      </c>
      <c r="G262" s="76" t="str">
        <f>IFERROR(__xludf.DUMMYFUNCTION("""COMPUTED_VALUE"""),"Quản trị Du lịch &amp; Khách sạn")</f>
        <v>Quản trị Du lịch &amp; Khách sạn</v>
      </c>
      <c r="H262" s="76" t="str">
        <f>IFERROR(__xludf.DUMMYFUNCTION("""COMPUTED_VALUE"""),"K26")</f>
        <v>K26</v>
      </c>
      <c r="I262" s="76" t="str">
        <f>IFERROR(__xludf.DUMMYFUNCTION("""COMPUTED_VALUE"""),"0366904742")</f>
        <v>0366904742</v>
      </c>
      <c r="J262" s="76">
        <f>IFERROR(__xludf.DUMMYFUNCTION("""COMPUTED_VALUE"""),2.89)</f>
        <v>2.89</v>
      </c>
      <c r="K262" s="76">
        <f>IFERROR(__xludf.DUMMYFUNCTION("""COMPUTED_VALUE"""),125.0)</f>
        <v>125</v>
      </c>
      <c r="L262" s="76" t="str">
        <f>IFERROR(__xludf.DUMMYFUNCTION("""COMPUTED_VALUE"""),"Rồi")</f>
        <v>Rồi</v>
      </c>
      <c r="M262" s="76" t="str">
        <f>IFERROR(__xludf.DUMMYFUNCTION("""COMPUTED_VALUE"""),"Thực tập tốt nghiệp, Công nhận tốt nghiệp")</f>
        <v>Thực tập tốt nghiệp, Công nhận tốt nghiệp</v>
      </c>
      <c r="N262" s="76">
        <f>IFERROR(__xludf.DUMMYFUNCTION("""COMPUTED_VALUE"""),0.0)</f>
        <v>0</v>
      </c>
      <c r="O262" s="76" t="str">
        <f>IFERROR(__xludf.DUMMYFUNCTION("""COMPUTED_VALUE"""),"cam kết")</f>
        <v>cam kết</v>
      </c>
      <c r="P262" s="76" t="str">
        <f>IFERROR(__xludf.DUMMYFUNCTION("""COMPUTED_VALUE"""),"ĐÃ NỘP")</f>
        <v>ĐÃ NỘP</v>
      </c>
      <c r="Q262" s="76" t="str">
        <f>IFERROR(__xludf.DUMMYFUNCTION("""COMPUTED_VALUE"""),"ĐÃ NỘP")</f>
        <v>ĐÃ NỘP</v>
      </c>
      <c r="R262" s="76">
        <f>IFERROR(__xludf.DUMMYFUNCTION("""COMPUTED_VALUE"""),54.0)</f>
        <v>54</v>
      </c>
      <c r="S262" s="76" t="str">
        <f>IFERROR(__xludf.DUMMYFUNCTION("""COMPUTED_VALUE"""),"18/01/2025")</f>
        <v>18/01/2025</v>
      </c>
      <c r="T262" s="76"/>
      <c r="U262" s="102" t="str">
        <f>IFERROR(__xludf.DUMMYFUNCTION("""COMPUTED_VALUE"""),"Lê Hồng Dân")</f>
        <v>Lê Hồng Dân</v>
      </c>
      <c r="V262" s="76" t="str">
        <f>IFERROR(__xludf.DUMMYFUNCTION("""COMPUTED_VALUE"""),"Quản Trị Khách Sạn &amp; Nhà Hàng (Đại Học)")</f>
        <v>Quản Trị Khách Sạn &amp; Nhà Hàng (Đại Học)</v>
      </c>
      <c r="W262" s="76" t="str">
        <f>IFERROR(__xludf.DUMMYFUNCTION("""COMPUTED_VALUE"""),"Royal Lotus Hotel Danang")</f>
        <v>Royal Lotus Hotel Danang</v>
      </c>
      <c r="X262" s="76" t="str">
        <f>IFERROR(__xludf.DUMMYFUNCTION("""COMPUTED_VALUE"""),"Nhà hàng")</f>
        <v>Nhà hàng</v>
      </c>
      <c r="Y262" s="76" t="str">
        <f>IFERROR(__xludf.DUMMYFUNCTION("""COMPUTED_VALUE"""),"DUYỆT")</f>
        <v>DUYỆT</v>
      </c>
      <c r="Z262" s="76" t="str">
        <f>IFERROR(__xludf.DUMMYFUNCTION("""COMPUTED_VALUE"""),"CHUYÊN ĐỀ")</f>
        <v>CHUYÊN ĐỀ</v>
      </c>
      <c r="AA262" s="76" t="str">
        <f>IFERROR(__xludf.DUMMYFUNCTION("""COMPUTED_VALUE"""),"hongdan227@gmail.com")</f>
        <v>hongdan227@gmail.com</v>
      </c>
      <c r="AB262" s="76"/>
      <c r="AC262" s="76"/>
    </row>
    <row r="263">
      <c r="A263" s="100">
        <f>IFERROR(__xludf.DUMMYFUNCTION("""COMPUTED_VALUE"""),45672.663208680555)</f>
        <v>45672.66321</v>
      </c>
      <c r="B263" s="76" t="str">
        <f>IFERROR(__xludf.DUMMYFUNCTION("""COMPUTED_VALUE"""),"baohoa17112001@gmail.com")</f>
        <v>baohoa17112001@gmail.com</v>
      </c>
      <c r="C263" s="76">
        <f>IFERROR(__xludf.DUMMYFUNCTION("""COMPUTED_VALUE"""),2.5217117091E10)</f>
        <v>25217117091</v>
      </c>
      <c r="D263" s="76" t="str">
        <f>IFERROR(__xludf.DUMMYFUNCTION("""COMPUTED_VALUE"""),"Mai Bảo Hoà")</f>
        <v>Mai Bảo Hoà</v>
      </c>
      <c r="E263" s="101">
        <f>IFERROR(__xludf.DUMMYFUNCTION("""COMPUTED_VALUE"""),37212.0)</f>
        <v>37212</v>
      </c>
      <c r="F263" s="76" t="str">
        <f>IFERROR(__xludf.DUMMYFUNCTION("""COMPUTED_VALUE"""),"K25PSUDLK 15")</f>
        <v>K25PSUDLK 15</v>
      </c>
      <c r="G263" s="76" t="str">
        <f>IFERROR(__xludf.DUMMYFUNCTION("""COMPUTED_VALUE"""),"Quản trị Du lịch &amp; Khách sạn chuẩn PSU")</f>
        <v>Quản trị Du lịch &amp; Khách sạn chuẩn PSU</v>
      </c>
      <c r="H263" s="76" t="str">
        <f>IFERROR(__xludf.DUMMYFUNCTION("""COMPUTED_VALUE"""),"K25")</f>
        <v>K25</v>
      </c>
      <c r="I263" s="76" t="str">
        <f>IFERROR(__xludf.DUMMYFUNCTION("""COMPUTED_VALUE"""),"0921116230")</f>
        <v>0921116230</v>
      </c>
      <c r="J263" s="76">
        <f>IFERROR(__xludf.DUMMYFUNCTION("""COMPUTED_VALUE"""),2.47)</f>
        <v>2.47</v>
      </c>
      <c r="K263" s="76">
        <f>IFERROR(__xludf.DUMMYFUNCTION("""COMPUTED_VALUE"""),137.0)</f>
        <v>137</v>
      </c>
      <c r="L263" s="76" t="str">
        <f>IFERROR(__xludf.DUMMYFUNCTION("""COMPUTED_VALUE"""),"Rồi")</f>
        <v>Rồi</v>
      </c>
      <c r="M263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63" s="76">
        <f>IFERROR(__xludf.DUMMYFUNCTION("""COMPUTED_VALUE"""),0.0)</f>
        <v>0</v>
      </c>
      <c r="O263" s="76" t="str">
        <f>IFERROR(__xludf.DUMMYFUNCTION("""COMPUTED_VALUE"""),"cam kết")</f>
        <v>cam kết</v>
      </c>
      <c r="P263" s="76" t="str">
        <f>IFERROR(__xludf.DUMMYFUNCTION("""COMPUTED_VALUE"""),"ĐÃ NỘP")</f>
        <v>ĐÃ NỘP</v>
      </c>
      <c r="Q263" s="76" t="str">
        <f>IFERROR(__xludf.DUMMYFUNCTION("""COMPUTED_VALUE"""),"ĐÃ NỘP")</f>
        <v>ĐÃ NỘP</v>
      </c>
      <c r="R263" s="76">
        <f>IFERROR(__xludf.DUMMYFUNCTION("""COMPUTED_VALUE"""),55.0)</f>
        <v>55</v>
      </c>
      <c r="S263" s="76" t="str">
        <f>IFERROR(__xludf.DUMMYFUNCTION("""COMPUTED_VALUE"""),"18/01/2025")</f>
        <v>18/01/2025</v>
      </c>
      <c r="T263" s="76"/>
      <c r="U263" s="102" t="str">
        <f>IFERROR(__xludf.DUMMYFUNCTION("""COMPUTED_VALUE"""),"Mai Bảo Hòa")</f>
        <v>Mai Bảo Hòa</v>
      </c>
      <c r="V263" s="76" t="str">
        <f>IFERROR(__xludf.DUMMYFUNCTION("""COMPUTED_VALUE"""),"Quản Trị Du Lịch &amp; Khách Sạn Chuẩn PSU (Đại Học)")</f>
        <v>Quản Trị Du Lịch &amp; Khách Sạn Chuẩn PSU (Đại Học)</v>
      </c>
      <c r="W263" s="76" t="str">
        <f>IFERROR(__xludf.DUMMYFUNCTION("""COMPUTED_VALUE"""),"#N/A")</f>
        <v>#N/A</v>
      </c>
      <c r="X263" s="76" t="str">
        <f>IFERROR(__xludf.DUMMYFUNCTION("""COMPUTED_VALUE"""),"#N/A")</f>
        <v>#N/A</v>
      </c>
      <c r="Y263" s="76" t="str">
        <f>IFERROR(__xludf.DUMMYFUNCTION("""COMPUTED_VALUE"""),"#N/A")</f>
        <v>#N/A</v>
      </c>
      <c r="Z263" s="76" t="str">
        <f>IFERROR(__xludf.DUMMYFUNCTION("""COMPUTED_VALUE"""),"HỦY HỒ SƠ ĐĂNG KÝ THAM DỰ TỐT NGHIỆP ĐỢT 06/2025")</f>
        <v>HỦY HỒ SƠ ĐĂNG KÝ THAM DỰ TỐT NGHIỆP ĐỢT 06/2025</v>
      </c>
      <c r="AA263" s="76" t="str">
        <f>IFERROR(__xludf.DUMMYFUNCTION("""COMPUTED_VALUE"""),"baohoa17112001@gmail.com")</f>
        <v>baohoa17112001@gmail.com</v>
      </c>
      <c r="AB263" s="76"/>
      <c r="AC263" s="76"/>
    </row>
    <row r="264">
      <c r="A264" s="100">
        <f>IFERROR(__xludf.DUMMYFUNCTION("""COMPUTED_VALUE"""),45673.24404077546)</f>
        <v>45673.24404</v>
      </c>
      <c r="B264" s="76" t="str">
        <f>IFERROR(__xludf.DUMMYFUNCTION("""COMPUTED_VALUE"""),"trieutran5473@gmail.com")</f>
        <v>trieutran5473@gmail.com</v>
      </c>
      <c r="C264" s="76">
        <f>IFERROR(__xludf.DUMMYFUNCTION("""COMPUTED_VALUE"""),2.5217102808E10)</f>
        <v>25217102808</v>
      </c>
      <c r="D264" s="76" t="str">
        <f>IFERROR(__xludf.DUMMYFUNCTION("""COMPUTED_VALUE"""),"Trần Thanh Triều")</f>
        <v>Trần Thanh Triều</v>
      </c>
      <c r="E264" s="101">
        <f>IFERROR(__xludf.DUMMYFUNCTION("""COMPUTED_VALUE"""),37134.0)</f>
        <v>37134</v>
      </c>
      <c r="F264" s="76" t="str">
        <f>IFERROR(__xludf.DUMMYFUNCTION("""COMPUTED_VALUE"""),"K26DLK6")</f>
        <v>K26DLK6</v>
      </c>
      <c r="G264" s="76" t="str">
        <f>IFERROR(__xludf.DUMMYFUNCTION("""COMPUTED_VALUE"""),"Quản trị Du lịch &amp; Khách sạn")</f>
        <v>Quản trị Du lịch &amp; Khách sạn</v>
      </c>
      <c r="H264" s="76" t="str">
        <f>IFERROR(__xludf.DUMMYFUNCTION("""COMPUTED_VALUE"""),"K26")</f>
        <v>K26</v>
      </c>
      <c r="I264" s="76" t="str">
        <f>IFERROR(__xludf.DUMMYFUNCTION("""COMPUTED_VALUE"""),"0976065160")</f>
        <v>0976065160</v>
      </c>
      <c r="J264" s="76">
        <f>IFERROR(__xludf.DUMMYFUNCTION("""COMPUTED_VALUE"""),2.34)</f>
        <v>2.34</v>
      </c>
      <c r="K264" s="76">
        <f>IFERROR(__xludf.DUMMYFUNCTION("""COMPUTED_VALUE"""),131.0)</f>
        <v>131</v>
      </c>
      <c r="L264" s="76" t="str">
        <f>IFERROR(__xludf.DUMMYFUNCTION("""COMPUTED_VALUE"""),"Rồi")</f>
        <v>Rồi</v>
      </c>
      <c r="M264" s="76" t="str">
        <f>IFERROR(__xludf.DUMMYFUNCTION("""COMPUTED_VALUE"""),"Thực tập tốt nghiệp, Thi tốt nghiệp")</f>
        <v>Thực tập tốt nghiệp, Thi tốt nghiệp</v>
      </c>
      <c r="N264" s="76">
        <f>IFERROR(__xludf.DUMMYFUNCTION("""COMPUTED_VALUE"""),5.0)</f>
        <v>5</v>
      </c>
      <c r="O264" s="76" t="str">
        <f>IFERROR(__xludf.DUMMYFUNCTION("""COMPUTED_VALUE"""),"cam kết")</f>
        <v>cam kết</v>
      </c>
      <c r="P264" s="76" t="str">
        <f>IFERROR(__xludf.DUMMYFUNCTION("""COMPUTED_VALUE"""),"ĐÃ NỘP")</f>
        <v>ĐÃ NỘP</v>
      </c>
      <c r="Q264" s="76" t="str">
        <f>IFERROR(__xludf.DUMMYFUNCTION("""COMPUTED_VALUE"""),"ĐÃ NỘP")</f>
        <v>ĐÃ NỘP</v>
      </c>
      <c r="R264" s="76">
        <f>IFERROR(__xludf.DUMMYFUNCTION("""COMPUTED_VALUE"""),56.0)</f>
        <v>56</v>
      </c>
      <c r="S264" s="76" t="str">
        <f>IFERROR(__xludf.DUMMYFUNCTION("""COMPUTED_VALUE"""),"18/01/2025")</f>
        <v>18/01/2025</v>
      </c>
      <c r="T264" s="76"/>
      <c r="U264" s="102" t="str">
        <f>IFERROR(__xludf.DUMMYFUNCTION("""COMPUTED_VALUE"""),"Trần Thanh Triều")</f>
        <v>Trần Thanh Triều</v>
      </c>
      <c r="V264" s="76" t="str">
        <f>IFERROR(__xludf.DUMMYFUNCTION("""COMPUTED_VALUE"""),"Quản Trị Khách Sạn &amp; Nhà Hàng (Đại Học)")</f>
        <v>Quản Trị Khách Sạn &amp; Nhà Hàng (Đại Học)</v>
      </c>
      <c r="W264" s="76" t="str">
        <f>IFERROR(__xludf.DUMMYFUNCTION("""COMPUTED_VALUE"""),"Chicland Hotel")</f>
        <v>Chicland Hotel</v>
      </c>
      <c r="X264" s="76" t="str">
        <f>IFERROR(__xludf.DUMMYFUNCTION("""COMPUTED_VALUE"""),"Buồng phòng")</f>
        <v>Buồng phòng</v>
      </c>
      <c r="Y264" s="76" t="str">
        <f>IFERROR(__xludf.DUMMYFUNCTION("""COMPUTED_VALUE"""),"DUYỆT")</f>
        <v>DUYỆT</v>
      </c>
      <c r="Z264" s="76" t="str">
        <f>IFERROR(__xludf.DUMMYFUNCTION("""COMPUTED_VALUE"""),"không đủ điều kiện")</f>
        <v>không đủ điều kiện</v>
      </c>
      <c r="AA264" s="76" t="str">
        <f>IFERROR(__xludf.DUMMYFUNCTION("""COMPUTED_VALUE"""),"trieutran5473@gmail.com")</f>
        <v>trieutran5473@gmail.com</v>
      </c>
      <c r="AB264" s="76"/>
      <c r="AC264" s="76"/>
    </row>
    <row r="265">
      <c r="A265" s="100">
        <f>IFERROR(__xludf.DUMMYFUNCTION("""COMPUTED_VALUE"""),45673.47717020834)</f>
        <v>45673.47717</v>
      </c>
      <c r="B265" s="76" t="str">
        <f>IFERROR(__xludf.DUMMYFUNCTION("""COMPUTED_VALUE"""),"nhuquynhthqc@gmail.com")</f>
        <v>nhuquynhthqc@gmail.com</v>
      </c>
      <c r="C265" s="76">
        <f>IFERROR(__xludf.DUMMYFUNCTION("""COMPUTED_VALUE"""),2.6207125172E10)</f>
        <v>26207125172</v>
      </c>
      <c r="D265" s="76" t="str">
        <f>IFERROR(__xludf.DUMMYFUNCTION("""COMPUTED_VALUE"""),"Trần Nguyễn Quỳnh Như")</f>
        <v>Trần Nguyễn Quỳnh Như</v>
      </c>
      <c r="E265" s="101">
        <f>IFERROR(__xludf.DUMMYFUNCTION("""COMPUTED_VALUE"""),37270.0)</f>
        <v>37270</v>
      </c>
      <c r="F265" s="76" t="str">
        <f>IFERROR(__xludf.DUMMYFUNCTION("""COMPUTED_VALUE"""),"K26DLK13")</f>
        <v>K26DLK13</v>
      </c>
      <c r="G265" s="76" t="str">
        <f>IFERROR(__xludf.DUMMYFUNCTION("""COMPUTED_VALUE"""),"Quản trị Du lịch &amp; Khách sạn")</f>
        <v>Quản trị Du lịch &amp; Khách sạn</v>
      </c>
      <c r="H265" s="76" t="str">
        <f>IFERROR(__xludf.DUMMYFUNCTION("""COMPUTED_VALUE"""),"K26")</f>
        <v>K26</v>
      </c>
      <c r="I265" s="76" t="str">
        <f>IFERROR(__xludf.DUMMYFUNCTION("""COMPUTED_VALUE"""),"0836487217")</f>
        <v>0836487217</v>
      </c>
      <c r="J265" s="76">
        <f>IFERROR(__xludf.DUMMYFUNCTION("""COMPUTED_VALUE"""),3.1)</f>
        <v>3.1</v>
      </c>
      <c r="K265" s="76">
        <f>IFERROR(__xludf.DUMMYFUNCTION("""COMPUTED_VALUE"""),128.0)</f>
        <v>128</v>
      </c>
      <c r="L265" s="76" t="str">
        <f>IFERROR(__xludf.DUMMYFUNCTION("""COMPUTED_VALUE"""),"Rồi")</f>
        <v>Rồi</v>
      </c>
      <c r="M265" s="76" t="str">
        <f>IFERROR(__xludf.DUMMYFUNCTION("""COMPUTED_VALUE"""),"Thực tập tốt nghiệp, Công nhận tốt nghiệp")</f>
        <v>Thực tập tốt nghiệp, Công nhận tốt nghiệp</v>
      </c>
      <c r="N265" s="76">
        <f>IFERROR(__xludf.DUMMYFUNCTION("""COMPUTED_VALUE"""),0.0)</f>
        <v>0</v>
      </c>
      <c r="O265" s="76" t="str">
        <f>IFERROR(__xludf.DUMMYFUNCTION("""COMPUTED_VALUE"""),"cam kết")</f>
        <v>cam kết</v>
      </c>
      <c r="P265" s="76" t="str">
        <f>IFERROR(__xludf.DUMMYFUNCTION("""COMPUTED_VALUE"""),"ĐÃ NỘP")</f>
        <v>ĐÃ NỘP</v>
      </c>
      <c r="Q265" s="76" t="str">
        <f>IFERROR(__xludf.DUMMYFUNCTION("""COMPUTED_VALUE"""),"ĐÃ NỘP")</f>
        <v>ĐÃ NỘP</v>
      </c>
      <c r="R265" s="76">
        <f>IFERROR(__xludf.DUMMYFUNCTION("""COMPUTED_VALUE"""),57.0)</f>
        <v>57</v>
      </c>
      <c r="S265" s="76" t="str">
        <f>IFERROR(__xludf.DUMMYFUNCTION("""COMPUTED_VALUE"""),"18/01/2025")</f>
        <v>18/01/2025</v>
      </c>
      <c r="T265" s="76"/>
      <c r="U265" s="102" t="str">
        <f>IFERROR(__xludf.DUMMYFUNCTION("""COMPUTED_VALUE"""),"Trần Nguyễn Quỳnh Như")</f>
        <v>Trần Nguyễn Quỳnh Như</v>
      </c>
      <c r="V265" s="76" t="str">
        <f>IFERROR(__xludf.DUMMYFUNCTION("""COMPUTED_VALUE"""),"Quản Trị Khách Sạn &amp; Nhà Hàng (Đại Học)")</f>
        <v>Quản Trị Khách Sạn &amp; Nhà Hàng (Đại Học)</v>
      </c>
      <c r="W265" s="76" t="str">
        <f>IFERROR(__xludf.DUMMYFUNCTION("""COMPUTED_VALUE"""),"Paris Deli Danang Beach Hotel")</f>
        <v>Paris Deli Danang Beach Hotel</v>
      </c>
      <c r="X265" s="76" t="str">
        <f>IFERROR(__xludf.DUMMYFUNCTION("""COMPUTED_VALUE"""),"Nhà hàng")</f>
        <v>Nhà hàng</v>
      </c>
      <c r="Y265" s="76" t="str">
        <f>IFERROR(__xludf.DUMMYFUNCTION("""COMPUTED_VALUE"""),"DUYỆT")</f>
        <v>DUYỆT</v>
      </c>
      <c r="Z265" s="76" t="str">
        <f>IFERROR(__xludf.DUMMYFUNCTION("""COMPUTED_VALUE"""),"CHUYÊN ĐỀ")</f>
        <v>CHUYÊN ĐỀ</v>
      </c>
      <c r="AA265" s="76" t="str">
        <f>IFERROR(__xludf.DUMMYFUNCTION("""COMPUTED_VALUE"""),"nhuquynhthqc@gmail.com")</f>
        <v>nhuquynhthqc@gmail.com</v>
      </c>
      <c r="AB265" s="76"/>
      <c r="AC265" s="76"/>
    </row>
    <row r="266">
      <c r="A266" s="100">
        <f>IFERROR(__xludf.DUMMYFUNCTION("""COMPUTED_VALUE"""),45673.585805625)</f>
        <v>45673.58581</v>
      </c>
      <c r="B266" s="76" t="str">
        <f>IFERROR(__xludf.DUMMYFUNCTION("""COMPUTED_VALUE"""),"Vuhuynang2000@gmail.com")</f>
        <v>Vuhuynang2000@gmail.com</v>
      </c>
      <c r="C266" s="76">
        <f>IFERROR(__xludf.DUMMYFUNCTION("""COMPUTED_VALUE"""),2.4212102088E10)</f>
        <v>24212102088</v>
      </c>
      <c r="D266" s="76" t="str">
        <f>IFERROR(__xludf.DUMMYFUNCTION("""COMPUTED_VALUE"""),"Vũ Huy Năng")</f>
        <v>Vũ Huy Năng</v>
      </c>
      <c r="E266" s="101">
        <f>IFERROR(__xludf.DUMMYFUNCTION("""COMPUTED_VALUE"""),36817.0)</f>
        <v>36817</v>
      </c>
      <c r="F266" s="76" t="str">
        <f>IFERROR(__xludf.DUMMYFUNCTION("""COMPUTED_VALUE"""),"K25DLK15")</f>
        <v>K25DLK15</v>
      </c>
      <c r="G266" s="76" t="str">
        <f>IFERROR(__xludf.DUMMYFUNCTION("""COMPUTED_VALUE"""),"Quản trị Du lịch &amp; Khách sạn")</f>
        <v>Quản trị Du lịch &amp; Khách sạn</v>
      </c>
      <c r="H266" s="76" t="str">
        <f>IFERROR(__xludf.DUMMYFUNCTION("""COMPUTED_VALUE"""),"K25")</f>
        <v>K25</v>
      </c>
      <c r="I266" s="76" t="str">
        <f>IFERROR(__xludf.DUMMYFUNCTION("""COMPUTED_VALUE"""),"0337449773")</f>
        <v>0337449773</v>
      </c>
      <c r="J266" s="76">
        <f>IFERROR(__xludf.DUMMYFUNCTION("""COMPUTED_VALUE"""),3.21)</f>
        <v>3.21</v>
      </c>
      <c r="K266" s="76">
        <f>IFERROR(__xludf.DUMMYFUNCTION("""COMPUTED_VALUE"""),125.0)</f>
        <v>125</v>
      </c>
      <c r="L266" s="76" t="str">
        <f>IFERROR(__xludf.DUMMYFUNCTION("""COMPUTED_VALUE"""),"Rồi")</f>
        <v>Rồi</v>
      </c>
      <c r="M266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66" s="76">
        <f>IFERROR(__xludf.DUMMYFUNCTION("""COMPUTED_VALUE"""),0.0)</f>
        <v>0</v>
      </c>
      <c r="O266" s="76" t="str">
        <f>IFERROR(__xludf.DUMMYFUNCTION("""COMPUTED_VALUE"""),"cam kết")</f>
        <v>cam kết</v>
      </c>
      <c r="P266" s="76" t="str">
        <f>IFERROR(__xludf.DUMMYFUNCTION("""COMPUTED_VALUE"""),"ĐÃ NỘP")</f>
        <v>ĐÃ NỘP</v>
      </c>
      <c r="Q266" s="76" t="str">
        <f>IFERROR(__xludf.DUMMYFUNCTION("""COMPUTED_VALUE"""),"ĐÃ NỘP")</f>
        <v>ĐÃ NỘP</v>
      </c>
      <c r="R266" s="76">
        <f>IFERROR(__xludf.DUMMYFUNCTION("""COMPUTED_VALUE"""),58.0)</f>
        <v>58</v>
      </c>
      <c r="S266" s="76" t="str">
        <f>IFERROR(__xludf.DUMMYFUNCTION("""COMPUTED_VALUE"""),"18/01/2025")</f>
        <v>18/01/2025</v>
      </c>
      <c r="T266" s="76"/>
      <c r="U266" s="102" t="str">
        <f>IFERROR(__xludf.DUMMYFUNCTION("""COMPUTED_VALUE"""),"Vũ Huy Năng")</f>
        <v>Vũ Huy Năng</v>
      </c>
      <c r="V266" s="76" t="str">
        <f>IFERROR(__xludf.DUMMYFUNCTION("""COMPUTED_VALUE"""),"Quản Trị Khách Sạn &amp; Nhà Hàng (Đại Học)")</f>
        <v>Quản Trị Khách Sạn &amp; Nhà Hàng (Đại Học)</v>
      </c>
      <c r="W266" s="76" t="str">
        <f>IFERROR(__xludf.DUMMYFUNCTION("""COMPUTED_VALUE"""),"Chicland Hotel")</f>
        <v>Chicland Hotel</v>
      </c>
      <c r="X266" s="76" t="str">
        <f>IFERROR(__xludf.DUMMYFUNCTION("""COMPUTED_VALUE"""),"Nhà hàng")</f>
        <v>Nhà hàng</v>
      </c>
      <c r="Y266" s="76" t="str">
        <f>IFERROR(__xludf.DUMMYFUNCTION("""COMPUTED_VALUE"""),"DUYỆT")</f>
        <v>DUYỆT</v>
      </c>
      <c r="Z266" s="76" t="str">
        <f>IFERROR(__xludf.DUMMYFUNCTION("""COMPUTED_VALUE"""),"CHUYÊN ĐỀ")</f>
        <v>CHUYÊN ĐỀ</v>
      </c>
      <c r="AA266" s="76" t="str">
        <f>IFERROR(__xludf.DUMMYFUNCTION("""COMPUTED_VALUE"""),"Vuhuynang2000@gmail.com")</f>
        <v>Vuhuynang2000@gmail.com</v>
      </c>
      <c r="AB266" s="76"/>
      <c r="AC266" s="76"/>
    </row>
    <row r="267">
      <c r="A267" s="100">
        <f>IFERROR(__xludf.DUMMYFUNCTION("""COMPUTED_VALUE"""),45673.72692003472)</f>
        <v>45673.72692</v>
      </c>
      <c r="B267" s="76" t="str">
        <f>IFERROR(__xludf.DUMMYFUNCTION("""COMPUTED_VALUE"""),"hieudaivui114@gmail.com")</f>
        <v>hieudaivui114@gmail.com</v>
      </c>
      <c r="C267" s="76">
        <f>IFERROR(__xludf.DUMMYFUNCTION("""COMPUTED_VALUE"""),2.6217131943E10)</f>
        <v>26217131943</v>
      </c>
      <c r="D267" s="76" t="str">
        <f>IFERROR(__xludf.DUMMYFUNCTION("""COMPUTED_VALUE"""),"Đào Ngọc Hiếu")</f>
        <v>Đào Ngọc Hiếu</v>
      </c>
      <c r="E267" s="101">
        <f>IFERROR(__xludf.DUMMYFUNCTION("""COMPUTED_VALUE"""),37600.0)</f>
        <v>37600</v>
      </c>
      <c r="F267" s="76" t="str">
        <f>IFERROR(__xludf.DUMMYFUNCTION("""COMPUTED_VALUE"""),"K26DLK12")</f>
        <v>K26DLK12</v>
      </c>
      <c r="G267" s="76" t="str">
        <f>IFERROR(__xludf.DUMMYFUNCTION("""COMPUTED_VALUE"""),"Quản trị Du lịch &amp; Khách sạn")</f>
        <v>Quản trị Du lịch &amp; Khách sạn</v>
      </c>
      <c r="H267" s="76" t="str">
        <f>IFERROR(__xludf.DUMMYFUNCTION("""COMPUTED_VALUE"""),"K26")</f>
        <v>K26</v>
      </c>
      <c r="I267" s="76" t="str">
        <f>IFERROR(__xludf.DUMMYFUNCTION("""COMPUTED_VALUE"""),"0905404081")</f>
        <v>0905404081</v>
      </c>
      <c r="J267" s="76">
        <f>IFERROR(__xludf.DUMMYFUNCTION("""COMPUTED_VALUE"""),2.48)</f>
        <v>2.48</v>
      </c>
      <c r="K267" s="76">
        <f>IFERROR(__xludf.DUMMYFUNCTION("""COMPUTED_VALUE"""),130.0)</f>
        <v>130</v>
      </c>
      <c r="L267" s="76" t="str">
        <f>IFERROR(__xludf.DUMMYFUNCTION("""COMPUTED_VALUE"""),"Chưa")</f>
        <v>Chưa</v>
      </c>
      <c r="M267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67" s="76">
        <f>IFERROR(__xludf.DUMMYFUNCTION("""COMPUTED_VALUE"""),2.0)</f>
        <v>2</v>
      </c>
      <c r="O267" s="76" t="str">
        <f>IFERROR(__xludf.DUMMYFUNCTION("""COMPUTED_VALUE"""),"cam kết")</f>
        <v>cam kết</v>
      </c>
      <c r="P267" s="76"/>
      <c r="Q267" s="76" t="str">
        <f>IFERROR(__xludf.DUMMYFUNCTION("""COMPUTED_VALUE"""),"CHƯA NỘP")</f>
        <v>CHƯA NỘP</v>
      </c>
      <c r="R267" s="76">
        <f>IFERROR(__xludf.DUMMYFUNCTION("""COMPUTED_VALUE"""),59.0)</f>
        <v>59</v>
      </c>
      <c r="S267" s="76"/>
      <c r="T267" s="76"/>
      <c r="U267" s="102" t="str">
        <f>IFERROR(__xludf.DUMMYFUNCTION("""COMPUTED_VALUE"""),"Đào Ngọc Hiếu")</f>
        <v>Đào Ngọc Hiếu</v>
      </c>
      <c r="V267" s="76" t="str">
        <f>IFERROR(__xludf.DUMMYFUNCTION("""COMPUTED_VALUE"""),"Quản Trị Khách Sạn &amp; Nhà Hàng (Đại Học)")</f>
        <v>Quản Trị Khách Sạn &amp; Nhà Hàng (Đại Học)</v>
      </c>
      <c r="W267" s="76" t="str">
        <f>IFERROR(__xludf.DUMMYFUNCTION("""COMPUTED_VALUE"""),"#N/A")</f>
        <v>#N/A</v>
      </c>
      <c r="X267" s="76" t="str">
        <f>IFERROR(__xludf.DUMMYFUNCTION("""COMPUTED_VALUE"""),"#N/A")</f>
        <v>#N/A</v>
      </c>
      <c r="Y267" s="76" t="str">
        <f>IFERROR(__xludf.DUMMYFUNCTION("""COMPUTED_VALUE"""),"#N/A")</f>
        <v>#N/A</v>
      </c>
      <c r="Z267" s="76" t="str">
        <f>IFERROR(__xludf.DUMMYFUNCTION("""COMPUTED_VALUE"""),"HỦY HỒ SƠ ĐĂNG KÝ THAM DỰ TỐT NGHIỆP ĐỢT 06/2025")</f>
        <v>HỦY HỒ SƠ ĐĂNG KÝ THAM DỰ TỐT NGHIỆP ĐỢT 06/2025</v>
      </c>
      <c r="AA267" s="76" t="str">
        <f>IFERROR(__xludf.DUMMYFUNCTION("""COMPUTED_VALUE"""),"hieudaivui114@gmail.com")</f>
        <v>hieudaivui114@gmail.com</v>
      </c>
      <c r="AB267" s="76"/>
      <c r="AC267" s="76"/>
    </row>
    <row r="268">
      <c r="A268" s="100">
        <f>IFERROR(__xludf.DUMMYFUNCTION("""COMPUTED_VALUE"""),45673.85240793982)</f>
        <v>45673.85241</v>
      </c>
      <c r="B268" s="76" t="str">
        <f>IFERROR(__xludf.DUMMYFUNCTION("""COMPUTED_VALUE"""),"giahuy0788456369@gmail.com")</f>
        <v>giahuy0788456369@gmail.com</v>
      </c>
      <c r="C268" s="76">
        <f>IFERROR(__xludf.DUMMYFUNCTION("""COMPUTED_VALUE"""),2.6217135186E10)</f>
        <v>26217135186</v>
      </c>
      <c r="D268" s="76" t="str">
        <f>IFERROR(__xludf.DUMMYFUNCTION("""COMPUTED_VALUE"""),"Võ gia huy")</f>
        <v>Võ gia huy</v>
      </c>
      <c r="E268" s="101">
        <f>IFERROR(__xludf.DUMMYFUNCTION("""COMPUTED_VALUE"""),37582.0)</f>
        <v>37582</v>
      </c>
      <c r="F268" s="76" t="str">
        <f>IFERROR(__xludf.DUMMYFUNCTION("""COMPUTED_VALUE"""),"K26dlk12")</f>
        <v>K26dlk12</v>
      </c>
      <c r="G268" s="76" t="str">
        <f>IFERROR(__xludf.DUMMYFUNCTION("""COMPUTED_VALUE"""),"Quản trị Du lịch &amp; Khách sạn")</f>
        <v>Quản trị Du lịch &amp; Khách sạn</v>
      </c>
      <c r="H268" s="76" t="str">
        <f>IFERROR(__xludf.DUMMYFUNCTION("""COMPUTED_VALUE"""),"K26")</f>
        <v>K26</v>
      </c>
      <c r="I268" s="76" t="str">
        <f>IFERROR(__xludf.DUMMYFUNCTION("""COMPUTED_VALUE"""),"0788456369")</f>
        <v>0788456369</v>
      </c>
      <c r="J268" s="76" t="str">
        <f>IFERROR(__xludf.DUMMYFUNCTION("""COMPUTED_VALUE"""),"2,43")</f>
        <v>2,43</v>
      </c>
      <c r="K268" s="76">
        <f>IFERROR(__xludf.DUMMYFUNCTION("""COMPUTED_VALUE"""),120.0)</f>
        <v>120</v>
      </c>
      <c r="L268" s="76" t="str">
        <f>IFERROR(__xludf.DUMMYFUNCTION("""COMPUTED_VALUE"""),"Rồi")</f>
        <v>Rồi</v>
      </c>
      <c r="M268" s="76" t="str">
        <f>IFERROR(__xludf.DUMMYFUNCTION("""COMPUTED_VALUE"""),"Thực tập tốt nghiệp")</f>
        <v>Thực tập tốt nghiệp</v>
      </c>
      <c r="N268" s="76">
        <f>IFERROR(__xludf.DUMMYFUNCTION("""COMPUTED_VALUE"""),9.0)</f>
        <v>9</v>
      </c>
      <c r="O268" s="76" t="str">
        <f>IFERROR(__xludf.DUMMYFUNCTION("""COMPUTED_VALUE"""),"cam kết")</f>
        <v>cam kết</v>
      </c>
      <c r="P268" s="76"/>
      <c r="Q268" s="76" t="str">
        <f>IFERROR(__xludf.DUMMYFUNCTION("""COMPUTED_VALUE"""),"CHƯA NỘP")</f>
        <v>CHƯA NỘP</v>
      </c>
      <c r="R268" s="76">
        <f>IFERROR(__xludf.DUMMYFUNCTION("""COMPUTED_VALUE"""),60.0)</f>
        <v>60</v>
      </c>
      <c r="S268" s="76"/>
      <c r="T268" s="76"/>
      <c r="U268" s="102" t="str">
        <f>IFERROR(__xludf.DUMMYFUNCTION("""COMPUTED_VALUE"""),"Võ Gia Huy")</f>
        <v>Võ Gia Huy</v>
      </c>
      <c r="V268" s="76" t="str">
        <f>IFERROR(__xludf.DUMMYFUNCTION("""COMPUTED_VALUE"""),"Quản Trị Khách Sạn &amp; Nhà Hàng (Đại Học)")</f>
        <v>Quản Trị Khách Sạn &amp; Nhà Hàng (Đại Học)</v>
      </c>
      <c r="W268" s="76" t="str">
        <f>IFERROR(__xludf.DUMMYFUNCTION("""COMPUTED_VALUE"""),"#N/A")</f>
        <v>#N/A</v>
      </c>
      <c r="X268" s="76" t="str">
        <f>IFERROR(__xludf.DUMMYFUNCTION("""COMPUTED_VALUE"""),"#N/A")</f>
        <v>#N/A</v>
      </c>
      <c r="Y268" s="76" t="str">
        <f>IFERROR(__xludf.DUMMYFUNCTION("""COMPUTED_VALUE"""),"#N/A")</f>
        <v>#N/A</v>
      </c>
      <c r="Z268" s="76" t="str">
        <f>IFERROR(__xludf.DUMMYFUNCTION("""COMPUTED_VALUE"""),"HỦY HỒ SƠ ĐĂNG KÝ THAM DỰ TỐT NGHIỆP ĐỢT 06/2025")</f>
        <v>HỦY HỒ SƠ ĐĂNG KÝ THAM DỰ TỐT NGHIỆP ĐỢT 06/2025</v>
      </c>
      <c r="AA268" s="76" t="str">
        <f>IFERROR(__xludf.DUMMYFUNCTION("""COMPUTED_VALUE"""),"giahuy0788456369@gmail.com")</f>
        <v>giahuy0788456369@gmail.com</v>
      </c>
      <c r="AB268" s="76"/>
      <c r="AC268" s="76"/>
    </row>
    <row r="269">
      <c r="A269" s="100">
        <f>IFERROR(__xludf.DUMMYFUNCTION("""COMPUTED_VALUE"""),45673.871408182866)</f>
        <v>45673.87141</v>
      </c>
      <c r="B269" s="76" t="str">
        <f>IFERROR(__xludf.DUMMYFUNCTION("""COMPUTED_VALUE"""),"thachcmn@gmail.com")</f>
        <v>thachcmn@gmail.com</v>
      </c>
      <c r="C269" s="76">
        <f>IFERROR(__xludf.DUMMYFUNCTION("""COMPUTED_VALUE"""),2.6217136263E10)</f>
        <v>26217136263</v>
      </c>
      <c r="D269" s="76" t="str">
        <f>IFERROR(__xludf.DUMMYFUNCTION("""COMPUTED_VALUE"""),"Hồ Ngọc Thạch")</f>
        <v>Hồ Ngọc Thạch</v>
      </c>
      <c r="E269" s="101">
        <f>IFERROR(__xludf.DUMMYFUNCTION("""COMPUTED_VALUE"""),37615.0)</f>
        <v>37615</v>
      </c>
      <c r="F269" s="76" t="str">
        <f>IFERROR(__xludf.DUMMYFUNCTION("""COMPUTED_VALUE"""),"K26DLK13")</f>
        <v>K26DLK13</v>
      </c>
      <c r="G269" s="76" t="str">
        <f>IFERROR(__xludf.DUMMYFUNCTION("""COMPUTED_VALUE"""),"Quản trị Du lịch &amp; Khách sạn")</f>
        <v>Quản trị Du lịch &amp; Khách sạn</v>
      </c>
      <c r="H269" s="76" t="str">
        <f>IFERROR(__xludf.DUMMYFUNCTION("""COMPUTED_VALUE"""),"K26")</f>
        <v>K26</v>
      </c>
      <c r="I269" s="76" t="str">
        <f>IFERROR(__xludf.DUMMYFUNCTION("""COMPUTED_VALUE"""),"0988806080")</f>
        <v>0988806080</v>
      </c>
      <c r="J269" s="76">
        <f>IFERROR(__xludf.DUMMYFUNCTION("""COMPUTED_VALUE"""),2.16)</f>
        <v>2.16</v>
      </c>
      <c r="K269" s="76">
        <f>IFERROR(__xludf.DUMMYFUNCTION("""COMPUTED_VALUE"""),141.0)</f>
        <v>141</v>
      </c>
      <c r="L269" s="76" t="str">
        <f>IFERROR(__xludf.DUMMYFUNCTION("""COMPUTED_VALUE"""),"Rồi")</f>
        <v>Rồi</v>
      </c>
      <c r="M269" s="76" t="str">
        <f>IFERROR(__xludf.DUMMYFUNCTION("""COMPUTED_VALUE"""),"Thực tập tốt nghiệp")</f>
        <v>Thực tập tốt nghiệp</v>
      </c>
      <c r="N269" s="76">
        <f>IFERROR(__xludf.DUMMYFUNCTION("""COMPUTED_VALUE"""),7.0)</f>
        <v>7</v>
      </c>
      <c r="O269" s="76" t="str">
        <f>IFERROR(__xludf.DUMMYFUNCTION("""COMPUTED_VALUE"""),"cam kết")</f>
        <v>cam kết</v>
      </c>
      <c r="P269" s="76"/>
      <c r="Q269" s="76" t="str">
        <f>IFERROR(__xludf.DUMMYFUNCTION("""COMPUTED_VALUE"""),"CHƯA NỘP")</f>
        <v>CHƯA NỘP</v>
      </c>
      <c r="R269" s="76">
        <f>IFERROR(__xludf.DUMMYFUNCTION("""COMPUTED_VALUE"""),61.0)</f>
        <v>61</v>
      </c>
      <c r="S269" s="76"/>
      <c r="T269" s="76"/>
      <c r="U269" s="102" t="str">
        <f>IFERROR(__xludf.DUMMYFUNCTION("""COMPUTED_VALUE"""),"Hồ Ngọc Thạch")</f>
        <v>Hồ Ngọc Thạch</v>
      </c>
      <c r="V269" s="76" t="str">
        <f>IFERROR(__xludf.DUMMYFUNCTION("""COMPUTED_VALUE"""),"Quản Trị Khách Sạn &amp; Nhà Hàng (Đại Học)")</f>
        <v>Quản Trị Khách Sạn &amp; Nhà Hàng (Đại Học)</v>
      </c>
      <c r="W269" s="76" t="str">
        <f>IFERROR(__xludf.DUMMYFUNCTION("""COMPUTED_VALUE"""),"#N/A")</f>
        <v>#N/A</v>
      </c>
      <c r="X269" s="76" t="str">
        <f>IFERROR(__xludf.DUMMYFUNCTION("""COMPUTED_VALUE"""),"#N/A")</f>
        <v>#N/A</v>
      </c>
      <c r="Y269" s="76" t="str">
        <f>IFERROR(__xludf.DUMMYFUNCTION("""COMPUTED_VALUE"""),"#N/A")</f>
        <v>#N/A</v>
      </c>
      <c r="Z269" s="76" t="str">
        <f>IFERROR(__xludf.DUMMYFUNCTION("""COMPUTED_VALUE"""),"HỦY HỒ SƠ ĐĂNG KÝ THAM DỰ TỐT NGHIỆP ĐỢT 06/2025")</f>
        <v>HỦY HỒ SƠ ĐĂNG KÝ THAM DỰ TỐT NGHIỆP ĐỢT 06/2025</v>
      </c>
      <c r="AA269" s="76" t="str">
        <f>IFERROR(__xludf.DUMMYFUNCTION("""COMPUTED_VALUE"""),"thachcmn@gmail.com")</f>
        <v>thachcmn@gmail.com</v>
      </c>
      <c r="AB269" s="76"/>
      <c r="AC269" s="76"/>
    </row>
    <row r="270">
      <c r="A270" s="100">
        <f>IFERROR(__xludf.DUMMYFUNCTION("""COMPUTED_VALUE"""),45673.8950025)</f>
        <v>45673.895</v>
      </c>
      <c r="B270" s="76" t="str">
        <f>IFERROR(__xludf.DUMMYFUNCTION("""COMPUTED_VALUE"""),"tranliem232001@gmail.com")</f>
        <v>tranliem232001@gmail.com</v>
      </c>
      <c r="C270" s="76">
        <f>IFERROR(__xludf.DUMMYFUNCTION("""COMPUTED_VALUE"""),2.5217203161E10)</f>
        <v>25217203161</v>
      </c>
      <c r="D270" s="76" t="str">
        <f>IFERROR(__xludf.DUMMYFUNCTION("""COMPUTED_VALUE"""),"Trần Văn Liêm")</f>
        <v>Trần Văn Liêm</v>
      </c>
      <c r="E270" s="101">
        <f>IFERROR(__xludf.DUMMYFUNCTION("""COMPUTED_VALUE"""),37034.0)</f>
        <v>37034</v>
      </c>
      <c r="F270" s="76" t="str">
        <f>IFERROR(__xludf.DUMMYFUNCTION("""COMPUTED_VALUE"""),"K25DLK19")</f>
        <v>K25DLK19</v>
      </c>
      <c r="G270" s="76" t="str">
        <f>IFERROR(__xludf.DUMMYFUNCTION("""COMPUTED_VALUE"""),"Quản trị Du lịch &amp; Khách sạn")</f>
        <v>Quản trị Du lịch &amp; Khách sạn</v>
      </c>
      <c r="H270" s="76" t="str">
        <f>IFERROR(__xludf.DUMMYFUNCTION("""COMPUTED_VALUE"""),"K25")</f>
        <v>K25</v>
      </c>
      <c r="I270" s="76" t="str">
        <f>IFERROR(__xludf.DUMMYFUNCTION("""COMPUTED_VALUE"""),"0774441502")</f>
        <v>0774441502</v>
      </c>
      <c r="J270" s="76">
        <f>IFERROR(__xludf.DUMMYFUNCTION("""COMPUTED_VALUE"""),3.16)</f>
        <v>3.16</v>
      </c>
      <c r="K270" s="76">
        <f>IFERROR(__xludf.DUMMYFUNCTION("""COMPUTED_VALUE"""),128.0)</f>
        <v>128</v>
      </c>
      <c r="L270" s="76" t="str">
        <f>IFERROR(__xludf.DUMMYFUNCTION("""COMPUTED_VALUE"""),"Rồi")</f>
        <v>Rồi</v>
      </c>
      <c r="M270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70" s="76">
        <f>IFERROR(__xludf.DUMMYFUNCTION("""COMPUTED_VALUE"""),5.0)</f>
        <v>5</v>
      </c>
      <c r="O270" s="76" t="str">
        <f>IFERROR(__xludf.DUMMYFUNCTION("""COMPUTED_VALUE"""),"cam kết")</f>
        <v>cam kết</v>
      </c>
      <c r="P270" s="76" t="str">
        <f>IFERROR(__xludf.DUMMYFUNCTION("""COMPUTED_VALUE"""),"ĐÃ NỘP")</f>
        <v>ĐÃ NỘP</v>
      </c>
      <c r="Q270" s="76" t="str">
        <f>IFERROR(__xludf.DUMMYFUNCTION("""COMPUTED_VALUE"""),"ĐÃ NỘP")</f>
        <v>ĐÃ NỘP</v>
      </c>
      <c r="R270" s="76">
        <f>IFERROR(__xludf.DUMMYFUNCTION("""COMPUTED_VALUE"""),62.0)</f>
        <v>62</v>
      </c>
      <c r="S270" s="76" t="str">
        <f>IFERROR(__xludf.DUMMYFUNCTION("""COMPUTED_VALUE"""),"18/01/2025")</f>
        <v>18/01/2025</v>
      </c>
      <c r="T270" s="76"/>
      <c r="U270" s="102" t="str">
        <f>IFERROR(__xludf.DUMMYFUNCTION("""COMPUTED_VALUE"""),"Trần Văn Liêm")</f>
        <v>Trần Văn Liêm</v>
      </c>
      <c r="V270" s="76" t="str">
        <f>IFERROR(__xludf.DUMMYFUNCTION("""COMPUTED_VALUE"""),"Quản Trị Khách Sạn &amp; Nhà Hàng (Đại Học)")</f>
        <v>Quản Trị Khách Sạn &amp; Nhà Hàng (Đại Học)</v>
      </c>
      <c r="W270" s="76" t="str">
        <f>IFERROR(__xludf.DUMMYFUNCTION("""COMPUTED_VALUE"""),"Diamond Sea Hotel")</f>
        <v>Diamond Sea Hotel</v>
      </c>
      <c r="X270" s="76" t="str">
        <f>IFERROR(__xludf.DUMMYFUNCTION("""COMPUTED_VALUE"""),"Tiền sảnh")</f>
        <v>Tiền sảnh</v>
      </c>
      <c r="Y270" s="76" t="str">
        <f>IFERROR(__xludf.DUMMYFUNCTION("""COMPUTED_VALUE"""),"DUYỆT")</f>
        <v>DUYỆT</v>
      </c>
      <c r="Z270" s="76" t="str">
        <f>IFERROR(__xludf.DUMMYFUNCTION("""COMPUTED_VALUE"""),"CHUYÊN ĐỀ")</f>
        <v>CHUYÊN ĐỀ</v>
      </c>
      <c r="AA270" s="76" t="str">
        <f>IFERROR(__xludf.DUMMYFUNCTION("""COMPUTED_VALUE"""),"tranliem232001@gmail.com")</f>
        <v>tranliem232001@gmail.com</v>
      </c>
      <c r="AB270" s="76"/>
      <c r="AC270" s="76"/>
    </row>
    <row r="271">
      <c r="A271" s="100">
        <f>IFERROR(__xludf.DUMMYFUNCTION("""COMPUTED_VALUE"""),45674.36813908565)</f>
        <v>45674.36814</v>
      </c>
      <c r="B271" s="76" t="str">
        <f>IFERROR(__xludf.DUMMYFUNCTION("""COMPUTED_VALUE"""),"lenhatnam1004@gmail.com")</f>
        <v>lenhatnam1004@gmail.com</v>
      </c>
      <c r="C271" s="76">
        <f>IFERROR(__xludf.DUMMYFUNCTION("""COMPUTED_VALUE"""),2.5217101543E10)</f>
        <v>25217101543</v>
      </c>
      <c r="D271" s="76" t="str">
        <f>IFERROR(__xludf.DUMMYFUNCTION("""COMPUTED_VALUE"""),"Lê Nhật Nam")</f>
        <v>Lê Nhật Nam</v>
      </c>
      <c r="E271" s="101">
        <f>IFERROR(__xludf.DUMMYFUNCTION("""COMPUTED_VALUE"""),37165.0)</f>
        <v>37165</v>
      </c>
      <c r="F271" s="76" t="str">
        <f>IFERROR(__xludf.DUMMYFUNCTION("""COMPUTED_VALUE"""),"K25Dlk15")</f>
        <v>K25Dlk15</v>
      </c>
      <c r="G271" s="76" t="str">
        <f>IFERROR(__xludf.DUMMYFUNCTION("""COMPUTED_VALUE"""),"Quản trị Du lịch &amp; Khách sạn")</f>
        <v>Quản trị Du lịch &amp; Khách sạn</v>
      </c>
      <c r="H271" s="76" t="str">
        <f>IFERROR(__xludf.DUMMYFUNCTION("""COMPUTED_VALUE"""),"K25")</f>
        <v>K25</v>
      </c>
      <c r="I271" s="76" t="str">
        <f>IFERROR(__xludf.DUMMYFUNCTION("""COMPUTED_VALUE"""),"0945463057")</f>
        <v>0945463057</v>
      </c>
      <c r="J271" s="76">
        <f>IFERROR(__xludf.DUMMYFUNCTION("""COMPUTED_VALUE"""),2.06)</f>
        <v>2.06</v>
      </c>
      <c r="K271" s="76">
        <f>IFERROR(__xludf.DUMMYFUNCTION("""COMPUTED_VALUE"""),130.0)</f>
        <v>130</v>
      </c>
      <c r="L271" s="76" t="str">
        <f>IFERROR(__xludf.DUMMYFUNCTION("""COMPUTED_VALUE"""),"Rồi")</f>
        <v>Rồi</v>
      </c>
      <c r="M271" s="76" t="str">
        <f>IFERROR(__xludf.DUMMYFUNCTION("""COMPUTED_VALUE"""),"Thực tập tốt nghiệp")</f>
        <v>Thực tập tốt nghiệp</v>
      </c>
      <c r="N271" s="76">
        <f>IFERROR(__xludf.DUMMYFUNCTION("""COMPUTED_VALUE"""),8.0)</f>
        <v>8</v>
      </c>
      <c r="O271" s="76" t="str">
        <f>IFERROR(__xludf.DUMMYFUNCTION("""COMPUTED_VALUE"""),"cam kết")</f>
        <v>cam kết</v>
      </c>
      <c r="P271" s="76"/>
      <c r="Q271" s="76" t="str">
        <f>IFERROR(__xludf.DUMMYFUNCTION("""COMPUTED_VALUE"""),"CHƯA NỘP")</f>
        <v>CHƯA NỘP</v>
      </c>
      <c r="R271" s="76">
        <f>IFERROR(__xludf.DUMMYFUNCTION("""COMPUTED_VALUE"""),63.0)</f>
        <v>63</v>
      </c>
      <c r="S271" s="76" t="str">
        <f>IFERROR(__xludf.DUMMYFUNCTION("""COMPUTED_VALUE"""),"18/01/2025")</f>
        <v>18/01/2025</v>
      </c>
      <c r="T271" s="76"/>
      <c r="U271" s="102" t="str">
        <f>IFERROR(__xludf.DUMMYFUNCTION("""COMPUTED_VALUE"""),"Lê Nhật Nam")</f>
        <v>Lê Nhật Nam</v>
      </c>
      <c r="V271" s="76" t="str">
        <f>IFERROR(__xludf.DUMMYFUNCTION("""COMPUTED_VALUE"""),"Quản Trị Khách Sạn &amp; Nhà Hàng (Đại Học)")</f>
        <v>Quản Trị Khách Sạn &amp; Nhà Hàng (Đại Học)</v>
      </c>
      <c r="W271" s="76" t="str">
        <f>IFERROR(__xludf.DUMMYFUNCTION("""COMPUTED_VALUE"""),"#N/A")</f>
        <v>#N/A</v>
      </c>
      <c r="X271" s="76" t="str">
        <f>IFERROR(__xludf.DUMMYFUNCTION("""COMPUTED_VALUE"""),"#N/A")</f>
        <v>#N/A</v>
      </c>
      <c r="Y271" s="76" t="str">
        <f>IFERROR(__xludf.DUMMYFUNCTION("""COMPUTED_VALUE"""),"#N/A")</f>
        <v>#N/A</v>
      </c>
      <c r="Z271" s="76" t="str">
        <f>IFERROR(__xludf.DUMMYFUNCTION("""COMPUTED_VALUE"""),"HỦY HỒ SƠ ĐĂNG KÝ THAM DỰ TỐT NGHIỆP ĐỢT 06/2025")</f>
        <v>HỦY HỒ SƠ ĐĂNG KÝ THAM DỰ TỐT NGHIỆP ĐỢT 06/2025</v>
      </c>
      <c r="AA271" s="76" t="str">
        <f>IFERROR(__xludf.DUMMYFUNCTION("""COMPUTED_VALUE"""),"lenhatnam1004@gmail.com")</f>
        <v>lenhatnam1004@gmail.com</v>
      </c>
      <c r="AB271" s="76"/>
      <c r="AC271" s="76"/>
    </row>
    <row r="272">
      <c r="A272" s="100">
        <f>IFERROR(__xludf.DUMMYFUNCTION("""COMPUTED_VALUE"""),45674.491953749995)</f>
        <v>45674.49195</v>
      </c>
      <c r="B272" s="76" t="str">
        <f>IFERROR(__xludf.DUMMYFUNCTION("""COMPUTED_VALUE"""),"nguyennhatlee22@gmail.com")</f>
        <v>nguyennhatlee22@gmail.com</v>
      </c>
      <c r="C272" s="76">
        <f>IFERROR(__xludf.DUMMYFUNCTION("""COMPUTED_VALUE"""),2.620713014E10)</f>
        <v>26207130140</v>
      </c>
      <c r="D272" s="76" t="str">
        <f>IFERROR(__xludf.DUMMYFUNCTION("""COMPUTED_VALUE"""),"Nguyễn Thị Nhật Lệ")</f>
        <v>Nguyễn Thị Nhật Lệ</v>
      </c>
      <c r="E272" s="101">
        <f>IFERROR(__xludf.DUMMYFUNCTION("""COMPUTED_VALUE"""),37582.0)</f>
        <v>37582</v>
      </c>
      <c r="F272" s="76" t="str">
        <f>IFERROR(__xludf.DUMMYFUNCTION("""COMPUTED_VALUE"""),"K26DLK13")</f>
        <v>K26DLK13</v>
      </c>
      <c r="G272" s="76" t="str">
        <f>IFERROR(__xludf.DUMMYFUNCTION("""COMPUTED_VALUE"""),"Quản trị Du lịch &amp; Khách sạn")</f>
        <v>Quản trị Du lịch &amp; Khách sạn</v>
      </c>
      <c r="H272" s="76" t="str">
        <f>IFERROR(__xludf.DUMMYFUNCTION("""COMPUTED_VALUE"""),"K26")</f>
        <v>K26</v>
      </c>
      <c r="I272" s="76" t="str">
        <f>IFERROR(__xludf.DUMMYFUNCTION("""COMPUTED_VALUE"""),"0775182166")</f>
        <v>0775182166</v>
      </c>
      <c r="J272" s="76">
        <f>IFERROR(__xludf.DUMMYFUNCTION("""COMPUTED_VALUE"""),2.75)</f>
        <v>2.75</v>
      </c>
      <c r="K272" s="76">
        <f>IFERROR(__xludf.DUMMYFUNCTION("""COMPUTED_VALUE"""),128.0)</f>
        <v>128</v>
      </c>
      <c r="L272" s="76" t="str">
        <f>IFERROR(__xludf.DUMMYFUNCTION("""COMPUTED_VALUE"""),"Rồi")</f>
        <v>Rồi</v>
      </c>
      <c r="M272" s="76" t="str">
        <f>IFERROR(__xludf.DUMMYFUNCTION("""COMPUTED_VALUE"""),"Thực tập tốt nghiệp, Thi tốt nghiệp")</f>
        <v>Thực tập tốt nghiệp, Thi tốt nghiệp</v>
      </c>
      <c r="N272" s="76">
        <f>IFERROR(__xludf.DUMMYFUNCTION("""COMPUTED_VALUE"""),0.0)</f>
        <v>0</v>
      </c>
      <c r="O272" s="76" t="str">
        <f>IFERROR(__xludf.DUMMYFUNCTION("""COMPUTED_VALUE"""),"cam kết")</f>
        <v>cam kết</v>
      </c>
      <c r="P272" s="76" t="str">
        <f>IFERROR(__xludf.DUMMYFUNCTION("""COMPUTED_VALUE"""),"ĐÃ NỘP")</f>
        <v>ĐÃ NỘP</v>
      </c>
      <c r="Q272" s="76" t="str">
        <f>IFERROR(__xludf.DUMMYFUNCTION("""COMPUTED_VALUE"""),"ĐÃ NỘP")</f>
        <v>ĐÃ NỘP</v>
      </c>
      <c r="R272" s="76">
        <f>IFERROR(__xludf.DUMMYFUNCTION("""COMPUTED_VALUE"""),64.0)</f>
        <v>64</v>
      </c>
      <c r="S272" s="76" t="str">
        <f>IFERROR(__xludf.DUMMYFUNCTION("""COMPUTED_VALUE"""),"18/01/2025")</f>
        <v>18/01/2025</v>
      </c>
      <c r="T272" s="76"/>
      <c r="U272" s="102" t="str">
        <f>IFERROR(__xludf.DUMMYFUNCTION("""COMPUTED_VALUE"""),"Nguyễn Thị Nhật Lệ")</f>
        <v>Nguyễn Thị Nhật Lệ</v>
      </c>
      <c r="V272" s="76" t="str">
        <f>IFERROR(__xludf.DUMMYFUNCTION("""COMPUTED_VALUE"""),"Quản Trị Khách Sạn &amp; Nhà Hàng (Đại Học)")</f>
        <v>Quản Trị Khách Sạn &amp; Nhà Hàng (Đại Học)</v>
      </c>
      <c r="W272" s="76" t="str">
        <f>IFERROR(__xludf.DUMMYFUNCTION("""COMPUTED_VALUE"""),"Satya Danang Hotel")</f>
        <v>Satya Danang Hotel</v>
      </c>
      <c r="X272" s="76" t="str">
        <f>IFERROR(__xludf.DUMMYFUNCTION("""COMPUTED_VALUE"""),"Nhà hàng")</f>
        <v>Nhà hàng</v>
      </c>
      <c r="Y272" s="76" t="str">
        <f>IFERROR(__xludf.DUMMYFUNCTION("""COMPUTED_VALUE"""),"DUYỆT")</f>
        <v>DUYỆT</v>
      </c>
      <c r="Z272" s="76" t="str">
        <f>IFERROR(__xludf.DUMMYFUNCTION("""COMPUTED_VALUE"""),"CHUYÊN ĐỀ")</f>
        <v>CHUYÊN ĐỀ</v>
      </c>
      <c r="AA272" s="76" t="str">
        <f>IFERROR(__xludf.DUMMYFUNCTION("""COMPUTED_VALUE"""),"nguyennhatlee22@gmail.com")</f>
        <v>nguyennhatlee22@gmail.com</v>
      </c>
      <c r="AB272" s="76"/>
      <c r="AC272" s="76"/>
    </row>
    <row r="273">
      <c r="A273" s="100">
        <f>IFERROR(__xludf.DUMMYFUNCTION("""COMPUTED_VALUE"""),45674.658306296296)</f>
        <v>45674.65831</v>
      </c>
      <c r="B273" s="76" t="str">
        <f>IFERROR(__xludf.DUMMYFUNCTION("""COMPUTED_VALUE"""),"quanglongn121@gmail.com")</f>
        <v>quanglongn121@gmail.com</v>
      </c>
      <c r="C273" s="76">
        <f>IFERROR(__xludf.DUMMYFUNCTION("""COMPUTED_VALUE"""),2.6217123458E10)</f>
        <v>26217123458</v>
      </c>
      <c r="D273" s="76" t="str">
        <f>IFERROR(__xludf.DUMMYFUNCTION("""COMPUTED_VALUE"""),"Nguyễn Quang Long")</f>
        <v>Nguyễn Quang Long</v>
      </c>
      <c r="E273" s="101">
        <f>IFERROR(__xludf.DUMMYFUNCTION("""COMPUTED_VALUE"""),37568.0)</f>
        <v>37568</v>
      </c>
      <c r="F273" s="76" t="str">
        <f>IFERROR(__xludf.DUMMYFUNCTION("""COMPUTED_VALUE"""),"K26DLK 16")</f>
        <v>K26DLK 16</v>
      </c>
      <c r="G273" s="76" t="str">
        <f>IFERROR(__xludf.DUMMYFUNCTION("""COMPUTED_VALUE"""),"Quản trị Du lịch &amp; Khách sạn")</f>
        <v>Quản trị Du lịch &amp; Khách sạn</v>
      </c>
      <c r="H273" s="76" t="str">
        <f>IFERROR(__xludf.DUMMYFUNCTION("""COMPUTED_VALUE"""),"K26")</f>
        <v>K26</v>
      </c>
      <c r="I273" s="76" t="str">
        <f>IFERROR(__xludf.DUMMYFUNCTION("""COMPUTED_VALUE"""),"0906481995")</f>
        <v>0906481995</v>
      </c>
      <c r="J273" s="76">
        <f>IFERROR(__xludf.DUMMYFUNCTION("""COMPUTED_VALUE"""),2.35)</f>
        <v>2.35</v>
      </c>
      <c r="K273" s="76">
        <f>IFERROR(__xludf.DUMMYFUNCTION("""COMPUTED_VALUE"""),2.35)</f>
        <v>2.35</v>
      </c>
      <c r="L273" s="76" t="str">
        <f>IFERROR(__xludf.DUMMYFUNCTION("""COMPUTED_VALUE"""),"Rồi")</f>
        <v>Rồi</v>
      </c>
      <c r="M273" s="76" t="str">
        <f>IFERROR(__xludf.DUMMYFUNCTION("""COMPUTED_VALUE"""),"Thực tập tốt nghiệp")</f>
        <v>Thực tập tốt nghiệp</v>
      </c>
      <c r="N273" s="76">
        <f>IFERROR(__xludf.DUMMYFUNCTION("""COMPUTED_VALUE"""),5.0)</f>
        <v>5</v>
      </c>
      <c r="O273" s="76" t="str">
        <f>IFERROR(__xludf.DUMMYFUNCTION("""COMPUTED_VALUE"""),"cam kết")</f>
        <v>cam kết</v>
      </c>
      <c r="P273" s="76" t="str">
        <f>IFERROR(__xludf.DUMMYFUNCTION("""COMPUTED_VALUE"""),"ĐÃ NỘP")</f>
        <v>ĐÃ NỘP</v>
      </c>
      <c r="Q273" s="76" t="str">
        <f>IFERROR(__xludf.DUMMYFUNCTION("""COMPUTED_VALUE"""),"ĐÃ NỘP")</f>
        <v>ĐÃ NỘP</v>
      </c>
      <c r="R273" s="76">
        <f>IFERROR(__xludf.DUMMYFUNCTION("""COMPUTED_VALUE"""),65.0)</f>
        <v>65</v>
      </c>
      <c r="S273" s="76" t="str">
        <f>IFERROR(__xludf.DUMMYFUNCTION("""COMPUTED_VALUE"""),"18/01/2025")</f>
        <v>18/01/2025</v>
      </c>
      <c r="T273" s="76" t="str">
        <f>IFERROR(__xludf.DUMMYFUNCTION("""COMPUTED_VALUE"""),"SV làm sai mẫu")</f>
        <v>SV làm sai mẫu</v>
      </c>
      <c r="U273" s="102" t="str">
        <f>IFERROR(__xludf.DUMMYFUNCTION("""COMPUTED_VALUE"""),"Nguyễn Quang Long")</f>
        <v>Nguyễn Quang Long</v>
      </c>
      <c r="V273" s="76" t="str">
        <f>IFERROR(__xludf.DUMMYFUNCTION("""COMPUTED_VALUE"""),"Quản Trị Khách Sạn &amp; Nhà Hàng (Đại Học)")</f>
        <v>Quản Trị Khách Sạn &amp; Nhà Hàng (Đại Học)</v>
      </c>
      <c r="W273" s="76" t="str">
        <f>IFERROR(__xludf.DUMMYFUNCTION("""COMPUTED_VALUE"""),"Vanda Hotel")</f>
        <v>Vanda Hotel</v>
      </c>
      <c r="X273" s="76" t="str">
        <f>IFERROR(__xludf.DUMMYFUNCTION("""COMPUTED_VALUE"""),"Tiền sảnh")</f>
        <v>Tiền sảnh</v>
      </c>
      <c r="Y273" s="76" t="str">
        <f>IFERROR(__xludf.DUMMYFUNCTION("""COMPUTED_VALUE"""),"DUYỆT")</f>
        <v>DUYỆT</v>
      </c>
      <c r="Z273" s="76" t="str">
        <f>IFERROR(__xludf.DUMMYFUNCTION("""COMPUTED_VALUE"""),"CHUYÊN ĐỀ")</f>
        <v>CHUYÊN ĐỀ</v>
      </c>
      <c r="AA273" s="76" t="str">
        <f>IFERROR(__xludf.DUMMYFUNCTION("""COMPUTED_VALUE"""),"quanglongn121@gmail.com")</f>
        <v>quanglongn121@gmail.com</v>
      </c>
      <c r="AB273" s="76"/>
      <c r="AC273" s="76"/>
    </row>
    <row r="274">
      <c r="A274" s="100">
        <f>IFERROR(__xludf.DUMMYFUNCTION("""COMPUTED_VALUE"""),45674.934285868054)</f>
        <v>45674.93429</v>
      </c>
      <c r="B274" s="76" t="str">
        <f>IFERROR(__xludf.DUMMYFUNCTION("""COMPUTED_VALUE"""),"ltnlan.95.2016@gmail.com")</f>
        <v>ltnlan.95.2016@gmail.com</v>
      </c>
      <c r="C274" s="76">
        <f>IFERROR(__xludf.DUMMYFUNCTION("""COMPUTED_VALUE"""),2.6207132771E10)</f>
        <v>26207132771</v>
      </c>
      <c r="D274" s="76" t="str">
        <f>IFERROR(__xludf.DUMMYFUNCTION("""COMPUTED_VALUE"""),"Lê Thị Ngọc Lan")</f>
        <v>Lê Thị Ngọc Lan</v>
      </c>
      <c r="E274" s="101">
        <f>IFERROR(__xludf.DUMMYFUNCTION("""COMPUTED_VALUE"""),37269.0)</f>
        <v>37269</v>
      </c>
      <c r="F274" s="76" t="str">
        <f>IFERROR(__xludf.DUMMYFUNCTION("""COMPUTED_VALUE"""),"K26DLK4")</f>
        <v>K26DLK4</v>
      </c>
      <c r="G274" s="76" t="str">
        <f>IFERROR(__xludf.DUMMYFUNCTION("""COMPUTED_VALUE"""),"Quản trị Du lịch &amp; Khách sạn")</f>
        <v>Quản trị Du lịch &amp; Khách sạn</v>
      </c>
      <c r="H274" s="76" t="str">
        <f>IFERROR(__xludf.DUMMYFUNCTION("""COMPUTED_VALUE"""),"K26")</f>
        <v>K26</v>
      </c>
      <c r="I274" s="76" t="str">
        <f>IFERROR(__xludf.DUMMYFUNCTION("""COMPUTED_VALUE"""),"0337447203")</f>
        <v>0337447203</v>
      </c>
      <c r="J274" s="76">
        <f>IFERROR(__xludf.DUMMYFUNCTION("""COMPUTED_VALUE"""),3.38)</f>
        <v>3.38</v>
      </c>
      <c r="K274" s="76">
        <f>IFERROR(__xludf.DUMMYFUNCTION("""COMPUTED_VALUE"""),127.0)</f>
        <v>127</v>
      </c>
      <c r="L274" s="76" t="str">
        <f>IFERROR(__xludf.DUMMYFUNCTION("""COMPUTED_VALUE"""),"Rồi")</f>
        <v>Rồi</v>
      </c>
      <c r="M274" s="76" t="str">
        <f>IFERROR(__xludf.DUMMYFUNCTION("""COMPUTED_VALUE"""),"Thực tập tốt nghiệp, Công nhận tốt nghiệp")</f>
        <v>Thực tập tốt nghiệp, Công nhận tốt nghiệp</v>
      </c>
      <c r="N274" s="76">
        <f>IFERROR(__xludf.DUMMYFUNCTION("""COMPUTED_VALUE"""),0.0)</f>
        <v>0</v>
      </c>
      <c r="O274" s="76" t="str">
        <f>IFERROR(__xludf.DUMMYFUNCTION("""COMPUTED_VALUE"""),"cam kết")</f>
        <v>cam kết</v>
      </c>
      <c r="P274" s="76"/>
      <c r="Q274" s="76" t="str">
        <f>IFERROR(__xludf.DUMMYFUNCTION("""COMPUTED_VALUE"""),"CHƯA NỘP")</f>
        <v>CHƯA NỘP</v>
      </c>
      <c r="R274" s="76">
        <f>IFERROR(__xludf.DUMMYFUNCTION("""COMPUTED_VALUE"""),66.0)</f>
        <v>66</v>
      </c>
      <c r="S274" s="76"/>
      <c r="T274" s="76"/>
      <c r="U274" s="102" t="str">
        <f>IFERROR(__xludf.DUMMYFUNCTION("""COMPUTED_VALUE"""),"Lê Thị Ngọc Lan")</f>
        <v>Lê Thị Ngọc Lan</v>
      </c>
      <c r="V274" s="76" t="str">
        <f>IFERROR(__xludf.DUMMYFUNCTION("""COMPUTED_VALUE"""),"Quản Trị Khách Sạn &amp; Nhà Hàng (Đại Học)")</f>
        <v>Quản Trị Khách Sạn &amp; Nhà Hàng (Đại Học)</v>
      </c>
      <c r="W274" s="76" t="str">
        <f>IFERROR(__xludf.DUMMYFUNCTION("""COMPUTED_VALUE"""),"#N/A")</f>
        <v>#N/A</v>
      </c>
      <c r="X274" s="76" t="str">
        <f>IFERROR(__xludf.DUMMYFUNCTION("""COMPUTED_VALUE"""),"#N/A")</f>
        <v>#N/A</v>
      </c>
      <c r="Y274" s="76" t="str">
        <f>IFERROR(__xludf.DUMMYFUNCTION("""COMPUTED_VALUE"""),"#N/A")</f>
        <v>#N/A</v>
      </c>
      <c r="Z274" s="76" t="str">
        <f>IFERROR(__xludf.DUMMYFUNCTION("""COMPUTED_VALUE"""),"HỦY HỒ SƠ ĐĂNG KÝ THAM DỰ TỐT NGHIỆP ĐỢT 06/2025")</f>
        <v>HỦY HỒ SƠ ĐĂNG KÝ THAM DỰ TỐT NGHIỆP ĐỢT 06/2025</v>
      </c>
      <c r="AA274" s="76" t="str">
        <f>IFERROR(__xludf.DUMMYFUNCTION("""COMPUTED_VALUE"""),"ltnlan.95.2016@gmail.com")</f>
        <v>ltnlan.95.2016@gmail.com</v>
      </c>
      <c r="AB274" s="76"/>
      <c r="AC274" s="76"/>
    </row>
    <row r="275">
      <c r="A275" s="100">
        <f>IFERROR(__xludf.DUMMYFUNCTION("""COMPUTED_VALUE"""),45675.35519986111)</f>
        <v>45675.3552</v>
      </c>
      <c r="B275" s="76" t="str">
        <f>IFERROR(__xludf.DUMMYFUNCTION("""COMPUTED_VALUE"""),"phammyduyen263@gmail.com")</f>
        <v>phammyduyen263@gmail.com</v>
      </c>
      <c r="C275" s="76">
        <f>IFERROR(__xludf.DUMMYFUNCTION("""COMPUTED_VALUE"""),2.6217134781E10)</f>
        <v>26217134781</v>
      </c>
      <c r="D275" s="76" t="str">
        <f>IFERROR(__xludf.DUMMYFUNCTION("""COMPUTED_VALUE"""),"Phạm Thị Mỹ Duyên")</f>
        <v>Phạm Thị Mỹ Duyên</v>
      </c>
      <c r="E275" s="101">
        <f>IFERROR(__xludf.DUMMYFUNCTION("""COMPUTED_VALUE"""),37323.0)</f>
        <v>37323</v>
      </c>
      <c r="F275" s="76" t="str">
        <f>IFERROR(__xludf.DUMMYFUNCTION("""COMPUTED_VALUE"""),"K26DLK3")</f>
        <v>K26DLK3</v>
      </c>
      <c r="G275" s="76" t="str">
        <f>IFERROR(__xludf.DUMMYFUNCTION("""COMPUTED_VALUE"""),"Quản trị Du lịch &amp; Khách sạn")</f>
        <v>Quản trị Du lịch &amp; Khách sạn</v>
      </c>
      <c r="H275" s="76" t="str">
        <f>IFERROR(__xludf.DUMMYFUNCTION("""COMPUTED_VALUE"""),"K26")</f>
        <v>K26</v>
      </c>
      <c r="I275" s="76" t="str">
        <f>IFERROR(__xludf.DUMMYFUNCTION("""COMPUTED_VALUE"""),"0905869160")</f>
        <v>0905869160</v>
      </c>
      <c r="J275" s="76">
        <f>IFERROR(__xludf.DUMMYFUNCTION("""COMPUTED_VALUE"""),2.84)</f>
        <v>2.84</v>
      </c>
      <c r="K275" s="76">
        <f>IFERROR(__xludf.DUMMYFUNCTION("""COMPUTED_VALUE"""),137.0)</f>
        <v>137</v>
      </c>
      <c r="L275" s="76" t="str">
        <f>IFERROR(__xludf.DUMMYFUNCTION("""COMPUTED_VALUE"""),"Rồi")</f>
        <v>Rồi</v>
      </c>
      <c r="M275" s="76" t="str">
        <f>IFERROR(__xludf.DUMMYFUNCTION("""COMPUTED_VALUE"""),"Công nhận tốt nghiệp")</f>
        <v>Công nhận tốt nghiệp</v>
      </c>
      <c r="N275" s="76">
        <f>IFERROR(__xludf.DUMMYFUNCTION("""COMPUTED_VALUE"""),0.0)</f>
        <v>0</v>
      </c>
      <c r="O275" s="76" t="str">
        <f>IFERROR(__xludf.DUMMYFUNCTION("""COMPUTED_VALUE"""),"cam kết")</f>
        <v>cam kết</v>
      </c>
      <c r="P275" s="76"/>
      <c r="Q275" s="76" t="str">
        <f>IFERROR(__xludf.DUMMYFUNCTION("""COMPUTED_VALUE"""),"ĐÃ NỘP")</f>
        <v>ĐÃ NỘP</v>
      </c>
      <c r="R275" s="76">
        <f>IFERROR(__xludf.DUMMYFUNCTION("""COMPUTED_VALUE"""),67.0)</f>
        <v>67</v>
      </c>
      <c r="S275" s="76" t="str">
        <f>IFERROR(__xludf.DUMMYFUNCTION("""COMPUTED_VALUE"""),"18/01/2025")</f>
        <v>18/01/2025</v>
      </c>
      <c r="T275" s="76"/>
      <c r="U275" s="102" t="str">
        <f>IFERROR(__xludf.DUMMYFUNCTION("""COMPUTED_VALUE"""),"Phạm Thị Mỹ Duyên")</f>
        <v>Phạm Thị Mỹ Duyên</v>
      </c>
      <c r="V275" s="76" t="str">
        <f>IFERROR(__xludf.DUMMYFUNCTION("""COMPUTED_VALUE"""),"Quản Trị Khách Sạn &amp; Nhà Hàng (Đại Học)")</f>
        <v>Quản Trị Khách Sạn &amp; Nhà Hàng (Đại Học)</v>
      </c>
      <c r="W275" s="76"/>
      <c r="X275" s="76"/>
      <c r="Y275" s="76"/>
      <c r="Z275" s="76"/>
      <c r="AA275" s="76" t="str">
        <f>IFERROR(__xludf.DUMMYFUNCTION("""COMPUTED_VALUE"""),"phammyduyen263@gmail.com")</f>
        <v>phammyduyen263@gmail.com</v>
      </c>
      <c r="AB275" s="76"/>
      <c r="AC275" s="76"/>
    </row>
    <row r="276">
      <c r="A276" s="100">
        <f>IFERROR(__xludf.DUMMYFUNCTION("""COMPUTED_VALUE"""),45675.39902415509)</f>
        <v>45675.39902</v>
      </c>
      <c r="B276" s="76" t="str">
        <f>IFERROR(__xludf.DUMMYFUNCTION("""COMPUTED_VALUE"""),"nguyenhuuhieu12122001@gmail.com")</f>
        <v>nguyenhuuhieu12122001@gmail.com</v>
      </c>
      <c r="C276" s="76">
        <f>IFERROR(__xludf.DUMMYFUNCTION("""COMPUTED_VALUE"""),2.5217103802E10)</f>
        <v>25217103802</v>
      </c>
      <c r="D276" s="76" t="str">
        <f>IFERROR(__xludf.DUMMYFUNCTION("""COMPUTED_VALUE"""),"Nguyễn Hữu Hiếu")</f>
        <v>Nguyễn Hữu Hiếu</v>
      </c>
      <c r="E276" s="101">
        <f>IFERROR(__xludf.DUMMYFUNCTION("""COMPUTED_VALUE"""),37237.0)</f>
        <v>37237</v>
      </c>
      <c r="F276" s="76" t="str">
        <f>IFERROR(__xludf.DUMMYFUNCTION("""COMPUTED_VALUE"""),"K25PSUDLK13")</f>
        <v>K25PSUDLK13</v>
      </c>
      <c r="G276" s="76" t="str">
        <f>IFERROR(__xludf.DUMMYFUNCTION("""COMPUTED_VALUE"""),"Quản trị Du lịch &amp; Khách sạn chuẩn PSU")</f>
        <v>Quản trị Du lịch &amp; Khách sạn chuẩn PSU</v>
      </c>
      <c r="H276" s="76" t="str">
        <f>IFERROR(__xludf.DUMMYFUNCTION("""COMPUTED_VALUE"""),"K25")</f>
        <v>K25</v>
      </c>
      <c r="I276" s="76" t="str">
        <f>IFERROR(__xludf.DUMMYFUNCTION("""COMPUTED_VALUE"""),"0337099895")</f>
        <v>0337099895</v>
      </c>
      <c r="J276" s="76">
        <f>IFERROR(__xludf.DUMMYFUNCTION("""COMPUTED_VALUE"""),3.07)</f>
        <v>3.07</v>
      </c>
      <c r="K276" s="76">
        <f>IFERROR(__xludf.DUMMYFUNCTION("""COMPUTED_VALUE"""),145.0)</f>
        <v>145</v>
      </c>
      <c r="L276" s="76" t="str">
        <f>IFERROR(__xludf.DUMMYFUNCTION("""COMPUTED_VALUE"""),"Rồi")</f>
        <v>Rồi</v>
      </c>
      <c r="M276" s="76" t="str">
        <f>IFERROR(__xludf.DUMMYFUNCTION("""COMPUTED_VALUE"""),"Thi tốt nghiệp, Công nhận tốt nghiệp")</f>
        <v>Thi tốt nghiệp, Công nhận tốt nghiệp</v>
      </c>
      <c r="N276" s="76">
        <f>IFERROR(__xludf.DUMMYFUNCTION("""COMPUTED_VALUE"""),0.0)</f>
        <v>0</v>
      </c>
      <c r="O276" s="76" t="str">
        <f>IFERROR(__xludf.DUMMYFUNCTION("""COMPUTED_VALUE"""),"cam kết")</f>
        <v>cam kết</v>
      </c>
      <c r="P276" s="76"/>
      <c r="Q276" s="76" t="str">
        <f>IFERROR(__xludf.DUMMYFUNCTION("""COMPUTED_VALUE"""),"ĐÃ NỘP")</f>
        <v>ĐÃ NỘP</v>
      </c>
      <c r="R276" s="76">
        <f>IFERROR(__xludf.DUMMYFUNCTION("""COMPUTED_VALUE"""),68.0)</f>
        <v>68</v>
      </c>
      <c r="S276" s="102">
        <f>IFERROR(__xludf.DUMMYFUNCTION("""COMPUTED_VALUE"""),45993.0)</f>
        <v>45993</v>
      </c>
      <c r="T276" s="76"/>
      <c r="U276" s="102" t="str">
        <f>IFERROR(__xludf.DUMMYFUNCTION("""COMPUTED_VALUE"""),"Nguyễn Hữu Hiếu")</f>
        <v>Nguyễn Hữu Hiếu</v>
      </c>
      <c r="V276" s="76" t="str">
        <f>IFERROR(__xludf.DUMMYFUNCTION("""COMPUTED_VALUE"""),"Quản Trị Du Lịch &amp; Khách Sạn Chuẩn PSU (Đại Học)")</f>
        <v>Quản Trị Du Lịch &amp; Khách Sạn Chuẩn PSU (Đại Học)</v>
      </c>
      <c r="W276" s="76"/>
      <c r="X276" s="76"/>
      <c r="Y276" s="76"/>
      <c r="Z276" s="76"/>
      <c r="AA276" s="76" t="str">
        <f>IFERROR(__xludf.DUMMYFUNCTION("""COMPUTED_VALUE"""),"nguyenhuuhieu12122001@gmail.com")</f>
        <v>nguyenhuuhieu12122001@gmail.com</v>
      </c>
      <c r="AB276" s="76"/>
      <c r="AC276" s="76"/>
    </row>
    <row r="277">
      <c r="A277" s="100">
        <f>IFERROR(__xludf.DUMMYFUNCTION("""COMPUTED_VALUE"""),45676.71496346065)</f>
        <v>45676.71496</v>
      </c>
      <c r="B277" s="76" t="str">
        <f>IFERROR(__xludf.DUMMYFUNCTION("""COMPUTED_VALUE"""),"omaidao5122002@gmail.com")</f>
        <v>omaidao5122002@gmail.com</v>
      </c>
      <c r="C277" s="76">
        <f>IFERROR(__xludf.DUMMYFUNCTION("""COMPUTED_VALUE"""),2.6207129998E10)</f>
        <v>26207129998</v>
      </c>
      <c r="D277" s="76" t="str">
        <f>IFERROR(__xludf.DUMMYFUNCTION("""COMPUTED_VALUE"""),"Võ Lê Bích Trâm")</f>
        <v>Võ Lê Bích Trâm</v>
      </c>
      <c r="E277" s="101">
        <f>IFERROR(__xludf.DUMMYFUNCTION("""COMPUTED_VALUE"""),37595.0)</f>
        <v>37595</v>
      </c>
      <c r="F277" s="76" t="str">
        <f>IFERROR(__xludf.DUMMYFUNCTION("""COMPUTED_VALUE"""),"K26-dlk10")</f>
        <v>K26-dlk10</v>
      </c>
      <c r="G277" s="76" t="str">
        <f>IFERROR(__xludf.DUMMYFUNCTION("""COMPUTED_VALUE"""),"Quản trị Du lịch &amp; Khách sạn")</f>
        <v>Quản trị Du lịch &amp; Khách sạn</v>
      </c>
      <c r="H277" s="76" t="str">
        <f>IFERROR(__xludf.DUMMYFUNCTION("""COMPUTED_VALUE"""),"K26")</f>
        <v>K26</v>
      </c>
      <c r="I277" s="76" t="str">
        <f>IFERROR(__xludf.DUMMYFUNCTION("""COMPUTED_VALUE"""),"0799444780")</f>
        <v>0799444780</v>
      </c>
      <c r="J277" s="76">
        <f>IFERROR(__xludf.DUMMYFUNCTION("""COMPUTED_VALUE"""),3.49)</f>
        <v>3.49</v>
      </c>
      <c r="K277" s="76">
        <f>IFERROR(__xludf.DUMMYFUNCTION("""COMPUTED_VALUE"""),129.0)</f>
        <v>129</v>
      </c>
      <c r="L277" s="76" t="str">
        <f>IFERROR(__xludf.DUMMYFUNCTION("""COMPUTED_VALUE"""),"Rồi")</f>
        <v>Rồi</v>
      </c>
      <c r="M277" s="76" t="str">
        <f>IFERROR(__xludf.DUMMYFUNCTION("""COMPUTED_VALUE"""),"Thực tập tốt nghiệp, Công nhận tốt nghiệp")</f>
        <v>Thực tập tốt nghiệp, Công nhận tốt nghiệp</v>
      </c>
      <c r="N277" s="76">
        <f>IFERROR(__xludf.DUMMYFUNCTION("""COMPUTED_VALUE"""),0.0)</f>
        <v>0</v>
      </c>
      <c r="O277" s="76" t="str">
        <f>IFERROR(__xludf.DUMMYFUNCTION("""COMPUTED_VALUE"""),"cam kết")</f>
        <v>cam kết</v>
      </c>
      <c r="P277" s="76" t="str">
        <f>IFERROR(__xludf.DUMMYFUNCTION("""COMPUTED_VALUE"""),"ĐÃ NỘP")</f>
        <v>ĐÃ NỘP</v>
      </c>
      <c r="Q277" s="76" t="str">
        <f>IFERROR(__xludf.DUMMYFUNCTION("""COMPUTED_VALUE"""),"ĐÃ NỘP")</f>
        <v>ĐÃ NỘP</v>
      </c>
      <c r="R277" s="76">
        <f>IFERROR(__xludf.DUMMYFUNCTION("""COMPUTED_VALUE"""),69.0)</f>
        <v>69</v>
      </c>
      <c r="S277" s="76" t="str">
        <f>IFERROR(__xludf.DUMMYFUNCTION("""COMPUTED_VALUE"""),"20/01/2025")</f>
        <v>20/01/2025</v>
      </c>
      <c r="T277" s="76"/>
      <c r="U277" s="102" t="str">
        <f>IFERROR(__xludf.DUMMYFUNCTION("""COMPUTED_VALUE"""),"Võ Lê Bích Trâm")</f>
        <v>Võ Lê Bích Trâm</v>
      </c>
      <c r="V277" s="76" t="str">
        <f>IFERROR(__xludf.DUMMYFUNCTION("""COMPUTED_VALUE"""),"Quản Trị Khách Sạn &amp; Nhà Hàng (Đại Học)")</f>
        <v>Quản Trị Khách Sạn &amp; Nhà Hàng (Đại Học)</v>
      </c>
      <c r="W277" s="76" t="str">
        <f>IFERROR(__xludf.DUMMYFUNCTION("""COMPUTED_VALUE"""),"Grand Mercure Đà Nẵng")</f>
        <v>Grand Mercure Đà Nẵng</v>
      </c>
      <c r="X277" s="76" t="str">
        <f>IFERROR(__xludf.DUMMYFUNCTION("""COMPUTED_VALUE"""),"Buồng phòng")</f>
        <v>Buồng phòng</v>
      </c>
      <c r="Y277" s="76" t="str">
        <f>IFERROR(__xludf.DUMMYFUNCTION("""COMPUTED_VALUE"""),"DUYỆT")</f>
        <v>DUYỆT</v>
      </c>
      <c r="Z277" s="76" t="str">
        <f>IFERROR(__xludf.DUMMYFUNCTION("""COMPUTED_VALUE"""),"CHUYÊN ĐỀ")</f>
        <v>CHUYÊN ĐỀ</v>
      </c>
      <c r="AA277" s="76" t="str">
        <f>IFERROR(__xludf.DUMMYFUNCTION("""COMPUTED_VALUE"""),"omaidao5122002@gmail.com")</f>
        <v>omaidao5122002@gmail.com</v>
      </c>
      <c r="AB277" s="76"/>
      <c r="AC277" s="76"/>
    </row>
    <row r="278">
      <c r="A278" s="100">
        <f>IFERROR(__xludf.DUMMYFUNCTION("""COMPUTED_VALUE"""),45676.82670539352)</f>
        <v>45676.82671</v>
      </c>
      <c r="B278" s="76" t="str">
        <f>IFERROR(__xludf.DUMMYFUNCTION("""COMPUTED_VALUE"""),"huanxinhtrai2002@gmail.com")</f>
        <v>huanxinhtrai2002@gmail.com</v>
      </c>
      <c r="C278" s="76">
        <f>IFERROR(__xludf.DUMMYFUNCTION("""COMPUTED_VALUE"""),2.621712993E10)</f>
        <v>26217129930</v>
      </c>
      <c r="D278" s="76" t="str">
        <f>IFERROR(__xludf.DUMMYFUNCTION("""COMPUTED_VALUE"""),"Nguyễn Ngọc Huân")</f>
        <v>Nguyễn Ngọc Huân</v>
      </c>
      <c r="E278" s="101">
        <f>IFERROR(__xludf.DUMMYFUNCTION("""COMPUTED_VALUE"""),37413.0)</f>
        <v>37413</v>
      </c>
      <c r="F278" s="76" t="str">
        <f>IFERROR(__xludf.DUMMYFUNCTION("""COMPUTED_VALUE"""),"K26DLK1")</f>
        <v>K26DLK1</v>
      </c>
      <c r="G278" s="76" t="str">
        <f>IFERROR(__xludf.DUMMYFUNCTION("""COMPUTED_VALUE"""),"Quản trị Du lịch &amp; Khách sạn")</f>
        <v>Quản trị Du lịch &amp; Khách sạn</v>
      </c>
      <c r="H278" s="76" t="str">
        <f>IFERROR(__xludf.DUMMYFUNCTION("""COMPUTED_VALUE"""),"K26")</f>
        <v>K26</v>
      </c>
      <c r="I278" s="76" t="str">
        <f>IFERROR(__xludf.DUMMYFUNCTION("""COMPUTED_VALUE"""),"0971514017")</f>
        <v>0971514017</v>
      </c>
      <c r="J278" s="76">
        <f>IFERROR(__xludf.DUMMYFUNCTION("""COMPUTED_VALUE"""),2.0)</f>
        <v>2</v>
      </c>
      <c r="K278" s="76">
        <f>IFERROR(__xludf.DUMMYFUNCTION("""COMPUTED_VALUE"""),127.0)</f>
        <v>127</v>
      </c>
      <c r="L278" s="76" t="str">
        <f>IFERROR(__xludf.DUMMYFUNCTION("""COMPUTED_VALUE"""),"Rồi")</f>
        <v>Rồi</v>
      </c>
      <c r="M278" s="76" t="str">
        <f>IFERROR(__xludf.DUMMYFUNCTION("""COMPUTED_VALUE"""),"Thực tập tốt nghiệp")</f>
        <v>Thực tập tốt nghiệp</v>
      </c>
      <c r="N278" s="76">
        <f>IFERROR(__xludf.DUMMYFUNCTION("""COMPUTED_VALUE"""),1.0)</f>
        <v>1</v>
      </c>
      <c r="O278" s="76" t="str">
        <f>IFERROR(__xludf.DUMMYFUNCTION("""COMPUTED_VALUE"""),"cam kết")</f>
        <v>cam kết</v>
      </c>
      <c r="P278" s="76"/>
      <c r="Q278" s="76" t="str">
        <f>IFERROR(__xludf.DUMMYFUNCTION("""COMPUTED_VALUE"""),"CHƯA NỘP")</f>
        <v>CHƯA NỘP</v>
      </c>
      <c r="R278" s="76">
        <f>IFERROR(__xludf.DUMMYFUNCTION("""COMPUTED_VALUE"""),70.0)</f>
        <v>70</v>
      </c>
      <c r="S278" s="76"/>
      <c r="T278" s="76"/>
      <c r="U278" s="102" t="str">
        <f>IFERROR(__xludf.DUMMYFUNCTION("""COMPUTED_VALUE"""),"Nguyễn Ngọc Huân")</f>
        <v>Nguyễn Ngọc Huân</v>
      </c>
      <c r="V278" s="76" t="str">
        <f>IFERROR(__xludf.DUMMYFUNCTION("""COMPUTED_VALUE"""),"Quản Trị Khách Sạn &amp; Nhà Hàng (Đại Học)")</f>
        <v>Quản Trị Khách Sạn &amp; Nhà Hàng (Đại Học)</v>
      </c>
      <c r="W278" s="76" t="str">
        <f>IFERROR(__xludf.DUMMYFUNCTION("""COMPUTED_VALUE"""),"#N/A")</f>
        <v>#N/A</v>
      </c>
      <c r="X278" s="76" t="str">
        <f>IFERROR(__xludf.DUMMYFUNCTION("""COMPUTED_VALUE"""),"#N/A")</f>
        <v>#N/A</v>
      </c>
      <c r="Y278" s="76" t="str">
        <f>IFERROR(__xludf.DUMMYFUNCTION("""COMPUTED_VALUE"""),"#N/A")</f>
        <v>#N/A</v>
      </c>
      <c r="Z278" s="76" t="str">
        <f>IFERROR(__xludf.DUMMYFUNCTION("""COMPUTED_VALUE"""),"HỦY HỒ SƠ ĐĂNG KÝ THAM DỰ TỐT NGHIỆP ĐỢT 06/2025")</f>
        <v>HỦY HỒ SƠ ĐĂNG KÝ THAM DỰ TỐT NGHIỆP ĐỢT 06/2025</v>
      </c>
      <c r="AA278" s="76" t="str">
        <f>IFERROR(__xludf.DUMMYFUNCTION("""COMPUTED_VALUE"""),"huanxinhtrai2002@gmail.com")</f>
        <v>huanxinhtrai2002@gmail.com</v>
      </c>
      <c r="AB278" s="76"/>
      <c r="AC278" s="76"/>
    </row>
    <row r="279">
      <c r="A279" s="100">
        <f>IFERROR(__xludf.DUMMYFUNCTION("""COMPUTED_VALUE"""),45677.40785960648)</f>
        <v>45677.40786</v>
      </c>
      <c r="B279" s="76" t="str">
        <f>IFERROR(__xludf.DUMMYFUNCTION("""COMPUTED_VALUE"""),"dngnguen123@gmail.com")</f>
        <v>dngnguen123@gmail.com</v>
      </c>
      <c r="C279" s="76">
        <f>IFERROR(__xludf.DUMMYFUNCTION("""COMPUTED_VALUE"""),2.321714451E9)</f>
        <v>2321714451</v>
      </c>
      <c r="D279" s="76" t="str">
        <f>IFERROR(__xludf.DUMMYFUNCTION("""COMPUTED_VALUE"""),"Trần Như Phong")</f>
        <v>Trần Như Phong</v>
      </c>
      <c r="E279" s="101">
        <f>IFERROR(__xludf.DUMMYFUNCTION("""COMPUTED_VALUE"""),36301.0)</f>
        <v>36301</v>
      </c>
      <c r="F279" s="76" t="str">
        <f>IFERROR(__xludf.DUMMYFUNCTION("""COMPUTED_VALUE"""),"K25dlk13")</f>
        <v>K25dlk13</v>
      </c>
      <c r="G279" s="76" t="str">
        <f>IFERROR(__xludf.DUMMYFUNCTION("""COMPUTED_VALUE"""),"Quản trị Du lịch &amp; Khách sạn")</f>
        <v>Quản trị Du lịch &amp; Khách sạn</v>
      </c>
      <c r="H279" s="76" t="str">
        <f>IFERROR(__xludf.DUMMYFUNCTION("""COMPUTED_VALUE"""),"K25")</f>
        <v>K25</v>
      </c>
      <c r="I279" s="76" t="str">
        <f>IFERROR(__xludf.DUMMYFUNCTION("""COMPUTED_VALUE"""),"0763676090")</f>
        <v>0763676090</v>
      </c>
      <c r="J279" s="76">
        <f>IFERROR(__xludf.DUMMYFUNCTION("""COMPUTED_VALUE"""),2.65)</f>
        <v>2.65</v>
      </c>
      <c r="K279" s="76">
        <f>IFERROR(__xludf.DUMMYFUNCTION("""COMPUTED_VALUE"""),159.0)</f>
        <v>159</v>
      </c>
      <c r="L279" s="76" t="str">
        <f>IFERROR(__xludf.DUMMYFUNCTION("""COMPUTED_VALUE"""),"Rồi")</f>
        <v>Rồi</v>
      </c>
      <c r="M279" s="76" t="str">
        <f>IFERROR(__xludf.DUMMYFUNCTION("""COMPUTED_VALUE"""),"Thực tập tốt nghiệp, Thi tốt nghiệp")</f>
        <v>Thực tập tốt nghiệp, Thi tốt nghiệp</v>
      </c>
      <c r="N279" s="76">
        <f>IFERROR(__xludf.DUMMYFUNCTION("""COMPUTED_VALUE"""),2.0)</f>
        <v>2</v>
      </c>
      <c r="O279" s="76" t="str">
        <f>IFERROR(__xludf.DUMMYFUNCTION("""COMPUTED_VALUE"""),"cam kết")</f>
        <v>cam kết</v>
      </c>
      <c r="P279" s="76"/>
      <c r="Q279" s="76" t="str">
        <f>IFERROR(__xludf.DUMMYFUNCTION("""COMPUTED_VALUE"""),"ĐÃ NỘP")</f>
        <v>ĐÃ NỘP</v>
      </c>
      <c r="R279" s="76">
        <f>IFERROR(__xludf.DUMMYFUNCTION("""COMPUTED_VALUE"""),71.0)</f>
        <v>71</v>
      </c>
      <c r="S279" s="76" t="str">
        <f>IFERROR(__xludf.DUMMYFUNCTION("""COMPUTED_VALUE"""),"20/01/2025")</f>
        <v>20/01/2025</v>
      </c>
      <c r="T279" s="76"/>
      <c r="U279" s="102" t="str">
        <f>IFERROR(__xludf.DUMMYFUNCTION("""COMPUTED_VALUE"""),"Trần Như Phong")</f>
        <v>Trần Như Phong</v>
      </c>
      <c r="V279" s="76" t="str">
        <f>IFERROR(__xludf.DUMMYFUNCTION("""COMPUTED_VALUE"""),"Quản Trị Khách Sạn &amp; Nhà Hàng (Đại Học)")</f>
        <v>Quản Trị Khách Sạn &amp; Nhà Hàng (Đại Học)</v>
      </c>
      <c r="W279" s="76" t="str">
        <f>IFERROR(__xludf.DUMMYFUNCTION("""COMPUTED_VALUE"""),"Minh Toàn Galaxy Hotel Đà Nẵng")</f>
        <v>Minh Toàn Galaxy Hotel Đà Nẵng</v>
      </c>
      <c r="X279" s="76" t="str">
        <f>IFERROR(__xludf.DUMMYFUNCTION("""COMPUTED_VALUE"""),"Tiền sảnh")</f>
        <v>Tiền sảnh</v>
      </c>
      <c r="Y279" s="76" t="str">
        <f>IFERROR(__xludf.DUMMYFUNCTION("""COMPUTED_VALUE"""),"DUYỆT")</f>
        <v>DUYỆT</v>
      </c>
      <c r="Z279" s="76" t="str">
        <f>IFERROR(__xludf.DUMMYFUNCTION("""COMPUTED_VALUE"""),"CHUYÊN ĐỀ")</f>
        <v>CHUYÊN ĐỀ</v>
      </c>
      <c r="AA279" s="76" t="str">
        <f>IFERROR(__xludf.DUMMYFUNCTION("""COMPUTED_VALUE"""),"dngnguen123@gmail.com")</f>
        <v>dngnguen123@gmail.com</v>
      </c>
      <c r="AB279" s="76"/>
      <c r="AC279" s="76"/>
    </row>
    <row r="280">
      <c r="A280" s="100">
        <f>IFERROR(__xludf.DUMMYFUNCTION("""COMPUTED_VALUE"""),45678.70105096065)</f>
        <v>45678.70105</v>
      </c>
      <c r="B280" s="76" t="str">
        <f>IFERROR(__xludf.DUMMYFUNCTION("""COMPUTED_VALUE"""),"ngduy9202@gmail.com")</f>
        <v>ngduy9202@gmail.com</v>
      </c>
      <c r="C280" s="76">
        <f>IFERROR(__xludf.DUMMYFUNCTION("""COMPUTED_VALUE"""),2.621293226E10)</f>
        <v>26212932260</v>
      </c>
      <c r="D280" s="76" t="str">
        <f>IFERROR(__xludf.DUMMYFUNCTION("""COMPUTED_VALUE"""),"Nguyễn Lê Anh Duy")</f>
        <v>Nguyễn Lê Anh Duy</v>
      </c>
      <c r="E280" s="101">
        <f>IFERROR(__xludf.DUMMYFUNCTION("""COMPUTED_VALUE"""),37609.0)</f>
        <v>37609</v>
      </c>
      <c r="F280" s="76" t="str">
        <f>IFERROR(__xludf.DUMMYFUNCTION("""COMPUTED_VALUE"""),"K26PSUDLK1")</f>
        <v>K26PSUDLK1</v>
      </c>
      <c r="G280" s="76" t="str">
        <f>IFERROR(__xludf.DUMMYFUNCTION("""COMPUTED_VALUE"""),"Quản trị Du lịch &amp; Khách sạn chuẩn PSU")</f>
        <v>Quản trị Du lịch &amp; Khách sạn chuẩn PSU</v>
      </c>
      <c r="H280" s="76" t="str">
        <f>IFERROR(__xludf.DUMMYFUNCTION("""COMPUTED_VALUE"""),"K26")</f>
        <v>K26</v>
      </c>
      <c r="I280" s="76" t="str">
        <f>IFERROR(__xludf.DUMMYFUNCTION("""COMPUTED_VALUE"""),"0906408020")</f>
        <v>0906408020</v>
      </c>
      <c r="J280" s="76">
        <f>IFERROR(__xludf.DUMMYFUNCTION("""COMPUTED_VALUE"""),3.36)</f>
        <v>3.36</v>
      </c>
      <c r="K280" s="76">
        <f>IFERROR(__xludf.DUMMYFUNCTION("""COMPUTED_VALUE"""),128.0)</f>
        <v>128</v>
      </c>
      <c r="L280" s="76" t="str">
        <f>IFERROR(__xludf.DUMMYFUNCTION("""COMPUTED_VALUE"""),"Rồi")</f>
        <v>Rồi</v>
      </c>
      <c r="M280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80" s="76">
        <f>IFERROR(__xludf.DUMMYFUNCTION("""COMPUTED_VALUE"""),3.0)</f>
        <v>3</v>
      </c>
      <c r="O280" s="76" t="str">
        <f>IFERROR(__xludf.DUMMYFUNCTION("""COMPUTED_VALUE"""),"cam kết")</f>
        <v>cam kết</v>
      </c>
      <c r="P280" s="76"/>
      <c r="Q280" s="76" t="str">
        <f>IFERROR(__xludf.DUMMYFUNCTION("""COMPUTED_VALUE"""),"ĐÃ NỘP")</f>
        <v>ĐÃ NỘP</v>
      </c>
      <c r="R280" s="76">
        <f>IFERROR(__xludf.DUMMYFUNCTION("""COMPUTED_VALUE"""),72.0)</f>
        <v>72</v>
      </c>
      <c r="S280" s="102">
        <f>IFERROR(__xludf.DUMMYFUNCTION("""COMPUTED_VALUE"""),45993.0)</f>
        <v>45993</v>
      </c>
      <c r="T280" s="76"/>
      <c r="U280" s="102" t="str">
        <f>IFERROR(__xludf.DUMMYFUNCTION("""COMPUTED_VALUE"""),"Nguyễn Lê Anh Duy")</f>
        <v>Nguyễn Lê Anh Duy</v>
      </c>
      <c r="V280" s="76" t="str">
        <f>IFERROR(__xludf.DUMMYFUNCTION("""COMPUTED_VALUE"""),"Quản Trị Du Lịch &amp; Khách Sạn Chuẩn PSU (Đại Học)")</f>
        <v>Quản Trị Du Lịch &amp; Khách Sạn Chuẩn PSU (Đại Học)</v>
      </c>
      <c r="W280" s="76" t="str">
        <f>IFERROR(__xludf.DUMMYFUNCTION("""COMPUTED_VALUE"""),"#N/A")</f>
        <v>#N/A</v>
      </c>
      <c r="X280" s="76" t="str">
        <f>IFERROR(__xludf.DUMMYFUNCTION("""COMPUTED_VALUE"""),"#N/A")</f>
        <v>#N/A</v>
      </c>
      <c r="Y280" s="76" t="str">
        <f>IFERROR(__xludf.DUMMYFUNCTION("""COMPUTED_VALUE"""),"#N/A")</f>
        <v>#N/A</v>
      </c>
      <c r="Z280" s="76" t="str">
        <f>IFERROR(__xludf.DUMMYFUNCTION("""COMPUTED_VALUE"""),"CHUYÊN ĐỀ")</f>
        <v>CHUYÊN ĐỀ</v>
      </c>
      <c r="AA280" s="76" t="str">
        <f>IFERROR(__xludf.DUMMYFUNCTION("""COMPUTED_VALUE"""),"ngduy9202@gmail.com")</f>
        <v>ngduy9202@gmail.com</v>
      </c>
      <c r="AB280" s="76" t="str">
        <f>IFERROR(__xludf.DUMMYFUNCTION("""COMPUTED_VALUE"""),"Nguyễn Lê Anh Duy")</f>
        <v>Nguyễn Lê Anh Duy</v>
      </c>
      <c r="AC280" s="76" t="str">
        <f>IFERROR(__xludf.DUMMYFUNCTION("""COMPUTED_VALUE"""),"ĐÃ NỘP")</f>
        <v>ĐÃ NỘP</v>
      </c>
    </row>
    <row r="281">
      <c r="A281" s="100">
        <f>IFERROR(__xludf.DUMMYFUNCTION("""COMPUTED_VALUE"""),45678.76481493056)</f>
        <v>45678.76481</v>
      </c>
      <c r="B281" s="76" t="str">
        <f>IFERROR(__xludf.DUMMYFUNCTION("""COMPUTED_VALUE"""),"thanhrim0408@gmail.com")</f>
        <v>thanhrim0408@gmail.com</v>
      </c>
      <c r="C281" s="76">
        <f>IFERROR(__xludf.DUMMYFUNCTION("""COMPUTED_VALUE"""),2.5217109645E10)</f>
        <v>25217109645</v>
      </c>
      <c r="D281" s="76" t="str">
        <f>IFERROR(__xludf.DUMMYFUNCTION("""COMPUTED_VALUE"""),"Trần Ngọc Thành")</f>
        <v>Trần Ngọc Thành</v>
      </c>
      <c r="E281" s="101">
        <f>IFERROR(__xludf.DUMMYFUNCTION("""COMPUTED_VALUE"""),37188.0)</f>
        <v>37188</v>
      </c>
      <c r="F281" s="76" t="str">
        <f>IFERROR(__xludf.DUMMYFUNCTION("""COMPUTED_VALUE"""),"K25DLK15")</f>
        <v>K25DLK15</v>
      </c>
      <c r="G281" s="76" t="str">
        <f>IFERROR(__xludf.DUMMYFUNCTION("""COMPUTED_VALUE"""),"Quản trị Du lịch &amp; Khách sạn")</f>
        <v>Quản trị Du lịch &amp; Khách sạn</v>
      </c>
      <c r="H281" s="76" t="str">
        <f>IFERROR(__xludf.DUMMYFUNCTION("""COMPUTED_VALUE"""),"K25")</f>
        <v>K25</v>
      </c>
      <c r="I281" s="76" t="str">
        <f>IFERROR(__xludf.DUMMYFUNCTION("""COMPUTED_VALUE"""),"0901172110")</f>
        <v>0901172110</v>
      </c>
      <c r="J281" s="76" t="str">
        <f>IFERROR(__xludf.DUMMYFUNCTION("""COMPUTED_VALUE"""),"2,26")</f>
        <v>2,26</v>
      </c>
      <c r="K281" s="76">
        <f>IFERROR(__xludf.DUMMYFUNCTION("""COMPUTED_VALUE"""),137.0)</f>
        <v>137</v>
      </c>
      <c r="L281" s="76" t="str">
        <f>IFERROR(__xludf.DUMMYFUNCTION("""COMPUTED_VALUE"""),"Rồi")</f>
        <v>Rồi</v>
      </c>
      <c r="M281" s="76" t="str">
        <f>IFERROR(__xludf.DUMMYFUNCTION("""COMPUTED_VALUE"""),"Thi tốt nghiệp, Công nhận tốt nghiệp")</f>
        <v>Thi tốt nghiệp, Công nhận tốt nghiệp</v>
      </c>
      <c r="N281" s="76">
        <f>IFERROR(__xludf.DUMMYFUNCTION("""COMPUTED_VALUE"""),0.0)</f>
        <v>0</v>
      </c>
      <c r="O281" s="76" t="str">
        <f>IFERROR(__xludf.DUMMYFUNCTION("""COMPUTED_VALUE"""),"cam kết")</f>
        <v>cam kết</v>
      </c>
      <c r="P281" s="76"/>
      <c r="Q281" s="76" t="str">
        <f>IFERROR(__xludf.DUMMYFUNCTION("""COMPUTED_VALUE"""),"ĐÃ NỘP")</f>
        <v>ĐÃ NỘP</v>
      </c>
      <c r="R281" s="76">
        <f>IFERROR(__xludf.DUMMYFUNCTION("""COMPUTED_VALUE"""),73.0)</f>
        <v>73</v>
      </c>
      <c r="S281" s="102">
        <f>IFERROR(__xludf.DUMMYFUNCTION("""COMPUTED_VALUE"""),45993.0)</f>
        <v>45993</v>
      </c>
      <c r="T281" s="76"/>
      <c r="U281" s="102" t="str">
        <f>IFERROR(__xludf.DUMMYFUNCTION("""COMPUTED_VALUE"""),"Trần Ngọc Thành")</f>
        <v>Trần Ngọc Thành</v>
      </c>
      <c r="V281" s="76" t="str">
        <f>IFERROR(__xludf.DUMMYFUNCTION("""COMPUTED_VALUE"""),"Quản Trị Khách Sạn &amp; Nhà Hàng (Đại Học)")</f>
        <v>Quản Trị Khách Sạn &amp; Nhà Hàng (Đại Học)</v>
      </c>
      <c r="W281" s="76"/>
      <c r="X281" s="76"/>
      <c r="Y281" s="76"/>
      <c r="Z281" s="76"/>
      <c r="AA281" s="76" t="str">
        <f>IFERROR(__xludf.DUMMYFUNCTION("""COMPUTED_VALUE"""),"thanhrim0408@gmail.com")</f>
        <v>thanhrim0408@gmail.com</v>
      </c>
      <c r="AB281" s="76"/>
      <c r="AC281" s="76"/>
    </row>
    <row r="282">
      <c r="A282" s="100">
        <f>IFERROR(__xludf.DUMMYFUNCTION("""COMPUTED_VALUE"""),45679.67974975695)</f>
        <v>45679.67975</v>
      </c>
      <c r="B282" s="76" t="str">
        <f>IFERROR(__xludf.DUMMYFUNCTION("""COMPUTED_VALUE"""),"lenguyenhan2002@gmail.com")</f>
        <v>lenguyenhan2002@gmail.com</v>
      </c>
      <c r="C282" s="76">
        <f>IFERROR(__xludf.DUMMYFUNCTION("""COMPUTED_VALUE"""),2.6207100641E10)</f>
        <v>26207100641</v>
      </c>
      <c r="D282" s="76" t="str">
        <f>IFERROR(__xludf.DUMMYFUNCTION("""COMPUTED_VALUE"""),"Lê Nguyên Hân")</f>
        <v>Lê Nguyên Hân</v>
      </c>
      <c r="E282" s="101">
        <f>IFERROR(__xludf.DUMMYFUNCTION("""COMPUTED_VALUE"""),37361.0)</f>
        <v>37361</v>
      </c>
      <c r="F282" s="76" t="str">
        <f>IFERROR(__xludf.DUMMYFUNCTION("""COMPUTED_VALUE"""),"K26PSUDLK2")</f>
        <v>K26PSUDLK2</v>
      </c>
      <c r="G282" s="76" t="str">
        <f>IFERROR(__xludf.DUMMYFUNCTION("""COMPUTED_VALUE"""),"Quản trị Du lịch &amp; Khách sạn chuẩn PSU")</f>
        <v>Quản trị Du lịch &amp; Khách sạn chuẩn PSU</v>
      </c>
      <c r="H282" s="76" t="str">
        <f>IFERROR(__xludf.DUMMYFUNCTION("""COMPUTED_VALUE"""),"K26")</f>
        <v>K26</v>
      </c>
      <c r="I282" s="76" t="str">
        <f>IFERROR(__xludf.DUMMYFUNCTION("""COMPUTED_VALUE"""),"0384356415")</f>
        <v>0384356415</v>
      </c>
      <c r="J282" s="76">
        <f>IFERROR(__xludf.DUMMYFUNCTION("""COMPUTED_VALUE"""),2.48)</f>
        <v>2.48</v>
      </c>
      <c r="K282" s="76">
        <f>IFERROR(__xludf.DUMMYFUNCTION("""COMPUTED_VALUE"""),135.0)</f>
        <v>135</v>
      </c>
      <c r="L282" s="76" t="str">
        <f>IFERROR(__xludf.DUMMYFUNCTION("""COMPUTED_VALUE"""),"Rồi")</f>
        <v>Rồi</v>
      </c>
      <c r="M282" s="76" t="str">
        <f>IFERROR(__xludf.DUMMYFUNCTION("""COMPUTED_VALUE"""),"Công nhận tốt nghiệp")</f>
        <v>Công nhận tốt nghiệp</v>
      </c>
      <c r="N282" s="76">
        <f>IFERROR(__xludf.DUMMYFUNCTION("""COMPUTED_VALUE"""),0.0)</f>
        <v>0</v>
      </c>
      <c r="O282" s="76" t="str">
        <f>IFERROR(__xludf.DUMMYFUNCTION("""COMPUTED_VALUE"""),"cam kết")</f>
        <v>cam kết</v>
      </c>
      <c r="P282" s="76"/>
      <c r="Q282" s="76" t="str">
        <f>IFERROR(__xludf.DUMMYFUNCTION("""COMPUTED_VALUE"""),"CHƯA NỘP")</f>
        <v>CHƯA NỘP</v>
      </c>
      <c r="R282" s="76">
        <f>IFERROR(__xludf.DUMMYFUNCTION("""COMPUTED_VALUE"""),74.0)</f>
        <v>74</v>
      </c>
      <c r="S282" s="76"/>
      <c r="T282" s="76"/>
      <c r="U282" s="102" t="str">
        <f>IFERROR(__xludf.DUMMYFUNCTION("""COMPUTED_VALUE"""),"Lê Nguyên Hân")</f>
        <v>Lê Nguyên Hân</v>
      </c>
      <c r="V282" s="76" t="str">
        <f>IFERROR(__xludf.DUMMYFUNCTION("""COMPUTED_VALUE"""),"Quản Trị Du Lịch &amp; Khách Sạn Chuẩn PSU (Đại Học)")</f>
        <v>Quản Trị Du Lịch &amp; Khách Sạn Chuẩn PSU (Đại Học)</v>
      </c>
      <c r="W282" s="76"/>
      <c r="X282" s="76"/>
      <c r="Y282" s="76"/>
      <c r="Z282" s="76"/>
      <c r="AA282" s="76" t="str">
        <f>IFERROR(__xludf.DUMMYFUNCTION("""COMPUTED_VALUE"""),"lenguyenhan2002@gmail.com")</f>
        <v>lenguyenhan2002@gmail.com</v>
      </c>
      <c r="AB282" s="76"/>
      <c r="AC282" s="76"/>
    </row>
    <row r="283">
      <c r="A283" s="100">
        <f>IFERROR(__xludf.DUMMYFUNCTION("""COMPUTED_VALUE"""),45679.73691978009)</f>
        <v>45679.73692</v>
      </c>
      <c r="B283" s="76" t="str">
        <f>IFERROR(__xludf.DUMMYFUNCTION("""COMPUTED_VALUE"""),"huytrannguyen06@gmail.com")</f>
        <v>huytrannguyen06@gmail.com</v>
      </c>
      <c r="C283" s="76">
        <f>IFERROR(__xludf.DUMMYFUNCTION("""COMPUTED_VALUE"""),2.6217142007E10)</f>
        <v>26217142007</v>
      </c>
      <c r="D283" s="76" t="str">
        <f>IFERROR(__xludf.DUMMYFUNCTION("""COMPUTED_VALUE"""),"Trần Nguyên Huy")</f>
        <v>Trần Nguyên Huy</v>
      </c>
      <c r="E283" s="101">
        <f>IFERROR(__xludf.DUMMYFUNCTION("""COMPUTED_VALUE"""),37417.0)</f>
        <v>37417</v>
      </c>
      <c r="F283" s="76" t="str">
        <f>IFERROR(__xludf.DUMMYFUNCTION("""COMPUTED_VALUE"""),"K26PSUDLK 3")</f>
        <v>K26PSUDLK 3</v>
      </c>
      <c r="G283" s="76" t="str">
        <f>IFERROR(__xludf.DUMMYFUNCTION("""COMPUTED_VALUE"""),"Quản trị Du lịch &amp; Khách sạn chuẩn PSU")</f>
        <v>Quản trị Du lịch &amp; Khách sạn chuẩn PSU</v>
      </c>
      <c r="H283" s="76" t="str">
        <f>IFERROR(__xludf.DUMMYFUNCTION("""COMPUTED_VALUE"""),"K26")</f>
        <v>K26</v>
      </c>
      <c r="I283" s="76" t="str">
        <f>IFERROR(__xludf.DUMMYFUNCTION("""COMPUTED_VALUE"""),"0898158061")</f>
        <v>0898158061</v>
      </c>
      <c r="J283" s="76">
        <f>IFERROR(__xludf.DUMMYFUNCTION("""COMPUTED_VALUE"""),3.28)</f>
        <v>3.28</v>
      </c>
      <c r="K283" s="76">
        <f>IFERROR(__xludf.DUMMYFUNCTION("""COMPUTED_VALUE"""),131.0)</f>
        <v>131</v>
      </c>
      <c r="L283" s="76" t="str">
        <f>IFERROR(__xludf.DUMMYFUNCTION("""COMPUTED_VALUE"""),"Rồi")</f>
        <v>Rồi</v>
      </c>
      <c r="M283" s="76" t="str">
        <f>IFERROR(__xludf.DUMMYFUNCTION("""COMPUTED_VALUE"""),"Thực tập tốt nghiệp")</f>
        <v>Thực tập tốt nghiệp</v>
      </c>
      <c r="N283" s="76">
        <f>IFERROR(__xludf.DUMMYFUNCTION("""COMPUTED_VALUE"""),0.0)</f>
        <v>0</v>
      </c>
      <c r="O283" s="76" t="str">
        <f>IFERROR(__xludf.DUMMYFUNCTION("""COMPUTED_VALUE"""),"cam kết")</f>
        <v>cam kết</v>
      </c>
      <c r="P283" s="76"/>
      <c r="Q283" s="76" t="str">
        <f>IFERROR(__xludf.DUMMYFUNCTION("""COMPUTED_VALUE"""),"ĐÃ NỘP")</f>
        <v>ĐÃ NỘP</v>
      </c>
      <c r="R283" s="76">
        <f>IFERROR(__xludf.DUMMYFUNCTION("""COMPUTED_VALUE"""),75.0)</f>
        <v>75</v>
      </c>
      <c r="S283" s="76"/>
      <c r="T283" s="76"/>
      <c r="U283" s="102" t="str">
        <f>IFERROR(__xludf.DUMMYFUNCTION("""COMPUTED_VALUE"""),"Trần Nguyên Huy")</f>
        <v>Trần Nguyên Huy</v>
      </c>
      <c r="V283" s="76" t="str">
        <f>IFERROR(__xludf.DUMMYFUNCTION("""COMPUTED_VALUE"""),"Quản Trị Du Lịch &amp; Khách Sạn Chuẩn PSU (Đại Học)")</f>
        <v>Quản Trị Du Lịch &amp; Khách Sạn Chuẩn PSU (Đại Học)</v>
      </c>
      <c r="W283" s="76" t="str">
        <f>IFERROR(__xludf.DUMMYFUNCTION("""COMPUTED_VALUE"""),"Four Points by Sheraton Danang")</f>
        <v>Four Points by Sheraton Danang</v>
      </c>
      <c r="X283" s="76" t="str">
        <f>IFERROR(__xludf.DUMMYFUNCTION("""COMPUTED_VALUE"""),"Buồng phòng")</f>
        <v>Buồng phòng</v>
      </c>
      <c r="Y283" s="76" t="str">
        <f>IFERROR(__xludf.DUMMYFUNCTION("""COMPUTED_VALUE"""),"DUYỆT")</f>
        <v>DUYỆT</v>
      </c>
      <c r="Z283" s="76" t="str">
        <f>IFERROR(__xludf.DUMMYFUNCTION("""COMPUTED_VALUE"""),"CHUYÊN ĐỀ")</f>
        <v>CHUYÊN ĐỀ</v>
      </c>
      <c r="AA283" s="76" t="str">
        <f>IFERROR(__xludf.DUMMYFUNCTION("""COMPUTED_VALUE"""),"huytrannguyen06@gmail.com")</f>
        <v>huytrannguyen06@gmail.com</v>
      </c>
      <c r="AB283" s="76" t="str">
        <f>IFERROR(__xludf.DUMMYFUNCTION("""COMPUTED_VALUE"""),"#N/A")</f>
        <v>#N/A</v>
      </c>
      <c r="AC283" s="76" t="str">
        <f>IFERROR(__xludf.DUMMYFUNCTION("""COMPUTED_VALUE"""),"#N/A")</f>
        <v>#N/A</v>
      </c>
    </row>
    <row r="284">
      <c r="A284" s="100">
        <f>IFERROR(__xludf.DUMMYFUNCTION("""COMPUTED_VALUE"""),45693.560787696755)</f>
        <v>45693.56079</v>
      </c>
      <c r="B284" s="76" t="str">
        <f>IFERROR(__xludf.DUMMYFUNCTION("""COMPUTED_VALUE"""),"tranvanchien0175@gmail.com")</f>
        <v>tranvanchien0175@gmail.com</v>
      </c>
      <c r="C284" s="76">
        <f>IFERROR(__xludf.DUMMYFUNCTION("""COMPUTED_VALUE"""),2.621713388E10)</f>
        <v>26217133880</v>
      </c>
      <c r="D284" s="76" t="str">
        <f>IFERROR(__xludf.DUMMYFUNCTION("""COMPUTED_VALUE"""),"Trần Văn Chiến ")</f>
        <v>Trần Văn Chiến </v>
      </c>
      <c r="E284" s="101">
        <f>IFERROR(__xludf.DUMMYFUNCTION("""COMPUTED_VALUE"""),37436.0)</f>
        <v>37436</v>
      </c>
      <c r="F284" s="76" t="str">
        <f>IFERROR(__xludf.DUMMYFUNCTION("""COMPUTED_VALUE"""),"K27PSUDLK2")</f>
        <v>K27PSUDLK2</v>
      </c>
      <c r="G284" s="76" t="str">
        <f>IFERROR(__xludf.DUMMYFUNCTION("""COMPUTED_VALUE"""),"Quản trị Du lịch &amp; Khách sạn chuẩn PSU")</f>
        <v>Quản trị Du lịch &amp; Khách sạn chuẩn PSU</v>
      </c>
      <c r="H284" s="76" t="str">
        <f>IFERROR(__xludf.DUMMYFUNCTION("""COMPUTED_VALUE"""),"K27")</f>
        <v>K27</v>
      </c>
      <c r="I284" s="76" t="str">
        <f>IFERROR(__xludf.DUMMYFUNCTION("""COMPUTED_VALUE"""),"0964054079")</f>
        <v>0964054079</v>
      </c>
      <c r="J284" s="76" t="str">
        <f>IFERROR(__xludf.DUMMYFUNCTION("""COMPUTED_VALUE"""),"Chưa đủ điểm ạ")</f>
        <v>Chưa đủ điểm ạ</v>
      </c>
      <c r="K284" s="76" t="str">
        <f>IFERROR(__xludf.DUMMYFUNCTION("""COMPUTED_VALUE"""),"Chưa có ạ")</f>
        <v>Chưa có ạ</v>
      </c>
      <c r="L284" s="76" t="str">
        <f>IFERROR(__xludf.DUMMYFUNCTION("""COMPUTED_VALUE"""),"Rồi")</f>
        <v>Rồi</v>
      </c>
      <c r="M284" s="76" t="str">
        <f>IFERROR(__xludf.DUMMYFUNCTION("""COMPUTED_VALUE"""),"Thực tập tốt nghiệp")</f>
        <v>Thực tập tốt nghiệp</v>
      </c>
      <c r="N284" s="76">
        <f>IFERROR(__xludf.DUMMYFUNCTION("""COMPUTED_VALUE"""),0.0)</f>
        <v>0</v>
      </c>
      <c r="O284" s="76" t="str">
        <f>IFERROR(__xludf.DUMMYFUNCTION("""COMPUTED_VALUE"""),"cam kết")</f>
        <v>cam kết</v>
      </c>
      <c r="P284" s="76"/>
      <c r="Q284" s="76"/>
      <c r="R284" s="76"/>
      <c r="S284" s="102">
        <f>IFERROR(__xludf.DUMMYFUNCTION("""COMPUTED_VALUE"""),45993.0)</f>
        <v>45993</v>
      </c>
      <c r="T284" s="76"/>
      <c r="U284" s="102" t="str">
        <f>IFERROR(__xludf.DUMMYFUNCTION("""COMPUTED_VALUE"""),"Trần Văn Chiến")</f>
        <v>Trần Văn Chiến</v>
      </c>
      <c r="V284" s="76" t="str">
        <f>IFERROR(__xludf.DUMMYFUNCTION("""COMPUTED_VALUE"""),"Quản Trị Du Lịch &amp; Khách Sạn Chuẩn PSU (Đại Học)")</f>
        <v>Quản Trị Du Lịch &amp; Khách Sạn Chuẩn PSU (Đại Học)</v>
      </c>
      <c r="W284" s="76" t="str">
        <f>IFERROR(__xludf.DUMMYFUNCTION("""COMPUTED_VALUE"""),"#N/A")</f>
        <v>#N/A</v>
      </c>
      <c r="X284" s="76" t="str">
        <f>IFERROR(__xludf.DUMMYFUNCTION("""COMPUTED_VALUE"""),"#N/A")</f>
        <v>#N/A</v>
      </c>
      <c r="Y284" s="76" t="str">
        <f>IFERROR(__xludf.DUMMYFUNCTION("""COMPUTED_VALUE"""),"#N/A")</f>
        <v>#N/A</v>
      </c>
      <c r="Z284" s="76" t="str">
        <f>IFERROR(__xludf.DUMMYFUNCTION("""COMPUTED_VALUE"""),"CHUYÊN ĐỀ")</f>
        <v>CHUYÊN ĐỀ</v>
      </c>
      <c r="AA284" s="76" t="str">
        <f>IFERROR(__xludf.DUMMYFUNCTION("""COMPUTED_VALUE"""),"tranvanchien0175@gmail.com")</f>
        <v>tranvanchien0175@gmail.com</v>
      </c>
      <c r="AB284" s="76"/>
      <c r="AC284" s="76"/>
    </row>
    <row r="285">
      <c r="A285" s="100">
        <f>IFERROR(__xludf.DUMMYFUNCTION("""COMPUTED_VALUE"""),45694.404508692125)</f>
        <v>45694.40451</v>
      </c>
      <c r="B285" s="76" t="str">
        <f>IFERROR(__xludf.DUMMYFUNCTION("""COMPUTED_VALUE"""),"hanhquy1811@gmail.com")</f>
        <v>hanhquy1811@gmail.com</v>
      </c>
      <c r="C285" s="76">
        <f>IFERROR(__xludf.DUMMYFUNCTION("""COMPUTED_VALUE"""),2.5207209274E10)</f>
        <v>25207209274</v>
      </c>
      <c r="D285" s="76" t="str">
        <f>IFERROR(__xludf.DUMMYFUNCTION("""COMPUTED_VALUE"""),"Trần Thị Hạnh Quý")</f>
        <v>Trần Thị Hạnh Quý</v>
      </c>
      <c r="E285" s="101">
        <f>IFERROR(__xludf.DUMMYFUNCTION("""COMPUTED_VALUE"""),36848.0)</f>
        <v>36848</v>
      </c>
      <c r="F285" s="76" t="str">
        <f>IFERROR(__xludf.DUMMYFUNCTION("""COMPUTED_VALUE"""),"K25 PSU DKL 6")</f>
        <v>K25 PSU DKL 6</v>
      </c>
      <c r="G285" s="76" t="str">
        <f>IFERROR(__xludf.DUMMYFUNCTION("""COMPUTED_VALUE"""),"Quản trị Du lịch &amp; Khách sạn chuẩn PSU")</f>
        <v>Quản trị Du lịch &amp; Khách sạn chuẩn PSU</v>
      </c>
      <c r="H285" s="76" t="str">
        <f>IFERROR(__xludf.DUMMYFUNCTION("""COMPUTED_VALUE"""),"K25")</f>
        <v>K25</v>
      </c>
      <c r="I285" s="76" t="str">
        <f>IFERROR(__xludf.DUMMYFUNCTION("""COMPUTED_VALUE"""),"0935194033")</f>
        <v>0935194033</v>
      </c>
      <c r="J285" s="76">
        <f>IFERROR(__xludf.DUMMYFUNCTION("""COMPUTED_VALUE"""),3.23)</f>
        <v>3.23</v>
      </c>
      <c r="K285" s="76">
        <f>IFERROR(__xludf.DUMMYFUNCTION("""COMPUTED_VALUE"""),139.0)</f>
        <v>139</v>
      </c>
      <c r="L285" s="76" t="str">
        <f>IFERROR(__xludf.DUMMYFUNCTION("""COMPUTED_VALUE"""),"Rồi")</f>
        <v>Rồi</v>
      </c>
      <c r="M285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85" s="76">
        <f>IFERROR(__xludf.DUMMYFUNCTION("""COMPUTED_VALUE"""),0.0)</f>
        <v>0</v>
      </c>
      <c r="O285" s="76" t="str">
        <f>IFERROR(__xludf.DUMMYFUNCTION("""COMPUTED_VALUE"""),"cam kết")</f>
        <v>cam kết</v>
      </c>
      <c r="P285" s="76"/>
      <c r="Q285" s="76" t="str">
        <f>IFERROR(__xludf.DUMMYFUNCTION("""COMPUTED_VALUE"""),"ĐÃ NỘP")</f>
        <v>ĐÃ NỘP</v>
      </c>
      <c r="R285" s="76">
        <f>IFERROR(__xludf.DUMMYFUNCTION("""COMPUTED_VALUE"""),76.0)</f>
        <v>76</v>
      </c>
      <c r="S285" s="102">
        <f>IFERROR(__xludf.DUMMYFUNCTION("""COMPUTED_VALUE"""),45993.0)</f>
        <v>45993</v>
      </c>
      <c r="T285" s="76"/>
      <c r="U285" s="102" t="str">
        <f>IFERROR(__xludf.DUMMYFUNCTION("""COMPUTED_VALUE"""),"Trần Thị Hạnh Quý")</f>
        <v>Trần Thị Hạnh Quý</v>
      </c>
      <c r="V285" s="76" t="str">
        <f>IFERROR(__xludf.DUMMYFUNCTION("""COMPUTED_VALUE"""),"Quản Trị Du Lịch &amp; Khách Sạn Chuẩn PSU (Đại Học)")</f>
        <v>Quản Trị Du Lịch &amp; Khách Sạn Chuẩn PSU (Đại Học)</v>
      </c>
      <c r="W285" s="76" t="str">
        <f>IFERROR(__xludf.DUMMYFUNCTION("""COMPUTED_VALUE"""),"Four Points by Sheraton Danang")</f>
        <v>Four Points by Sheraton Danang</v>
      </c>
      <c r="X285" s="76" t="str">
        <f>IFERROR(__xludf.DUMMYFUNCTION("""COMPUTED_VALUE"""),"Tiền sảnh")</f>
        <v>Tiền sảnh</v>
      </c>
      <c r="Y285" s="76" t="str">
        <f>IFERROR(__xludf.DUMMYFUNCTION("""COMPUTED_VALUE"""),"DUYỆT")</f>
        <v>DUYỆT</v>
      </c>
      <c r="Z285" s="76" t="str">
        <f>IFERROR(__xludf.DUMMYFUNCTION("""COMPUTED_VALUE"""),"CHUYÊN ĐỀ")</f>
        <v>CHUYÊN ĐỀ</v>
      </c>
      <c r="AA285" s="76" t="str">
        <f>IFERROR(__xludf.DUMMYFUNCTION("""COMPUTED_VALUE"""),"hanhquy1811@gmail.com")</f>
        <v>hanhquy1811@gmail.com</v>
      </c>
      <c r="AB285" s="76"/>
      <c r="AC285" s="76"/>
    </row>
    <row r="286">
      <c r="A286" s="100">
        <f>IFERROR(__xludf.DUMMYFUNCTION("""COMPUTED_VALUE"""),45699.84016233796)</f>
        <v>45699.84016</v>
      </c>
      <c r="B286" s="76" t="str">
        <f>IFERROR(__xludf.DUMMYFUNCTION("""COMPUTED_VALUE"""),"tranmaymi@gmail.com")</f>
        <v>tranmaymi@gmail.com</v>
      </c>
      <c r="C286" s="76">
        <f>IFERROR(__xludf.DUMMYFUNCTION("""COMPUTED_VALUE"""),2.6207142302E10)</f>
        <v>26207142302</v>
      </c>
      <c r="D286" s="76" t="str">
        <f>IFERROR(__xludf.DUMMYFUNCTION("""COMPUTED_VALUE"""),"Trần Thị Mi")</f>
        <v>Trần Thị Mi</v>
      </c>
      <c r="E286" s="101">
        <f>IFERROR(__xludf.DUMMYFUNCTION("""COMPUTED_VALUE"""),37576.0)</f>
        <v>37576</v>
      </c>
      <c r="F286" s="76" t="str">
        <f>IFERROR(__xludf.DUMMYFUNCTION("""COMPUTED_VALUE"""),"K27PSUDLK2")</f>
        <v>K27PSUDLK2</v>
      </c>
      <c r="G286" s="76" t="str">
        <f>IFERROR(__xludf.DUMMYFUNCTION("""COMPUTED_VALUE"""),"Quản trị Du lịch &amp; Khách sạn chuẩn PSU")</f>
        <v>Quản trị Du lịch &amp; Khách sạn chuẩn PSU</v>
      </c>
      <c r="H286" s="76" t="str">
        <f>IFERROR(__xludf.DUMMYFUNCTION("""COMPUTED_VALUE"""),"K27")</f>
        <v>K27</v>
      </c>
      <c r="I286" s="76" t="str">
        <f>IFERROR(__xludf.DUMMYFUNCTION("""COMPUTED_VALUE"""),"0347617931")</f>
        <v>0347617931</v>
      </c>
      <c r="J286" s="76">
        <f>IFERROR(__xludf.DUMMYFUNCTION("""COMPUTED_VALUE"""),3.32)</f>
        <v>3.32</v>
      </c>
      <c r="K286" s="76">
        <f>IFERROR(__xludf.DUMMYFUNCTION("""COMPUTED_VALUE"""),166.0)</f>
        <v>166</v>
      </c>
      <c r="L286" s="76" t="str">
        <f>IFERROR(__xludf.DUMMYFUNCTION("""COMPUTED_VALUE"""),"Rồi")</f>
        <v>Rồi</v>
      </c>
      <c r="M286" s="76" t="str">
        <f>IFERROR(__xludf.DUMMYFUNCTION("""COMPUTED_VALUE"""),"Thực tập tốt nghiệp")</f>
        <v>Thực tập tốt nghiệp</v>
      </c>
      <c r="N286" s="76">
        <f>IFERROR(__xludf.DUMMYFUNCTION("""COMPUTED_VALUE"""),3.0)</f>
        <v>3</v>
      </c>
      <c r="O286" s="76" t="str">
        <f>IFERROR(__xludf.DUMMYFUNCTION("""COMPUTED_VALUE"""),"cam kết")</f>
        <v>cam kết</v>
      </c>
      <c r="P286" s="76"/>
      <c r="Q286" s="76"/>
      <c r="R286" s="76"/>
      <c r="S286" s="102">
        <f>IFERROR(__xludf.DUMMYFUNCTION("""COMPUTED_VALUE"""),45993.0)</f>
        <v>45993</v>
      </c>
      <c r="T286" s="76"/>
      <c r="U286" s="102" t="str">
        <f>IFERROR(__xludf.DUMMYFUNCTION("""COMPUTED_VALUE"""),"Trần Thị Mi")</f>
        <v>Trần Thị Mi</v>
      </c>
      <c r="V286" s="76" t="str">
        <f>IFERROR(__xludf.DUMMYFUNCTION("""COMPUTED_VALUE"""),"Quản Trị Du Lịch &amp; Khách Sạn Chuẩn PSU (Đại Học)")</f>
        <v>Quản Trị Du Lịch &amp; Khách Sạn Chuẩn PSU (Đại Học)</v>
      </c>
      <c r="W286" s="76" t="str">
        <f>IFERROR(__xludf.DUMMYFUNCTION("""COMPUTED_VALUE"""),"#N/A")</f>
        <v>#N/A</v>
      </c>
      <c r="X286" s="76" t="str">
        <f>IFERROR(__xludf.DUMMYFUNCTION("""COMPUTED_VALUE"""),"#N/A")</f>
        <v>#N/A</v>
      </c>
      <c r="Y286" s="76" t="str">
        <f>IFERROR(__xludf.DUMMYFUNCTION("""COMPUTED_VALUE"""),"#N/A")</f>
        <v>#N/A</v>
      </c>
      <c r="Z286" s="76" t="str">
        <f>IFERROR(__xludf.DUMMYFUNCTION("""COMPUTED_VALUE"""),"CHUYÊN ĐỀ")</f>
        <v>CHUYÊN ĐỀ</v>
      </c>
      <c r="AA286" s="76" t="str">
        <f>IFERROR(__xludf.DUMMYFUNCTION("""COMPUTED_VALUE"""),"tranmaymi@gmail.com")</f>
        <v>tranmaymi@gmail.com</v>
      </c>
      <c r="AB286" s="76" t="str">
        <f>IFERROR(__xludf.DUMMYFUNCTION("""COMPUTED_VALUE"""),"Trần Thị Mi")</f>
        <v>Trần Thị Mi</v>
      </c>
      <c r="AC286" s="76"/>
    </row>
    <row r="287">
      <c r="A287" s="100">
        <f>IFERROR(__xludf.DUMMYFUNCTION("""COMPUTED_VALUE"""),45699.700348750004)</f>
        <v>45699.70035</v>
      </c>
      <c r="B287" s="76" t="str">
        <f>IFERROR(__xludf.DUMMYFUNCTION("""COMPUTED_VALUE"""),"ngothianhquynhpbc@gmail.com")</f>
        <v>ngothianhquynhpbc@gmail.com</v>
      </c>
      <c r="C287" s="76">
        <f>IFERROR(__xludf.DUMMYFUNCTION("""COMPUTED_VALUE"""),2.7207103121E10)</f>
        <v>27207103121</v>
      </c>
      <c r="D287" s="76" t="str">
        <f>IFERROR(__xludf.DUMMYFUNCTION("""COMPUTED_VALUE"""),"Ngô Thị Ánh Quỳnh")</f>
        <v>Ngô Thị Ánh Quỳnh</v>
      </c>
      <c r="E287" s="101">
        <f>IFERROR(__xludf.DUMMYFUNCTION("""COMPUTED_VALUE"""),37719.0)</f>
        <v>37719</v>
      </c>
      <c r="F287" s="76" t="str">
        <f>IFERROR(__xludf.DUMMYFUNCTION("""COMPUTED_VALUE"""),"K27DLK1")</f>
        <v>K27DLK1</v>
      </c>
      <c r="G287" s="76" t="str">
        <f>IFERROR(__xludf.DUMMYFUNCTION("""COMPUTED_VALUE"""),"Quản trị Du lịch &amp; Khách sạn")</f>
        <v>Quản trị Du lịch &amp; Khách sạn</v>
      </c>
      <c r="H287" s="76" t="str">
        <f>IFERROR(__xludf.DUMMYFUNCTION("""COMPUTED_VALUE"""),"K27")</f>
        <v>K27</v>
      </c>
      <c r="I287" s="76" t="str">
        <f>IFERROR(__xludf.DUMMYFUNCTION("""COMPUTED_VALUE"""),"0985819222")</f>
        <v>0985819222</v>
      </c>
      <c r="J287" s="76">
        <f>IFERROR(__xludf.DUMMYFUNCTION("""COMPUTED_VALUE"""),3.66)</f>
        <v>3.66</v>
      </c>
      <c r="K287" s="76">
        <f>IFERROR(__xludf.DUMMYFUNCTION("""COMPUTED_VALUE"""),117.0)</f>
        <v>117</v>
      </c>
      <c r="L287" s="76" t="str">
        <f>IFERROR(__xludf.DUMMYFUNCTION("""COMPUTED_VALUE"""),"Rồi")</f>
        <v>Rồi</v>
      </c>
      <c r="M287" s="76" t="str">
        <f>IFERROR(__xludf.DUMMYFUNCTION("""COMPUTED_VALUE"""),"Thực tập tốt nghiệp")</f>
        <v>Thực tập tốt nghiệp</v>
      </c>
      <c r="N287" s="76">
        <f>IFERROR(__xludf.DUMMYFUNCTION("""COMPUTED_VALUE"""),6.0)</f>
        <v>6</v>
      </c>
      <c r="O287" s="76" t="str">
        <f>IFERROR(__xludf.DUMMYFUNCTION("""COMPUTED_VALUE"""),"cam kết")</f>
        <v>cam kết</v>
      </c>
      <c r="P287" s="76"/>
      <c r="Q287" s="76"/>
      <c r="R287" s="76"/>
      <c r="S287" s="102">
        <f>IFERROR(__xludf.DUMMYFUNCTION("""COMPUTED_VALUE"""),45993.0)</f>
        <v>45993</v>
      </c>
      <c r="T287" s="76"/>
      <c r="U287" s="102" t="str">
        <f>IFERROR(__xludf.DUMMYFUNCTION("""COMPUTED_VALUE"""),"Ngô Thị Ánh Quỳnh")</f>
        <v>Ngô Thị Ánh Quỳnh</v>
      </c>
      <c r="V287" s="76" t="str">
        <f>IFERROR(__xludf.DUMMYFUNCTION("""COMPUTED_VALUE"""),"Quản Trị Khách Sạn &amp; Nhà Hàng (Đại Học)")</f>
        <v>Quản Trị Khách Sạn &amp; Nhà Hàng (Đại Học)</v>
      </c>
      <c r="W287" s="76" t="str">
        <f>IFERROR(__xludf.DUMMYFUNCTION("""COMPUTED_VALUE"""),"Renaissance Hoi An Resort &amp; Spa")</f>
        <v>Renaissance Hoi An Resort &amp; Spa</v>
      </c>
      <c r="X287" s="76" t="str">
        <f>IFERROR(__xludf.DUMMYFUNCTION("""COMPUTED_VALUE"""),"Tiền sảnh")</f>
        <v>Tiền sảnh</v>
      </c>
      <c r="Y287" s="76" t="str">
        <f>IFERROR(__xludf.DUMMYFUNCTION("""COMPUTED_VALUE"""),"DUYỆT")</f>
        <v>DUYỆT</v>
      </c>
      <c r="Z287" s="76" t="str">
        <f>IFERROR(__xludf.DUMMYFUNCTION("""COMPUTED_VALUE"""),"CHUYÊN ĐỀ")</f>
        <v>CHUYÊN ĐỀ</v>
      </c>
      <c r="AA287" s="76" t="str">
        <f>IFERROR(__xludf.DUMMYFUNCTION("""COMPUTED_VALUE"""),"ngothianhquynhpbc@gmail.com")</f>
        <v>ngothianhquynhpbc@gmail.com</v>
      </c>
      <c r="AB287" s="76" t="str">
        <f>IFERROR(__xludf.DUMMYFUNCTION("""COMPUTED_VALUE"""),"Ngô Thị Ánh Quỳnh")</f>
        <v>Ngô Thị Ánh Quỳnh</v>
      </c>
      <c r="AC287" s="76" t="str">
        <f>IFERROR(__xludf.DUMMYFUNCTION("""COMPUTED_VALUE"""),"ĐÃ NỘP")</f>
        <v>ĐÃ NỘP</v>
      </c>
    </row>
    <row r="288">
      <c r="A288" s="100">
        <f>IFERROR(__xludf.DUMMYFUNCTION("""COMPUTED_VALUE"""),45699.75185421296)</f>
        <v>45699.75185</v>
      </c>
      <c r="B288" s="76" t="str">
        <f>IFERROR(__xludf.DUMMYFUNCTION("""COMPUTED_VALUE"""),"nhinguyenjessi@gmail.com")</f>
        <v>nhinguyenjessi@gmail.com</v>
      </c>
      <c r="C288" s="76">
        <f>IFERROR(__xludf.DUMMYFUNCTION("""COMPUTED_VALUE"""),2.4207107649E10)</f>
        <v>24207107649</v>
      </c>
      <c r="D288" s="76" t="str">
        <f>IFERROR(__xludf.DUMMYFUNCTION("""COMPUTED_VALUE"""),"Nguyễn Yến Nhi")</f>
        <v>Nguyễn Yến Nhi</v>
      </c>
      <c r="E288" s="101">
        <f>IFERROR(__xludf.DUMMYFUNCTION("""COMPUTED_VALUE"""),36864.0)</f>
        <v>36864</v>
      </c>
      <c r="F288" s="76" t="str">
        <f>IFERROR(__xludf.DUMMYFUNCTION("""COMPUTED_VALUE"""),"KK25PSUDLK15")</f>
        <v>KK25PSUDLK15</v>
      </c>
      <c r="G288" s="76" t="str">
        <f>IFERROR(__xludf.DUMMYFUNCTION("""COMPUTED_VALUE"""),"Quản trị Du lịch &amp; Khách sạn chuẩn PSU")</f>
        <v>Quản trị Du lịch &amp; Khách sạn chuẩn PSU</v>
      </c>
      <c r="H288" s="76" t="str">
        <f>IFERROR(__xludf.DUMMYFUNCTION("""COMPUTED_VALUE"""),"K25")</f>
        <v>K25</v>
      </c>
      <c r="I288" s="76" t="str">
        <f>IFERROR(__xludf.DUMMYFUNCTION("""COMPUTED_VALUE"""),"0799431689")</f>
        <v>0799431689</v>
      </c>
      <c r="J288" s="76">
        <f>IFERROR(__xludf.DUMMYFUNCTION("""COMPUTED_VALUE"""),2.58)</f>
        <v>2.58</v>
      </c>
      <c r="K288" s="76">
        <f>IFERROR(__xludf.DUMMYFUNCTION("""COMPUTED_VALUE"""),139.0)</f>
        <v>139</v>
      </c>
      <c r="L288" s="76" t="str">
        <f>IFERROR(__xludf.DUMMYFUNCTION("""COMPUTED_VALUE"""),"Rồi")</f>
        <v>Rồi</v>
      </c>
      <c r="M288" s="76" t="str">
        <f>IFERROR(__xludf.DUMMYFUNCTION("""COMPUTED_VALUE"""),"Thực tập tốt nghiệp, Công nhận tốt nghiệp")</f>
        <v>Thực tập tốt nghiệp, Công nhận tốt nghiệp</v>
      </c>
      <c r="N288" s="76">
        <f>IFERROR(__xludf.DUMMYFUNCTION("""COMPUTED_VALUE"""),5.0)</f>
        <v>5</v>
      </c>
      <c r="O288" s="76" t="str">
        <f>IFERROR(__xludf.DUMMYFUNCTION("""COMPUTED_VALUE"""),"cam kết")</f>
        <v>cam kết</v>
      </c>
      <c r="P288" s="76"/>
      <c r="Q288" s="76" t="str">
        <f>IFERROR(__xludf.DUMMYFUNCTION("""COMPUTED_VALUE"""),"CHƯA NỘP")</f>
        <v>CHƯA NỘP</v>
      </c>
      <c r="R288" s="76"/>
      <c r="S288" s="76"/>
      <c r="T288" s="76"/>
      <c r="U288" s="102" t="str">
        <f>IFERROR(__xludf.DUMMYFUNCTION("""COMPUTED_VALUE"""),"Nguyễn Yến Nhi")</f>
        <v>Nguyễn Yến Nhi</v>
      </c>
      <c r="V288" s="76" t="str">
        <f>IFERROR(__xludf.DUMMYFUNCTION("""COMPUTED_VALUE"""),"Quản Trị Du Lịch &amp; Khách Sạn Chuẩn PSU (Đại Học)")</f>
        <v>Quản Trị Du Lịch &amp; Khách Sạn Chuẩn PSU (Đại Học)</v>
      </c>
      <c r="W288" s="76" t="str">
        <f>IFERROR(__xludf.DUMMYFUNCTION("""COMPUTED_VALUE"""),"#N/A")</f>
        <v>#N/A</v>
      </c>
      <c r="X288" s="76" t="str">
        <f>IFERROR(__xludf.DUMMYFUNCTION("""COMPUTED_VALUE"""),"#N/A")</f>
        <v>#N/A</v>
      </c>
      <c r="Y288" s="76" t="str">
        <f>IFERROR(__xludf.DUMMYFUNCTION("""COMPUTED_VALUE"""),"#N/A")</f>
        <v>#N/A</v>
      </c>
      <c r="Z288" s="76" t="str">
        <f>IFERROR(__xludf.DUMMYFUNCTION("""COMPUTED_VALUE"""),"HỦY HỒ SƠ ĐĂNG KÝ THAM DỰ TỐT NGHIỆP ĐỢT 06/2025")</f>
        <v>HỦY HỒ SƠ ĐĂNG KÝ THAM DỰ TỐT NGHIỆP ĐỢT 06/2025</v>
      </c>
      <c r="AA288" s="76" t="str">
        <f>IFERROR(__xludf.DUMMYFUNCTION("""COMPUTED_VALUE"""),"nhinguyenjessi@gmail.com")</f>
        <v>nhinguyenjessi@gmail.com</v>
      </c>
      <c r="AB288" s="76" t="str">
        <f>IFERROR(__xludf.DUMMYFUNCTION("""COMPUTED_VALUE"""),"#N/A")</f>
        <v>#N/A</v>
      </c>
      <c r="AC288" s="76"/>
    </row>
    <row r="289">
      <c r="A289" s="100">
        <f>IFERROR(__xludf.DUMMYFUNCTION("""COMPUTED_VALUE"""),45699.75953226852)</f>
        <v>45699.75953</v>
      </c>
      <c r="B289" s="76" t="str">
        <f>IFERROR(__xludf.DUMMYFUNCTION("""COMPUTED_VALUE"""),"dthao280803@gmail.com")</f>
        <v>dthao280803@gmail.com</v>
      </c>
      <c r="C289" s="76">
        <f>IFERROR(__xludf.DUMMYFUNCTION("""COMPUTED_VALUE"""),2.7207131794E10)</f>
        <v>27207131794</v>
      </c>
      <c r="D289" s="76" t="str">
        <f>IFERROR(__xludf.DUMMYFUNCTION("""COMPUTED_VALUE"""),"Đào Thị Thu Thảo")</f>
        <v>Đào Thị Thu Thảo</v>
      </c>
      <c r="E289" s="101">
        <f>IFERROR(__xludf.DUMMYFUNCTION("""COMPUTED_VALUE"""),37861.0)</f>
        <v>37861</v>
      </c>
      <c r="F289" s="76" t="str">
        <f>IFERROR(__xludf.DUMMYFUNCTION("""COMPUTED_VALUE"""),"K27DLK1")</f>
        <v>K27DLK1</v>
      </c>
      <c r="G289" s="76" t="str">
        <f>IFERROR(__xludf.DUMMYFUNCTION("""COMPUTED_VALUE"""),"Quản trị Du lịch &amp; Khách sạn")</f>
        <v>Quản trị Du lịch &amp; Khách sạn</v>
      </c>
      <c r="H289" s="76" t="str">
        <f>IFERROR(__xludf.DUMMYFUNCTION("""COMPUTED_VALUE"""),"K27")</f>
        <v>K27</v>
      </c>
      <c r="I289" s="76" t="str">
        <f>IFERROR(__xludf.DUMMYFUNCTION("""COMPUTED_VALUE"""),"0877964413")</f>
        <v>0877964413</v>
      </c>
      <c r="J289" s="76">
        <f>IFERROR(__xludf.DUMMYFUNCTION("""COMPUTED_VALUE"""),3.18)</f>
        <v>3.18</v>
      </c>
      <c r="K289" s="76">
        <f>IFERROR(__xludf.DUMMYFUNCTION("""COMPUTED_VALUE"""),117.0)</f>
        <v>117</v>
      </c>
      <c r="L289" s="76" t="str">
        <f>IFERROR(__xludf.DUMMYFUNCTION("""COMPUTED_VALUE"""),"Rồi")</f>
        <v>Rồi</v>
      </c>
      <c r="M289" s="76" t="str">
        <f>IFERROR(__xludf.DUMMYFUNCTION("""COMPUTED_VALUE"""),"Thực tập tốt nghiệp")</f>
        <v>Thực tập tốt nghiệp</v>
      </c>
      <c r="N289" s="76">
        <f>IFERROR(__xludf.DUMMYFUNCTION("""COMPUTED_VALUE"""),6.0)</f>
        <v>6</v>
      </c>
      <c r="O289" s="76" t="str">
        <f>IFERROR(__xludf.DUMMYFUNCTION("""COMPUTED_VALUE"""),"cam kết")</f>
        <v>cam kết</v>
      </c>
      <c r="P289" s="76"/>
      <c r="Q289" s="76"/>
      <c r="R289" s="76"/>
      <c r="S289" s="102">
        <f>IFERROR(__xludf.DUMMYFUNCTION("""COMPUTED_VALUE"""),45993.0)</f>
        <v>45993</v>
      </c>
      <c r="T289" s="76"/>
      <c r="U289" s="102" t="str">
        <f>IFERROR(__xludf.DUMMYFUNCTION("""COMPUTED_VALUE"""),"Đào Thị Thu Thảo")</f>
        <v>Đào Thị Thu Thảo</v>
      </c>
      <c r="V289" s="76" t="str">
        <f>IFERROR(__xludf.DUMMYFUNCTION("""COMPUTED_VALUE"""),"Quản Trị Khách Sạn &amp; Nhà Hàng (Đại Học)")</f>
        <v>Quản Trị Khách Sạn &amp; Nhà Hàng (Đại Học)</v>
      </c>
      <c r="W289" s="76" t="str">
        <f>IFERROR(__xludf.DUMMYFUNCTION("""COMPUTED_VALUE"""),"#N/A")</f>
        <v>#N/A</v>
      </c>
      <c r="X289" s="76" t="str">
        <f>IFERROR(__xludf.DUMMYFUNCTION("""COMPUTED_VALUE"""),"#N/A")</f>
        <v>#N/A</v>
      </c>
      <c r="Y289" s="76" t="str">
        <f>IFERROR(__xludf.DUMMYFUNCTION("""COMPUTED_VALUE"""),"#N/A")</f>
        <v>#N/A</v>
      </c>
      <c r="Z289" s="76" t="str">
        <f>IFERROR(__xludf.DUMMYFUNCTION("""COMPUTED_VALUE"""),"CHUYÊN ĐỀ")</f>
        <v>CHUYÊN ĐỀ</v>
      </c>
      <c r="AA289" s="76" t="str">
        <f>IFERROR(__xludf.DUMMYFUNCTION("""COMPUTED_VALUE"""),"dthao280803@gmail.com")</f>
        <v>dthao280803@gmail.com</v>
      </c>
      <c r="AB289" s="76" t="str">
        <f>IFERROR(__xludf.DUMMYFUNCTION("""COMPUTED_VALUE"""),"#N/A")</f>
        <v>#N/A</v>
      </c>
      <c r="AC289" s="76"/>
    </row>
    <row r="290">
      <c r="A290" s="100">
        <f>IFERROR(__xludf.DUMMYFUNCTION("""COMPUTED_VALUE"""),45700.49072961806)</f>
        <v>45700.49073</v>
      </c>
      <c r="B290" s="76" t="str">
        <f>IFERROR(__xludf.DUMMYFUNCTION("""COMPUTED_VALUE"""),"dovan21092003@gmail.com")</f>
        <v>dovan21092003@gmail.com</v>
      </c>
      <c r="C290" s="76">
        <f>IFERROR(__xludf.DUMMYFUNCTION("""COMPUTED_VALUE"""),2.7217102336E10)</f>
        <v>27217102336</v>
      </c>
      <c r="D290" s="76" t="str">
        <f>IFERROR(__xludf.DUMMYFUNCTION("""COMPUTED_VALUE"""),"ĐỖ LÊ TƯỜNG VÂN")</f>
        <v>ĐỖ LÊ TƯỜNG VÂN</v>
      </c>
      <c r="E290" s="101">
        <f>IFERROR(__xludf.DUMMYFUNCTION("""COMPUTED_VALUE"""),37887.0)</f>
        <v>37887</v>
      </c>
      <c r="F290" s="76" t="str">
        <f>IFERROR(__xludf.DUMMYFUNCTION("""COMPUTED_VALUE"""),"K27DLK7")</f>
        <v>K27DLK7</v>
      </c>
      <c r="G290" s="76" t="str">
        <f>IFERROR(__xludf.DUMMYFUNCTION("""COMPUTED_VALUE"""),"Quản trị Du lịch &amp; Khách sạn")</f>
        <v>Quản trị Du lịch &amp; Khách sạn</v>
      </c>
      <c r="H290" s="76" t="str">
        <f>IFERROR(__xludf.DUMMYFUNCTION("""COMPUTED_VALUE"""),"K27")</f>
        <v>K27</v>
      </c>
      <c r="I290" s="76" t="str">
        <f>IFERROR(__xludf.DUMMYFUNCTION("""COMPUTED_VALUE"""),"0916761844")</f>
        <v>0916761844</v>
      </c>
      <c r="J290" s="76">
        <f>IFERROR(__xludf.DUMMYFUNCTION("""COMPUTED_VALUE"""),2.7)</f>
        <v>2.7</v>
      </c>
      <c r="K290" s="76">
        <f>IFERROR(__xludf.DUMMYFUNCTION("""COMPUTED_VALUE"""),120.0)</f>
        <v>120</v>
      </c>
      <c r="L290" s="76" t="str">
        <f>IFERROR(__xludf.DUMMYFUNCTION("""COMPUTED_VALUE"""),"Rồi")</f>
        <v>Rồi</v>
      </c>
      <c r="M290" s="76" t="str">
        <f>IFERROR(__xludf.DUMMYFUNCTION("""COMPUTED_VALUE"""),"Thực tập tốt nghiệp, Thi tốt nghiệp, Công nhận tốt nghiệp")</f>
        <v>Thực tập tốt nghiệp, Thi tốt nghiệp, Công nhận tốt nghiệp</v>
      </c>
      <c r="N290" s="76">
        <f>IFERROR(__xludf.DUMMYFUNCTION("""COMPUTED_VALUE"""),3.0)</f>
        <v>3</v>
      </c>
      <c r="O290" s="76" t="str">
        <f>IFERROR(__xludf.DUMMYFUNCTION("""COMPUTED_VALUE"""),"cam kết")</f>
        <v>cam kết</v>
      </c>
      <c r="P290" s="76"/>
      <c r="Q290" s="76"/>
      <c r="R290" s="76"/>
      <c r="S290" s="102">
        <f>IFERROR(__xludf.DUMMYFUNCTION("""COMPUTED_VALUE"""),45993.0)</f>
        <v>45993</v>
      </c>
      <c r="T290" s="76"/>
      <c r="U290" s="102" t="str">
        <f>IFERROR(__xludf.DUMMYFUNCTION("""COMPUTED_VALUE"""),"Đỗ Lê Tường Vân")</f>
        <v>Đỗ Lê Tường Vân</v>
      </c>
      <c r="V290" s="76" t="str">
        <f>IFERROR(__xludf.DUMMYFUNCTION("""COMPUTED_VALUE"""),"Quản Trị Khách Sạn &amp; Nhà Hàng (Đại Học)")</f>
        <v>Quản Trị Khách Sạn &amp; Nhà Hàng (Đại Học)</v>
      </c>
      <c r="W290" s="76" t="str">
        <f>IFERROR(__xludf.DUMMYFUNCTION("""COMPUTED_VALUE"""),"Renaissance Hoi An Resort &amp; Spa")</f>
        <v>Renaissance Hoi An Resort &amp; Spa</v>
      </c>
      <c r="X290" s="76" t="str">
        <f>IFERROR(__xludf.DUMMYFUNCTION("""COMPUTED_VALUE"""),"Buồng phòng")</f>
        <v>Buồng phòng</v>
      </c>
      <c r="Y290" s="76" t="str">
        <f>IFERROR(__xludf.DUMMYFUNCTION("""COMPUTED_VALUE"""),"DUYỆT")</f>
        <v>DUYỆT</v>
      </c>
      <c r="Z290" s="76" t="str">
        <f>IFERROR(__xludf.DUMMYFUNCTION("""COMPUTED_VALUE"""),"CHUYÊN ĐỀ")</f>
        <v>CHUYÊN ĐỀ</v>
      </c>
      <c r="AA290" s="76" t="str">
        <f>IFERROR(__xludf.DUMMYFUNCTION("""COMPUTED_VALUE"""),"dovan21092003@gmail.com")</f>
        <v>dovan21092003@gmail.com</v>
      </c>
      <c r="AB290" s="76" t="str">
        <f>IFERROR(__xludf.DUMMYFUNCTION("""COMPUTED_VALUE"""),"#N/A")</f>
        <v>#N/A</v>
      </c>
      <c r="AC290" s="76"/>
    </row>
    <row r="291">
      <c r="A291" s="100">
        <f>IFERROR(__xludf.DUMMYFUNCTION("""COMPUTED_VALUE"""),45700.53709694445)</f>
        <v>45700.5371</v>
      </c>
      <c r="B291" s="76" t="str">
        <f>IFERROR(__xludf.DUMMYFUNCTION("""COMPUTED_VALUE"""),"tranthianhquyen03@gmail.com")</f>
        <v>tranthianhquyen03@gmail.com</v>
      </c>
      <c r="C291" s="76">
        <f>IFERROR(__xludf.DUMMYFUNCTION("""COMPUTED_VALUE"""),2.720220282E10)</f>
        <v>27202202820</v>
      </c>
      <c r="D291" s="76" t="str">
        <f>IFERROR(__xludf.DUMMYFUNCTION("""COMPUTED_VALUE"""),"Trần Thị Anh Quyên")</f>
        <v>Trần Thị Anh Quyên</v>
      </c>
      <c r="E291" s="101">
        <f>IFERROR(__xludf.DUMMYFUNCTION("""COMPUTED_VALUE"""),37976.0)</f>
        <v>37976</v>
      </c>
      <c r="F291" s="76" t="str">
        <f>IFERROR(__xludf.DUMMYFUNCTION("""COMPUTED_VALUE"""),"K27DLK1")</f>
        <v>K27DLK1</v>
      </c>
      <c r="G291" s="76" t="str">
        <f>IFERROR(__xludf.DUMMYFUNCTION("""COMPUTED_VALUE"""),"Quản trị Du lịch &amp; Khách sạn")</f>
        <v>Quản trị Du lịch &amp; Khách sạn</v>
      </c>
      <c r="H291" s="76" t="str">
        <f>IFERROR(__xludf.DUMMYFUNCTION("""COMPUTED_VALUE"""),"K27")</f>
        <v>K27</v>
      </c>
      <c r="I291" s="76" t="str">
        <f>IFERROR(__xludf.DUMMYFUNCTION("""COMPUTED_VALUE"""),"0905966185")</f>
        <v>0905966185</v>
      </c>
      <c r="J291" s="76">
        <f>IFERROR(__xludf.DUMMYFUNCTION("""COMPUTED_VALUE"""),3.08)</f>
        <v>3.08</v>
      </c>
      <c r="K291" s="76">
        <f>IFERROR(__xludf.DUMMYFUNCTION("""COMPUTED_VALUE"""),117.0)</f>
        <v>117</v>
      </c>
      <c r="L291" s="76" t="str">
        <f>IFERROR(__xludf.DUMMYFUNCTION("""COMPUTED_VALUE"""),"Rồi")</f>
        <v>Rồi</v>
      </c>
      <c r="M291" s="76" t="str">
        <f>IFERROR(__xludf.DUMMYFUNCTION("""COMPUTED_VALUE"""),"Thực tập tốt nghiệp, Thi tốt nghiệp")</f>
        <v>Thực tập tốt nghiệp, Thi tốt nghiệp</v>
      </c>
      <c r="N291" s="76">
        <f>IFERROR(__xludf.DUMMYFUNCTION("""COMPUTED_VALUE"""),6.0)</f>
        <v>6</v>
      </c>
      <c r="O291" s="76" t="str">
        <f>IFERROR(__xludf.DUMMYFUNCTION("""COMPUTED_VALUE"""),"cam kết")</f>
        <v>cam kết</v>
      </c>
      <c r="P291" s="76"/>
      <c r="Q291" s="76"/>
      <c r="R291" s="76"/>
      <c r="S291" s="102">
        <f>IFERROR(__xludf.DUMMYFUNCTION("""COMPUTED_VALUE"""),45993.0)</f>
        <v>45993</v>
      </c>
      <c r="T291" s="76"/>
      <c r="U291" s="102" t="str">
        <f>IFERROR(__xludf.DUMMYFUNCTION("""COMPUTED_VALUE"""),"Trần Thị Anh Quyên")</f>
        <v>Trần Thị Anh Quyên</v>
      </c>
      <c r="V291" s="76" t="str">
        <f>IFERROR(__xludf.DUMMYFUNCTION("""COMPUTED_VALUE"""),"Quản Trị Khách Sạn &amp; Nhà Hàng (Đại Học)")</f>
        <v>Quản Trị Khách Sạn &amp; Nhà Hàng (Đại Học)</v>
      </c>
      <c r="W291" s="76" t="str">
        <f>IFERROR(__xludf.DUMMYFUNCTION("""COMPUTED_VALUE"""),"#N/A")</f>
        <v>#N/A</v>
      </c>
      <c r="X291" s="76" t="str">
        <f>IFERROR(__xludf.DUMMYFUNCTION("""COMPUTED_VALUE"""),"#N/A")</f>
        <v>#N/A</v>
      </c>
      <c r="Y291" s="76" t="str">
        <f>IFERROR(__xludf.DUMMYFUNCTION("""COMPUTED_VALUE"""),"#N/A")</f>
        <v>#N/A</v>
      </c>
      <c r="Z291" s="76" t="str">
        <f>IFERROR(__xludf.DUMMYFUNCTION("""COMPUTED_VALUE"""),"CHUYÊN ĐỀ")</f>
        <v>CHUYÊN ĐỀ</v>
      </c>
      <c r="AA291" s="76" t="str">
        <f>IFERROR(__xludf.DUMMYFUNCTION("""COMPUTED_VALUE"""),"tranthianhquyen03@gmail.com")</f>
        <v>tranthianhquyen03@gmail.com</v>
      </c>
      <c r="AB291" s="76" t="str">
        <f>IFERROR(__xludf.DUMMYFUNCTION("""COMPUTED_VALUE"""),"#N/A")</f>
        <v>#N/A</v>
      </c>
      <c r="AC291" s="76"/>
    </row>
    <row r="292">
      <c r="A292" s="100">
        <f>IFERROR(__xludf.DUMMYFUNCTION("""COMPUTED_VALUE"""),45700.910858564814)</f>
        <v>45700.91086</v>
      </c>
      <c r="B292" s="76" t="str">
        <f>IFERROR(__xludf.DUMMYFUNCTION("""COMPUTED_VALUE"""),"dangthithuy25401@gmail.com")</f>
        <v>dangthithuy25401@gmail.com</v>
      </c>
      <c r="C292" s="76">
        <f>IFERROR(__xludf.DUMMYFUNCTION("""COMPUTED_VALUE"""),2.5207110564E10)</f>
        <v>25207110564</v>
      </c>
      <c r="D292" s="76" t="str">
        <f>IFERROR(__xludf.DUMMYFUNCTION("""COMPUTED_VALUE"""),"Đặng Thị Thủy ")</f>
        <v>Đặng Thị Thủy </v>
      </c>
      <c r="E292" s="101">
        <f>IFERROR(__xludf.DUMMYFUNCTION("""COMPUTED_VALUE"""),37006.0)</f>
        <v>37006</v>
      </c>
      <c r="F292" s="76" t="str">
        <f>IFERROR(__xludf.DUMMYFUNCTION("""COMPUTED_VALUE"""),"K25PSUDKL15")</f>
        <v>K25PSUDKL15</v>
      </c>
      <c r="G292" s="76" t="str">
        <f>IFERROR(__xludf.DUMMYFUNCTION("""COMPUTED_VALUE"""),"Quản trị Du lịch &amp; Khách sạn chuẩn PSU")</f>
        <v>Quản trị Du lịch &amp; Khách sạn chuẩn PSU</v>
      </c>
      <c r="H292" s="76" t="str">
        <f>IFERROR(__xludf.DUMMYFUNCTION("""COMPUTED_VALUE"""),"K25")</f>
        <v>K25</v>
      </c>
      <c r="I292" s="76" t="str">
        <f>IFERROR(__xludf.DUMMYFUNCTION("""COMPUTED_VALUE"""),"0934358983")</f>
        <v>0934358983</v>
      </c>
      <c r="J292" s="76">
        <f>IFERROR(__xludf.DUMMYFUNCTION("""COMPUTED_VALUE"""),2.22)</f>
        <v>2.22</v>
      </c>
      <c r="K292" s="76">
        <f>IFERROR(__xludf.DUMMYFUNCTION("""COMPUTED_VALUE"""),167.0)</f>
        <v>167</v>
      </c>
      <c r="L292" s="76" t="str">
        <f>IFERROR(__xludf.DUMMYFUNCTION("""COMPUTED_VALUE"""),"Rồi")</f>
        <v>Rồi</v>
      </c>
      <c r="M292" s="76" t="str">
        <f>IFERROR(__xludf.DUMMYFUNCTION("""COMPUTED_VALUE"""),"Công nhận tốt nghiệp")</f>
        <v>Công nhận tốt nghiệp</v>
      </c>
      <c r="N292" s="76">
        <f>IFERROR(__xludf.DUMMYFUNCTION("""COMPUTED_VALUE"""),0.0)</f>
        <v>0</v>
      </c>
      <c r="O292" s="76" t="str">
        <f>IFERROR(__xludf.DUMMYFUNCTION("""COMPUTED_VALUE"""),"cam kết")</f>
        <v>cam kết</v>
      </c>
      <c r="P292" s="76"/>
      <c r="Q292" s="76" t="str">
        <f>IFERROR(__xludf.DUMMYFUNCTION("""COMPUTED_VALUE"""),"CHƯA NỘP")</f>
        <v>CHƯA NỘP</v>
      </c>
      <c r="R292" s="76"/>
      <c r="S292" s="76"/>
      <c r="T292" s="76"/>
      <c r="U292" s="102" t="str">
        <f>IFERROR(__xludf.DUMMYFUNCTION("""COMPUTED_VALUE"""),"Đặng Thị Thủy")</f>
        <v>Đặng Thị Thủy</v>
      </c>
      <c r="V292" s="76" t="str">
        <f>IFERROR(__xludf.DUMMYFUNCTION("""COMPUTED_VALUE"""),"Quản Trị Du Lịch &amp; Khách Sạn Chuẩn PSU (Đại Học)")</f>
        <v>Quản Trị Du Lịch &amp; Khách Sạn Chuẩn PSU (Đại Học)</v>
      </c>
      <c r="W292" s="76"/>
      <c r="X292" s="76"/>
      <c r="Y292" s="76"/>
      <c r="Z292" s="76"/>
      <c r="AA292" s="76" t="str">
        <f>IFERROR(__xludf.DUMMYFUNCTION("""COMPUTED_VALUE"""),"dangthithuy25401@gmail.com")</f>
        <v>dangthithuy25401@gmail.com</v>
      </c>
      <c r="AB292" s="76"/>
      <c r="AC292" s="76"/>
    </row>
    <row r="293">
      <c r="A293" s="100">
        <f>IFERROR(__xludf.DUMMYFUNCTION("""COMPUTED_VALUE"""),45701.69716106482)</f>
        <v>45701.69716</v>
      </c>
      <c r="B293" s="76" t="str">
        <f>IFERROR(__xludf.DUMMYFUNCTION("""COMPUTED_VALUE"""),"buivanphongx01@gmail.com")</f>
        <v>buivanphongx01@gmail.com</v>
      </c>
      <c r="C293" s="76">
        <f>IFERROR(__xludf.DUMMYFUNCTION("""COMPUTED_VALUE"""),2.7217138091E10)</f>
        <v>27217138091</v>
      </c>
      <c r="D293" s="76" t="str">
        <f>IFERROR(__xludf.DUMMYFUNCTION("""COMPUTED_VALUE"""),"Bùi Văn Phong")</f>
        <v>Bùi Văn Phong</v>
      </c>
      <c r="E293" s="101">
        <f>IFERROR(__xludf.DUMMYFUNCTION("""COMPUTED_VALUE"""),37898.0)</f>
        <v>37898</v>
      </c>
      <c r="F293" s="76" t="str">
        <f>IFERROR(__xludf.DUMMYFUNCTION("""COMPUTED_VALUE"""),"K27DLK3")</f>
        <v>K27DLK3</v>
      </c>
      <c r="G293" s="76" t="str">
        <f>IFERROR(__xludf.DUMMYFUNCTION("""COMPUTED_VALUE"""),"Quản trị Du lịch &amp; Khách sạn")</f>
        <v>Quản trị Du lịch &amp; Khách sạn</v>
      </c>
      <c r="H293" s="76" t="str">
        <f>IFERROR(__xludf.DUMMYFUNCTION("""COMPUTED_VALUE"""),"K27")</f>
        <v>K27</v>
      </c>
      <c r="I293" s="76" t="str">
        <f>IFERROR(__xludf.DUMMYFUNCTION("""COMPUTED_VALUE"""),"0964704645")</f>
        <v>0964704645</v>
      </c>
      <c r="J293" s="76">
        <f>IFERROR(__xludf.DUMMYFUNCTION("""COMPUTED_VALUE"""),2.88)</f>
        <v>2.88</v>
      </c>
      <c r="K293" s="76">
        <f>IFERROR(__xludf.DUMMYFUNCTION("""COMPUTED_VALUE"""),124.0)</f>
        <v>124</v>
      </c>
      <c r="L293" s="76" t="str">
        <f>IFERROR(__xludf.DUMMYFUNCTION("""COMPUTED_VALUE"""),"Rồi")</f>
        <v>Rồi</v>
      </c>
      <c r="M293" s="76" t="str">
        <f>IFERROR(__xludf.DUMMYFUNCTION("""COMPUTED_VALUE"""),"Thực tập tốt nghiệp")</f>
        <v>Thực tập tốt nghiệp</v>
      </c>
      <c r="N293" s="76">
        <f>IFERROR(__xludf.DUMMYFUNCTION("""COMPUTED_VALUE"""),0.0)</f>
        <v>0</v>
      </c>
      <c r="O293" s="76" t="str">
        <f>IFERROR(__xludf.DUMMYFUNCTION("""COMPUTED_VALUE"""),"cam kết")</f>
        <v>cam kết</v>
      </c>
      <c r="P293" s="76"/>
      <c r="Q293" s="76"/>
      <c r="R293" s="76"/>
      <c r="S293" s="76"/>
      <c r="T293" s="76"/>
      <c r="U293" s="102" t="str">
        <f>IFERROR(__xludf.DUMMYFUNCTION("""COMPUTED_VALUE"""),"Bùi Văn Phong")</f>
        <v>Bùi Văn Phong</v>
      </c>
      <c r="V293" s="76" t="str">
        <f>IFERROR(__xludf.DUMMYFUNCTION("""COMPUTED_VALUE"""),"Quản Trị Khách Sạn &amp; Nhà Hàng (Đại Học)")</f>
        <v>Quản Trị Khách Sạn &amp; Nhà Hàng (Đại Học)</v>
      </c>
      <c r="W293" s="76" t="str">
        <f>IFERROR(__xludf.DUMMYFUNCTION("""COMPUTED_VALUE"""),"DLG Hotel DaNang")</f>
        <v>DLG Hotel DaNang</v>
      </c>
      <c r="X293" s="76" t="str">
        <f>IFERROR(__xludf.DUMMYFUNCTION("""COMPUTED_VALUE"""),"Buồng phòng")</f>
        <v>Buồng phòng</v>
      </c>
      <c r="Y293" s="76" t="str">
        <f>IFERROR(__xludf.DUMMYFUNCTION("""COMPUTED_VALUE"""),"DUYỆT")</f>
        <v>DUYỆT</v>
      </c>
      <c r="Z293" s="76" t="str">
        <f>IFERROR(__xludf.DUMMYFUNCTION("""COMPUTED_VALUE"""),"CHUYÊN ĐỀ")</f>
        <v>CHUYÊN ĐỀ</v>
      </c>
      <c r="AA293" s="76" t="str">
        <f>IFERROR(__xludf.DUMMYFUNCTION("""COMPUTED_VALUE"""),"buivanphongx01@gmail.com")</f>
        <v>buivanphongx01@gmail.com</v>
      </c>
      <c r="AB293" s="76"/>
      <c r="AC293" s="76"/>
    </row>
    <row r="294">
      <c r="A294" s="100">
        <f>IFERROR(__xludf.DUMMYFUNCTION("""COMPUTED_VALUE"""),45701.766226481486)</f>
        <v>45701.76623</v>
      </c>
      <c r="B294" s="76" t="str">
        <f>IFERROR(__xludf.DUMMYFUNCTION("""COMPUTED_VALUE"""),"khvan019@gmail.com")</f>
        <v>khvan019@gmail.com</v>
      </c>
      <c r="C294" s="76">
        <f>IFERROR(__xludf.DUMMYFUNCTION("""COMPUTED_VALUE"""),2.7207143177E10)</f>
        <v>27207143177</v>
      </c>
      <c r="D294" s="76" t="str">
        <f>IFERROR(__xludf.DUMMYFUNCTION("""COMPUTED_VALUE"""),"Trương Thị Khánh Vân")</f>
        <v>Trương Thị Khánh Vân</v>
      </c>
      <c r="E294" s="101">
        <f>IFERROR(__xludf.DUMMYFUNCTION("""COMPUTED_VALUE"""),37937.0)</f>
        <v>37937</v>
      </c>
      <c r="F294" s="76" t="str">
        <f>IFERROR(__xludf.DUMMYFUNCTION("""COMPUTED_VALUE"""),"K27DLK7")</f>
        <v>K27DLK7</v>
      </c>
      <c r="G294" s="76" t="str">
        <f>IFERROR(__xludf.DUMMYFUNCTION("""COMPUTED_VALUE"""),"Quản trị Du lịch &amp; Khách sạn")</f>
        <v>Quản trị Du lịch &amp; Khách sạn</v>
      </c>
      <c r="H294" s="76" t="str">
        <f>IFERROR(__xludf.DUMMYFUNCTION("""COMPUTED_VALUE"""),"K27")</f>
        <v>K27</v>
      </c>
      <c r="I294" s="76" t="str">
        <f>IFERROR(__xludf.DUMMYFUNCTION("""COMPUTED_VALUE"""),"0372352302")</f>
        <v>0372352302</v>
      </c>
      <c r="J294" s="76">
        <f>IFERROR(__xludf.DUMMYFUNCTION("""COMPUTED_VALUE"""),2.6)</f>
        <v>2.6</v>
      </c>
      <c r="K294" s="76">
        <f>IFERROR(__xludf.DUMMYFUNCTION("""COMPUTED_VALUE"""),120.0)</f>
        <v>120</v>
      </c>
      <c r="L294" s="76" t="str">
        <f>IFERROR(__xludf.DUMMYFUNCTION("""COMPUTED_VALUE"""),"Rồi")</f>
        <v>Rồi</v>
      </c>
      <c r="M294" s="76" t="str">
        <f>IFERROR(__xludf.DUMMYFUNCTION("""COMPUTED_VALUE"""),"Thực tập tốt nghiệp, Thi tốt nghiệp")</f>
        <v>Thực tập tốt nghiệp, Thi tốt nghiệp</v>
      </c>
      <c r="N294" s="76">
        <f>IFERROR(__xludf.DUMMYFUNCTION("""COMPUTED_VALUE"""),3.0)</f>
        <v>3</v>
      </c>
      <c r="O294" s="76" t="str">
        <f>IFERROR(__xludf.DUMMYFUNCTION("""COMPUTED_VALUE"""),"cam kết")</f>
        <v>cam kết</v>
      </c>
      <c r="P294" s="76"/>
      <c r="Q294" s="76"/>
      <c r="R294" s="76"/>
      <c r="S294" s="76"/>
      <c r="T294" s="76"/>
      <c r="U294" s="102" t="str">
        <f>IFERROR(__xludf.DUMMYFUNCTION("""COMPUTED_VALUE"""),"Trương Thị Khánh Vân")</f>
        <v>Trương Thị Khánh Vân</v>
      </c>
      <c r="V294" s="76" t="str">
        <f>IFERROR(__xludf.DUMMYFUNCTION("""COMPUTED_VALUE"""),"Quản Trị Khách Sạn &amp; Nhà Hàng (Đại Học)")</f>
        <v>Quản Trị Khách Sạn &amp; Nhà Hàng (Đại Học)</v>
      </c>
      <c r="W294" s="76" t="str">
        <f>IFERROR(__xludf.DUMMYFUNCTION("""COMPUTED_VALUE"""),"Renaissance Hoi An Resort &amp; Spa")</f>
        <v>Renaissance Hoi An Resort &amp; Spa</v>
      </c>
      <c r="X294" s="76" t="str">
        <f>IFERROR(__xludf.DUMMYFUNCTION("""COMPUTED_VALUE"""),"Buồng phòng")</f>
        <v>Buồng phòng</v>
      </c>
      <c r="Y294" s="76" t="str">
        <f>IFERROR(__xludf.DUMMYFUNCTION("""COMPUTED_VALUE"""),"DUYỆT")</f>
        <v>DUYỆT</v>
      </c>
      <c r="Z294" s="76" t="str">
        <f>IFERROR(__xludf.DUMMYFUNCTION("""COMPUTED_VALUE"""),"CHUYÊN ĐỀ")</f>
        <v>CHUYÊN ĐỀ</v>
      </c>
      <c r="AA294" s="76" t="str">
        <f>IFERROR(__xludf.DUMMYFUNCTION("""COMPUTED_VALUE"""),"khvan019@gmail.com")</f>
        <v>khvan019@gmail.com</v>
      </c>
      <c r="AB294" s="76"/>
      <c r="AC294" s="76"/>
    </row>
    <row r="295">
      <c r="A295" s="100">
        <f>IFERROR(__xludf.DUMMYFUNCTION("""COMPUTED_VALUE"""),45701.79527563657)</f>
        <v>45701.79528</v>
      </c>
      <c r="B295" s="76" t="str">
        <f>IFERROR(__xludf.DUMMYFUNCTION("""COMPUTED_VALUE"""),"vutkimngan309@gmail.com")</f>
        <v>vutkimngan309@gmail.com</v>
      </c>
      <c r="C295" s="76">
        <f>IFERROR(__xludf.DUMMYFUNCTION("""COMPUTED_VALUE"""),2.7207225415E10)</f>
        <v>27207225415</v>
      </c>
      <c r="D295" s="76" t="str">
        <f>IFERROR(__xludf.DUMMYFUNCTION("""COMPUTED_VALUE"""),"Vũ Thị Kim Ngân")</f>
        <v>Vũ Thị Kim Ngân</v>
      </c>
      <c r="E295" s="101">
        <f>IFERROR(__xludf.DUMMYFUNCTION("""COMPUTED_VALUE"""),37894.0)</f>
        <v>37894</v>
      </c>
      <c r="F295" s="76" t="str">
        <f>IFERROR(__xludf.DUMMYFUNCTION("""COMPUTED_VALUE"""),"K27DLK7")</f>
        <v>K27DLK7</v>
      </c>
      <c r="G295" s="76" t="str">
        <f>IFERROR(__xludf.DUMMYFUNCTION("""COMPUTED_VALUE"""),"Quản trị Du lịch &amp; Khách sạn")</f>
        <v>Quản trị Du lịch &amp; Khách sạn</v>
      </c>
      <c r="H295" s="76" t="str">
        <f>IFERROR(__xludf.DUMMYFUNCTION("""COMPUTED_VALUE"""),"K27")</f>
        <v>K27</v>
      </c>
      <c r="I295" s="76" t="str">
        <f>IFERROR(__xludf.DUMMYFUNCTION("""COMPUTED_VALUE"""),"0393671089")</f>
        <v>0393671089</v>
      </c>
      <c r="J295" s="76">
        <f>IFERROR(__xludf.DUMMYFUNCTION("""COMPUTED_VALUE"""),2.33)</f>
        <v>2.33</v>
      </c>
      <c r="K295" s="76">
        <f>IFERROR(__xludf.DUMMYFUNCTION("""COMPUTED_VALUE"""),116.0)</f>
        <v>116</v>
      </c>
      <c r="L295" s="76" t="str">
        <f>IFERROR(__xludf.DUMMYFUNCTION("""COMPUTED_VALUE"""),"Rồi")</f>
        <v>Rồi</v>
      </c>
      <c r="M295" s="76" t="str">
        <f>IFERROR(__xludf.DUMMYFUNCTION("""COMPUTED_VALUE"""),"Thực tập tốt nghiệp, Thi tốt nghiệp")</f>
        <v>Thực tập tốt nghiệp, Thi tốt nghiệp</v>
      </c>
      <c r="N295" s="76">
        <f>IFERROR(__xludf.DUMMYFUNCTION("""COMPUTED_VALUE"""),4.0)</f>
        <v>4</v>
      </c>
      <c r="O295" s="76" t="str">
        <f>IFERROR(__xludf.DUMMYFUNCTION("""COMPUTED_VALUE"""),"cam kết")</f>
        <v>cam kết</v>
      </c>
      <c r="P295" s="76"/>
      <c r="Q295" s="76"/>
      <c r="R295" s="76"/>
      <c r="S295" s="76"/>
      <c r="T295" s="76"/>
      <c r="U295" s="102" t="str">
        <f>IFERROR(__xludf.DUMMYFUNCTION("""COMPUTED_VALUE"""),"Vũ Thị Kim Ngân")</f>
        <v>Vũ Thị Kim Ngân</v>
      </c>
      <c r="V295" s="76" t="str">
        <f>IFERROR(__xludf.DUMMYFUNCTION("""COMPUTED_VALUE"""),"Quản Trị Khách Sạn &amp; Nhà Hàng (Đại Học)")</f>
        <v>Quản Trị Khách Sạn &amp; Nhà Hàng (Đại Học)</v>
      </c>
      <c r="W295" s="76" t="str">
        <f>IFERROR(__xludf.DUMMYFUNCTION("""COMPUTED_VALUE"""),"Renaissance Hoi An Resort &amp; Spa")</f>
        <v>Renaissance Hoi An Resort &amp; Spa</v>
      </c>
      <c r="X295" s="76" t="str">
        <f>IFERROR(__xludf.DUMMYFUNCTION("""COMPUTED_VALUE"""),"Buồng phòng")</f>
        <v>Buồng phòng</v>
      </c>
      <c r="Y295" s="76" t="str">
        <f>IFERROR(__xludf.DUMMYFUNCTION("""COMPUTED_VALUE"""),"DUYỆT")</f>
        <v>DUYỆT</v>
      </c>
      <c r="Z295" s="76" t="str">
        <f>IFERROR(__xludf.DUMMYFUNCTION("""COMPUTED_VALUE"""),"không đủ điều kiện")</f>
        <v>không đủ điều kiện</v>
      </c>
      <c r="AA295" s="76" t="str">
        <f>IFERROR(__xludf.DUMMYFUNCTION("""COMPUTED_VALUE"""),"vutkimngan309@gmail.com")</f>
        <v>vutkimngan309@gmail.com</v>
      </c>
      <c r="AB295" s="76"/>
      <c r="AC295" s="76"/>
    </row>
    <row r="296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</row>
    <row r="297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  <c r="AB297" s="76"/>
      <c r="AC297" s="76"/>
    </row>
    <row r="298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</row>
    <row r="299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</row>
    <row r="300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</row>
    <row r="301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  <c r="AA301" s="76"/>
      <c r="AB301" s="76"/>
      <c r="AC301" s="76"/>
    </row>
    <row r="302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  <c r="AB302" s="76"/>
      <c r="AC302" s="76"/>
    </row>
    <row r="303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  <c r="AA303" s="76"/>
      <c r="AB303" s="76"/>
      <c r="AC303" s="76"/>
    </row>
    <row r="304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</row>
    <row r="305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  <c r="AA305" s="76"/>
      <c r="AB305" s="76"/>
      <c r="AC305" s="76"/>
    </row>
    <row r="306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</row>
    <row r="307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</row>
    <row r="308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</row>
    <row r="309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</row>
    <row r="310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</row>
    <row r="311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</row>
    <row r="312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</row>
    <row r="313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</row>
    <row r="314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</row>
    <row r="315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</row>
    <row r="316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</row>
    <row r="317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</row>
    <row r="318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</row>
    <row r="319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  <c r="AB319" s="76"/>
      <c r="AC319" s="76"/>
    </row>
    <row r="320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  <c r="AB320" s="76"/>
      <c r="AC320" s="76"/>
    </row>
    <row r="321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  <c r="AB321" s="76"/>
      <c r="AC321" s="76"/>
    </row>
    <row r="322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  <c r="AA322" s="76"/>
      <c r="AB322" s="76"/>
      <c r="AC322" s="76"/>
    </row>
    <row r="323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6"/>
      <c r="AB323" s="76"/>
      <c r="AC323" s="76"/>
    </row>
    <row r="324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</row>
    <row r="325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  <c r="AB325" s="76"/>
      <c r="AC325" s="76"/>
    </row>
    <row r="326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  <c r="AB326" s="76"/>
      <c r="AC326" s="76"/>
    </row>
    <row r="327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  <c r="AB327" s="76"/>
      <c r="AC327" s="76"/>
    </row>
    <row r="328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  <c r="AB328" s="76"/>
      <c r="AC328" s="76"/>
    </row>
    <row r="329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  <c r="AB329" s="76"/>
      <c r="AC329" s="76"/>
    </row>
    <row r="330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  <c r="AA330" s="76"/>
      <c r="AB330" s="76"/>
      <c r="AC330" s="76"/>
    </row>
    <row r="331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</row>
    <row r="332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  <c r="AA332" s="76"/>
      <c r="AB332" s="76"/>
      <c r="AC332" s="76"/>
    </row>
    <row r="333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  <c r="AA333" s="76"/>
      <c r="AB333" s="76"/>
      <c r="AC333" s="76"/>
    </row>
    <row r="334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  <c r="AA334" s="76"/>
      <c r="AB334" s="76"/>
      <c r="AC334" s="76"/>
    </row>
    <row r="335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  <c r="AA335" s="76"/>
      <c r="AB335" s="76"/>
      <c r="AC335" s="76"/>
    </row>
    <row r="336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  <c r="AA336" s="76"/>
      <c r="AB336" s="76"/>
      <c r="AC336" s="76"/>
    </row>
    <row r="337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  <c r="AA337" s="76"/>
      <c r="AB337" s="76"/>
      <c r="AC337" s="76"/>
    </row>
    <row r="338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  <c r="AA338" s="76"/>
      <c r="AB338" s="76"/>
      <c r="AC338" s="76"/>
    </row>
    <row r="339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  <c r="AB339" s="76"/>
      <c r="AC339" s="76"/>
    </row>
    <row r="340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  <c r="AB340" s="76"/>
      <c r="AC340" s="76"/>
    </row>
    <row r="341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</row>
    <row r="342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  <c r="AB342" s="76"/>
      <c r="AC342" s="76"/>
    </row>
    <row r="343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  <c r="AA343" s="76"/>
      <c r="AB343" s="76"/>
      <c r="AC343" s="76"/>
    </row>
    <row r="344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  <c r="AA344" s="76"/>
      <c r="AB344" s="76"/>
      <c r="AC344" s="76"/>
    </row>
    <row r="345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  <c r="AA345" s="76"/>
      <c r="AB345" s="76"/>
      <c r="AC345" s="76"/>
    </row>
    <row r="346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  <c r="AA346" s="76"/>
      <c r="AB346" s="76"/>
      <c r="AC346" s="76"/>
    </row>
    <row r="347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  <c r="AA347" s="76"/>
      <c r="AB347" s="76"/>
      <c r="AC347" s="76"/>
    </row>
    <row r="348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  <c r="AA348" s="76"/>
      <c r="AB348" s="76"/>
      <c r="AC348" s="76"/>
    </row>
    <row r="349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  <c r="AA349" s="76"/>
      <c r="AB349" s="76"/>
      <c r="AC349" s="76"/>
    </row>
    <row r="350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  <c r="AA350" s="76"/>
      <c r="AB350" s="76"/>
      <c r="AC350" s="76"/>
    </row>
    <row r="351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  <c r="AB351" s="76"/>
      <c r="AC351" s="76"/>
    </row>
    <row r="352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  <c r="AA352" s="76"/>
      <c r="AB352" s="76"/>
      <c r="AC352" s="76"/>
    </row>
    <row r="353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  <c r="AA353" s="76"/>
      <c r="AB353" s="76"/>
      <c r="AC353" s="76"/>
    </row>
    <row r="354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6"/>
      <c r="AB354" s="76"/>
      <c r="AC354" s="76"/>
    </row>
    <row r="355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  <c r="AA355" s="76"/>
      <c r="AB355" s="76"/>
      <c r="AC355" s="76"/>
    </row>
    <row r="356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  <c r="AA356" s="76"/>
      <c r="AB356" s="76"/>
      <c r="AC356" s="76"/>
    </row>
    <row r="357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  <c r="AA357" s="76"/>
      <c r="AB357" s="76"/>
      <c r="AC357" s="76"/>
    </row>
    <row r="358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  <c r="AA358" s="76"/>
      <c r="AB358" s="76"/>
      <c r="AC358" s="76"/>
    </row>
    <row r="359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  <c r="AA359" s="76"/>
      <c r="AB359" s="76"/>
      <c r="AC359" s="76"/>
    </row>
    <row r="360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  <c r="AA360" s="76"/>
      <c r="AB360" s="76"/>
      <c r="AC360" s="76"/>
    </row>
    <row r="361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  <c r="AA361" s="76"/>
      <c r="AB361" s="76"/>
      <c r="AC361" s="76"/>
    </row>
    <row r="362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6"/>
      <c r="AB362" s="76"/>
      <c r="AC362" s="76"/>
    </row>
    <row r="363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  <c r="AA363" s="76"/>
      <c r="AB363" s="76"/>
      <c r="AC363" s="76"/>
    </row>
    <row r="364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  <c r="AA364" s="76"/>
      <c r="AB364" s="76"/>
      <c r="AC364" s="76"/>
    </row>
    <row r="365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  <c r="AA365" s="76"/>
      <c r="AB365" s="76"/>
      <c r="AC365" s="76"/>
    </row>
    <row r="366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  <c r="AA366" s="76"/>
      <c r="AB366" s="76"/>
      <c r="AC366" s="76"/>
    </row>
    <row r="367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  <c r="AA367" s="76"/>
      <c r="AB367" s="76"/>
      <c r="AC367" s="76"/>
    </row>
    <row r="368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  <c r="AA368" s="76"/>
      <c r="AB368" s="76"/>
      <c r="AC368" s="76"/>
    </row>
    <row r="369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  <c r="AA369" s="76"/>
      <c r="AB369" s="76"/>
      <c r="AC369" s="76"/>
    </row>
    <row r="370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  <c r="AA370" s="76"/>
      <c r="AB370" s="76"/>
      <c r="AC370" s="76"/>
    </row>
    <row r="371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  <c r="AA371" s="76"/>
      <c r="AB371" s="76"/>
      <c r="AC371" s="76"/>
    </row>
    <row r="372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  <c r="AA372" s="76"/>
      <c r="AB372" s="76"/>
      <c r="AC372" s="76"/>
    </row>
    <row r="373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  <c r="AA373" s="76"/>
      <c r="AB373" s="76"/>
      <c r="AC373" s="76"/>
    </row>
    <row r="374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  <c r="AA374" s="76"/>
      <c r="AB374" s="76"/>
      <c r="AC374" s="76"/>
    </row>
    <row r="375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  <c r="AA375" s="76"/>
      <c r="AB375" s="76"/>
      <c r="AC375" s="76"/>
    </row>
    <row r="376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  <c r="AA376" s="76"/>
      <c r="AB376" s="76"/>
      <c r="AC376" s="76"/>
    </row>
    <row r="377">
      <c r="A377" s="76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  <c r="AA377" s="76"/>
      <c r="AB377" s="76"/>
      <c r="AC377" s="76"/>
    </row>
    <row r="378">
      <c r="A378" s="76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  <c r="AA378" s="76"/>
      <c r="AB378" s="76"/>
      <c r="AC378" s="76"/>
    </row>
    <row r="379">
      <c r="A379" s="76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  <c r="AA379" s="76"/>
      <c r="AB379" s="76"/>
      <c r="AC379" s="76"/>
    </row>
    <row r="380">
      <c r="A380" s="76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  <c r="AA380" s="76"/>
      <c r="AB380" s="76"/>
      <c r="AC380" s="76"/>
    </row>
    <row r="381">
      <c r="A381" s="76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  <c r="AA381" s="76"/>
      <c r="AB381" s="76"/>
      <c r="AC381" s="76"/>
    </row>
    <row r="382">
      <c r="A382" s="76"/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  <c r="AA382" s="76"/>
      <c r="AB382" s="76"/>
      <c r="AC382" s="76"/>
    </row>
    <row r="383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  <c r="AA383" s="76"/>
      <c r="AB383" s="76"/>
      <c r="AC383" s="76"/>
    </row>
    <row r="384">
      <c r="A384" s="76"/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  <c r="AA384" s="76"/>
      <c r="AB384" s="76"/>
      <c r="AC384" s="76"/>
    </row>
    <row r="385">
      <c r="A385" s="76"/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  <c r="AA385" s="76"/>
      <c r="AB385" s="76"/>
      <c r="AC385" s="76"/>
    </row>
    <row r="386">
      <c r="A386" s="76"/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  <c r="AA386" s="76"/>
      <c r="AB386" s="76"/>
      <c r="AC386" s="76"/>
    </row>
    <row r="387">
      <c r="A387" s="76"/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  <c r="AA387" s="76"/>
      <c r="AB387" s="76"/>
      <c r="AC387" s="76"/>
    </row>
    <row r="388">
      <c r="A388" s="76"/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  <c r="AA388" s="76"/>
      <c r="AB388" s="76"/>
      <c r="AC388" s="76"/>
    </row>
    <row r="389">
      <c r="A389" s="76"/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  <c r="AA389" s="76"/>
      <c r="AB389" s="76"/>
      <c r="AC389" s="76"/>
    </row>
    <row r="390">
      <c r="A390" s="76"/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  <c r="AA390" s="76"/>
      <c r="AB390" s="76"/>
      <c r="AC390" s="76"/>
    </row>
    <row r="391">
      <c r="A391" s="76"/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  <c r="AA391" s="76"/>
      <c r="AB391" s="76"/>
      <c r="AC391" s="76"/>
    </row>
    <row r="392">
      <c r="A392" s="76"/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  <c r="AA392" s="76"/>
      <c r="AB392" s="76"/>
      <c r="AC392" s="76"/>
    </row>
    <row r="393">
      <c r="A393" s="76"/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  <c r="AA393" s="76"/>
      <c r="AB393" s="76"/>
      <c r="AC393" s="76"/>
    </row>
    <row r="394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  <c r="AA394" s="76"/>
      <c r="AB394" s="76"/>
      <c r="AC394" s="76"/>
    </row>
    <row r="395">
      <c r="A395" s="76"/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  <c r="AA395" s="76"/>
      <c r="AB395" s="76"/>
      <c r="AC395" s="76"/>
    </row>
    <row r="396">
      <c r="A396" s="76"/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  <c r="AA396" s="76"/>
      <c r="AB396" s="76"/>
      <c r="AC396" s="76"/>
    </row>
    <row r="397">
      <c r="A397" s="76"/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  <c r="AA397" s="76"/>
      <c r="AB397" s="76"/>
      <c r="AC397" s="7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25"/>
    <col customWidth="1" min="3" max="3" width="9.13"/>
    <col customWidth="1" min="4" max="4" width="22.88"/>
  </cols>
  <sheetData>
    <row r="1">
      <c r="A1" s="103" t="s">
        <v>1550</v>
      </c>
      <c r="B1" s="104"/>
      <c r="C1" s="104"/>
      <c r="D1" s="104"/>
      <c r="E1" s="105"/>
      <c r="F1" s="106"/>
      <c r="G1" s="107" t="s">
        <v>1551</v>
      </c>
      <c r="H1" s="108"/>
      <c r="I1" s="109"/>
      <c r="J1" s="110" t="s">
        <v>1552</v>
      </c>
      <c r="K1" s="108"/>
      <c r="L1" s="111"/>
      <c r="M1" s="112"/>
      <c r="N1" s="112"/>
      <c r="O1" s="112"/>
      <c r="P1" s="112"/>
    </row>
    <row r="2">
      <c r="A2" s="113" t="s">
        <v>1553</v>
      </c>
      <c r="B2" s="114" t="s">
        <v>1554</v>
      </c>
      <c r="C2" s="114" t="s">
        <v>1555</v>
      </c>
      <c r="D2" s="115"/>
      <c r="E2" s="114" t="s">
        <v>1556</v>
      </c>
      <c r="F2" s="116"/>
      <c r="G2" s="117" t="s">
        <v>1557</v>
      </c>
      <c r="H2" s="117" t="s">
        <v>1558</v>
      </c>
      <c r="I2" s="117" t="s">
        <v>1559</v>
      </c>
      <c r="J2" s="118" t="s">
        <v>1560</v>
      </c>
      <c r="K2" s="118" t="s">
        <v>1561</v>
      </c>
      <c r="L2" s="119"/>
      <c r="M2" s="120"/>
      <c r="N2" s="121" t="s">
        <v>1562</v>
      </c>
      <c r="O2" s="121" t="s">
        <v>1563</v>
      </c>
      <c r="P2" s="121" t="s">
        <v>1564</v>
      </c>
    </row>
    <row r="3">
      <c r="A3" s="122">
        <v>1.0</v>
      </c>
      <c r="B3" s="123" t="s">
        <v>1565</v>
      </c>
      <c r="C3" s="123" t="s">
        <v>1566</v>
      </c>
      <c r="D3" s="123" t="s">
        <v>93</v>
      </c>
      <c r="E3" s="124" t="s">
        <v>1567</v>
      </c>
      <c r="F3" s="125"/>
      <c r="G3" s="126">
        <f>COUNTIFS('danh sách đăng ký'!$AG$2:$AG$426,$D3,'danh sách đăng ký'!$AF$2:$AF$426,$G$2)</f>
        <v>0</v>
      </c>
      <c r="H3" s="126">
        <f>COUNTIFS('danh sách đăng ký'!$AG$2:$AG$426,$D3,'danh sách đăng ký'!$AF$2:$AF$426,$H$2)</f>
        <v>12</v>
      </c>
      <c r="I3" s="126">
        <f>COUNTIFS('danh sách đăng ký'!$AG$2:$AG$426,$D3,'danh sách đăng ký'!$AF$2:$AF$426,$I$2)</f>
        <v>0</v>
      </c>
      <c r="J3" s="127"/>
      <c r="K3" s="127"/>
      <c r="L3" s="111"/>
      <c r="M3" s="128"/>
      <c r="N3" s="129" t="s">
        <v>1568</v>
      </c>
      <c r="O3" s="130" t="s">
        <v>1569</v>
      </c>
      <c r="P3" s="112"/>
    </row>
    <row r="4">
      <c r="A4" s="122"/>
      <c r="B4" s="123"/>
      <c r="C4" s="123"/>
      <c r="D4" s="123" t="s">
        <v>139</v>
      </c>
      <c r="E4" s="124" t="s">
        <v>1567</v>
      </c>
      <c r="F4" s="125"/>
      <c r="G4" s="126">
        <f>COUNTIFS('danh sách đăng ký'!$AG$2:$AG$426,$D4,'danh sách đăng ký'!$AF$2:$AF$426,$G$2)</f>
        <v>0</v>
      </c>
      <c r="H4" s="126">
        <f>COUNTIFS('danh sách đăng ký'!$AG$2:$AG$426,$D4,'danh sách đăng ký'!$AF$2:$AF$426,$H$2)</f>
        <v>12</v>
      </c>
      <c r="I4" s="126">
        <f>COUNTIFS('danh sách đăng ký'!$AG$2:$AG$426,$D4,'danh sách đăng ký'!$AF$2:$AF$426,$I$2)</f>
        <v>0</v>
      </c>
      <c r="J4" s="131"/>
      <c r="K4" s="131"/>
      <c r="L4" s="111"/>
      <c r="M4" s="122"/>
      <c r="N4" s="129" t="s">
        <v>1570</v>
      </c>
      <c r="O4" s="130" t="s">
        <v>1571</v>
      </c>
      <c r="P4" s="112"/>
    </row>
    <row r="5">
      <c r="A5" s="122">
        <v>2.0</v>
      </c>
      <c r="B5" s="123" t="s">
        <v>1572</v>
      </c>
      <c r="C5" s="123" t="s">
        <v>1573</v>
      </c>
      <c r="D5" s="123" t="s">
        <v>101</v>
      </c>
      <c r="E5" s="124" t="s">
        <v>1574</v>
      </c>
      <c r="F5" s="125"/>
      <c r="G5" s="126">
        <f>COUNTIFS('danh sách đăng ký'!$AG$2:$AG$426,$D5,'danh sách đăng ký'!$AF$2:$AF$426,$G$2)</f>
        <v>0</v>
      </c>
      <c r="H5" s="126">
        <f>COUNTIFS('danh sách đăng ký'!$AG$2:$AG$426,$D5,'danh sách đăng ký'!$AF$2:$AF$426,$H$2)</f>
        <v>10</v>
      </c>
      <c r="I5" s="126">
        <f>COUNTIFS('danh sách đăng ký'!$AG$2:$AG$426,$D5,'danh sách đăng ký'!$AF$2:$AF$426,$I$2)</f>
        <v>3</v>
      </c>
      <c r="J5" s="131">
        <v>10.0</v>
      </c>
      <c r="K5" s="131">
        <v>3.0</v>
      </c>
      <c r="L5" s="111"/>
      <c r="M5" s="122"/>
      <c r="N5" s="130" t="s">
        <v>1575</v>
      </c>
      <c r="O5" s="130" t="s">
        <v>1576</v>
      </c>
      <c r="P5" s="112"/>
    </row>
    <row r="6">
      <c r="A6" s="122">
        <v>3.0</v>
      </c>
      <c r="B6" s="123" t="s">
        <v>1577</v>
      </c>
      <c r="C6" s="123" t="s">
        <v>1578</v>
      </c>
      <c r="D6" s="123" t="s">
        <v>70</v>
      </c>
      <c r="E6" s="124" t="s">
        <v>1574</v>
      </c>
      <c r="F6" s="132"/>
      <c r="G6" s="126">
        <f>COUNTIFS('danh sách đăng ký'!$AG$2:$AG$426,$D6,'danh sách đăng ký'!$AF$2:$AF$426,$G$2)</f>
        <v>0</v>
      </c>
      <c r="H6" s="126">
        <f>COUNTIFS('danh sách đăng ký'!$AG$2:$AG$426,$D6,'danh sách đăng ký'!$AF$2:$AF$426,$H$2)</f>
        <v>16</v>
      </c>
      <c r="I6" s="126">
        <f>COUNTIFS('danh sách đăng ký'!$AG$2:$AG$426,$D6,'danh sách đăng ký'!$AF$2:$AF$426,$I$2)</f>
        <v>2</v>
      </c>
      <c r="J6" s="131">
        <v>15.0</v>
      </c>
      <c r="K6" s="131">
        <v>2.0</v>
      </c>
      <c r="L6" s="111"/>
      <c r="M6" s="122"/>
      <c r="N6" s="129" t="s">
        <v>1579</v>
      </c>
      <c r="O6" s="130" t="s">
        <v>1580</v>
      </c>
      <c r="P6" s="130"/>
    </row>
    <row r="7">
      <c r="A7" s="122">
        <v>4.0</v>
      </c>
      <c r="B7" s="133" t="s">
        <v>1581</v>
      </c>
      <c r="C7" s="133" t="s">
        <v>1582</v>
      </c>
      <c r="D7" s="123" t="s">
        <v>77</v>
      </c>
      <c r="E7" s="124" t="s">
        <v>1574</v>
      </c>
      <c r="F7" s="132"/>
      <c r="G7" s="126">
        <f>COUNTIFS('danh sách đăng ký'!$AG$2:$AG$426,$D7,'danh sách đăng ký'!$AF$2:$AF$426,$G$2)</f>
        <v>0</v>
      </c>
      <c r="H7" s="126">
        <f>COUNTIFS('danh sách đăng ký'!$AG$2:$AG$426,$D7,'danh sách đăng ký'!$AF$2:$AF$426,$H$2)</f>
        <v>21</v>
      </c>
      <c r="I7" s="126">
        <f>COUNTIFS('danh sách đăng ký'!$AG$2:$AG$426,$D7,'danh sách đăng ký'!$AF$2:$AF$426,$I$2)</f>
        <v>2</v>
      </c>
      <c r="J7" s="131">
        <v>20.0</v>
      </c>
      <c r="K7" s="131">
        <v>4.0</v>
      </c>
      <c r="L7" s="134"/>
      <c r="M7" s="122"/>
      <c r="N7" s="130" t="s">
        <v>1583</v>
      </c>
      <c r="O7" s="130" t="s">
        <v>1584</v>
      </c>
      <c r="P7" s="112"/>
    </row>
    <row r="8">
      <c r="A8" s="122">
        <v>7.0</v>
      </c>
      <c r="B8" s="135" t="s">
        <v>1585</v>
      </c>
      <c r="C8" s="135" t="s">
        <v>1586</v>
      </c>
      <c r="D8" s="123" t="s">
        <v>137</v>
      </c>
      <c r="E8" s="124" t="s">
        <v>1574</v>
      </c>
      <c r="F8" s="132"/>
      <c r="G8" s="126">
        <f>COUNTIFS('danh sách đăng ký'!$AG$2:$AG$426,$D8,'danh sách đăng ký'!$AF$2:$AF$426,$G$2)</f>
        <v>0</v>
      </c>
      <c r="H8" s="126">
        <f>COUNTIFS('danh sách đăng ký'!$AG$2:$AG$426,$D8,'danh sách đăng ký'!$AF$2:$AF$426,$H$2)</f>
        <v>7</v>
      </c>
      <c r="I8" s="126">
        <f>COUNTIFS('danh sách đăng ký'!$AG$2:$AG$426,$D8,'danh sách đăng ký'!$AF$2:$AF$426,$I$2)</f>
        <v>2</v>
      </c>
      <c r="J8" s="131">
        <v>6.0</v>
      </c>
      <c r="K8" s="131">
        <v>4.0</v>
      </c>
      <c r="L8" s="111"/>
      <c r="M8" s="136"/>
      <c r="N8" s="129" t="s">
        <v>1587</v>
      </c>
      <c r="O8" s="130" t="s">
        <v>1588</v>
      </c>
      <c r="P8" s="130"/>
    </row>
    <row r="9">
      <c r="A9" s="122">
        <v>8.0</v>
      </c>
      <c r="B9" s="135" t="s">
        <v>1589</v>
      </c>
      <c r="C9" s="135" t="s">
        <v>1590</v>
      </c>
      <c r="D9" s="123" t="s">
        <v>215</v>
      </c>
      <c r="E9" s="137" t="s">
        <v>1574</v>
      </c>
      <c r="F9" s="132"/>
      <c r="G9" s="126">
        <f>COUNTIFS('danh sách đăng ký'!$AG$2:$AG$426,$D9,'danh sách đăng ký'!$AF$2:$AF$426,$G$2)</f>
        <v>0</v>
      </c>
      <c r="H9" s="126">
        <f>COUNTIFS('danh sách đăng ký'!$AG$2:$AG$426,$D9,'danh sách đăng ký'!$AF$2:$AF$426,$H$2)</f>
        <v>6</v>
      </c>
      <c r="I9" s="126">
        <f>COUNTIFS('danh sách đăng ký'!$AG$2:$AG$426,$D9,'danh sách đăng ký'!$AF$2:$AF$426,$I$2)</f>
        <v>2</v>
      </c>
      <c r="J9" s="131">
        <v>6.0</v>
      </c>
      <c r="K9" s="131">
        <v>2.0</v>
      </c>
      <c r="L9" s="111"/>
      <c r="M9" s="122"/>
      <c r="N9" s="129" t="s">
        <v>1591</v>
      </c>
      <c r="O9" s="130" t="s">
        <v>1592</v>
      </c>
      <c r="P9" s="112"/>
    </row>
    <row r="10">
      <c r="A10" s="122">
        <v>9.0</v>
      </c>
      <c r="B10" s="138" t="s">
        <v>1593</v>
      </c>
      <c r="C10" s="138" t="s">
        <v>1594</v>
      </c>
      <c r="D10" s="123" t="s">
        <v>58</v>
      </c>
      <c r="E10" s="139" t="s">
        <v>1595</v>
      </c>
      <c r="F10" s="132"/>
      <c r="G10" s="126">
        <f>COUNTIFS('danh sách đăng ký'!$AG$2:$AG$426,$D10,'danh sách đăng ký'!$AF$2:$AF$426,$G$2)</f>
        <v>0</v>
      </c>
      <c r="H10" s="126">
        <f>COUNTIFS('danh sách đăng ký'!$AG$2:$AG$426,$D10,'danh sách đăng ký'!$AF$2:$AF$426,$H$2)</f>
        <v>7</v>
      </c>
      <c r="I10" s="126">
        <f>COUNTIFS('danh sách đăng ký'!$AG$2:$AG$426,$D10,'danh sách đăng ký'!$AF$2:$AF$426,$I$2)</f>
        <v>1</v>
      </c>
      <c r="J10" s="131">
        <v>6.0</v>
      </c>
      <c r="K10" s="131">
        <v>2.0</v>
      </c>
      <c r="L10" s="111"/>
      <c r="M10" s="136"/>
      <c r="N10" s="130" t="s">
        <v>1596</v>
      </c>
      <c r="O10" s="130" t="s">
        <v>1597</v>
      </c>
      <c r="P10" s="112"/>
    </row>
    <row r="11">
      <c r="A11" s="122">
        <v>13.0</v>
      </c>
      <c r="B11" s="138" t="s">
        <v>1598</v>
      </c>
      <c r="C11" s="138" t="s">
        <v>1599</v>
      </c>
      <c r="D11" s="123" t="s">
        <v>406</v>
      </c>
      <c r="E11" s="124" t="s">
        <v>1574</v>
      </c>
      <c r="F11" s="132"/>
      <c r="G11" s="126">
        <f>COUNTIFS('danh sách đăng ký'!$AG$2:$AG$426,$D11,'danh sách đăng ký'!$AF$2:$AF$426,$G$2)</f>
        <v>0</v>
      </c>
      <c r="H11" s="126">
        <f>COUNTIFS('danh sách đăng ký'!$AG$2:$AG$426,$D11,'danh sách đăng ký'!$AF$2:$AF$426,$H$2)</f>
        <v>8</v>
      </c>
      <c r="I11" s="126">
        <f>COUNTIFS('danh sách đăng ký'!$AG$2:$AG$426,$D11,'danh sách đăng ký'!$AF$2:$AF$426,$I$2)</f>
        <v>1</v>
      </c>
      <c r="J11" s="131">
        <v>6.0</v>
      </c>
      <c r="K11" s="131">
        <v>2.0</v>
      </c>
      <c r="L11" s="111"/>
      <c r="M11" s="136"/>
      <c r="N11" s="129" t="s">
        <v>1600</v>
      </c>
      <c r="O11" s="130" t="s">
        <v>1601</v>
      </c>
      <c r="P11" s="112"/>
    </row>
    <row r="12">
      <c r="A12" s="140">
        <v>5.0</v>
      </c>
      <c r="B12" s="141" t="s">
        <v>1602</v>
      </c>
      <c r="C12" s="141" t="s">
        <v>1603</v>
      </c>
      <c r="D12" s="141" t="s">
        <v>59</v>
      </c>
      <c r="E12" s="142" t="s">
        <v>1574</v>
      </c>
      <c r="F12" s="143"/>
      <c r="G12" s="144">
        <f>COUNTIFS('danh sách đăng ký'!$AG$2:$AG$426,$D12,'danh sách đăng ký'!$AF$2:$AF$426,$G$2)</f>
        <v>0</v>
      </c>
      <c r="H12" s="144">
        <f>COUNTIFS('danh sách đăng ký'!$AG$2:$AG$426,$D12,'danh sách đăng ký'!$AF$2:$AF$426,$H$2)</f>
        <v>21</v>
      </c>
      <c r="I12" s="144">
        <f>COUNTIFS('danh sách đăng ký'!$AG$2:$AG$426,$D12,'danh sách đăng ký'!$AF$2:$AF$426,$I$2)</f>
        <v>0</v>
      </c>
      <c r="J12" s="145">
        <v>20.0</v>
      </c>
      <c r="K12" s="146"/>
      <c r="L12" s="147"/>
      <c r="M12" s="140"/>
      <c r="N12" s="148" t="s">
        <v>1604</v>
      </c>
      <c r="O12" s="149" t="s">
        <v>1605</v>
      </c>
      <c r="P12" s="150"/>
      <c r="Q12" s="151"/>
      <c r="R12" s="151"/>
      <c r="S12" s="151"/>
      <c r="T12" s="151"/>
      <c r="U12" s="151"/>
      <c r="V12" s="151"/>
      <c r="W12" s="151"/>
      <c r="X12" s="151"/>
      <c r="Y12" s="151"/>
      <c r="Z12" s="151"/>
    </row>
    <row r="13">
      <c r="A13" s="122">
        <v>6.0</v>
      </c>
      <c r="B13" s="123" t="s">
        <v>1606</v>
      </c>
      <c r="C13" s="123" t="s">
        <v>1607</v>
      </c>
      <c r="D13" s="123" t="s">
        <v>1608</v>
      </c>
      <c r="E13" s="137" t="s">
        <v>1574</v>
      </c>
      <c r="F13" s="132"/>
      <c r="G13" s="126">
        <f>COUNTIFS('danh sách đăng ký'!$AG$2:$AG$426,$D13,'danh sách đăng ký'!$AF$2:$AF$426,$G$2)</f>
        <v>0</v>
      </c>
      <c r="H13" s="126">
        <f>COUNTIFS('danh sách đăng ký'!$AG$2:$AG$426,$D13,'danh sách đăng ký'!$AF$2:$AF$426,$H$2)</f>
        <v>0</v>
      </c>
      <c r="I13" s="126">
        <f>COUNTIFS('danh sách đăng ký'!$AG$2:$AG$426,$D13,'danh sách đăng ký'!$AF$2:$AF$426,$I$2)</f>
        <v>0</v>
      </c>
      <c r="J13" s="131"/>
      <c r="K13" s="127"/>
      <c r="L13" s="111"/>
      <c r="M13" s="122"/>
      <c r="N13" s="129" t="s">
        <v>1609</v>
      </c>
      <c r="O13" s="130" t="s">
        <v>1610</v>
      </c>
      <c r="P13" s="112"/>
    </row>
    <row r="14">
      <c r="A14" s="140">
        <v>10.0</v>
      </c>
      <c r="B14" s="152" t="s">
        <v>1611</v>
      </c>
      <c r="C14" s="152" t="s">
        <v>1612</v>
      </c>
      <c r="D14" s="141" t="s">
        <v>85</v>
      </c>
      <c r="E14" s="153" t="s">
        <v>1595</v>
      </c>
      <c r="F14" s="143"/>
      <c r="G14" s="144">
        <f>COUNTIFS('danh sách đăng ký'!$AG$2:$AG$426,$D14,'danh sách đăng ký'!$AF$2:$AF$426,$G$2)</f>
        <v>0</v>
      </c>
      <c r="H14" s="144">
        <f>COUNTIFS('danh sách đăng ký'!$AG$2:$AG$426,$D14,'danh sách đăng ký'!$AF$2:$AF$426,$H$2)</f>
        <v>21</v>
      </c>
      <c r="I14" s="144">
        <f>COUNTIFS('danh sách đăng ký'!$AG$2:$AG$426,$D14,'danh sách đăng ký'!$AF$2:$AF$426,$I$2)</f>
        <v>0</v>
      </c>
      <c r="J14" s="145">
        <v>20.0</v>
      </c>
      <c r="K14" s="146"/>
      <c r="L14" s="147"/>
      <c r="M14" s="140"/>
      <c r="N14" s="149" t="s">
        <v>1613</v>
      </c>
      <c r="O14" s="149" t="s">
        <v>1614</v>
      </c>
      <c r="P14" s="150"/>
      <c r="Q14" s="151"/>
      <c r="R14" s="151"/>
      <c r="S14" s="151"/>
      <c r="T14" s="151"/>
      <c r="U14" s="151"/>
      <c r="V14" s="151"/>
      <c r="W14" s="151"/>
      <c r="X14" s="151"/>
      <c r="Y14" s="151"/>
      <c r="Z14" s="151"/>
    </row>
    <row r="15">
      <c r="A15" s="122">
        <v>12.0</v>
      </c>
      <c r="B15" s="154" t="s">
        <v>1615</v>
      </c>
      <c r="C15" s="154" t="s">
        <v>1616</v>
      </c>
      <c r="D15" s="123" t="s">
        <v>120</v>
      </c>
      <c r="E15" s="139" t="s">
        <v>1595</v>
      </c>
      <c r="F15" s="132"/>
      <c r="G15" s="126">
        <f>COUNTIFS('danh sách đăng ký'!$AG$2:$AG$426,$D15,'danh sách đăng ký'!$AF$2:$AF$426,$G$2)</f>
        <v>0</v>
      </c>
      <c r="H15" s="126">
        <f>COUNTIFS('danh sách đăng ký'!$AG$2:$AG$426,$D15,'danh sách đăng ký'!$AF$2:$AF$426,$H$2)</f>
        <v>31</v>
      </c>
      <c r="I15" s="126">
        <f>COUNTIFS('danh sách đăng ký'!$AG$2:$AG$426,$D15,'danh sách đăng ký'!$AF$2:$AF$426,$I$2)</f>
        <v>0</v>
      </c>
      <c r="J15" s="131">
        <v>30.0</v>
      </c>
      <c r="K15" s="127"/>
      <c r="L15" s="111"/>
      <c r="M15" s="122"/>
      <c r="N15" s="129" t="s">
        <v>1617</v>
      </c>
      <c r="O15" s="130" t="s">
        <v>1618</v>
      </c>
      <c r="P15" s="112"/>
    </row>
    <row r="16">
      <c r="A16" s="140">
        <v>14.0</v>
      </c>
      <c r="B16" s="155" t="s">
        <v>1619</v>
      </c>
      <c r="C16" s="155" t="s">
        <v>1620</v>
      </c>
      <c r="D16" s="141" t="s">
        <v>71</v>
      </c>
      <c r="E16" s="142" t="s">
        <v>1574</v>
      </c>
      <c r="F16" s="143"/>
      <c r="G16" s="144">
        <f>COUNTIFS('danh sách đăng ký'!$AG$2:$AG$426,$D16,'danh sách đăng ký'!$AF$2:$AF$426,$G$2)</f>
        <v>0</v>
      </c>
      <c r="H16" s="144">
        <f>COUNTIFS('danh sách đăng ký'!$AG$2:$AG$426,$D16,'danh sách đăng ký'!$AF$2:$AF$426,$H$2)</f>
        <v>26</v>
      </c>
      <c r="I16" s="144">
        <f>COUNTIFS('danh sách đăng ký'!$AG$2:$AG$426,$D16,'danh sách đăng ký'!$AF$2:$AF$426,$I$2)</f>
        <v>0</v>
      </c>
      <c r="J16" s="145">
        <v>26.0</v>
      </c>
      <c r="K16" s="146"/>
      <c r="L16" s="156"/>
      <c r="M16" s="140"/>
      <c r="N16" s="148" t="s">
        <v>1621</v>
      </c>
      <c r="O16" s="149" t="s">
        <v>1622</v>
      </c>
      <c r="P16" s="150"/>
      <c r="Q16" s="151"/>
      <c r="R16" s="151"/>
      <c r="S16" s="151"/>
      <c r="T16" s="151"/>
      <c r="U16" s="151"/>
      <c r="V16" s="151"/>
      <c r="W16" s="151"/>
      <c r="X16" s="151"/>
      <c r="Y16" s="151"/>
      <c r="Z16" s="151"/>
    </row>
    <row r="17">
      <c r="A17" s="122">
        <v>15.0</v>
      </c>
      <c r="B17" s="154" t="s">
        <v>1623</v>
      </c>
      <c r="C17" s="154" t="s">
        <v>1624</v>
      </c>
      <c r="D17" s="123" t="s">
        <v>48</v>
      </c>
      <c r="E17" s="124" t="s">
        <v>1574</v>
      </c>
      <c r="F17" s="132"/>
      <c r="G17" s="126">
        <f>COUNTIFS('danh sách đăng ký'!$AG$2:$AG$426,$D17,'danh sách đăng ký'!$AF$2:$AF$426,$G$2)</f>
        <v>0</v>
      </c>
      <c r="H17" s="126">
        <f>COUNTIFS('danh sách đăng ký'!$AG$2:$AG$426,$D17,'danh sách đăng ký'!$AF$2:$AF$426,$H$2)</f>
        <v>10</v>
      </c>
      <c r="I17" s="126">
        <f>COUNTIFS('danh sách đăng ký'!$AG$2:$AG$426,$D17,'danh sách đăng ký'!$AF$2:$AF$426,$I$2)</f>
        <v>0</v>
      </c>
      <c r="J17" s="131">
        <v>10.0</v>
      </c>
      <c r="K17" s="127"/>
      <c r="L17" s="134"/>
      <c r="M17" s="122"/>
      <c r="N17" s="129" t="s">
        <v>1625</v>
      </c>
      <c r="O17" s="130" t="s">
        <v>1626</v>
      </c>
      <c r="P17" s="112"/>
    </row>
    <row r="18">
      <c r="F18" s="77"/>
      <c r="G18" s="118">
        <f t="shared" ref="G18:K18" si="1">SUM(G3:G17)</f>
        <v>0</v>
      </c>
      <c r="H18" s="118">
        <f t="shared" si="1"/>
        <v>208</v>
      </c>
      <c r="I18" s="118">
        <f t="shared" si="1"/>
        <v>13</v>
      </c>
      <c r="J18" s="118">
        <f t="shared" si="1"/>
        <v>175</v>
      </c>
      <c r="K18" s="118">
        <f t="shared" si="1"/>
        <v>19</v>
      </c>
    </row>
    <row r="19">
      <c r="F19" s="77"/>
      <c r="G19" s="77"/>
      <c r="H19" s="77"/>
      <c r="I19" s="77"/>
      <c r="J19" s="77"/>
      <c r="K19" s="77"/>
    </row>
    <row r="20">
      <c r="F20" s="77"/>
      <c r="G20" s="77"/>
      <c r="H20" s="77"/>
      <c r="I20" s="77"/>
      <c r="J20" s="77">
        <f>249/12</f>
        <v>20.75</v>
      </c>
      <c r="K20" s="77"/>
    </row>
    <row r="21">
      <c r="F21" s="77"/>
      <c r="G21" s="77"/>
      <c r="H21" s="77"/>
      <c r="I21" s="77"/>
      <c r="J21" s="77"/>
      <c r="K21" s="77"/>
    </row>
    <row r="22">
      <c r="F22" s="77"/>
      <c r="G22" s="77"/>
      <c r="H22" s="77"/>
      <c r="I22" s="77"/>
      <c r="J22" s="77"/>
      <c r="K22" s="77"/>
    </row>
    <row r="23">
      <c r="F23" s="77"/>
      <c r="G23" s="77"/>
      <c r="H23" s="77"/>
      <c r="I23" s="77"/>
      <c r="J23" s="77"/>
      <c r="K23" s="77"/>
    </row>
    <row r="24">
      <c r="F24" s="77"/>
      <c r="G24" s="77"/>
      <c r="H24" s="77"/>
      <c r="I24" s="77"/>
      <c r="J24" s="77"/>
      <c r="K24" s="77"/>
    </row>
    <row r="25">
      <c r="F25" s="77"/>
      <c r="G25" s="77"/>
      <c r="H25" s="77"/>
      <c r="I25" s="77"/>
      <c r="J25" s="77"/>
      <c r="K25" s="77"/>
    </row>
    <row r="26">
      <c r="F26" s="77"/>
      <c r="G26" s="77"/>
      <c r="H26" s="77"/>
      <c r="I26" s="77"/>
      <c r="J26" s="77"/>
      <c r="K26" s="77"/>
    </row>
    <row r="27">
      <c r="F27" s="77"/>
      <c r="G27" s="77"/>
      <c r="H27" s="77"/>
      <c r="I27" s="77"/>
      <c r="J27" s="77"/>
      <c r="K27" s="77"/>
    </row>
    <row r="28">
      <c r="F28" s="77"/>
      <c r="G28" s="77"/>
      <c r="H28" s="77"/>
      <c r="I28" s="77"/>
      <c r="J28" s="77"/>
      <c r="K28" s="77"/>
    </row>
    <row r="29">
      <c r="F29" s="77"/>
      <c r="G29" s="77"/>
      <c r="H29" s="77"/>
      <c r="I29" s="77"/>
      <c r="J29" s="77"/>
      <c r="K29" s="77"/>
    </row>
    <row r="30">
      <c r="F30" s="77"/>
      <c r="G30" s="77"/>
      <c r="H30" s="77"/>
      <c r="I30" s="77"/>
      <c r="J30" s="77"/>
      <c r="K30" s="77"/>
    </row>
    <row r="31">
      <c r="F31" s="77"/>
      <c r="G31" s="77"/>
      <c r="H31" s="77"/>
      <c r="I31" s="77"/>
      <c r="J31" s="77"/>
      <c r="K31" s="77"/>
    </row>
    <row r="32">
      <c r="F32" s="77"/>
      <c r="G32" s="77"/>
      <c r="H32" s="77"/>
      <c r="I32" s="77"/>
      <c r="J32" s="77"/>
      <c r="K32" s="77"/>
    </row>
    <row r="33">
      <c r="F33" s="77"/>
      <c r="G33" s="77"/>
      <c r="H33" s="77"/>
      <c r="I33" s="77"/>
      <c r="J33" s="77"/>
      <c r="K33" s="77"/>
    </row>
    <row r="34">
      <c r="F34" s="77"/>
      <c r="G34" s="77"/>
      <c r="H34" s="77"/>
      <c r="I34" s="77"/>
      <c r="J34" s="77"/>
      <c r="K34" s="77"/>
    </row>
    <row r="35">
      <c r="F35" s="77"/>
      <c r="G35" s="77"/>
      <c r="H35" s="77"/>
      <c r="I35" s="77"/>
      <c r="J35" s="77"/>
      <c r="K35" s="77"/>
    </row>
    <row r="36">
      <c r="F36" s="77"/>
      <c r="G36" s="77"/>
      <c r="H36" s="77"/>
      <c r="I36" s="77"/>
      <c r="J36" s="77"/>
      <c r="K36" s="77"/>
    </row>
    <row r="37">
      <c r="F37" s="77"/>
      <c r="G37" s="77"/>
      <c r="H37" s="77"/>
      <c r="I37" s="77"/>
      <c r="J37" s="77"/>
      <c r="K37" s="77"/>
    </row>
    <row r="38">
      <c r="F38" s="77"/>
      <c r="G38" s="77"/>
      <c r="H38" s="77"/>
      <c r="I38" s="77"/>
      <c r="J38" s="77"/>
      <c r="K38" s="77"/>
    </row>
    <row r="39">
      <c r="F39" s="77"/>
      <c r="G39" s="77"/>
      <c r="H39" s="77"/>
      <c r="I39" s="77"/>
      <c r="J39" s="77"/>
      <c r="K39" s="77"/>
    </row>
    <row r="40">
      <c r="F40" s="77"/>
      <c r="G40" s="77"/>
      <c r="H40" s="77"/>
      <c r="I40" s="77"/>
      <c r="J40" s="77"/>
      <c r="K40" s="77"/>
    </row>
    <row r="41">
      <c r="F41" s="77"/>
      <c r="G41" s="77"/>
      <c r="H41" s="77"/>
      <c r="I41" s="77"/>
      <c r="J41" s="77"/>
      <c r="K41" s="77"/>
    </row>
    <row r="42">
      <c r="F42" s="77"/>
      <c r="G42" s="77"/>
      <c r="H42" s="77"/>
      <c r="I42" s="77"/>
      <c r="J42" s="77"/>
      <c r="K42" s="77"/>
    </row>
    <row r="43">
      <c r="F43" s="77"/>
      <c r="G43" s="77"/>
      <c r="H43" s="77"/>
      <c r="I43" s="77"/>
      <c r="J43" s="77"/>
      <c r="K43" s="77"/>
    </row>
    <row r="44">
      <c r="F44" s="77"/>
      <c r="G44" s="77"/>
      <c r="H44" s="77"/>
      <c r="I44" s="77"/>
      <c r="J44" s="77"/>
      <c r="K44" s="77"/>
    </row>
    <row r="45">
      <c r="F45" s="77"/>
      <c r="G45" s="77"/>
      <c r="H45" s="77"/>
      <c r="I45" s="77"/>
      <c r="J45" s="77"/>
      <c r="K45" s="77"/>
    </row>
    <row r="46">
      <c r="F46" s="77"/>
      <c r="G46" s="77"/>
      <c r="H46" s="77"/>
      <c r="I46" s="77"/>
      <c r="J46" s="77"/>
      <c r="K46" s="77"/>
    </row>
    <row r="47">
      <c r="F47" s="77"/>
      <c r="G47" s="77"/>
      <c r="H47" s="77"/>
      <c r="I47" s="77"/>
      <c r="J47" s="77"/>
      <c r="K47" s="77"/>
    </row>
    <row r="48">
      <c r="F48" s="77"/>
      <c r="G48" s="77"/>
      <c r="H48" s="77"/>
      <c r="I48" s="77"/>
      <c r="J48" s="77"/>
      <c r="K48" s="77"/>
    </row>
    <row r="49">
      <c r="F49" s="77"/>
      <c r="G49" s="77"/>
      <c r="H49" s="77"/>
      <c r="I49" s="77"/>
      <c r="J49" s="77"/>
      <c r="K49" s="77"/>
    </row>
    <row r="50">
      <c r="F50" s="77"/>
      <c r="G50" s="77"/>
      <c r="H50" s="77"/>
      <c r="I50" s="77"/>
      <c r="J50" s="77"/>
      <c r="K50" s="77"/>
    </row>
    <row r="51">
      <c r="F51" s="77"/>
      <c r="G51" s="77"/>
      <c r="H51" s="77"/>
      <c r="I51" s="77"/>
      <c r="J51" s="77"/>
      <c r="K51" s="77"/>
    </row>
    <row r="52">
      <c r="F52" s="77"/>
      <c r="G52" s="77"/>
      <c r="H52" s="77"/>
      <c r="I52" s="77"/>
      <c r="J52" s="77"/>
      <c r="K52" s="77"/>
    </row>
    <row r="53">
      <c r="F53" s="77"/>
      <c r="G53" s="77"/>
      <c r="H53" s="77"/>
      <c r="I53" s="77"/>
      <c r="J53" s="77"/>
      <c r="K53" s="77"/>
    </row>
    <row r="54">
      <c r="F54" s="77"/>
      <c r="G54" s="77"/>
      <c r="H54" s="77"/>
      <c r="I54" s="77"/>
      <c r="J54" s="77"/>
      <c r="K54" s="77"/>
    </row>
    <row r="55">
      <c r="F55" s="77"/>
      <c r="G55" s="77"/>
      <c r="H55" s="77"/>
      <c r="I55" s="77"/>
      <c r="J55" s="77"/>
      <c r="K55" s="77"/>
    </row>
    <row r="56">
      <c r="F56" s="77"/>
      <c r="G56" s="77"/>
      <c r="H56" s="77"/>
      <c r="I56" s="77"/>
      <c r="J56" s="77"/>
      <c r="K56" s="77"/>
    </row>
    <row r="57">
      <c r="F57" s="77"/>
      <c r="G57" s="77"/>
      <c r="H57" s="77"/>
      <c r="I57" s="77"/>
      <c r="J57" s="77"/>
      <c r="K57" s="77"/>
    </row>
    <row r="58">
      <c r="F58" s="77"/>
      <c r="G58" s="77"/>
      <c r="H58" s="77"/>
      <c r="I58" s="77"/>
      <c r="J58" s="77"/>
      <c r="K58" s="77"/>
    </row>
    <row r="59">
      <c r="F59" s="77"/>
      <c r="G59" s="77"/>
      <c r="H59" s="77"/>
      <c r="I59" s="77"/>
      <c r="J59" s="77"/>
      <c r="K59" s="77"/>
    </row>
    <row r="60">
      <c r="F60" s="77"/>
      <c r="G60" s="77"/>
      <c r="H60" s="77"/>
      <c r="I60" s="77"/>
      <c r="J60" s="77"/>
      <c r="K60" s="77"/>
    </row>
    <row r="61">
      <c r="F61" s="77"/>
      <c r="G61" s="77"/>
      <c r="H61" s="77"/>
      <c r="I61" s="77"/>
      <c r="J61" s="77"/>
      <c r="K61" s="77"/>
    </row>
    <row r="62">
      <c r="F62" s="77"/>
      <c r="G62" s="77"/>
      <c r="H62" s="77"/>
      <c r="I62" s="77"/>
      <c r="J62" s="77"/>
      <c r="K62" s="77"/>
    </row>
    <row r="63">
      <c r="F63" s="77"/>
      <c r="G63" s="77"/>
      <c r="H63" s="77"/>
      <c r="I63" s="77"/>
      <c r="J63" s="77"/>
      <c r="K63" s="77"/>
    </row>
    <row r="64">
      <c r="F64" s="77"/>
      <c r="G64" s="77"/>
      <c r="H64" s="77"/>
      <c r="I64" s="77"/>
      <c r="J64" s="77"/>
      <c r="K64" s="77"/>
    </row>
    <row r="65">
      <c r="F65" s="77"/>
      <c r="G65" s="77"/>
      <c r="H65" s="77"/>
      <c r="I65" s="77"/>
      <c r="J65" s="77"/>
      <c r="K65" s="77"/>
    </row>
    <row r="66">
      <c r="F66" s="77"/>
      <c r="G66" s="77"/>
      <c r="H66" s="77"/>
      <c r="I66" s="77"/>
      <c r="J66" s="77"/>
      <c r="K66" s="77"/>
    </row>
    <row r="67">
      <c r="F67" s="77"/>
      <c r="G67" s="77"/>
      <c r="H67" s="77"/>
      <c r="I67" s="77"/>
      <c r="J67" s="77"/>
      <c r="K67" s="77"/>
    </row>
    <row r="68">
      <c r="F68" s="77"/>
      <c r="G68" s="77"/>
      <c r="H68" s="77"/>
      <c r="I68" s="77"/>
      <c r="J68" s="77"/>
      <c r="K68" s="77"/>
    </row>
    <row r="69">
      <c r="F69" s="77"/>
      <c r="G69" s="77"/>
      <c r="H69" s="77"/>
      <c r="I69" s="77"/>
      <c r="J69" s="77"/>
      <c r="K69" s="77"/>
    </row>
    <row r="70">
      <c r="F70" s="77"/>
      <c r="G70" s="77"/>
      <c r="H70" s="77"/>
      <c r="I70" s="77"/>
      <c r="J70" s="77"/>
      <c r="K70" s="77"/>
    </row>
    <row r="71">
      <c r="F71" s="77"/>
      <c r="G71" s="77"/>
      <c r="H71" s="77"/>
      <c r="I71" s="77"/>
      <c r="J71" s="77"/>
      <c r="K71" s="77"/>
    </row>
    <row r="72">
      <c r="F72" s="77"/>
      <c r="G72" s="77"/>
      <c r="H72" s="77"/>
      <c r="I72" s="77"/>
      <c r="J72" s="77"/>
      <c r="K72" s="77"/>
    </row>
    <row r="73">
      <c r="F73" s="77"/>
      <c r="G73" s="77"/>
      <c r="H73" s="77"/>
      <c r="I73" s="77"/>
      <c r="J73" s="77"/>
      <c r="K73" s="77"/>
    </row>
    <row r="74">
      <c r="F74" s="77"/>
      <c r="G74" s="77"/>
      <c r="H74" s="77"/>
      <c r="I74" s="77"/>
      <c r="J74" s="77"/>
      <c r="K74" s="77"/>
    </row>
    <row r="75">
      <c r="F75" s="77"/>
      <c r="G75" s="77"/>
      <c r="H75" s="77"/>
      <c r="I75" s="77"/>
      <c r="J75" s="77"/>
      <c r="K75" s="77"/>
    </row>
    <row r="76">
      <c r="F76" s="77"/>
      <c r="G76" s="77"/>
      <c r="H76" s="77"/>
      <c r="I76" s="77"/>
      <c r="J76" s="77"/>
      <c r="K76" s="77"/>
    </row>
    <row r="77">
      <c r="F77" s="77"/>
      <c r="G77" s="77"/>
      <c r="H77" s="77"/>
      <c r="I77" s="77"/>
      <c r="J77" s="77"/>
      <c r="K77" s="77"/>
    </row>
    <row r="78">
      <c r="F78" s="77"/>
      <c r="G78" s="77"/>
      <c r="H78" s="77"/>
      <c r="I78" s="77"/>
      <c r="J78" s="77"/>
      <c r="K78" s="77"/>
    </row>
    <row r="79">
      <c r="F79" s="77"/>
      <c r="G79" s="77"/>
      <c r="H79" s="77"/>
      <c r="I79" s="77"/>
      <c r="J79" s="77"/>
      <c r="K79" s="77"/>
    </row>
    <row r="80">
      <c r="F80" s="77"/>
      <c r="G80" s="77"/>
      <c r="H80" s="77"/>
      <c r="I80" s="77"/>
      <c r="J80" s="77"/>
      <c r="K80" s="77"/>
    </row>
    <row r="81">
      <c r="F81" s="77"/>
      <c r="G81" s="77"/>
      <c r="H81" s="77"/>
      <c r="I81" s="77"/>
      <c r="J81" s="77"/>
      <c r="K81" s="77"/>
    </row>
    <row r="82">
      <c r="F82" s="77"/>
      <c r="G82" s="77"/>
      <c r="H82" s="77"/>
      <c r="I82" s="77"/>
      <c r="J82" s="77"/>
      <c r="K82" s="77"/>
    </row>
    <row r="83">
      <c r="F83" s="77"/>
      <c r="G83" s="77"/>
      <c r="H83" s="77"/>
      <c r="I83" s="77"/>
      <c r="J83" s="77"/>
      <c r="K83" s="77"/>
    </row>
    <row r="84">
      <c r="F84" s="77"/>
      <c r="G84" s="77"/>
      <c r="H84" s="77"/>
      <c r="I84" s="77"/>
      <c r="J84" s="77"/>
      <c r="K84" s="77"/>
    </row>
    <row r="85">
      <c r="F85" s="77"/>
      <c r="G85" s="77"/>
      <c r="H85" s="77"/>
      <c r="I85" s="77"/>
      <c r="J85" s="77"/>
      <c r="K85" s="77"/>
    </row>
    <row r="86">
      <c r="F86" s="77"/>
      <c r="G86" s="77"/>
      <c r="H86" s="77"/>
      <c r="I86" s="77"/>
      <c r="J86" s="77"/>
      <c r="K86" s="77"/>
    </row>
    <row r="87">
      <c r="F87" s="77"/>
      <c r="G87" s="77"/>
      <c r="H87" s="77"/>
      <c r="I87" s="77"/>
      <c r="J87" s="77"/>
      <c r="K87" s="77"/>
    </row>
    <row r="88">
      <c r="F88" s="77"/>
      <c r="G88" s="77"/>
      <c r="H88" s="77"/>
      <c r="I88" s="77"/>
      <c r="J88" s="77"/>
      <c r="K88" s="77"/>
    </row>
    <row r="89">
      <c r="F89" s="77"/>
      <c r="G89" s="77"/>
      <c r="H89" s="77"/>
      <c r="I89" s="77"/>
      <c r="J89" s="77"/>
      <c r="K89" s="77"/>
    </row>
    <row r="90">
      <c r="F90" s="77"/>
      <c r="G90" s="77"/>
      <c r="H90" s="77"/>
      <c r="I90" s="77"/>
      <c r="J90" s="77"/>
      <c r="K90" s="77"/>
    </row>
    <row r="91">
      <c r="F91" s="77"/>
      <c r="G91" s="77"/>
      <c r="H91" s="77"/>
      <c r="I91" s="77"/>
      <c r="J91" s="77"/>
      <c r="K91" s="77"/>
    </row>
    <row r="92">
      <c r="F92" s="77"/>
      <c r="G92" s="77"/>
      <c r="H92" s="77"/>
      <c r="I92" s="77"/>
      <c r="J92" s="77"/>
      <c r="K92" s="77"/>
    </row>
    <row r="93">
      <c r="F93" s="77"/>
      <c r="G93" s="77"/>
      <c r="H93" s="77"/>
      <c r="I93" s="77"/>
      <c r="J93" s="77"/>
      <c r="K93" s="77"/>
    </row>
    <row r="94">
      <c r="F94" s="77"/>
      <c r="G94" s="77"/>
      <c r="H94" s="77"/>
      <c r="I94" s="77"/>
      <c r="J94" s="77"/>
      <c r="K94" s="77"/>
    </row>
    <row r="95">
      <c r="F95" s="77"/>
      <c r="G95" s="77"/>
      <c r="H95" s="77"/>
      <c r="I95" s="77"/>
      <c r="J95" s="77"/>
      <c r="K95" s="77"/>
    </row>
    <row r="96">
      <c r="F96" s="77"/>
      <c r="G96" s="77"/>
      <c r="H96" s="77"/>
      <c r="I96" s="77"/>
      <c r="J96" s="77"/>
      <c r="K96" s="77"/>
    </row>
    <row r="97">
      <c r="F97" s="77"/>
      <c r="G97" s="77"/>
      <c r="H97" s="77"/>
      <c r="I97" s="77"/>
      <c r="J97" s="77"/>
      <c r="K97" s="77"/>
    </row>
    <row r="98">
      <c r="F98" s="77"/>
      <c r="G98" s="77"/>
      <c r="H98" s="77"/>
      <c r="I98" s="77"/>
      <c r="J98" s="77"/>
      <c r="K98" s="77"/>
    </row>
    <row r="99">
      <c r="F99" s="77"/>
      <c r="G99" s="77"/>
      <c r="H99" s="77"/>
      <c r="I99" s="77"/>
      <c r="J99" s="77"/>
      <c r="K99" s="77"/>
    </row>
    <row r="100">
      <c r="F100" s="77"/>
      <c r="G100" s="77"/>
      <c r="H100" s="77"/>
      <c r="I100" s="77"/>
      <c r="J100" s="77"/>
      <c r="K100" s="77"/>
    </row>
    <row r="101">
      <c r="F101" s="77"/>
      <c r="G101" s="77"/>
      <c r="H101" s="77"/>
      <c r="I101" s="77"/>
      <c r="J101" s="77"/>
      <c r="K101" s="77"/>
    </row>
    <row r="102">
      <c r="F102" s="77"/>
      <c r="G102" s="77"/>
      <c r="H102" s="77"/>
      <c r="I102" s="77"/>
      <c r="J102" s="77"/>
      <c r="K102" s="77"/>
    </row>
    <row r="103">
      <c r="F103" s="77"/>
      <c r="G103" s="77"/>
      <c r="H103" s="77"/>
      <c r="I103" s="77"/>
      <c r="J103" s="77"/>
      <c r="K103" s="77"/>
    </row>
    <row r="104">
      <c r="F104" s="77"/>
      <c r="G104" s="77"/>
      <c r="H104" s="77"/>
      <c r="I104" s="77"/>
      <c r="J104" s="77"/>
      <c r="K104" s="77"/>
    </row>
    <row r="105">
      <c r="F105" s="77"/>
      <c r="G105" s="77"/>
      <c r="H105" s="77"/>
      <c r="I105" s="77"/>
      <c r="J105" s="77"/>
      <c r="K105" s="77"/>
    </row>
    <row r="106">
      <c r="F106" s="77"/>
      <c r="G106" s="77"/>
      <c r="H106" s="77"/>
      <c r="I106" s="77"/>
      <c r="J106" s="77"/>
      <c r="K106" s="77"/>
    </row>
    <row r="107">
      <c r="F107" s="77"/>
      <c r="G107" s="77"/>
      <c r="H107" s="77"/>
      <c r="I107" s="77"/>
      <c r="J107" s="77"/>
      <c r="K107" s="77"/>
    </row>
    <row r="108">
      <c r="F108" s="77"/>
      <c r="G108" s="77"/>
      <c r="H108" s="77"/>
      <c r="I108" s="77"/>
      <c r="J108" s="77"/>
      <c r="K108" s="77"/>
    </row>
    <row r="109">
      <c r="F109" s="77"/>
      <c r="G109" s="77"/>
      <c r="H109" s="77"/>
      <c r="I109" s="77"/>
      <c r="J109" s="77"/>
      <c r="K109" s="77"/>
    </row>
    <row r="110">
      <c r="F110" s="77"/>
      <c r="G110" s="77"/>
      <c r="H110" s="77"/>
      <c r="I110" s="77"/>
      <c r="J110" s="77"/>
      <c r="K110" s="77"/>
    </row>
    <row r="111">
      <c r="F111" s="77"/>
      <c r="G111" s="77"/>
      <c r="H111" s="77"/>
      <c r="I111" s="77"/>
      <c r="J111" s="77"/>
      <c r="K111" s="77"/>
    </row>
    <row r="112">
      <c r="F112" s="77"/>
      <c r="G112" s="77"/>
      <c r="H112" s="77"/>
      <c r="I112" s="77"/>
      <c r="J112" s="77"/>
      <c r="K112" s="77"/>
    </row>
    <row r="113">
      <c r="F113" s="77"/>
      <c r="G113" s="77"/>
      <c r="H113" s="77"/>
      <c r="I113" s="77"/>
      <c r="J113" s="77"/>
      <c r="K113" s="77"/>
    </row>
    <row r="114">
      <c r="F114" s="77"/>
      <c r="G114" s="77"/>
      <c r="H114" s="77"/>
      <c r="I114" s="77"/>
      <c r="J114" s="77"/>
      <c r="K114" s="77"/>
    </row>
    <row r="115">
      <c r="F115" s="77"/>
      <c r="G115" s="77"/>
      <c r="H115" s="77"/>
      <c r="I115" s="77"/>
      <c r="J115" s="77"/>
      <c r="K115" s="77"/>
    </row>
    <row r="116">
      <c r="F116" s="77"/>
      <c r="G116" s="77"/>
      <c r="H116" s="77"/>
      <c r="I116" s="77"/>
      <c r="J116" s="77"/>
      <c r="K116" s="77"/>
    </row>
    <row r="117">
      <c r="F117" s="77"/>
      <c r="G117" s="77"/>
      <c r="H117" s="77"/>
      <c r="I117" s="77"/>
      <c r="J117" s="77"/>
      <c r="K117" s="77"/>
    </row>
    <row r="118">
      <c r="F118" s="77"/>
      <c r="G118" s="77"/>
      <c r="H118" s="77"/>
      <c r="I118" s="77"/>
      <c r="J118" s="77"/>
      <c r="K118" s="77"/>
    </row>
    <row r="119">
      <c r="F119" s="77"/>
      <c r="G119" s="77"/>
      <c r="H119" s="77"/>
      <c r="I119" s="77"/>
      <c r="J119" s="77"/>
      <c r="K119" s="77"/>
    </row>
    <row r="120">
      <c r="F120" s="77"/>
      <c r="G120" s="77"/>
      <c r="H120" s="77"/>
      <c r="I120" s="77"/>
      <c r="J120" s="77"/>
      <c r="K120" s="77"/>
    </row>
    <row r="121">
      <c r="F121" s="77"/>
      <c r="G121" s="77"/>
      <c r="H121" s="77"/>
      <c r="I121" s="77"/>
      <c r="J121" s="77"/>
      <c r="K121" s="77"/>
    </row>
    <row r="122">
      <c r="F122" s="77"/>
      <c r="G122" s="77"/>
      <c r="H122" s="77"/>
      <c r="I122" s="77"/>
      <c r="J122" s="77"/>
      <c r="K122" s="77"/>
    </row>
    <row r="123">
      <c r="F123" s="77"/>
      <c r="G123" s="77"/>
      <c r="H123" s="77"/>
      <c r="I123" s="77"/>
      <c r="J123" s="77"/>
      <c r="K123" s="77"/>
    </row>
    <row r="124">
      <c r="F124" s="77"/>
      <c r="G124" s="77"/>
      <c r="H124" s="77"/>
      <c r="I124" s="77"/>
      <c r="J124" s="77"/>
      <c r="K124" s="77"/>
    </row>
    <row r="125">
      <c r="F125" s="77"/>
      <c r="G125" s="77"/>
      <c r="H125" s="77"/>
      <c r="I125" s="77"/>
      <c r="J125" s="77"/>
      <c r="K125" s="77"/>
    </row>
    <row r="126">
      <c r="F126" s="77"/>
      <c r="G126" s="77"/>
      <c r="H126" s="77"/>
      <c r="I126" s="77"/>
      <c r="J126" s="77"/>
      <c r="K126" s="77"/>
    </row>
    <row r="127">
      <c r="F127" s="77"/>
      <c r="G127" s="77"/>
      <c r="H127" s="77"/>
      <c r="I127" s="77"/>
      <c r="J127" s="77"/>
      <c r="K127" s="77"/>
    </row>
    <row r="128">
      <c r="F128" s="77"/>
      <c r="G128" s="77"/>
      <c r="H128" s="77"/>
      <c r="I128" s="77"/>
      <c r="J128" s="77"/>
      <c r="K128" s="77"/>
    </row>
    <row r="129">
      <c r="F129" s="77"/>
      <c r="G129" s="77"/>
      <c r="H129" s="77"/>
      <c r="I129" s="77"/>
      <c r="J129" s="77"/>
      <c r="K129" s="77"/>
    </row>
    <row r="130">
      <c r="F130" s="77"/>
      <c r="G130" s="77"/>
      <c r="H130" s="77"/>
      <c r="I130" s="77"/>
      <c r="J130" s="77"/>
      <c r="K130" s="77"/>
    </row>
    <row r="131">
      <c r="F131" s="77"/>
      <c r="G131" s="77"/>
      <c r="H131" s="77"/>
      <c r="I131" s="77"/>
      <c r="J131" s="77"/>
      <c r="K131" s="77"/>
    </row>
    <row r="132">
      <c r="F132" s="77"/>
      <c r="G132" s="77"/>
      <c r="H132" s="77"/>
      <c r="I132" s="77"/>
      <c r="J132" s="77"/>
      <c r="K132" s="77"/>
    </row>
    <row r="133">
      <c r="F133" s="77"/>
      <c r="G133" s="77"/>
      <c r="H133" s="77"/>
      <c r="I133" s="77"/>
      <c r="J133" s="77"/>
      <c r="K133" s="77"/>
    </row>
    <row r="134">
      <c r="F134" s="77"/>
      <c r="G134" s="77"/>
      <c r="H134" s="77"/>
      <c r="I134" s="77"/>
      <c r="J134" s="77"/>
      <c r="K134" s="77"/>
    </row>
    <row r="135">
      <c r="F135" s="77"/>
      <c r="G135" s="77"/>
      <c r="H135" s="77"/>
      <c r="I135" s="77"/>
      <c r="J135" s="77"/>
      <c r="K135" s="77"/>
    </row>
    <row r="136">
      <c r="F136" s="77"/>
      <c r="G136" s="77"/>
      <c r="H136" s="77"/>
      <c r="I136" s="77"/>
      <c r="J136" s="77"/>
      <c r="K136" s="77"/>
    </row>
    <row r="137">
      <c r="F137" s="77"/>
      <c r="G137" s="77"/>
      <c r="H137" s="77"/>
      <c r="I137" s="77"/>
      <c r="J137" s="77"/>
      <c r="K137" s="77"/>
    </row>
    <row r="138">
      <c r="F138" s="77"/>
      <c r="G138" s="77"/>
      <c r="H138" s="77"/>
      <c r="I138" s="77"/>
      <c r="J138" s="77"/>
      <c r="K138" s="77"/>
    </row>
    <row r="139">
      <c r="F139" s="77"/>
      <c r="G139" s="77"/>
      <c r="H139" s="77"/>
      <c r="I139" s="77"/>
      <c r="J139" s="77"/>
      <c r="K139" s="77"/>
    </row>
    <row r="140">
      <c r="F140" s="77"/>
      <c r="G140" s="77"/>
      <c r="H140" s="77"/>
      <c r="I140" s="77"/>
      <c r="J140" s="77"/>
      <c r="K140" s="77"/>
    </row>
    <row r="141">
      <c r="F141" s="77"/>
      <c r="G141" s="77"/>
      <c r="H141" s="77"/>
      <c r="I141" s="77"/>
      <c r="J141" s="77"/>
      <c r="K141" s="77"/>
    </row>
    <row r="142">
      <c r="F142" s="77"/>
      <c r="G142" s="77"/>
      <c r="H142" s="77"/>
      <c r="I142" s="77"/>
      <c r="J142" s="77"/>
      <c r="K142" s="77"/>
    </row>
    <row r="143">
      <c r="F143" s="77"/>
      <c r="G143" s="77"/>
      <c r="H143" s="77"/>
      <c r="I143" s="77"/>
      <c r="J143" s="77"/>
      <c r="K143" s="77"/>
    </row>
    <row r="144">
      <c r="F144" s="77"/>
      <c r="G144" s="77"/>
      <c r="H144" s="77"/>
      <c r="I144" s="77"/>
      <c r="J144" s="77"/>
      <c r="K144" s="77"/>
    </row>
    <row r="145">
      <c r="F145" s="77"/>
      <c r="G145" s="77"/>
      <c r="H145" s="77"/>
      <c r="I145" s="77"/>
      <c r="J145" s="77"/>
      <c r="K145" s="77"/>
    </row>
    <row r="146">
      <c r="F146" s="77"/>
      <c r="G146" s="77"/>
      <c r="H146" s="77"/>
      <c r="I146" s="77"/>
      <c r="J146" s="77"/>
      <c r="K146" s="77"/>
    </row>
    <row r="147">
      <c r="F147" s="77"/>
      <c r="G147" s="77"/>
      <c r="H147" s="77"/>
      <c r="I147" s="77"/>
      <c r="J147" s="77"/>
      <c r="K147" s="77"/>
    </row>
    <row r="148">
      <c r="F148" s="77"/>
      <c r="G148" s="77"/>
      <c r="H148" s="77"/>
      <c r="I148" s="77"/>
      <c r="J148" s="77"/>
      <c r="K148" s="77"/>
    </row>
    <row r="149">
      <c r="F149" s="77"/>
      <c r="G149" s="77"/>
      <c r="H149" s="77"/>
      <c r="I149" s="77"/>
      <c r="J149" s="77"/>
      <c r="K149" s="77"/>
    </row>
    <row r="150">
      <c r="F150" s="77"/>
      <c r="G150" s="77"/>
      <c r="H150" s="77"/>
      <c r="I150" s="77"/>
      <c r="J150" s="77"/>
      <c r="K150" s="77"/>
    </row>
    <row r="151">
      <c r="F151" s="77"/>
      <c r="G151" s="77"/>
      <c r="H151" s="77"/>
      <c r="I151" s="77"/>
      <c r="J151" s="77"/>
      <c r="K151" s="77"/>
    </row>
    <row r="152">
      <c r="F152" s="77"/>
      <c r="G152" s="77"/>
      <c r="H152" s="77"/>
      <c r="I152" s="77"/>
      <c r="J152" s="77"/>
      <c r="K152" s="77"/>
    </row>
    <row r="153">
      <c r="F153" s="77"/>
      <c r="G153" s="77"/>
      <c r="H153" s="77"/>
      <c r="I153" s="77"/>
      <c r="J153" s="77"/>
      <c r="K153" s="77"/>
    </row>
    <row r="154">
      <c r="F154" s="77"/>
      <c r="G154" s="77"/>
      <c r="H154" s="77"/>
      <c r="I154" s="77"/>
      <c r="J154" s="77"/>
      <c r="K154" s="77"/>
    </row>
    <row r="155">
      <c r="F155" s="77"/>
      <c r="G155" s="77"/>
      <c r="H155" s="77"/>
      <c r="I155" s="77"/>
      <c r="J155" s="77"/>
      <c r="K155" s="77"/>
    </row>
    <row r="156">
      <c r="F156" s="77"/>
      <c r="G156" s="77"/>
      <c r="H156" s="77"/>
      <c r="I156" s="77"/>
      <c r="J156" s="77"/>
      <c r="K156" s="77"/>
    </row>
    <row r="157">
      <c r="F157" s="77"/>
      <c r="G157" s="77"/>
      <c r="H157" s="77"/>
      <c r="I157" s="77"/>
      <c r="J157" s="77"/>
      <c r="K157" s="77"/>
    </row>
    <row r="158">
      <c r="F158" s="77"/>
      <c r="G158" s="77"/>
      <c r="H158" s="77"/>
      <c r="I158" s="77"/>
      <c r="J158" s="77"/>
      <c r="K158" s="77"/>
    </row>
    <row r="159">
      <c r="F159" s="77"/>
      <c r="G159" s="77"/>
      <c r="H159" s="77"/>
      <c r="I159" s="77"/>
      <c r="J159" s="77"/>
      <c r="K159" s="77"/>
    </row>
    <row r="160">
      <c r="F160" s="77"/>
      <c r="G160" s="77"/>
      <c r="H160" s="77"/>
      <c r="I160" s="77"/>
      <c r="J160" s="77"/>
      <c r="K160" s="77"/>
    </row>
    <row r="161">
      <c r="F161" s="77"/>
      <c r="G161" s="77"/>
      <c r="H161" s="77"/>
      <c r="I161" s="77"/>
      <c r="J161" s="77"/>
      <c r="K161" s="77"/>
    </row>
    <row r="162">
      <c r="F162" s="77"/>
      <c r="G162" s="77"/>
      <c r="H162" s="77"/>
      <c r="I162" s="77"/>
      <c r="J162" s="77"/>
      <c r="K162" s="77"/>
    </row>
    <row r="163">
      <c r="F163" s="77"/>
      <c r="G163" s="77"/>
      <c r="H163" s="77"/>
      <c r="I163" s="77"/>
      <c r="J163" s="77"/>
      <c r="K163" s="77"/>
    </row>
    <row r="164">
      <c r="F164" s="77"/>
      <c r="G164" s="77"/>
      <c r="H164" s="77"/>
      <c r="I164" s="77"/>
      <c r="J164" s="77"/>
      <c r="K164" s="77"/>
    </row>
    <row r="165">
      <c r="F165" s="77"/>
      <c r="G165" s="77"/>
      <c r="H165" s="77"/>
      <c r="I165" s="77"/>
      <c r="J165" s="77"/>
      <c r="K165" s="77"/>
    </row>
    <row r="166">
      <c r="F166" s="77"/>
      <c r="G166" s="77"/>
      <c r="H166" s="77"/>
      <c r="I166" s="77"/>
      <c r="J166" s="77"/>
      <c r="K166" s="77"/>
    </row>
    <row r="167">
      <c r="F167" s="77"/>
      <c r="G167" s="77"/>
      <c r="H167" s="77"/>
      <c r="I167" s="77"/>
      <c r="J167" s="77"/>
      <c r="K167" s="77"/>
    </row>
    <row r="168">
      <c r="F168" s="77"/>
      <c r="G168" s="77"/>
      <c r="H168" s="77"/>
      <c r="I168" s="77"/>
      <c r="J168" s="77"/>
      <c r="K168" s="77"/>
    </row>
    <row r="169">
      <c r="F169" s="77"/>
      <c r="G169" s="77"/>
      <c r="H169" s="77"/>
      <c r="I169" s="77"/>
      <c r="J169" s="77"/>
      <c r="K169" s="77"/>
    </row>
    <row r="170">
      <c r="F170" s="77"/>
      <c r="G170" s="77"/>
      <c r="H170" s="77"/>
      <c r="I170" s="77"/>
      <c r="J170" s="77"/>
      <c r="K170" s="77"/>
    </row>
    <row r="171">
      <c r="F171" s="77"/>
      <c r="G171" s="77"/>
      <c r="H171" s="77"/>
      <c r="I171" s="77"/>
      <c r="J171" s="77"/>
      <c r="K171" s="77"/>
    </row>
    <row r="172">
      <c r="F172" s="77"/>
      <c r="G172" s="77"/>
      <c r="H172" s="77"/>
      <c r="I172" s="77"/>
      <c r="J172" s="77"/>
      <c r="K172" s="77"/>
    </row>
    <row r="173">
      <c r="F173" s="77"/>
      <c r="G173" s="77"/>
      <c r="H173" s="77"/>
      <c r="I173" s="77"/>
      <c r="J173" s="77"/>
      <c r="K173" s="77"/>
    </row>
    <row r="174">
      <c r="F174" s="77"/>
      <c r="G174" s="77"/>
      <c r="H174" s="77"/>
      <c r="I174" s="77"/>
      <c r="J174" s="77"/>
      <c r="K174" s="77"/>
    </row>
    <row r="175">
      <c r="F175" s="77"/>
      <c r="G175" s="77"/>
      <c r="H175" s="77"/>
      <c r="I175" s="77"/>
      <c r="J175" s="77"/>
      <c r="K175" s="77"/>
    </row>
    <row r="176">
      <c r="F176" s="77"/>
      <c r="G176" s="77"/>
      <c r="H176" s="77"/>
      <c r="I176" s="77"/>
      <c r="J176" s="77"/>
      <c r="K176" s="77"/>
    </row>
    <row r="177">
      <c r="F177" s="77"/>
      <c r="G177" s="77"/>
      <c r="H177" s="77"/>
      <c r="I177" s="77"/>
      <c r="J177" s="77"/>
      <c r="K177" s="77"/>
    </row>
    <row r="178">
      <c r="F178" s="77"/>
      <c r="G178" s="77"/>
      <c r="H178" s="77"/>
      <c r="I178" s="77"/>
      <c r="J178" s="77"/>
      <c r="K178" s="77"/>
    </row>
    <row r="179">
      <c r="F179" s="77"/>
      <c r="G179" s="77"/>
      <c r="H179" s="77"/>
      <c r="I179" s="77"/>
      <c r="J179" s="77"/>
      <c r="K179" s="77"/>
    </row>
    <row r="180">
      <c r="F180" s="77"/>
      <c r="G180" s="77"/>
      <c r="H180" s="77"/>
      <c r="I180" s="77"/>
      <c r="J180" s="77"/>
      <c r="K180" s="77"/>
    </row>
    <row r="181">
      <c r="F181" s="77"/>
      <c r="G181" s="77"/>
      <c r="H181" s="77"/>
      <c r="I181" s="77"/>
      <c r="J181" s="77"/>
      <c r="K181" s="77"/>
    </row>
    <row r="182">
      <c r="F182" s="77"/>
      <c r="G182" s="77"/>
      <c r="H182" s="77"/>
      <c r="I182" s="77"/>
      <c r="J182" s="77"/>
      <c r="K182" s="77"/>
    </row>
    <row r="183">
      <c r="F183" s="77"/>
      <c r="G183" s="77"/>
      <c r="H183" s="77"/>
      <c r="I183" s="77"/>
      <c r="J183" s="77"/>
      <c r="K183" s="77"/>
    </row>
    <row r="184">
      <c r="F184" s="77"/>
      <c r="G184" s="77"/>
      <c r="H184" s="77"/>
      <c r="I184" s="77"/>
      <c r="J184" s="77"/>
      <c r="K184" s="77"/>
    </row>
    <row r="185">
      <c r="F185" s="77"/>
      <c r="G185" s="77"/>
      <c r="H185" s="77"/>
      <c r="I185" s="77"/>
      <c r="J185" s="77"/>
      <c r="K185" s="77"/>
    </row>
    <row r="186">
      <c r="F186" s="77"/>
      <c r="G186" s="77"/>
      <c r="H186" s="77"/>
      <c r="I186" s="77"/>
      <c r="J186" s="77"/>
      <c r="K186" s="77"/>
    </row>
    <row r="187">
      <c r="F187" s="77"/>
      <c r="G187" s="77"/>
      <c r="H187" s="77"/>
      <c r="I187" s="77"/>
      <c r="J187" s="77"/>
      <c r="K187" s="77"/>
    </row>
    <row r="188">
      <c r="F188" s="77"/>
      <c r="G188" s="77"/>
      <c r="H188" s="77"/>
      <c r="I188" s="77"/>
      <c r="J188" s="77"/>
      <c r="K188" s="77"/>
    </row>
    <row r="189">
      <c r="F189" s="77"/>
      <c r="G189" s="77"/>
      <c r="H189" s="77"/>
      <c r="I189" s="77"/>
      <c r="J189" s="77"/>
      <c r="K189" s="77"/>
    </row>
    <row r="190">
      <c r="F190" s="77"/>
      <c r="G190" s="77"/>
      <c r="H190" s="77"/>
      <c r="I190" s="77"/>
      <c r="J190" s="77"/>
      <c r="K190" s="77"/>
    </row>
    <row r="191">
      <c r="F191" s="77"/>
      <c r="G191" s="77"/>
      <c r="H191" s="77"/>
      <c r="I191" s="77"/>
      <c r="J191" s="77"/>
      <c r="K191" s="77"/>
    </row>
    <row r="192">
      <c r="F192" s="77"/>
      <c r="G192" s="77"/>
      <c r="H192" s="77"/>
      <c r="I192" s="77"/>
      <c r="J192" s="77"/>
      <c r="K192" s="77"/>
    </row>
    <row r="193">
      <c r="F193" s="77"/>
      <c r="G193" s="77"/>
      <c r="H193" s="77"/>
      <c r="I193" s="77"/>
      <c r="J193" s="77"/>
      <c r="K193" s="77"/>
    </row>
    <row r="194">
      <c r="F194" s="77"/>
      <c r="G194" s="77"/>
      <c r="H194" s="77"/>
      <c r="I194" s="77"/>
      <c r="J194" s="77"/>
      <c r="K194" s="77"/>
    </row>
    <row r="195">
      <c r="F195" s="77"/>
      <c r="G195" s="77"/>
      <c r="H195" s="77"/>
      <c r="I195" s="77"/>
      <c r="J195" s="77"/>
      <c r="K195" s="77"/>
    </row>
    <row r="196">
      <c r="F196" s="77"/>
      <c r="G196" s="77"/>
      <c r="H196" s="77"/>
      <c r="I196" s="77"/>
      <c r="J196" s="77"/>
      <c r="K196" s="77"/>
    </row>
    <row r="197">
      <c r="F197" s="77"/>
      <c r="G197" s="77"/>
      <c r="H197" s="77"/>
      <c r="I197" s="77"/>
      <c r="J197" s="77"/>
      <c r="K197" s="77"/>
    </row>
    <row r="198">
      <c r="F198" s="77"/>
      <c r="G198" s="77"/>
      <c r="H198" s="77"/>
      <c r="I198" s="77"/>
      <c r="J198" s="77"/>
      <c r="K198" s="77"/>
    </row>
    <row r="199">
      <c r="F199" s="77"/>
      <c r="G199" s="77"/>
      <c r="H199" s="77"/>
      <c r="I199" s="77"/>
      <c r="J199" s="77"/>
      <c r="K199" s="77"/>
    </row>
    <row r="200">
      <c r="F200" s="77"/>
      <c r="G200" s="77"/>
      <c r="H200" s="77"/>
      <c r="I200" s="77"/>
      <c r="J200" s="77"/>
      <c r="K200" s="77"/>
    </row>
    <row r="201">
      <c r="F201" s="77"/>
      <c r="G201" s="77"/>
      <c r="H201" s="77"/>
      <c r="I201" s="77"/>
      <c r="J201" s="77"/>
      <c r="K201" s="77"/>
    </row>
    <row r="202">
      <c r="F202" s="77"/>
      <c r="G202" s="77"/>
      <c r="H202" s="77"/>
      <c r="I202" s="77"/>
      <c r="J202" s="77"/>
      <c r="K202" s="77"/>
    </row>
    <row r="203">
      <c r="F203" s="77"/>
      <c r="G203" s="77"/>
      <c r="H203" s="77"/>
      <c r="I203" s="77"/>
      <c r="J203" s="77"/>
      <c r="K203" s="77"/>
    </row>
    <row r="204">
      <c r="F204" s="77"/>
      <c r="G204" s="77"/>
      <c r="H204" s="77"/>
      <c r="I204" s="77"/>
      <c r="J204" s="77"/>
      <c r="K204" s="77"/>
    </row>
    <row r="205">
      <c r="F205" s="77"/>
      <c r="G205" s="77"/>
      <c r="H205" s="77"/>
      <c r="I205" s="77"/>
      <c r="J205" s="77"/>
      <c r="K205" s="77"/>
    </row>
    <row r="206">
      <c r="F206" s="77"/>
      <c r="G206" s="77"/>
      <c r="H206" s="77"/>
      <c r="I206" s="77"/>
      <c r="J206" s="77"/>
      <c r="K206" s="77"/>
    </row>
    <row r="207">
      <c r="F207" s="77"/>
      <c r="G207" s="77"/>
      <c r="H207" s="77"/>
      <c r="I207" s="77"/>
      <c r="J207" s="77"/>
      <c r="K207" s="77"/>
    </row>
    <row r="208">
      <c r="F208" s="77"/>
      <c r="G208" s="77"/>
      <c r="H208" s="77"/>
      <c r="I208" s="77"/>
      <c r="J208" s="77"/>
      <c r="K208" s="77"/>
    </row>
    <row r="209">
      <c r="F209" s="77"/>
      <c r="G209" s="77"/>
      <c r="H209" s="77"/>
      <c r="I209" s="77"/>
      <c r="J209" s="77"/>
      <c r="K209" s="77"/>
    </row>
    <row r="210">
      <c r="F210" s="77"/>
      <c r="G210" s="77"/>
      <c r="H210" s="77"/>
      <c r="I210" s="77"/>
      <c r="J210" s="77"/>
      <c r="K210" s="77"/>
    </row>
    <row r="211">
      <c r="F211" s="77"/>
      <c r="G211" s="77"/>
      <c r="H211" s="77"/>
      <c r="I211" s="77"/>
      <c r="J211" s="77"/>
      <c r="K211" s="77"/>
    </row>
    <row r="212">
      <c r="F212" s="77"/>
      <c r="G212" s="77"/>
      <c r="H212" s="77"/>
      <c r="I212" s="77"/>
      <c r="J212" s="77"/>
      <c r="K212" s="77"/>
    </row>
    <row r="213">
      <c r="F213" s="77"/>
      <c r="G213" s="77"/>
      <c r="H213" s="77"/>
      <c r="I213" s="77"/>
      <c r="J213" s="77"/>
      <c r="K213" s="77"/>
    </row>
    <row r="214">
      <c r="F214" s="77"/>
      <c r="G214" s="77"/>
      <c r="H214" s="77"/>
      <c r="I214" s="77"/>
      <c r="J214" s="77"/>
      <c r="K214" s="77"/>
    </row>
    <row r="215">
      <c r="F215" s="77"/>
      <c r="G215" s="77"/>
      <c r="H215" s="77"/>
      <c r="I215" s="77"/>
      <c r="J215" s="77"/>
      <c r="K215" s="77"/>
    </row>
    <row r="216">
      <c r="F216" s="77"/>
      <c r="G216" s="77"/>
      <c r="H216" s="77"/>
      <c r="I216" s="77"/>
      <c r="J216" s="77"/>
      <c r="K216" s="77"/>
    </row>
    <row r="217">
      <c r="F217" s="77"/>
      <c r="G217" s="77"/>
      <c r="H217" s="77"/>
      <c r="I217" s="77"/>
      <c r="J217" s="77"/>
      <c r="K217" s="77"/>
    </row>
    <row r="218">
      <c r="F218" s="77"/>
      <c r="G218" s="77"/>
      <c r="H218" s="77"/>
      <c r="I218" s="77"/>
      <c r="J218" s="77"/>
      <c r="K218" s="77"/>
    </row>
    <row r="219">
      <c r="F219" s="77"/>
      <c r="G219" s="77"/>
      <c r="H219" s="77"/>
      <c r="I219" s="77"/>
      <c r="J219" s="77"/>
      <c r="K219" s="77"/>
    </row>
    <row r="220">
      <c r="F220" s="77"/>
      <c r="G220" s="77"/>
      <c r="H220" s="77"/>
      <c r="I220" s="77"/>
      <c r="J220" s="77"/>
      <c r="K220" s="77"/>
    </row>
    <row r="221">
      <c r="F221" s="77"/>
      <c r="G221" s="77"/>
      <c r="H221" s="77"/>
      <c r="I221" s="77"/>
      <c r="J221" s="77"/>
      <c r="K221" s="77"/>
    </row>
    <row r="222">
      <c r="F222" s="77"/>
      <c r="G222" s="77"/>
      <c r="H222" s="77"/>
      <c r="I222" s="77"/>
      <c r="J222" s="77"/>
      <c r="K222" s="77"/>
    </row>
    <row r="223">
      <c r="F223" s="77"/>
      <c r="G223" s="77"/>
      <c r="H223" s="77"/>
      <c r="I223" s="77"/>
      <c r="J223" s="77"/>
      <c r="K223" s="77"/>
    </row>
    <row r="224">
      <c r="F224" s="77"/>
      <c r="G224" s="77"/>
      <c r="H224" s="77"/>
      <c r="I224" s="77"/>
      <c r="J224" s="77"/>
      <c r="K224" s="77"/>
    </row>
    <row r="225">
      <c r="F225" s="77"/>
      <c r="G225" s="77"/>
      <c r="H225" s="77"/>
      <c r="I225" s="77"/>
      <c r="J225" s="77"/>
      <c r="K225" s="77"/>
    </row>
    <row r="226">
      <c r="F226" s="77"/>
      <c r="G226" s="77"/>
      <c r="H226" s="77"/>
      <c r="I226" s="77"/>
      <c r="J226" s="77"/>
      <c r="K226" s="77"/>
    </row>
    <row r="227">
      <c r="F227" s="77"/>
      <c r="G227" s="77"/>
      <c r="H227" s="77"/>
      <c r="I227" s="77"/>
      <c r="J227" s="77"/>
      <c r="K227" s="77"/>
    </row>
    <row r="228">
      <c r="F228" s="77"/>
      <c r="G228" s="77"/>
      <c r="H228" s="77"/>
      <c r="I228" s="77"/>
      <c r="J228" s="77"/>
      <c r="K228" s="77"/>
    </row>
    <row r="229">
      <c r="F229" s="77"/>
      <c r="G229" s="77"/>
      <c r="H229" s="77"/>
      <c r="I229" s="77"/>
      <c r="J229" s="77"/>
      <c r="K229" s="77"/>
    </row>
    <row r="230">
      <c r="F230" s="77"/>
      <c r="G230" s="77"/>
      <c r="H230" s="77"/>
      <c r="I230" s="77"/>
      <c r="J230" s="77"/>
      <c r="K230" s="77"/>
    </row>
    <row r="231">
      <c r="F231" s="77"/>
      <c r="G231" s="77"/>
      <c r="H231" s="77"/>
      <c r="I231" s="77"/>
      <c r="J231" s="77"/>
      <c r="K231" s="77"/>
    </row>
    <row r="232">
      <c r="F232" s="77"/>
      <c r="G232" s="77"/>
      <c r="H232" s="77"/>
      <c r="I232" s="77"/>
      <c r="J232" s="77"/>
      <c r="K232" s="77"/>
    </row>
    <row r="233">
      <c r="F233" s="77"/>
      <c r="G233" s="77"/>
      <c r="H233" s="77"/>
      <c r="I233" s="77"/>
      <c r="J233" s="77"/>
      <c r="K233" s="77"/>
    </row>
    <row r="234">
      <c r="F234" s="77"/>
      <c r="G234" s="77"/>
      <c r="H234" s="77"/>
      <c r="I234" s="77"/>
      <c r="J234" s="77"/>
      <c r="K234" s="77"/>
    </row>
    <row r="235">
      <c r="F235" s="77"/>
      <c r="G235" s="77"/>
      <c r="H235" s="77"/>
      <c r="I235" s="77"/>
      <c r="J235" s="77"/>
      <c r="K235" s="77"/>
    </row>
    <row r="236">
      <c r="F236" s="77"/>
      <c r="G236" s="77"/>
      <c r="H236" s="77"/>
      <c r="I236" s="77"/>
      <c r="J236" s="77"/>
      <c r="K236" s="77"/>
    </row>
    <row r="237">
      <c r="F237" s="77"/>
      <c r="G237" s="77"/>
      <c r="H237" s="77"/>
      <c r="I237" s="77"/>
      <c r="J237" s="77"/>
      <c r="K237" s="77"/>
    </row>
    <row r="238">
      <c r="F238" s="77"/>
      <c r="G238" s="77"/>
      <c r="H238" s="77"/>
      <c r="I238" s="77"/>
      <c r="J238" s="77"/>
      <c r="K238" s="77"/>
    </row>
    <row r="239">
      <c r="F239" s="77"/>
      <c r="G239" s="77"/>
      <c r="H239" s="77"/>
      <c r="I239" s="77"/>
      <c r="J239" s="77"/>
      <c r="K239" s="77"/>
    </row>
    <row r="240">
      <c r="F240" s="77"/>
      <c r="G240" s="77"/>
      <c r="H240" s="77"/>
      <c r="I240" s="77"/>
      <c r="J240" s="77"/>
      <c r="K240" s="77"/>
    </row>
    <row r="241">
      <c r="F241" s="77"/>
      <c r="G241" s="77"/>
      <c r="H241" s="77"/>
      <c r="I241" s="77"/>
      <c r="J241" s="77"/>
      <c r="K241" s="77"/>
    </row>
    <row r="242">
      <c r="F242" s="77"/>
      <c r="G242" s="77"/>
      <c r="H242" s="77"/>
      <c r="I242" s="77"/>
      <c r="J242" s="77"/>
      <c r="K242" s="77"/>
    </row>
    <row r="243">
      <c r="F243" s="77"/>
      <c r="G243" s="77"/>
      <c r="H243" s="77"/>
      <c r="I243" s="77"/>
      <c r="J243" s="77"/>
      <c r="K243" s="77"/>
    </row>
    <row r="244">
      <c r="F244" s="77"/>
      <c r="G244" s="77"/>
      <c r="H244" s="77"/>
      <c r="I244" s="77"/>
      <c r="J244" s="77"/>
      <c r="K244" s="77"/>
    </row>
    <row r="245">
      <c r="F245" s="77"/>
      <c r="G245" s="77"/>
      <c r="H245" s="77"/>
      <c r="I245" s="77"/>
      <c r="J245" s="77"/>
      <c r="K245" s="77"/>
    </row>
    <row r="246">
      <c r="F246" s="77"/>
      <c r="G246" s="77"/>
      <c r="H246" s="77"/>
      <c r="I246" s="77"/>
      <c r="J246" s="77"/>
      <c r="K246" s="77"/>
    </row>
    <row r="247">
      <c r="F247" s="77"/>
      <c r="G247" s="77"/>
      <c r="H247" s="77"/>
      <c r="I247" s="77"/>
      <c r="J247" s="77"/>
      <c r="K247" s="77"/>
    </row>
    <row r="248">
      <c r="F248" s="77"/>
      <c r="G248" s="77"/>
      <c r="H248" s="77"/>
      <c r="I248" s="77"/>
      <c r="J248" s="77"/>
      <c r="K248" s="77"/>
    </row>
    <row r="249">
      <c r="F249" s="77"/>
      <c r="G249" s="77"/>
      <c r="H249" s="77"/>
      <c r="I249" s="77"/>
      <c r="J249" s="77"/>
      <c r="K249" s="77"/>
    </row>
    <row r="250">
      <c r="F250" s="77"/>
      <c r="G250" s="77"/>
      <c r="H250" s="77"/>
      <c r="I250" s="77"/>
      <c r="J250" s="77"/>
      <c r="K250" s="77"/>
    </row>
    <row r="251">
      <c r="F251" s="77"/>
      <c r="G251" s="77"/>
      <c r="H251" s="77"/>
      <c r="I251" s="77"/>
      <c r="J251" s="77"/>
      <c r="K251" s="77"/>
    </row>
    <row r="252">
      <c r="F252" s="77"/>
      <c r="G252" s="77"/>
      <c r="H252" s="77"/>
      <c r="I252" s="77"/>
      <c r="J252" s="77"/>
      <c r="K252" s="77"/>
    </row>
    <row r="253">
      <c r="F253" s="77"/>
      <c r="G253" s="77"/>
      <c r="H253" s="77"/>
      <c r="I253" s="77"/>
      <c r="J253" s="77"/>
      <c r="K253" s="77"/>
    </row>
    <row r="254">
      <c r="F254" s="77"/>
      <c r="G254" s="77"/>
      <c r="H254" s="77"/>
      <c r="I254" s="77"/>
      <c r="J254" s="77"/>
      <c r="K254" s="77"/>
    </row>
    <row r="255">
      <c r="F255" s="77"/>
      <c r="G255" s="77"/>
      <c r="H255" s="77"/>
      <c r="I255" s="77"/>
      <c r="J255" s="77"/>
      <c r="K255" s="77"/>
    </row>
    <row r="256">
      <c r="F256" s="77"/>
      <c r="G256" s="77"/>
      <c r="H256" s="77"/>
      <c r="I256" s="77"/>
      <c r="J256" s="77"/>
      <c r="K256" s="77"/>
    </row>
    <row r="257">
      <c r="F257" s="77"/>
      <c r="G257" s="77"/>
      <c r="H257" s="77"/>
      <c r="I257" s="77"/>
      <c r="J257" s="77"/>
      <c r="K257" s="77"/>
    </row>
    <row r="258">
      <c r="F258" s="77"/>
      <c r="G258" s="77"/>
      <c r="H258" s="77"/>
      <c r="I258" s="77"/>
      <c r="J258" s="77"/>
      <c r="K258" s="77"/>
    </row>
    <row r="259">
      <c r="F259" s="77"/>
      <c r="G259" s="77"/>
      <c r="H259" s="77"/>
      <c r="I259" s="77"/>
      <c r="J259" s="77"/>
      <c r="K259" s="77"/>
    </row>
    <row r="260">
      <c r="F260" s="77"/>
      <c r="G260" s="77"/>
      <c r="H260" s="77"/>
      <c r="I260" s="77"/>
      <c r="J260" s="77"/>
      <c r="K260" s="77"/>
    </row>
    <row r="261">
      <c r="F261" s="77"/>
      <c r="G261" s="77"/>
      <c r="H261" s="77"/>
      <c r="I261" s="77"/>
      <c r="J261" s="77"/>
      <c r="K261" s="77"/>
    </row>
    <row r="262">
      <c r="F262" s="77"/>
      <c r="G262" s="77"/>
      <c r="H262" s="77"/>
      <c r="I262" s="77"/>
      <c r="J262" s="77"/>
      <c r="K262" s="77"/>
    </row>
    <row r="263">
      <c r="F263" s="77"/>
      <c r="G263" s="77"/>
      <c r="H263" s="77"/>
      <c r="I263" s="77"/>
      <c r="J263" s="77"/>
      <c r="K263" s="77"/>
    </row>
    <row r="264">
      <c r="F264" s="77"/>
      <c r="G264" s="77"/>
      <c r="H264" s="77"/>
      <c r="I264" s="77"/>
      <c r="J264" s="77"/>
      <c r="K264" s="77"/>
    </row>
    <row r="265">
      <c r="F265" s="77"/>
      <c r="G265" s="77"/>
      <c r="H265" s="77"/>
      <c r="I265" s="77"/>
      <c r="J265" s="77"/>
      <c r="K265" s="77"/>
    </row>
    <row r="266">
      <c r="F266" s="77"/>
      <c r="G266" s="77"/>
      <c r="H266" s="77"/>
      <c r="I266" s="77"/>
      <c r="J266" s="77"/>
      <c r="K266" s="77"/>
    </row>
    <row r="267">
      <c r="F267" s="77"/>
      <c r="G267" s="77"/>
      <c r="H267" s="77"/>
      <c r="I267" s="77"/>
      <c r="J267" s="77"/>
      <c r="K267" s="77"/>
    </row>
    <row r="268">
      <c r="F268" s="77"/>
      <c r="G268" s="77"/>
      <c r="H268" s="77"/>
      <c r="I268" s="77"/>
      <c r="J268" s="77"/>
      <c r="K268" s="77"/>
    </row>
    <row r="269">
      <c r="F269" s="77"/>
      <c r="G269" s="77"/>
      <c r="H269" s="77"/>
      <c r="I269" s="77"/>
      <c r="J269" s="77"/>
      <c r="K269" s="77"/>
    </row>
    <row r="270">
      <c r="F270" s="77"/>
      <c r="G270" s="77"/>
      <c r="H270" s="77"/>
      <c r="I270" s="77"/>
      <c r="J270" s="77"/>
      <c r="K270" s="77"/>
    </row>
    <row r="271">
      <c r="F271" s="77"/>
      <c r="G271" s="77"/>
      <c r="H271" s="77"/>
      <c r="I271" s="77"/>
      <c r="J271" s="77"/>
      <c r="K271" s="77"/>
    </row>
    <row r="272">
      <c r="F272" s="77"/>
      <c r="G272" s="77"/>
      <c r="H272" s="77"/>
      <c r="I272" s="77"/>
      <c r="J272" s="77"/>
      <c r="K272" s="77"/>
    </row>
    <row r="273">
      <c r="F273" s="77"/>
      <c r="G273" s="77"/>
      <c r="H273" s="77"/>
      <c r="I273" s="77"/>
      <c r="J273" s="77"/>
      <c r="K273" s="77"/>
    </row>
    <row r="274">
      <c r="F274" s="77"/>
      <c r="G274" s="77"/>
      <c r="H274" s="77"/>
      <c r="I274" s="77"/>
      <c r="J274" s="77"/>
      <c r="K274" s="77"/>
    </row>
    <row r="275">
      <c r="F275" s="77"/>
      <c r="G275" s="77"/>
      <c r="H275" s="77"/>
      <c r="I275" s="77"/>
      <c r="J275" s="77"/>
      <c r="K275" s="77"/>
    </row>
    <row r="276">
      <c r="F276" s="77"/>
      <c r="G276" s="77"/>
      <c r="H276" s="77"/>
      <c r="I276" s="77"/>
      <c r="J276" s="77"/>
      <c r="K276" s="77"/>
    </row>
    <row r="277">
      <c r="F277" s="77"/>
      <c r="G277" s="77"/>
      <c r="H277" s="77"/>
      <c r="I277" s="77"/>
      <c r="J277" s="77"/>
      <c r="K277" s="77"/>
    </row>
    <row r="278">
      <c r="F278" s="77"/>
      <c r="G278" s="77"/>
      <c r="H278" s="77"/>
      <c r="I278" s="77"/>
      <c r="J278" s="77"/>
      <c r="K278" s="77"/>
    </row>
    <row r="279">
      <c r="F279" s="77"/>
      <c r="G279" s="77"/>
      <c r="H279" s="77"/>
      <c r="I279" s="77"/>
      <c r="J279" s="77"/>
      <c r="K279" s="77"/>
    </row>
    <row r="280">
      <c r="F280" s="77"/>
      <c r="G280" s="77"/>
      <c r="H280" s="77"/>
      <c r="I280" s="77"/>
      <c r="J280" s="77"/>
      <c r="K280" s="77"/>
    </row>
    <row r="281">
      <c r="F281" s="77"/>
      <c r="G281" s="77"/>
      <c r="H281" s="77"/>
      <c r="I281" s="77"/>
      <c r="J281" s="77"/>
      <c r="K281" s="77"/>
    </row>
    <row r="282">
      <c r="F282" s="77"/>
      <c r="G282" s="77"/>
      <c r="H282" s="77"/>
      <c r="I282" s="77"/>
      <c r="J282" s="77"/>
      <c r="K282" s="77"/>
    </row>
    <row r="283">
      <c r="F283" s="77"/>
      <c r="G283" s="77"/>
      <c r="H283" s="77"/>
      <c r="I283" s="77"/>
      <c r="J283" s="77"/>
      <c r="K283" s="77"/>
    </row>
    <row r="284">
      <c r="F284" s="77"/>
      <c r="G284" s="77"/>
      <c r="H284" s="77"/>
      <c r="I284" s="77"/>
      <c r="J284" s="77"/>
      <c r="K284" s="77"/>
    </row>
    <row r="285">
      <c r="F285" s="77"/>
      <c r="G285" s="77"/>
      <c r="H285" s="77"/>
      <c r="I285" s="77"/>
      <c r="J285" s="77"/>
      <c r="K285" s="77"/>
    </row>
    <row r="286">
      <c r="F286" s="77"/>
      <c r="G286" s="77"/>
      <c r="H286" s="77"/>
      <c r="I286" s="77"/>
      <c r="J286" s="77"/>
      <c r="K286" s="77"/>
    </row>
    <row r="287">
      <c r="F287" s="77"/>
      <c r="G287" s="77"/>
      <c r="H287" s="77"/>
      <c r="I287" s="77"/>
      <c r="J287" s="77"/>
      <c r="K287" s="77"/>
    </row>
    <row r="288">
      <c r="F288" s="77"/>
      <c r="G288" s="77"/>
      <c r="H288" s="77"/>
      <c r="I288" s="77"/>
      <c r="J288" s="77"/>
      <c r="K288" s="77"/>
    </row>
    <row r="289">
      <c r="F289" s="77"/>
      <c r="G289" s="77"/>
      <c r="H289" s="77"/>
      <c r="I289" s="77"/>
      <c r="J289" s="77"/>
      <c r="K289" s="77"/>
    </row>
    <row r="290">
      <c r="F290" s="77"/>
      <c r="G290" s="77"/>
      <c r="H290" s="77"/>
      <c r="I290" s="77"/>
      <c r="J290" s="77"/>
      <c r="K290" s="77"/>
    </row>
    <row r="291">
      <c r="F291" s="77"/>
      <c r="G291" s="77"/>
      <c r="H291" s="77"/>
      <c r="I291" s="77"/>
      <c r="J291" s="77"/>
      <c r="K291" s="77"/>
    </row>
    <row r="292">
      <c r="F292" s="77"/>
      <c r="G292" s="77"/>
      <c r="H292" s="77"/>
      <c r="I292" s="77"/>
      <c r="J292" s="77"/>
      <c r="K292" s="77"/>
    </row>
    <row r="293">
      <c r="F293" s="77"/>
      <c r="G293" s="77"/>
      <c r="H293" s="77"/>
      <c r="I293" s="77"/>
      <c r="J293" s="77"/>
      <c r="K293" s="77"/>
    </row>
    <row r="294">
      <c r="F294" s="77"/>
      <c r="G294" s="77"/>
      <c r="H294" s="77"/>
      <c r="I294" s="77"/>
      <c r="J294" s="77"/>
      <c r="K294" s="77"/>
    </row>
    <row r="295">
      <c r="F295" s="77"/>
      <c r="G295" s="77"/>
      <c r="H295" s="77"/>
      <c r="I295" s="77"/>
      <c r="J295" s="77"/>
      <c r="K295" s="77"/>
    </row>
    <row r="296">
      <c r="F296" s="77"/>
      <c r="G296" s="77"/>
      <c r="H296" s="77"/>
      <c r="I296" s="77"/>
      <c r="J296" s="77"/>
      <c r="K296" s="77"/>
    </row>
    <row r="297">
      <c r="F297" s="77"/>
      <c r="G297" s="77"/>
      <c r="H297" s="77"/>
      <c r="I297" s="77"/>
      <c r="J297" s="77"/>
      <c r="K297" s="77"/>
    </row>
    <row r="298">
      <c r="F298" s="77"/>
      <c r="G298" s="77"/>
      <c r="H298" s="77"/>
      <c r="I298" s="77"/>
      <c r="J298" s="77"/>
      <c r="K298" s="77"/>
    </row>
    <row r="299">
      <c r="F299" s="77"/>
      <c r="G299" s="77"/>
      <c r="H299" s="77"/>
      <c r="I299" s="77"/>
      <c r="J299" s="77"/>
      <c r="K299" s="77"/>
    </row>
    <row r="300">
      <c r="F300" s="77"/>
      <c r="G300" s="77"/>
      <c r="H300" s="77"/>
      <c r="I300" s="77"/>
      <c r="J300" s="77"/>
      <c r="K300" s="77"/>
    </row>
    <row r="301">
      <c r="F301" s="77"/>
      <c r="G301" s="77"/>
      <c r="H301" s="77"/>
      <c r="I301" s="77"/>
      <c r="J301" s="77"/>
      <c r="K301" s="77"/>
    </row>
    <row r="302">
      <c r="F302" s="77"/>
      <c r="G302" s="77"/>
      <c r="H302" s="77"/>
      <c r="I302" s="77"/>
      <c r="J302" s="77"/>
      <c r="K302" s="77"/>
    </row>
    <row r="303">
      <c r="F303" s="77"/>
      <c r="G303" s="77"/>
      <c r="H303" s="77"/>
      <c r="I303" s="77"/>
      <c r="J303" s="77"/>
      <c r="K303" s="77"/>
    </row>
    <row r="304">
      <c r="F304" s="77"/>
      <c r="G304" s="77"/>
      <c r="H304" s="77"/>
      <c r="I304" s="77"/>
      <c r="J304" s="77"/>
      <c r="K304" s="77"/>
    </row>
    <row r="305">
      <c r="F305" s="77"/>
      <c r="G305" s="77"/>
      <c r="H305" s="77"/>
      <c r="I305" s="77"/>
      <c r="J305" s="77"/>
      <c r="K305" s="77"/>
    </row>
    <row r="306">
      <c r="F306" s="77"/>
      <c r="G306" s="77"/>
      <c r="H306" s="77"/>
      <c r="I306" s="77"/>
      <c r="J306" s="77"/>
      <c r="K306" s="77"/>
    </row>
    <row r="307">
      <c r="F307" s="77"/>
      <c r="G307" s="77"/>
      <c r="H307" s="77"/>
      <c r="I307" s="77"/>
      <c r="J307" s="77"/>
      <c r="K307" s="77"/>
    </row>
    <row r="308">
      <c r="F308" s="77"/>
      <c r="G308" s="77"/>
      <c r="H308" s="77"/>
      <c r="I308" s="77"/>
      <c r="J308" s="77"/>
      <c r="K308" s="77"/>
    </row>
    <row r="309">
      <c r="F309" s="77"/>
      <c r="G309" s="77"/>
      <c r="H309" s="77"/>
      <c r="I309" s="77"/>
      <c r="J309" s="77"/>
      <c r="K309" s="77"/>
    </row>
    <row r="310">
      <c r="F310" s="77"/>
      <c r="G310" s="77"/>
      <c r="H310" s="77"/>
      <c r="I310" s="77"/>
      <c r="J310" s="77"/>
      <c r="K310" s="77"/>
    </row>
    <row r="311">
      <c r="F311" s="77"/>
      <c r="G311" s="77"/>
      <c r="H311" s="77"/>
      <c r="I311" s="77"/>
      <c r="J311" s="77"/>
      <c r="K311" s="77"/>
    </row>
    <row r="312">
      <c r="F312" s="77"/>
      <c r="G312" s="77"/>
      <c r="H312" s="77"/>
      <c r="I312" s="77"/>
      <c r="J312" s="77"/>
      <c r="K312" s="77"/>
    </row>
    <row r="313">
      <c r="F313" s="77"/>
      <c r="G313" s="77"/>
      <c r="H313" s="77"/>
      <c r="I313" s="77"/>
      <c r="J313" s="77"/>
      <c r="K313" s="77"/>
    </row>
    <row r="314">
      <c r="F314" s="77"/>
      <c r="G314" s="77"/>
      <c r="H314" s="77"/>
      <c r="I314" s="77"/>
      <c r="J314" s="77"/>
      <c r="K314" s="77"/>
    </row>
    <row r="315">
      <c r="F315" s="77"/>
      <c r="G315" s="77"/>
      <c r="H315" s="77"/>
      <c r="I315" s="77"/>
      <c r="J315" s="77"/>
      <c r="K315" s="77"/>
    </row>
    <row r="316">
      <c r="F316" s="77"/>
      <c r="G316" s="77"/>
      <c r="H316" s="77"/>
      <c r="I316" s="77"/>
      <c r="J316" s="77"/>
      <c r="K316" s="77"/>
    </row>
    <row r="317">
      <c r="F317" s="77"/>
      <c r="G317" s="77"/>
      <c r="H317" s="77"/>
      <c r="I317" s="77"/>
      <c r="J317" s="77"/>
      <c r="K317" s="77"/>
    </row>
    <row r="318">
      <c r="F318" s="77"/>
      <c r="G318" s="77"/>
      <c r="H318" s="77"/>
      <c r="I318" s="77"/>
      <c r="J318" s="77"/>
      <c r="K318" s="77"/>
    </row>
    <row r="319">
      <c r="F319" s="77"/>
      <c r="G319" s="77"/>
      <c r="H319" s="77"/>
      <c r="I319" s="77"/>
      <c r="J319" s="77"/>
      <c r="K319" s="77"/>
    </row>
    <row r="320">
      <c r="F320" s="77"/>
      <c r="G320" s="77"/>
      <c r="H320" s="77"/>
      <c r="I320" s="77"/>
      <c r="J320" s="77"/>
      <c r="K320" s="77"/>
    </row>
    <row r="321">
      <c r="F321" s="77"/>
      <c r="G321" s="77"/>
      <c r="H321" s="77"/>
      <c r="I321" s="77"/>
      <c r="J321" s="77"/>
      <c r="K321" s="77"/>
    </row>
    <row r="322">
      <c r="F322" s="77"/>
      <c r="G322" s="77"/>
      <c r="H322" s="77"/>
      <c r="I322" s="77"/>
      <c r="J322" s="77"/>
      <c r="K322" s="77"/>
    </row>
    <row r="323">
      <c r="F323" s="77"/>
      <c r="G323" s="77"/>
      <c r="H323" s="77"/>
      <c r="I323" s="77"/>
      <c r="J323" s="77"/>
      <c r="K323" s="77"/>
    </row>
    <row r="324">
      <c r="F324" s="77"/>
      <c r="G324" s="77"/>
      <c r="H324" s="77"/>
      <c r="I324" s="77"/>
      <c r="J324" s="77"/>
      <c r="K324" s="77"/>
    </row>
    <row r="325">
      <c r="F325" s="77"/>
      <c r="G325" s="77"/>
      <c r="H325" s="77"/>
      <c r="I325" s="77"/>
      <c r="J325" s="77"/>
      <c r="K325" s="77"/>
    </row>
    <row r="326">
      <c r="F326" s="77"/>
      <c r="G326" s="77"/>
      <c r="H326" s="77"/>
      <c r="I326" s="77"/>
      <c r="J326" s="77"/>
      <c r="K326" s="77"/>
    </row>
    <row r="327">
      <c r="F327" s="77"/>
      <c r="G327" s="77"/>
      <c r="H327" s="77"/>
      <c r="I327" s="77"/>
      <c r="J327" s="77"/>
      <c r="K327" s="77"/>
    </row>
    <row r="328">
      <c r="F328" s="77"/>
      <c r="G328" s="77"/>
      <c r="H328" s="77"/>
      <c r="I328" s="77"/>
      <c r="J328" s="77"/>
      <c r="K328" s="77"/>
    </row>
    <row r="329">
      <c r="F329" s="77"/>
      <c r="G329" s="77"/>
      <c r="H329" s="77"/>
      <c r="I329" s="77"/>
      <c r="J329" s="77"/>
      <c r="K329" s="77"/>
    </row>
    <row r="330">
      <c r="F330" s="77"/>
      <c r="G330" s="77"/>
      <c r="H330" s="77"/>
      <c r="I330" s="77"/>
      <c r="J330" s="77"/>
      <c r="K330" s="77"/>
    </row>
    <row r="331">
      <c r="F331" s="77"/>
      <c r="G331" s="77"/>
      <c r="H331" s="77"/>
      <c r="I331" s="77"/>
      <c r="J331" s="77"/>
      <c r="K331" s="77"/>
    </row>
    <row r="332">
      <c r="F332" s="77"/>
      <c r="G332" s="77"/>
      <c r="H332" s="77"/>
      <c r="I332" s="77"/>
      <c r="J332" s="77"/>
      <c r="K332" s="77"/>
    </row>
    <row r="333">
      <c r="F333" s="77"/>
      <c r="G333" s="77"/>
      <c r="H333" s="77"/>
      <c r="I333" s="77"/>
      <c r="J333" s="77"/>
      <c r="K333" s="77"/>
    </row>
    <row r="334">
      <c r="F334" s="77"/>
      <c r="G334" s="77"/>
      <c r="H334" s="77"/>
      <c r="I334" s="77"/>
      <c r="J334" s="77"/>
      <c r="K334" s="77"/>
    </row>
    <row r="335">
      <c r="F335" s="77"/>
      <c r="G335" s="77"/>
      <c r="H335" s="77"/>
      <c r="I335" s="77"/>
      <c r="J335" s="77"/>
      <c r="K335" s="77"/>
    </row>
    <row r="336">
      <c r="F336" s="77"/>
      <c r="G336" s="77"/>
      <c r="H336" s="77"/>
      <c r="I336" s="77"/>
      <c r="J336" s="77"/>
      <c r="K336" s="77"/>
    </row>
    <row r="337">
      <c r="F337" s="77"/>
      <c r="G337" s="77"/>
      <c r="H337" s="77"/>
      <c r="I337" s="77"/>
      <c r="J337" s="77"/>
      <c r="K337" s="77"/>
    </row>
    <row r="338">
      <c r="F338" s="77"/>
      <c r="G338" s="77"/>
      <c r="H338" s="77"/>
      <c r="I338" s="77"/>
      <c r="J338" s="77"/>
      <c r="K338" s="77"/>
    </row>
    <row r="339">
      <c r="F339" s="77"/>
      <c r="G339" s="77"/>
      <c r="H339" s="77"/>
      <c r="I339" s="77"/>
      <c r="J339" s="77"/>
      <c r="K339" s="77"/>
    </row>
    <row r="340">
      <c r="F340" s="77"/>
      <c r="G340" s="77"/>
      <c r="H340" s="77"/>
      <c r="I340" s="77"/>
      <c r="J340" s="77"/>
      <c r="K340" s="77"/>
    </row>
    <row r="341">
      <c r="F341" s="77"/>
      <c r="G341" s="77"/>
      <c r="H341" s="77"/>
      <c r="I341" s="77"/>
      <c r="J341" s="77"/>
      <c r="K341" s="77"/>
    </row>
    <row r="342">
      <c r="F342" s="77"/>
      <c r="G342" s="77"/>
      <c r="H342" s="77"/>
      <c r="I342" s="77"/>
      <c r="J342" s="77"/>
      <c r="K342" s="77"/>
    </row>
    <row r="343">
      <c r="F343" s="77"/>
      <c r="G343" s="77"/>
      <c r="H343" s="77"/>
      <c r="I343" s="77"/>
      <c r="J343" s="77"/>
      <c r="K343" s="77"/>
    </row>
    <row r="344">
      <c r="F344" s="77"/>
      <c r="G344" s="77"/>
      <c r="H344" s="77"/>
      <c r="I344" s="77"/>
      <c r="J344" s="77"/>
      <c r="K344" s="77"/>
    </row>
    <row r="345">
      <c r="F345" s="77"/>
      <c r="G345" s="77"/>
      <c r="H345" s="77"/>
      <c r="I345" s="77"/>
      <c r="J345" s="77"/>
      <c r="K345" s="77"/>
    </row>
    <row r="346">
      <c r="F346" s="77"/>
      <c r="G346" s="77"/>
      <c r="H346" s="77"/>
      <c r="I346" s="77"/>
      <c r="J346" s="77"/>
      <c r="K346" s="77"/>
    </row>
    <row r="347">
      <c r="F347" s="77"/>
      <c r="G347" s="77"/>
      <c r="H347" s="77"/>
      <c r="I347" s="77"/>
      <c r="J347" s="77"/>
      <c r="K347" s="77"/>
    </row>
    <row r="348">
      <c r="F348" s="77"/>
      <c r="G348" s="77"/>
      <c r="H348" s="77"/>
      <c r="I348" s="77"/>
      <c r="J348" s="77"/>
      <c r="K348" s="77"/>
    </row>
    <row r="349">
      <c r="F349" s="77"/>
      <c r="G349" s="77"/>
      <c r="H349" s="77"/>
      <c r="I349" s="77"/>
      <c r="J349" s="77"/>
      <c r="K349" s="77"/>
    </row>
    <row r="350">
      <c r="F350" s="77"/>
      <c r="G350" s="77"/>
      <c r="H350" s="77"/>
      <c r="I350" s="77"/>
      <c r="J350" s="77"/>
      <c r="K350" s="77"/>
    </row>
    <row r="351">
      <c r="F351" s="77"/>
      <c r="G351" s="77"/>
      <c r="H351" s="77"/>
      <c r="I351" s="77"/>
      <c r="J351" s="77"/>
      <c r="K351" s="77"/>
    </row>
    <row r="352">
      <c r="F352" s="77"/>
      <c r="G352" s="77"/>
      <c r="H352" s="77"/>
      <c r="I352" s="77"/>
      <c r="J352" s="77"/>
      <c r="K352" s="77"/>
    </row>
    <row r="353">
      <c r="F353" s="77"/>
      <c r="G353" s="77"/>
      <c r="H353" s="77"/>
      <c r="I353" s="77"/>
      <c r="J353" s="77"/>
      <c r="K353" s="77"/>
    </row>
    <row r="354">
      <c r="F354" s="77"/>
      <c r="G354" s="77"/>
      <c r="H354" s="77"/>
      <c r="I354" s="77"/>
      <c r="J354" s="77"/>
      <c r="K354" s="77"/>
    </row>
    <row r="355">
      <c r="F355" s="77"/>
      <c r="G355" s="77"/>
      <c r="H355" s="77"/>
      <c r="I355" s="77"/>
      <c r="J355" s="77"/>
      <c r="K355" s="77"/>
    </row>
    <row r="356">
      <c r="F356" s="77"/>
      <c r="G356" s="77"/>
      <c r="H356" s="77"/>
      <c r="I356" s="77"/>
      <c r="J356" s="77"/>
      <c r="K356" s="77"/>
    </row>
    <row r="357">
      <c r="F357" s="77"/>
      <c r="G357" s="77"/>
      <c r="H357" s="77"/>
      <c r="I357" s="77"/>
      <c r="J357" s="77"/>
      <c r="K357" s="77"/>
    </row>
    <row r="358">
      <c r="F358" s="77"/>
      <c r="G358" s="77"/>
      <c r="H358" s="77"/>
      <c r="I358" s="77"/>
      <c r="J358" s="77"/>
      <c r="K358" s="77"/>
    </row>
    <row r="359">
      <c r="F359" s="77"/>
      <c r="G359" s="77"/>
      <c r="H359" s="77"/>
      <c r="I359" s="77"/>
      <c r="J359" s="77"/>
      <c r="K359" s="77"/>
    </row>
    <row r="360">
      <c r="F360" s="77"/>
      <c r="G360" s="77"/>
      <c r="H360" s="77"/>
      <c r="I360" s="77"/>
      <c r="J360" s="77"/>
      <c r="K360" s="77"/>
    </row>
    <row r="361">
      <c r="F361" s="77"/>
      <c r="G361" s="77"/>
      <c r="H361" s="77"/>
      <c r="I361" s="77"/>
      <c r="J361" s="77"/>
      <c r="K361" s="77"/>
    </row>
    <row r="362">
      <c r="F362" s="77"/>
      <c r="G362" s="77"/>
      <c r="H362" s="77"/>
      <c r="I362" s="77"/>
      <c r="J362" s="77"/>
      <c r="K362" s="77"/>
    </row>
    <row r="363">
      <c r="F363" s="77"/>
      <c r="G363" s="77"/>
      <c r="H363" s="77"/>
      <c r="I363" s="77"/>
      <c r="J363" s="77"/>
      <c r="K363" s="77"/>
    </row>
    <row r="364">
      <c r="F364" s="77"/>
      <c r="G364" s="77"/>
      <c r="H364" s="77"/>
      <c r="I364" s="77"/>
      <c r="J364" s="77"/>
      <c r="K364" s="77"/>
    </row>
    <row r="365">
      <c r="F365" s="77"/>
      <c r="G365" s="77"/>
      <c r="H365" s="77"/>
      <c r="I365" s="77"/>
      <c r="J365" s="77"/>
      <c r="K365" s="77"/>
    </row>
    <row r="366">
      <c r="F366" s="77"/>
      <c r="G366" s="77"/>
      <c r="H366" s="77"/>
      <c r="I366" s="77"/>
      <c r="J366" s="77"/>
      <c r="K366" s="77"/>
    </row>
    <row r="367">
      <c r="F367" s="77"/>
      <c r="G367" s="77"/>
      <c r="H367" s="77"/>
      <c r="I367" s="77"/>
      <c r="J367" s="77"/>
      <c r="K367" s="77"/>
    </row>
    <row r="368">
      <c r="F368" s="77"/>
      <c r="G368" s="77"/>
      <c r="H368" s="77"/>
      <c r="I368" s="77"/>
      <c r="J368" s="77"/>
      <c r="K368" s="77"/>
    </row>
    <row r="369">
      <c r="F369" s="77"/>
      <c r="G369" s="77"/>
      <c r="H369" s="77"/>
      <c r="I369" s="77"/>
      <c r="J369" s="77"/>
      <c r="K369" s="77"/>
    </row>
    <row r="370">
      <c r="F370" s="77"/>
      <c r="G370" s="77"/>
      <c r="H370" s="77"/>
      <c r="I370" s="77"/>
      <c r="J370" s="77"/>
      <c r="K370" s="77"/>
    </row>
    <row r="371">
      <c r="F371" s="77"/>
      <c r="G371" s="77"/>
      <c r="H371" s="77"/>
      <c r="I371" s="77"/>
      <c r="J371" s="77"/>
      <c r="K371" s="77"/>
    </row>
    <row r="372">
      <c r="F372" s="77"/>
      <c r="G372" s="77"/>
      <c r="H372" s="77"/>
      <c r="I372" s="77"/>
      <c r="J372" s="77"/>
      <c r="K372" s="77"/>
    </row>
    <row r="373">
      <c r="F373" s="77"/>
      <c r="G373" s="77"/>
      <c r="H373" s="77"/>
      <c r="I373" s="77"/>
      <c r="J373" s="77"/>
      <c r="K373" s="77"/>
    </row>
    <row r="374">
      <c r="F374" s="77"/>
      <c r="G374" s="77"/>
      <c r="H374" s="77"/>
      <c r="I374" s="77"/>
      <c r="J374" s="77"/>
      <c r="K374" s="77"/>
    </row>
    <row r="375">
      <c r="F375" s="77"/>
      <c r="G375" s="77"/>
      <c r="H375" s="77"/>
      <c r="I375" s="77"/>
      <c r="J375" s="77"/>
      <c r="K375" s="77"/>
    </row>
    <row r="376">
      <c r="F376" s="77"/>
      <c r="G376" s="77"/>
      <c r="H376" s="77"/>
      <c r="I376" s="77"/>
      <c r="J376" s="77"/>
      <c r="K376" s="77"/>
    </row>
    <row r="377">
      <c r="F377" s="77"/>
      <c r="G377" s="77"/>
      <c r="H377" s="77"/>
      <c r="I377" s="77"/>
      <c r="J377" s="77"/>
      <c r="K377" s="77"/>
    </row>
    <row r="378">
      <c r="F378" s="77"/>
      <c r="G378" s="77"/>
      <c r="H378" s="77"/>
      <c r="I378" s="77"/>
      <c r="J378" s="77"/>
      <c r="K378" s="77"/>
    </row>
    <row r="379">
      <c r="F379" s="77"/>
      <c r="G379" s="77"/>
      <c r="H379" s="77"/>
      <c r="I379" s="77"/>
      <c r="J379" s="77"/>
      <c r="K379" s="77"/>
    </row>
    <row r="380">
      <c r="F380" s="77"/>
      <c r="G380" s="77"/>
      <c r="H380" s="77"/>
      <c r="I380" s="77"/>
      <c r="J380" s="77"/>
      <c r="K380" s="77"/>
    </row>
    <row r="381">
      <c r="F381" s="77"/>
      <c r="G381" s="77"/>
      <c r="H381" s="77"/>
      <c r="I381" s="77"/>
      <c r="J381" s="77"/>
      <c r="K381" s="77"/>
    </row>
    <row r="382">
      <c r="F382" s="77"/>
      <c r="G382" s="77"/>
      <c r="H382" s="77"/>
      <c r="I382" s="77"/>
      <c r="J382" s="77"/>
      <c r="K382" s="77"/>
    </row>
    <row r="383">
      <c r="F383" s="77"/>
      <c r="G383" s="77"/>
      <c r="H383" s="77"/>
      <c r="I383" s="77"/>
      <c r="J383" s="77"/>
      <c r="K383" s="77"/>
    </row>
    <row r="384">
      <c r="F384" s="77"/>
      <c r="G384" s="77"/>
      <c r="H384" s="77"/>
      <c r="I384" s="77"/>
      <c r="J384" s="77"/>
      <c r="K384" s="77"/>
    </row>
    <row r="385">
      <c r="F385" s="77"/>
      <c r="G385" s="77"/>
      <c r="H385" s="77"/>
      <c r="I385" s="77"/>
      <c r="J385" s="77"/>
      <c r="K385" s="77"/>
    </row>
    <row r="386">
      <c r="F386" s="77"/>
      <c r="G386" s="77"/>
      <c r="H386" s="77"/>
      <c r="I386" s="77"/>
      <c r="J386" s="77"/>
      <c r="K386" s="77"/>
    </row>
    <row r="387">
      <c r="F387" s="77"/>
      <c r="G387" s="77"/>
      <c r="H387" s="77"/>
      <c r="I387" s="77"/>
      <c r="J387" s="77"/>
      <c r="K387" s="77"/>
    </row>
    <row r="388">
      <c r="F388" s="77"/>
      <c r="G388" s="77"/>
      <c r="H388" s="77"/>
      <c r="I388" s="77"/>
      <c r="J388" s="77"/>
      <c r="K388" s="77"/>
    </row>
    <row r="389">
      <c r="F389" s="77"/>
      <c r="G389" s="77"/>
      <c r="H389" s="77"/>
      <c r="I389" s="77"/>
      <c r="J389" s="77"/>
      <c r="K389" s="77"/>
    </row>
    <row r="390">
      <c r="F390" s="77"/>
      <c r="G390" s="77"/>
      <c r="H390" s="77"/>
      <c r="I390" s="77"/>
      <c r="J390" s="77"/>
      <c r="K390" s="77"/>
    </row>
    <row r="391">
      <c r="F391" s="77"/>
      <c r="G391" s="77"/>
      <c r="H391" s="77"/>
      <c r="I391" s="77"/>
      <c r="J391" s="77"/>
      <c r="K391" s="77"/>
    </row>
    <row r="392">
      <c r="F392" s="77"/>
      <c r="G392" s="77"/>
      <c r="H392" s="77"/>
      <c r="I392" s="77"/>
      <c r="J392" s="77"/>
      <c r="K392" s="77"/>
    </row>
    <row r="393">
      <c r="F393" s="77"/>
      <c r="G393" s="77"/>
      <c r="H393" s="77"/>
      <c r="I393" s="77"/>
      <c r="J393" s="77"/>
      <c r="K393" s="77"/>
    </row>
    <row r="394">
      <c r="F394" s="77"/>
      <c r="G394" s="77"/>
      <c r="H394" s="77"/>
      <c r="I394" s="77"/>
      <c r="J394" s="77"/>
      <c r="K394" s="77"/>
    </row>
    <row r="395">
      <c r="F395" s="77"/>
      <c r="G395" s="77"/>
      <c r="H395" s="77"/>
      <c r="I395" s="77"/>
      <c r="J395" s="77"/>
      <c r="K395" s="77"/>
    </row>
    <row r="396">
      <c r="F396" s="77"/>
      <c r="G396" s="77"/>
      <c r="H396" s="77"/>
      <c r="I396" s="77"/>
      <c r="J396" s="77"/>
      <c r="K396" s="77"/>
    </row>
    <row r="397">
      <c r="F397" s="77"/>
      <c r="G397" s="77"/>
      <c r="H397" s="77"/>
      <c r="I397" s="77"/>
      <c r="J397" s="77"/>
      <c r="K397" s="77"/>
    </row>
    <row r="398">
      <c r="F398" s="77"/>
      <c r="G398" s="77"/>
      <c r="H398" s="77"/>
      <c r="I398" s="77"/>
      <c r="J398" s="77"/>
      <c r="K398" s="77"/>
    </row>
    <row r="399">
      <c r="F399" s="77"/>
      <c r="G399" s="77"/>
      <c r="H399" s="77"/>
      <c r="I399" s="77"/>
      <c r="J399" s="77"/>
      <c r="K399" s="77"/>
    </row>
    <row r="400">
      <c r="F400" s="77"/>
      <c r="G400" s="77"/>
      <c r="H400" s="77"/>
      <c r="I400" s="77"/>
      <c r="J400" s="77"/>
      <c r="K400" s="77"/>
    </row>
    <row r="401">
      <c r="F401" s="77"/>
      <c r="G401" s="77"/>
      <c r="H401" s="77"/>
      <c r="I401" s="77"/>
      <c r="J401" s="77"/>
      <c r="K401" s="77"/>
    </row>
    <row r="402">
      <c r="F402" s="77"/>
      <c r="G402" s="77"/>
      <c r="H402" s="77"/>
      <c r="I402" s="77"/>
      <c r="J402" s="77"/>
      <c r="K402" s="77"/>
    </row>
    <row r="403">
      <c r="F403" s="77"/>
      <c r="G403" s="77"/>
      <c r="H403" s="77"/>
      <c r="I403" s="77"/>
      <c r="J403" s="77"/>
      <c r="K403" s="77"/>
    </row>
    <row r="404">
      <c r="F404" s="77"/>
      <c r="G404" s="77"/>
      <c r="H404" s="77"/>
      <c r="I404" s="77"/>
      <c r="J404" s="77"/>
      <c r="K404" s="77"/>
    </row>
    <row r="405">
      <c r="F405" s="77"/>
      <c r="G405" s="77"/>
      <c r="H405" s="77"/>
      <c r="I405" s="77"/>
      <c r="J405" s="77"/>
      <c r="K405" s="77"/>
    </row>
    <row r="406">
      <c r="F406" s="77"/>
      <c r="G406" s="77"/>
      <c r="H406" s="77"/>
      <c r="I406" s="77"/>
      <c r="J406" s="77"/>
      <c r="K406" s="77"/>
    </row>
    <row r="407">
      <c r="F407" s="77"/>
      <c r="G407" s="77"/>
      <c r="H407" s="77"/>
      <c r="I407" s="77"/>
      <c r="J407" s="77"/>
      <c r="K407" s="77"/>
    </row>
    <row r="408">
      <c r="F408" s="77"/>
      <c r="G408" s="77"/>
      <c r="H408" s="77"/>
      <c r="I408" s="77"/>
      <c r="J408" s="77"/>
      <c r="K408" s="77"/>
    </row>
    <row r="409">
      <c r="F409" s="77"/>
      <c r="G409" s="77"/>
      <c r="H409" s="77"/>
      <c r="I409" s="77"/>
      <c r="J409" s="77"/>
      <c r="K409" s="77"/>
    </row>
    <row r="410">
      <c r="F410" s="77"/>
      <c r="G410" s="77"/>
      <c r="H410" s="77"/>
      <c r="I410" s="77"/>
      <c r="J410" s="77"/>
      <c r="K410" s="77"/>
    </row>
    <row r="411">
      <c r="F411" s="77"/>
      <c r="G411" s="77"/>
      <c r="H411" s="77"/>
      <c r="I411" s="77"/>
      <c r="J411" s="77"/>
      <c r="K411" s="77"/>
    </row>
    <row r="412">
      <c r="F412" s="77"/>
      <c r="G412" s="77"/>
      <c r="H412" s="77"/>
      <c r="I412" s="77"/>
      <c r="J412" s="77"/>
      <c r="K412" s="77"/>
    </row>
    <row r="413">
      <c r="F413" s="77"/>
      <c r="G413" s="77"/>
      <c r="H413" s="77"/>
      <c r="I413" s="77"/>
      <c r="J413" s="77"/>
      <c r="K413" s="77"/>
    </row>
    <row r="414">
      <c r="F414" s="77"/>
      <c r="G414" s="77"/>
      <c r="H414" s="77"/>
      <c r="I414" s="77"/>
      <c r="J414" s="77"/>
      <c r="K414" s="77"/>
    </row>
    <row r="415">
      <c r="F415" s="77"/>
      <c r="G415" s="77"/>
      <c r="H415" s="77"/>
      <c r="I415" s="77"/>
      <c r="J415" s="77"/>
      <c r="K415" s="77"/>
    </row>
    <row r="416">
      <c r="F416" s="77"/>
      <c r="G416" s="77"/>
      <c r="H416" s="77"/>
      <c r="I416" s="77"/>
      <c r="J416" s="77"/>
      <c r="K416" s="77"/>
    </row>
    <row r="417">
      <c r="F417" s="77"/>
      <c r="G417" s="77"/>
      <c r="H417" s="77"/>
      <c r="I417" s="77"/>
      <c r="J417" s="77"/>
      <c r="K417" s="77"/>
    </row>
    <row r="418">
      <c r="F418" s="77"/>
      <c r="G418" s="77"/>
      <c r="H418" s="77"/>
      <c r="I418" s="77"/>
      <c r="J418" s="77"/>
      <c r="K418" s="77"/>
    </row>
    <row r="419">
      <c r="F419" s="77"/>
      <c r="G419" s="77"/>
      <c r="H419" s="77"/>
      <c r="I419" s="77"/>
      <c r="J419" s="77"/>
      <c r="K419" s="77"/>
    </row>
    <row r="420">
      <c r="F420" s="77"/>
      <c r="G420" s="77"/>
      <c r="H420" s="77"/>
      <c r="I420" s="77"/>
      <c r="J420" s="77"/>
      <c r="K420" s="77"/>
    </row>
    <row r="421">
      <c r="F421" s="77"/>
      <c r="G421" s="77"/>
      <c r="H421" s="77"/>
      <c r="I421" s="77"/>
      <c r="J421" s="77"/>
      <c r="K421" s="77"/>
    </row>
    <row r="422">
      <c r="F422" s="77"/>
      <c r="G422" s="77"/>
      <c r="H422" s="77"/>
      <c r="I422" s="77"/>
      <c r="J422" s="77"/>
      <c r="K422" s="77"/>
    </row>
    <row r="423">
      <c r="F423" s="77"/>
      <c r="G423" s="77"/>
      <c r="H423" s="77"/>
      <c r="I423" s="77"/>
      <c r="J423" s="77"/>
      <c r="K423" s="77"/>
    </row>
    <row r="424">
      <c r="F424" s="77"/>
      <c r="G424" s="77"/>
      <c r="H424" s="77"/>
      <c r="I424" s="77"/>
      <c r="J424" s="77"/>
      <c r="K424" s="77"/>
    </row>
    <row r="425">
      <c r="F425" s="77"/>
      <c r="G425" s="77"/>
      <c r="H425" s="77"/>
      <c r="I425" s="77"/>
      <c r="J425" s="77"/>
      <c r="K425" s="77"/>
    </row>
    <row r="426">
      <c r="F426" s="77"/>
      <c r="G426" s="77"/>
      <c r="H426" s="77"/>
      <c r="I426" s="77"/>
      <c r="J426" s="77"/>
      <c r="K426" s="77"/>
    </row>
    <row r="427">
      <c r="F427" s="77"/>
      <c r="G427" s="77"/>
      <c r="H427" s="77"/>
      <c r="I427" s="77"/>
      <c r="J427" s="77"/>
      <c r="K427" s="77"/>
    </row>
    <row r="428">
      <c r="F428" s="77"/>
      <c r="G428" s="77"/>
      <c r="H428" s="77"/>
      <c r="I428" s="77"/>
      <c r="J428" s="77"/>
      <c r="K428" s="77"/>
    </row>
    <row r="429">
      <c r="F429" s="77"/>
      <c r="G429" s="77"/>
      <c r="H429" s="77"/>
      <c r="I429" s="77"/>
      <c r="J429" s="77"/>
      <c r="K429" s="77"/>
    </row>
    <row r="430">
      <c r="F430" s="77"/>
      <c r="G430" s="77"/>
      <c r="H430" s="77"/>
      <c r="I430" s="77"/>
      <c r="J430" s="77"/>
      <c r="K430" s="77"/>
    </row>
    <row r="431">
      <c r="F431" s="77"/>
      <c r="G431" s="77"/>
      <c r="H431" s="77"/>
      <c r="I431" s="77"/>
      <c r="J431" s="77"/>
      <c r="K431" s="77"/>
    </row>
    <row r="432">
      <c r="F432" s="77"/>
      <c r="G432" s="77"/>
      <c r="H432" s="77"/>
      <c r="I432" s="77"/>
      <c r="J432" s="77"/>
      <c r="K432" s="77"/>
    </row>
    <row r="433">
      <c r="F433" s="77"/>
      <c r="G433" s="77"/>
      <c r="H433" s="77"/>
      <c r="I433" s="77"/>
      <c r="J433" s="77"/>
      <c r="K433" s="77"/>
    </row>
    <row r="434">
      <c r="F434" s="77"/>
      <c r="G434" s="77"/>
      <c r="H434" s="77"/>
      <c r="I434" s="77"/>
      <c r="J434" s="77"/>
      <c r="K434" s="77"/>
    </row>
    <row r="435">
      <c r="F435" s="77"/>
      <c r="G435" s="77"/>
      <c r="H435" s="77"/>
      <c r="I435" s="77"/>
      <c r="J435" s="77"/>
      <c r="K435" s="77"/>
    </row>
    <row r="436">
      <c r="F436" s="77"/>
      <c r="G436" s="77"/>
      <c r="H436" s="77"/>
      <c r="I436" s="77"/>
      <c r="J436" s="77"/>
      <c r="K436" s="77"/>
    </row>
    <row r="437">
      <c r="F437" s="77"/>
      <c r="G437" s="77"/>
      <c r="H437" s="77"/>
      <c r="I437" s="77"/>
      <c r="J437" s="77"/>
      <c r="K437" s="77"/>
    </row>
    <row r="438">
      <c r="F438" s="77"/>
      <c r="G438" s="77"/>
      <c r="H438" s="77"/>
      <c r="I438" s="77"/>
      <c r="J438" s="77"/>
      <c r="K438" s="77"/>
    </row>
    <row r="439">
      <c r="F439" s="77"/>
      <c r="G439" s="77"/>
      <c r="H439" s="77"/>
      <c r="I439" s="77"/>
      <c r="J439" s="77"/>
      <c r="K439" s="77"/>
    </row>
    <row r="440">
      <c r="F440" s="77"/>
      <c r="G440" s="77"/>
      <c r="H440" s="77"/>
      <c r="I440" s="77"/>
      <c r="J440" s="77"/>
      <c r="K440" s="77"/>
    </row>
    <row r="441">
      <c r="F441" s="77"/>
      <c r="G441" s="77"/>
      <c r="H441" s="77"/>
      <c r="I441" s="77"/>
      <c r="J441" s="77"/>
      <c r="K441" s="77"/>
    </row>
    <row r="442">
      <c r="F442" s="77"/>
      <c r="G442" s="77"/>
      <c r="H442" s="77"/>
      <c r="I442" s="77"/>
      <c r="J442" s="77"/>
      <c r="K442" s="77"/>
    </row>
    <row r="443">
      <c r="F443" s="77"/>
      <c r="G443" s="77"/>
      <c r="H443" s="77"/>
      <c r="I443" s="77"/>
      <c r="J443" s="77"/>
      <c r="K443" s="77"/>
    </row>
    <row r="444">
      <c r="F444" s="77"/>
      <c r="G444" s="77"/>
      <c r="H444" s="77"/>
      <c r="I444" s="77"/>
      <c r="J444" s="77"/>
      <c r="K444" s="77"/>
    </row>
    <row r="445">
      <c r="F445" s="77"/>
      <c r="G445" s="77"/>
      <c r="H445" s="77"/>
      <c r="I445" s="77"/>
      <c r="J445" s="77"/>
      <c r="K445" s="77"/>
    </row>
    <row r="446">
      <c r="F446" s="77"/>
      <c r="G446" s="77"/>
      <c r="H446" s="77"/>
      <c r="I446" s="77"/>
      <c r="J446" s="77"/>
      <c r="K446" s="77"/>
    </row>
    <row r="447">
      <c r="F447" s="77"/>
      <c r="G447" s="77"/>
      <c r="H447" s="77"/>
      <c r="I447" s="77"/>
      <c r="J447" s="77"/>
      <c r="K447" s="77"/>
    </row>
    <row r="448">
      <c r="F448" s="77"/>
      <c r="G448" s="77"/>
      <c r="H448" s="77"/>
      <c r="I448" s="77"/>
      <c r="J448" s="77"/>
      <c r="K448" s="77"/>
    </row>
    <row r="449">
      <c r="F449" s="77"/>
      <c r="G449" s="77"/>
      <c r="H449" s="77"/>
      <c r="I449" s="77"/>
      <c r="J449" s="77"/>
      <c r="K449" s="77"/>
    </row>
    <row r="450">
      <c r="F450" s="77"/>
      <c r="G450" s="77"/>
      <c r="H450" s="77"/>
      <c r="I450" s="77"/>
      <c r="J450" s="77"/>
      <c r="K450" s="77"/>
    </row>
    <row r="451">
      <c r="F451" s="77"/>
      <c r="G451" s="77"/>
      <c r="H451" s="77"/>
      <c r="I451" s="77"/>
      <c r="J451" s="77"/>
      <c r="K451" s="77"/>
    </row>
    <row r="452">
      <c r="F452" s="77"/>
      <c r="G452" s="77"/>
      <c r="H452" s="77"/>
      <c r="I452" s="77"/>
      <c r="J452" s="77"/>
      <c r="K452" s="77"/>
    </row>
    <row r="453">
      <c r="F453" s="77"/>
      <c r="G453" s="77"/>
      <c r="H453" s="77"/>
      <c r="I453" s="77"/>
      <c r="J453" s="77"/>
      <c r="K453" s="77"/>
    </row>
    <row r="454">
      <c r="F454" s="77"/>
      <c r="G454" s="77"/>
      <c r="H454" s="77"/>
      <c r="I454" s="77"/>
      <c r="J454" s="77"/>
      <c r="K454" s="77"/>
    </row>
    <row r="455">
      <c r="F455" s="77"/>
      <c r="G455" s="77"/>
      <c r="H455" s="77"/>
      <c r="I455" s="77"/>
      <c r="J455" s="77"/>
      <c r="K455" s="77"/>
    </row>
    <row r="456">
      <c r="F456" s="77"/>
      <c r="G456" s="77"/>
      <c r="H456" s="77"/>
      <c r="I456" s="77"/>
      <c r="J456" s="77"/>
      <c r="K456" s="77"/>
    </row>
    <row r="457">
      <c r="F457" s="77"/>
      <c r="G457" s="77"/>
      <c r="H457" s="77"/>
      <c r="I457" s="77"/>
      <c r="J457" s="77"/>
      <c r="K457" s="77"/>
    </row>
    <row r="458">
      <c r="F458" s="77"/>
      <c r="G458" s="77"/>
      <c r="H458" s="77"/>
      <c r="I458" s="77"/>
      <c r="J458" s="77"/>
      <c r="K458" s="77"/>
    </row>
    <row r="459">
      <c r="F459" s="77"/>
      <c r="G459" s="77"/>
      <c r="H459" s="77"/>
      <c r="I459" s="77"/>
      <c r="J459" s="77"/>
      <c r="K459" s="77"/>
    </row>
    <row r="460">
      <c r="F460" s="77"/>
      <c r="G460" s="77"/>
      <c r="H460" s="77"/>
      <c r="I460" s="77"/>
      <c r="J460" s="77"/>
      <c r="K460" s="77"/>
    </row>
    <row r="461">
      <c r="F461" s="77"/>
      <c r="G461" s="77"/>
      <c r="H461" s="77"/>
      <c r="I461" s="77"/>
      <c r="J461" s="77"/>
      <c r="K461" s="77"/>
    </row>
    <row r="462">
      <c r="F462" s="77"/>
      <c r="G462" s="77"/>
      <c r="H462" s="77"/>
      <c r="I462" s="77"/>
      <c r="J462" s="77"/>
      <c r="K462" s="77"/>
    </row>
    <row r="463">
      <c r="F463" s="77"/>
      <c r="G463" s="77"/>
      <c r="H463" s="77"/>
      <c r="I463" s="77"/>
      <c r="J463" s="77"/>
      <c r="K463" s="77"/>
    </row>
    <row r="464">
      <c r="F464" s="77"/>
      <c r="G464" s="77"/>
      <c r="H464" s="77"/>
      <c r="I464" s="77"/>
      <c r="J464" s="77"/>
      <c r="K464" s="77"/>
    </row>
    <row r="465">
      <c r="F465" s="77"/>
      <c r="G465" s="77"/>
      <c r="H465" s="77"/>
      <c r="I465" s="77"/>
      <c r="J465" s="77"/>
      <c r="K465" s="77"/>
    </row>
    <row r="466">
      <c r="F466" s="77"/>
      <c r="G466" s="77"/>
      <c r="H466" s="77"/>
      <c r="I466" s="77"/>
      <c r="J466" s="77"/>
      <c r="K466" s="77"/>
    </row>
    <row r="467">
      <c r="F467" s="77"/>
      <c r="G467" s="77"/>
      <c r="H467" s="77"/>
      <c r="I467" s="77"/>
      <c r="J467" s="77"/>
      <c r="K467" s="77"/>
    </row>
    <row r="468">
      <c r="F468" s="77"/>
      <c r="G468" s="77"/>
      <c r="H468" s="77"/>
      <c r="I468" s="77"/>
      <c r="J468" s="77"/>
      <c r="K468" s="77"/>
    </row>
    <row r="469">
      <c r="F469" s="77"/>
      <c r="G469" s="77"/>
      <c r="H469" s="77"/>
      <c r="I469" s="77"/>
      <c r="J469" s="77"/>
      <c r="K469" s="77"/>
    </row>
    <row r="470">
      <c r="F470" s="77"/>
      <c r="G470" s="77"/>
      <c r="H470" s="77"/>
      <c r="I470" s="77"/>
      <c r="J470" s="77"/>
      <c r="K470" s="77"/>
    </row>
    <row r="471">
      <c r="F471" s="77"/>
      <c r="G471" s="77"/>
      <c r="H471" s="77"/>
      <c r="I471" s="77"/>
      <c r="J471" s="77"/>
      <c r="K471" s="77"/>
    </row>
    <row r="472">
      <c r="F472" s="77"/>
      <c r="G472" s="77"/>
      <c r="H472" s="77"/>
      <c r="I472" s="77"/>
      <c r="J472" s="77"/>
      <c r="K472" s="77"/>
    </row>
    <row r="473">
      <c r="F473" s="77"/>
      <c r="G473" s="77"/>
      <c r="H473" s="77"/>
      <c r="I473" s="77"/>
      <c r="J473" s="77"/>
      <c r="K473" s="77"/>
    </row>
    <row r="474">
      <c r="F474" s="77"/>
      <c r="G474" s="77"/>
      <c r="H474" s="77"/>
      <c r="I474" s="77"/>
      <c r="J474" s="77"/>
      <c r="K474" s="77"/>
    </row>
    <row r="475">
      <c r="F475" s="77"/>
      <c r="G475" s="77"/>
      <c r="H475" s="77"/>
      <c r="I475" s="77"/>
      <c r="J475" s="77"/>
      <c r="K475" s="77"/>
    </row>
    <row r="476">
      <c r="F476" s="77"/>
      <c r="G476" s="77"/>
      <c r="H476" s="77"/>
      <c r="I476" s="77"/>
      <c r="J476" s="77"/>
      <c r="K476" s="77"/>
    </row>
    <row r="477">
      <c r="F477" s="77"/>
      <c r="G477" s="77"/>
      <c r="H477" s="77"/>
      <c r="I477" s="77"/>
      <c r="J477" s="77"/>
      <c r="K477" s="77"/>
    </row>
    <row r="478">
      <c r="F478" s="77"/>
      <c r="G478" s="77"/>
      <c r="H478" s="77"/>
      <c r="I478" s="77"/>
      <c r="J478" s="77"/>
      <c r="K478" s="77"/>
    </row>
    <row r="479">
      <c r="F479" s="77"/>
      <c r="G479" s="77"/>
      <c r="H479" s="77"/>
      <c r="I479" s="77"/>
      <c r="J479" s="77"/>
      <c r="K479" s="77"/>
    </row>
    <row r="480">
      <c r="F480" s="77"/>
      <c r="G480" s="77"/>
      <c r="H480" s="77"/>
      <c r="I480" s="77"/>
      <c r="J480" s="77"/>
      <c r="K480" s="77"/>
    </row>
    <row r="481">
      <c r="F481" s="77"/>
      <c r="G481" s="77"/>
      <c r="H481" s="77"/>
      <c r="I481" s="77"/>
      <c r="J481" s="77"/>
      <c r="K481" s="77"/>
    </row>
    <row r="482">
      <c r="F482" s="77"/>
      <c r="G482" s="77"/>
      <c r="H482" s="77"/>
      <c r="I482" s="77"/>
      <c r="J482" s="77"/>
      <c r="K482" s="77"/>
    </row>
    <row r="483">
      <c r="F483" s="77"/>
      <c r="G483" s="77"/>
      <c r="H483" s="77"/>
      <c r="I483" s="77"/>
      <c r="J483" s="77"/>
      <c r="K483" s="77"/>
    </row>
    <row r="484">
      <c r="F484" s="77"/>
      <c r="G484" s="77"/>
      <c r="H484" s="77"/>
      <c r="I484" s="77"/>
      <c r="J484" s="77"/>
      <c r="K484" s="77"/>
    </row>
    <row r="485">
      <c r="F485" s="77"/>
      <c r="G485" s="77"/>
      <c r="H485" s="77"/>
      <c r="I485" s="77"/>
      <c r="J485" s="77"/>
      <c r="K485" s="77"/>
    </row>
    <row r="486">
      <c r="F486" s="77"/>
      <c r="G486" s="77"/>
      <c r="H486" s="77"/>
      <c r="I486" s="77"/>
      <c r="J486" s="77"/>
      <c r="K486" s="77"/>
    </row>
    <row r="487">
      <c r="F487" s="77"/>
      <c r="G487" s="77"/>
      <c r="H487" s="77"/>
      <c r="I487" s="77"/>
      <c r="J487" s="77"/>
      <c r="K487" s="77"/>
    </row>
    <row r="488">
      <c r="F488" s="77"/>
      <c r="G488" s="77"/>
      <c r="H488" s="77"/>
      <c r="I488" s="77"/>
      <c r="J488" s="77"/>
      <c r="K488" s="77"/>
    </row>
    <row r="489">
      <c r="F489" s="77"/>
      <c r="G489" s="77"/>
      <c r="H489" s="77"/>
      <c r="I489" s="77"/>
      <c r="J489" s="77"/>
      <c r="K489" s="77"/>
    </row>
    <row r="490">
      <c r="F490" s="77"/>
      <c r="G490" s="77"/>
      <c r="H490" s="77"/>
      <c r="I490" s="77"/>
      <c r="J490" s="77"/>
      <c r="K490" s="77"/>
    </row>
    <row r="491">
      <c r="F491" s="77"/>
      <c r="G491" s="77"/>
      <c r="H491" s="77"/>
      <c r="I491" s="77"/>
      <c r="J491" s="77"/>
      <c r="K491" s="77"/>
    </row>
    <row r="492">
      <c r="F492" s="77"/>
      <c r="G492" s="77"/>
      <c r="H492" s="77"/>
      <c r="I492" s="77"/>
      <c r="J492" s="77"/>
      <c r="K492" s="77"/>
    </row>
    <row r="493">
      <c r="F493" s="77"/>
      <c r="G493" s="77"/>
      <c r="H493" s="77"/>
      <c r="I493" s="77"/>
      <c r="J493" s="77"/>
      <c r="K493" s="77"/>
    </row>
    <row r="494">
      <c r="F494" s="77"/>
      <c r="G494" s="77"/>
      <c r="H494" s="77"/>
      <c r="I494" s="77"/>
      <c r="J494" s="77"/>
      <c r="K494" s="77"/>
    </row>
    <row r="495">
      <c r="F495" s="77"/>
      <c r="G495" s="77"/>
      <c r="H495" s="77"/>
      <c r="I495" s="77"/>
      <c r="J495" s="77"/>
      <c r="K495" s="77"/>
    </row>
    <row r="496">
      <c r="F496" s="77"/>
      <c r="G496" s="77"/>
      <c r="H496" s="77"/>
      <c r="I496" s="77"/>
      <c r="J496" s="77"/>
      <c r="K496" s="77"/>
    </row>
    <row r="497">
      <c r="F497" s="77"/>
      <c r="G497" s="77"/>
      <c r="H497" s="77"/>
      <c r="I497" s="77"/>
      <c r="J497" s="77"/>
      <c r="K497" s="77"/>
    </row>
    <row r="498">
      <c r="F498" s="77"/>
      <c r="G498" s="77"/>
      <c r="H498" s="77"/>
      <c r="I498" s="77"/>
      <c r="J498" s="77"/>
      <c r="K498" s="77"/>
    </row>
    <row r="499">
      <c r="F499" s="77"/>
      <c r="G499" s="77"/>
      <c r="H499" s="77"/>
      <c r="I499" s="77"/>
      <c r="J499" s="77"/>
      <c r="K499" s="77"/>
    </row>
    <row r="500">
      <c r="F500" s="77"/>
      <c r="G500" s="77"/>
      <c r="H500" s="77"/>
      <c r="I500" s="77"/>
      <c r="J500" s="77"/>
      <c r="K500" s="77"/>
    </row>
    <row r="501">
      <c r="F501" s="77"/>
      <c r="G501" s="77"/>
      <c r="H501" s="77"/>
      <c r="I501" s="77"/>
      <c r="J501" s="77"/>
      <c r="K501" s="77"/>
    </row>
    <row r="502">
      <c r="F502" s="77"/>
      <c r="G502" s="77"/>
      <c r="H502" s="77"/>
      <c r="I502" s="77"/>
      <c r="J502" s="77"/>
      <c r="K502" s="77"/>
    </row>
    <row r="503">
      <c r="F503" s="77"/>
      <c r="G503" s="77"/>
      <c r="H503" s="77"/>
      <c r="I503" s="77"/>
      <c r="J503" s="77"/>
      <c r="K503" s="77"/>
    </row>
    <row r="504">
      <c r="F504" s="77"/>
      <c r="G504" s="77"/>
      <c r="H504" s="77"/>
      <c r="I504" s="77"/>
      <c r="J504" s="77"/>
      <c r="K504" s="77"/>
    </row>
    <row r="505">
      <c r="F505" s="77"/>
      <c r="G505" s="77"/>
      <c r="H505" s="77"/>
      <c r="I505" s="77"/>
      <c r="J505" s="77"/>
      <c r="K505" s="77"/>
    </row>
    <row r="506">
      <c r="F506" s="77"/>
      <c r="G506" s="77"/>
      <c r="H506" s="77"/>
      <c r="I506" s="77"/>
      <c r="J506" s="77"/>
      <c r="K506" s="77"/>
    </row>
    <row r="507">
      <c r="F507" s="77"/>
      <c r="G507" s="77"/>
      <c r="H507" s="77"/>
      <c r="I507" s="77"/>
      <c r="J507" s="77"/>
      <c r="K507" s="77"/>
    </row>
    <row r="508">
      <c r="F508" s="77"/>
      <c r="G508" s="77"/>
      <c r="H508" s="77"/>
      <c r="I508" s="77"/>
      <c r="J508" s="77"/>
      <c r="K508" s="77"/>
    </row>
    <row r="509">
      <c r="F509" s="77"/>
      <c r="G509" s="77"/>
      <c r="H509" s="77"/>
      <c r="I509" s="77"/>
      <c r="J509" s="77"/>
      <c r="K509" s="77"/>
    </row>
    <row r="510">
      <c r="F510" s="77"/>
      <c r="G510" s="77"/>
      <c r="H510" s="77"/>
      <c r="I510" s="77"/>
      <c r="J510" s="77"/>
      <c r="K510" s="77"/>
    </row>
    <row r="511">
      <c r="F511" s="77"/>
      <c r="G511" s="77"/>
      <c r="H511" s="77"/>
      <c r="I511" s="77"/>
      <c r="J511" s="77"/>
      <c r="K511" s="77"/>
    </row>
    <row r="512">
      <c r="F512" s="77"/>
      <c r="G512" s="77"/>
      <c r="H512" s="77"/>
      <c r="I512" s="77"/>
      <c r="J512" s="77"/>
      <c r="K512" s="77"/>
    </row>
    <row r="513">
      <c r="F513" s="77"/>
      <c r="G513" s="77"/>
      <c r="H513" s="77"/>
      <c r="I513" s="77"/>
      <c r="J513" s="77"/>
      <c r="K513" s="77"/>
    </row>
    <row r="514">
      <c r="F514" s="77"/>
      <c r="G514" s="77"/>
      <c r="H514" s="77"/>
      <c r="I514" s="77"/>
      <c r="J514" s="77"/>
      <c r="K514" s="77"/>
    </row>
    <row r="515">
      <c r="F515" s="77"/>
      <c r="G515" s="77"/>
      <c r="H515" s="77"/>
      <c r="I515" s="77"/>
      <c r="J515" s="77"/>
      <c r="K515" s="77"/>
    </row>
    <row r="516">
      <c r="F516" s="77"/>
      <c r="G516" s="77"/>
      <c r="H516" s="77"/>
      <c r="I516" s="77"/>
      <c r="J516" s="77"/>
      <c r="K516" s="77"/>
    </row>
    <row r="517">
      <c r="F517" s="77"/>
      <c r="G517" s="77"/>
      <c r="H517" s="77"/>
      <c r="I517" s="77"/>
      <c r="J517" s="77"/>
      <c r="K517" s="77"/>
    </row>
    <row r="518">
      <c r="F518" s="77"/>
      <c r="G518" s="77"/>
      <c r="H518" s="77"/>
      <c r="I518" s="77"/>
      <c r="J518" s="77"/>
      <c r="K518" s="77"/>
    </row>
    <row r="519">
      <c r="F519" s="77"/>
      <c r="G519" s="77"/>
      <c r="H519" s="77"/>
      <c r="I519" s="77"/>
      <c r="J519" s="77"/>
      <c r="K519" s="77"/>
    </row>
    <row r="520">
      <c r="F520" s="77"/>
      <c r="G520" s="77"/>
      <c r="H520" s="77"/>
      <c r="I520" s="77"/>
      <c r="J520" s="77"/>
      <c r="K520" s="77"/>
    </row>
    <row r="521">
      <c r="F521" s="77"/>
      <c r="G521" s="77"/>
      <c r="H521" s="77"/>
      <c r="I521" s="77"/>
      <c r="J521" s="77"/>
      <c r="K521" s="77"/>
    </row>
    <row r="522">
      <c r="F522" s="77"/>
      <c r="G522" s="77"/>
      <c r="H522" s="77"/>
      <c r="I522" s="77"/>
      <c r="J522" s="77"/>
      <c r="K522" s="77"/>
    </row>
    <row r="523">
      <c r="F523" s="77"/>
      <c r="G523" s="77"/>
      <c r="H523" s="77"/>
      <c r="I523" s="77"/>
      <c r="J523" s="77"/>
      <c r="K523" s="77"/>
    </row>
    <row r="524">
      <c r="F524" s="77"/>
      <c r="G524" s="77"/>
      <c r="H524" s="77"/>
      <c r="I524" s="77"/>
      <c r="J524" s="77"/>
      <c r="K524" s="77"/>
    </row>
    <row r="525">
      <c r="F525" s="77"/>
      <c r="G525" s="77"/>
      <c r="H525" s="77"/>
      <c r="I525" s="77"/>
      <c r="J525" s="77"/>
      <c r="K525" s="77"/>
    </row>
    <row r="526">
      <c r="F526" s="77"/>
      <c r="G526" s="77"/>
      <c r="H526" s="77"/>
      <c r="I526" s="77"/>
      <c r="J526" s="77"/>
      <c r="K526" s="77"/>
    </row>
    <row r="527">
      <c r="F527" s="77"/>
      <c r="G527" s="77"/>
      <c r="H527" s="77"/>
      <c r="I527" s="77"/>
      <c r="J527" s="77"/>
      <c r="K527" s="77"/>
    </row>
    <row r="528">
      <c r="F528" s="77"/>
      <c r="G528" s="77"/>
      <c r="H528" s="77"/>
      <c r="I528" s="77"/>
      <c r="J528" s="77"/>
      <c r="K528" s="77"/>
    </row>
    <row r="529">
      <c r="F529" s="77"/>
      <c r="G529" s="77"/>
      <c r="H529" s="77"/>
      <c r="I529" s="77"/>
      <c r="J529" s="77"/>
      <c r="K529" s="77"/>
    </row>
    <row r="530">
      <c r="F530" s="77"/>
      <c r="G530" s="77"/>
      <c r="H530" s="77"/>
      <c r="I530" s="77"/>
      <c r="J530" s="77"/>
      <c r="K530" s="77"/>
    </row>
    <row r="531">
      <c r="F531" s="77"/>
      <c r="G531" s="77"/>
      <c r="H531" s="77"/>
      <c r="I531" s="77"/>
      <c r="J531" s="77"/>
      <c r="K531" s="77"/>
    </row>
    <row r="532">
      <c r="F532" s="77"/>
      <c r="G532" s="77"/>
      <c r="H532" s="77"/>
      <c r="I532" s="77"/>
      <c r="J532" s="77"/>
      <c r="K532" s="77"/>
    </row>
    <row r="533">
      <c r="F533" s="77"/>
      <c r="G533" s="77"/>
      <c r="H533" s="77"/>
      <c r="I533" s="77"/>
      <c r="J533" s="77"/>
      <c r="K533" s="77"/>
    </row>
    <row r="534">
      <c r="F534" s="77"/>
      <c r="G534" s="77"/>
      <c r="H534" s="77"/>
      <c r="I534" s="77"/>
      <c r="J534" s="77"/>
      <c r="K534" s="77"/>
    </row>
    <row r="535">
      <c r="F535" s="77"/>
      <c r="G535" s="77"/>
      <c r="H535" s="77"/>
      <c r="I535" s="77"/>
      <c r="J535" s="77"/>
      <c r="K535" s="77"/>
    </row>
    <row r="536">
      <c r="F536" s="77"/>
      <c r="G536" s="77"/>
      <c r="H536" s="77"/>
      <c r="I536" s="77"/>
      <c r="J536" s="77"/>
      <c r="K536" s="77"/>
    </row>
    <row r="537">
      <c r="F537" s="77"/>
      <c r="G537" s="77"/>
      <c r="H537" s="77"/>
      <c r="I537" s="77"/>
      <c r="J537" s="77"/>
      <c r="K537" s="77"/>
    </row>
    <row r="538">
      <c r="F538" s="77"/>
      <c r="G538" s="77"/>
      <c r="H538" s="77"/>
      <c r="I538" s="77"/>
      <c r="J538" s="77"/>
      <c r="K538" s="77"/>
    </row>
    <row r="539">
      <c r="F539" s="77"/>
      <c r="G539" s="77"/>
      <c r="H539" s="77"/>
      <c r="I539" s="77"/>
      <c r="J539" s="77"/>
      <c r="K539" s="77"/>
    </row>
    <row r="540">
      <c r="F540" s="77"/>
      <c r="G540" s="77"/>
      <c r="H540" s="77"/>
      <c r="I540" s="77"/>
      <c r="J540" s="77"/>
      <c r="K540" s="77"/>
    </row>
    <row r="541">
      <c r="F541" s="77"/>
      <c r="G541" s="77"/>
      <c r="H541" s="77"/>
      <c r="I541" s="77"/>
      <c r="J541" s="77"/>
      <c r="K541" s="77"/>
    </row>
    <row r="542">
      <c r="F542" s="77"/>
      <c r="G542" s="77"/>
      <c r="H542" s="77"/>
      <c r="I542" s="77"/>
      <c r="J542" s="77"/>
      <c r="K542" s="77"/>
    </row>
    <row r="543">
      <c r="F543" s="77"/>
      <c r="G543" s="77"/>
      <c r="H543" s="77"/>
      <c r="I543" s="77"/>
      <c r="J543" s="77"/>
      <c r="K543" s="77"/>
    </row>
    <row r="544">
      <c r="F544" s="77"/>
      <c r="G544" s="77"/>
      <c r="H544" s="77"/>
      <c r="I544" s="77"/>
      <c r="J544" s="77"/>
      <c r="K544" s="77"/>
    </row>
    <row r="545">
      <c r="F545" s="77"/>
      <c r="G545" s="77"/>
      <c r="H545" s="77"/>
      <c r="I545" s="77"/>
      <c r="J545" s="77"/>
      <c r="K545" s="77"/>
    </row>
    <row r="546">
      <c r="F546" s="77"/>
      <c r="G546" s="77"/>
      <c r="H546" s="77"/>
      <c r="I546" s="77"/>
      <c r="J546" s="77"/>
      <c r="K546" s="77"/>
    </row>
    <row r="547">
      <c r="F547" s="77"/>
      <c r="G547" s="77"/>
      <c r="H547" s="77"/>
      <c r="I547" s="77"/>
      <c r="J547" s="77"/>
      <c r="K547" s="77"/>
    </row>
    <row r="548">
      <c r="F548" s="77"/>
      <c r="G548" s="77"/>
      <c r="H548" s="77"/>
      <c r="I548" s="77"/>
      <c r="J548" s="77"/>
      <c r="K548" s="77"/>
    </row>
    <row r="549">
      <c r="F549" s="77"/>
      <c r="G549" s="77"/>
      <c r="H549" s="77"/>
      <c r="I549" s="77"/>
      <c r="J549" s="77"/>
      <c r="K549" s="77"/>
    </row>
    <row r="550">
      <c r="F550" s="77"/>
      <c r="G550" s="77"/>
      <c r="H550" s="77"/>
      <c r="I550" s="77"/>
      <c r="J550" s="77"/>
      <c r="K550" s="77"/>
    </row>
    <row r="551">
      <c r="F551" s="77"/>
      <c r="G551" s="77"/>
      <c r="H551" s="77"/>
      <c r="I551" s="77"/>
      <c r="J551" s="77"/>
      <c r="K551" s="77"/>
    </row>
    <row r="552">
      <c r="F552" s="77"/>
      <c r="G552" s="77"/>
      <c r="H552" s="77"/>
      <c r="I552" s="77"/>
      <c r="J552" s="77"/>
      <c r="K552" s="77"/>
    </row>
    <row r="553">
      <c r="F553" s="77"/>
      <c r="G553" s="77"/>
      <c r="H553" s="77"/>
      <c r="I553" s="77"/>
      <c r="J553" s="77"/>
      <c r="K553" s="77"/>
    </row>
    <row r="554">
      <c r="F554" s="77"/>
      <c r="G554" s="77"/>
      <c r="H554" s="77"/>
      <c r="I554" s="77"/>
      <c r="J554" s="77"/>
      <c r="K554" s="77"/>
    </row>
    <row r="555">
      <c r="F555" s="77"/>
      <c r="G555" s="77"/>
      <c r="H555" s="77"/>
      <c r="I555" s="77"/>
      <c r="J555" s="77"/>
      <c r="K555" s="77"/>
    </row>
    <row r="556">
      <c r="F556" s="77"/>
      <c r="G556" s="77"/>
      <c r="H556" s="77"/>
      <c r="I556" s="77"/>
      <c r="J556" s="77"/>
      <c r="K556" s="77"/>
    </row>
    <row r="557">
      <c r="F557" s="77"/>
      <c r="G557" s="77"/>
      <c r="H557" s="77"/>
      <c r="I557" s="77"/>
      <c r="J557" s="77"/>
      <c r="K557" s="77"/>
    </row>
    <row r="558">
      <c r="F558" s="77"/>
      <c r="G558" s="77"/>
      <c r="H558" s="77"/>
      <c r="I558" s="77"/>
      <c r="J558" s="77"/>
      <c r="K558" s="77"/>
    </row>
    <row r="559">
      <c r="F559" s="77"/>
      <c r="G559" s="77"/>
      <c r="H559" s="77"/>
      <c r="I559" s="77"/>
      <c r="J559" s="77"/>
      <c r="K559" s="77"/>
    </row>
    <row r="560">
      <c r="F560" s="77"/>
      <c r="G560" s="77"/>
      <c r="H560" s="77"/>
      <c r="I560" s="77"/>
      <c r="J560" s="77"/>
      <c r="K560" s="77"/>
    </row>
    <row r="561">
      <c r="F561" s="77"/>
      <c r="G561" s="77"/>
      <c r="H561" s="77"/>
      <c r="I561" s="77"/>
      <c r="J561" s="77"/>
      <c r="K561" s="77"/>
    </row>
    <row r="562">
      <c r="F562" s="77"/>
      <c r="G562" s="77"/>
      <c r="H562" s="77"/>
      <c r="I562" s="77"/>
      <c r="J562" s="77"/>
      <c r="K562" s="77"/>
    </row>
    <row r="563">
      <c r="F563" s="77"/>
      <c r="G563" s="77"/>
      <c r="H563" s="77"/>
      <c r="I563" s="77"/>
      <c r="J563" s="77"/>
      <c r="K563" s="77"/>
    </row>
    <row r="564">
      <c r="F564" s="77"/>
      <c r="G564" s="77"/>
      <c r="H564" s="77"/>
      <c r="I564" s="77"/>
      <c r="J564" s="77"/>
      <c r="K564" s="77"/>
    </row>
    <row r="565">
      <c r="F565" s="77"/>
      <c r="G565" s="77"/>
      <c r="H565" s="77"/>
      <c r="I565" s="77"/>
      <c r="J565" s="77"/>
      <c r="K565" s="77"/>
    </row>
    <row r="566">
      <c r="F566" s="77"/>
      <c r="G566" s="77"/>
      <c r="H566" s="77"/>
      <c r="I566" s="77"/>
      <c r="J566" s="77"/>
      <c r="K566" s="77"/>
    </row>
    <row r="567">
      <c r="F567" s="77"/>
      <c r="G567" s="77"/>
      <c r="H567" s="77"/>
      <c r="I567" s="77"/>
      <c r="J567" s="77"/>
      <c r="K567" s="77"/>
    </row>
    <row r="568">
      <c r="F568" s="77"/>
      <c r="G568" s="77"/>
      <c r="H568" s="77"/>
      <c r="I568" s="77"/>
      <c r="J568" s="77"/>
      <c r="K568" s="77"/>
    </row>
    <row r="569">
      <c r="F569" s="77"/>
      <c r="G569" s="77"/>
      <c r="H569" s="77"/>
      <c r="I569" s="77"/>
      <c r="J569" s="77"/>
      <c r="K569" s="77"/>
    </row>
    <row r="570">
      <c r="F570" s="77"/>
      <c r="G570" s="77"/>
      <c r="H570" s="77"/>
      <c r="I570" s="77"/>
      <c r="J570" s="77"/>
      <c r="K570" s="77"/>
    </row>
    <row r="571">
      <c r="F571" s="77"/>
      <c r="G571" s="77"/>
      <c r="H571" s="77"/>
      <c r="I571" s="77"/>
      <c r="J571" s="77"/>
      <c r="K571" s="77"/>
    </row>
    <row r="572">
      <c r="F572" s="77"/>
      <c r="G572" s="77"/>
      <c r="H572" s="77"/>
      <c r="I572" s="77"/>
      <c r="J572" s="77"/>
      <c r="K572" s="77"/>
    </row>
    <row r="573">
      <c r="F573" s="77"/>
      <c r="G573" s="77"/>
      <c r="H573" s="77"/>
      <c r="I573" s="77"/>
      <c r="J573" s="77"/>
      <c r="K573" s="77"/>
    </row>
    <row r="574">
      <c r="F574" s="77"/>
      <c r="G574" s="77"/>
      <c r="H574" s="77"/>
      <c r="I574" s="77"/>
      <c r="J574" s="77"/>
      <c r="K574" s="77"/>
    </row>
    <row r="575">
      <c r="F575" s="77"/>
      <c r="G575" s="77"/>
      <c r="H575" s="77"/>
      <c r="I575" s="77"/>
      <c r="J575" s="77"/>
      <c r="K575" s="77"/>
    </row>
    <row r="576">
      <c r="F576" s="77"/>
      <c r="G576" s="77"/>
      <c r="H576" s="77"/>
      <c r="I576" s="77"/>
      <c r="J576" s="77"/>
      <c r="K576" s="77"/>
    </row>
    <row r="577">
      <c r="F577" s="77"/>
      <c r="G577" s="77"/>
      <c r="H577" s="77"/>
      <c r="I577" s="77"/>
      <c r="J577" s="77"/>
      <c r="K577" s="77"/>
    </row>
    <row r="578">
      <c r="F578" s="77"/>
      <c r="G578" s="77"/>
      <c r="H578" s="77"/>
      <c r="I578" s="77"/>
      <c r="J578" s="77"/>
      <c r="K578" s="77"/>
    </row>
    <row r="579">
      <c r="F579" s="77"/>
      <c r="G579" s="77"/>
      <c r="H579" s="77"/>
      <c r="I579" s="77"/>
      <c r="J579" s="77"/>
      <c r="K579" s="77"/>
    </row>
    <row r="580">
      <c r="F580" s="77"/>
      <c r="G580" s="77"/>
      <c r="H580" s="77"/>
      <c r="I580" s="77"/>
      <c r="J580" s="77"/>
      <c r="K580" s="77"/>
    </row>
    <row r="581">
      <c r="F581" s="77"/>
      <c r="G581" s="77"/>
      <c r="H581" s="77"/>
      <c r="I581" s="77"/>
      <c r="J581" s="77"/>
      <c r="K581" s="77"/>
    </row>
    <row r="582">
      <c r="F582" s="77"/>
      <c r="G582" s="77"/>
      <c r="H582" s="77"/>
      <c r="I582" s="77"/>
      <c r="J582" s="77"/>
      <c r="K582" s="77"/>
    </row>
    <row r="583">
      <c r="F583" s="77"/>
      <c r="G583" s="77"/>
      <c r="H583" s="77"/>
      <c r="I583" s="77"/>
      <c r="J583" s="77"/>
      <c r="K583" s="77"/>
    </row>
    <row r="584">
      <c r="F584" s="77"/>
      <c r="G584" s="77"/>
      <c r="H584" s="77"/>
      <c r="I584" s="77"/>
      <c r="J584" s="77"/>
      <c r="K584" s="77"/>
    </row>
    <row r="585">
      <c r="F585" s="77"/>
      <c r="G585" s="77"/>
      <c r="H585" s="77"/>
      <c r="I585" s="77"/>
      <c r="J585" s="77"/>
      <c r="K585" s="77"/>
    </row>
    <row r="586">
      <c r="F586" s="77"/>
      <c r="G586" s="77"/>
      <c r="H586" s="77"/>
      <c r="I586" s="77"/>
      <c r="J586" s="77"/>
      <c r="K586" s="77"/>
    </row>
    <row r="587">
      <c r="F587" s="77"/>
      <c r="G587" s="77"/>
      <c r="H587" s="77"/>
      <c r="I587" s="77"/>
      <c r="J587" s="77"/>
      <c r="K587" s="77"/>
    </row>
    <row r="588">
      <c r="F588" s="77"/>
      <c r="G588" s="77"/>
      <c r="H588" s="77"/>
      <c r="I588" s="77"/>
      <c r="J588" s="77"/>
      <c r="K588" s="77"/>
    </row>
    <row r="589">
      <c r="F589" s="77"/>
      <c r="G589" s="77"/>
      <c r="H589" s="77"/>
      <c r="I589" s="77"/>
      <c r="J589" s="77"/>
      <c r="K589" s="77"/>
    </row>
    <row r="590">
      <c r="F590" s="77"/>
      <c r="G590" s="77"/>
      <c r="H590" s="77"/>
      <c r="I590" s="77"/>
      <c r="J590" s="77"/>
      <c r="K590" s="77"/>
    </row>
    <row r="591">
      <c r="F591" s="77"/>
      <c r="G591" s="77"/>
      <c r="H591" s="77"/>
      <c r="I591" s="77"/>
      <c r="J591" s="77"/>
      <c r="K591" s="77"/>
    </row>
    <row r="592">
      <c r="F592" s="77"/>
      <c r="G592" s="77"/>
      <c r="H592" s="77"/>
      <c r="I592" s="77"/>
      <c r="J592" s="77"/>
      <c r="K592" s="77"/>
    </row>
    <row r="593">
      <c r="F593" s="77"/>
      <c r="G593" s="77"/>
      <c r="H593" s="77"/>
      <c r="I593" s="77"/>
      <c r="J593" s="77"/>
      <c r="K593" s="77"/>
    </row>
    <row r="594">
      <c r="F594" s="77"/>
      <c r="G594" s="77"/>
      <c r="H594" s="77"/>
      <c r="I594" s="77"/>
      <c r="J594" s="77"/>
      <c r="K594" s="77"/>
    </row>
    <row r="595">
      <c r="F595" s="77"/>
      <c r="G595" s="77"/>
      <c r="H595" s="77"/>
      <c r="I595" s="77"/>
      <c r="J595" s="77"/>
      <c r="K595" s="77"/>
    </row>
    <row r="596">
      <c r="F596" s="77"/>
      <c r="G596" s="77"/>
      <c r="H596" s="77"/>
      <c r="I596" s="77"/>
      <c r="J596" s="77"/>
      <c r="K596" s="77"/>
    </row>
    <row r="597">
      <c r="F597" s="77"/>
      <c r="G597" s="77"/>
      <c r="H597" s="77"/>
      <c r="I597" s="77"/>
      <c r="J597" s="77"/>
      <c r="K597" s="77"/>
    </row>
    <row r="598">
      <c r="F598" s="77"/>
      <c r="G598" s="77"/>
      <c r="H598" s="77"/>
      <c r="I598" s="77"/>
      <c r="J598" s="77"/>
      <c r="K598" s="77"/>
    </row>
    <row r="599">
      <c r="F599" s="77"/>
      <c r="G599" s="77"/>
      <c r="H599" s="77"/>
      <c r="I599" s="77"/>
      <c r="J599" s="77"/>
      <c r="K599" s="77"/>
    </row>
    <row r="600">
      <c r="F600" s="77"/>
      <c r="G600" s="77"/>
      <c r="H600" s="77"/>
      <c r="I600" s="77"/>
      <c r="J600" s="77"/>
      <c r="K600" s="77"/>
    </row>
    <row r="601">
      <c r="F601" s="77"/>
      <c r="G601" s="77"/>
      <c r="H601" s="77"/>
      <c r="I601" s="77"/>
      <c r="J601" s="77"/>
      <c r="K601" s="77"/>
    </row>
    <row r="602">
      <c r="F602" s="77"/>
      <c r="G602" s="77"/>
      <c r="H602" s="77"/>
      <c r="I602" s="77"/>
      <c r="J602" s="77"/>
      <c r="K602" s="77"/>
    </row>
    <row r="603">
      <c r="F603" s="77"/>
      <c r="G603" s="77"/>
      <c r="H603" s="77"/>
      <c r="I603" s="77"/>
      <c r="J603" s="77"/>
      <c r="K603" s="77"/>
    </row>
    <row r="604">
      <c r="F604" s="77"/>
      <c r="G604" s="77"/>
      <c r="H604" s="77"/>
      <c r="I604" s="77"/>
      <c r="J604" s="77"/>
      <c r="K604" s="77"/>
    </row>
    <row r="605">
      <c r="F605" s="77"/>
      <c r="G605" s="77"/>
      <c r="H605" s="77"/>
      <c r="I605" s="77"/>
      <c r="J605" s="77"/>
      <c r="K605" s="77"/>
    </row>
    <row r="606">
      <c r="F606" s="77"/>
      <c r="G606" s="77"/>
      <c r="H606" s="77"/>
      <c r="I606" s="77"/>
      <c r="J606" s="77"/>
      <c r="K606" s="77"/>
    </row>
    <row r="607">
      <c r="F607" s="77"/>
      <c r="G607" s="77"/>
      <c r="H607" s="77"/>
      <c r="I607" s="77"/>
      <c r="J607" s="77"/>
      <c r="K607" s="77"/>
    </row>
    <row r="608">
      <c r="F608" s="77"/>
      <c r="G608" s="77"/>
      <c r="H608" s="77"/>
      <c r="I608" s="77"/>
      <c r="J608" s="77"/>
      <c r="K608" s="77"/>
    </row>
    <row r="609">
      <c r="F609" s="77"/>
      <c r="G609" s="77"/>
      <c r="H609" s="77"/>
      <c r="I609" s="77"/>
      <c r="J609" s="77"/>
      <c r="K609" s="77"/>
    </row>
    <row r="610">
      <c r="F610" s="77"/>
      <c r="G610" s="77"/>
      <c r="H610" s="77"/>
      <c r="I610" s="77"/>
      <c r="J610" s="77"/>
      <c r="K610" s="77"/>
    </row>
    <row r="611">
      <c r="F611" s="77"/>
      <c r="G611" s="77"/>
      <c r="H611" s="77"/>
      <c r="I611" s="77"/>
      <c r="J611" s="77"/>
      <c r="K611" s="77"/>
    </row>
    <row r="612">
      <c r="F612" s="77"/>
      <c r="G612" s="77"/>
      <c r="H612" s="77"/>
      <c r="I612" s="77"/>
      <c r="J612" s="77"/>
      <c r="K612" s="77"/>
    </row>
    <row r="613">
      <c r="F613" s="77"/>
      <c r="G613" s="77"/>
      <c r="H613" s="77"/>
      <c r="I613" s="77"/>
      <c r="J613" s="77"/>
      <c r="K613" s="77"/>
    </row>
    <row r="614">
      <c r="F614" s="77"/>
      <c r="G614" s="77"/>
      <c r="H614" s="77"/>
      <c r="I614" s="77"/>
      <c r="J614" s="77"/>
      <c r="K614" s="77"/>
    </row>
    <row r="615">
      <c r="F615" s="77"/>
      <c r="G615" s="77"/>
      <c r="H615" s="77"/>
      <c r="I615" s="77"/>
      <c r="J615" s="77"/>
      <c r="K615" s="77"/>
    </row>
    <row r="616">
      <c r="F616" s="77"/>
      <c r="G616" s="77"/>
      <c r="H616" s="77"/>
      <c r="I616" s="77"/>
      <c r="J616" s="77"/>
      <c r="K616" s="77"/>
    </row>
    <row r="617">
      <c r="F617" s="77"/>
      <c r="G617" s="77"/>
      <c r="H617" s="77"/>
      <c r="I617" s="77"/>
      <c r="J617" s="77"/>
      <c r="K617" s="77"/>
    </row>
    <row r="618">
      <c r="F618" s="77"/>
      <c r="G618" s="77"/>
      <c r="H618" s="77"/>
      <c r="I618" s="77"/>
      <c r="J618" s="77"/>
      <c r="K618" s="77"/>
    </row>
    <row r="619">
      <c r="F619" s="77"/>
      <c r="G619" s="77"/>
      <c r="H619" s="77"/>
      <c r="I619" s="77"/>
      <c r="J619" s="77"/>
      <c r="K619" s="77"/>
    </row>
    <row r="620">
      <c r="F620" s="77"/>
      <c r="G620" s="77"/>
      <c r="H620" s="77"/>
      <c r="I620" s="77"/>
      <c r="J620" s="77"/>
      <c r="K620" s="77"/>
    </row>
    <row r="621">
      <c r="F621" s="77"/>
      <c r="G621" s="77"/>
      <c r="H621" s="77"/>
      <c r="I621" s="77"/>
      <c r="J621" s="77"/>
      <c r="K621" s="77"/>
    </row>
    <row r="622">
      <c r="F622" s="77"/>
      <c r="G622" s="77"/>
      <c r="H622" s="77"/>
      <c r="I622" s="77"/>
      <c r="J622" s="77"/>
      <c r="K622" s="77"/>
    </row>
    <row r="623">
      <c r="F623" s="77"/>
      <c r="G623" s="77"/>
      <c r="H623" s="77"/>
      <c r="I623" s="77"/>
      <c r="J623" s="77"/>
      <c r="K623" s="77"/>
    </row>
    <row r="624">
      <c r="F624" s="77"/>
      <c r="G624" s="77"/>
      <c r="H624" s="77"/>
      <c r="I624" s="77"/>
      <c r="J624" s="77"/>
      <c r="K624" s="77"/>
    </row>
    <row r="625">
      <c r="F625" s="77"/>
      <c r="G625" s="77"/>
      <c r="H625" s="77"/>
      <c r="I625" s="77"/>
      <c r="J625" s="77"/>
      <c r="K625" s="77"/>
    </row>
    <row r="626">
      <c r="F626" s="77"/>
      <c r="G626" s="77"/>
      <c r="H626" s="77"/>
      <c r="I626" s="77"/>
      <c r="J626" s="77"/>
      <c r="K626" s="77"/>
    </row>
    <row r="627">
      <c r="F627" s="77"/>
      <c r="G627" s="77"/>
      <c r="H627" s="77"/>
      <c r="I627" s="77"/>
      <c r="J627" s="77"/>
      <c r="K627" s="77"/>
    </row>
    <row r="628">
      <c r="F628" s="77"/>
      <c r="G628" s="77"/>
      <c r="H628" s="77"/>
      <c r="I628" s="77"/>
      <c r="J628" s="77"/>
      <c r="K628" s="77"/>
    </row>
    <row r="629">
      <c r="F629" s="77"/>
      <c r="G629" s="77"/>
      <c r="H629" s="77"/>
      <c r="I629" s="77"/>
      <c r="J629" s="77"/>
      <c r="K629" s="77"/>
    </row>
    <row r="630">
      <c r="F630" s="77"/>
      <c r="G630" s="77"/>
      <c r="H630" s="77"/>
      <c r="I630" s="77"/>
      <c r="J630" s="77"/>
      <c r="K630" s="77"/>
    </row>
    <row r="631">
      <c r="F631" s="77"/>
      <c r="G631" s="77"/>
      <c r="H631" s="77"/>
      <c r="I631" s="77"/>
      <c r="J631" s="77"/>
      <c r="K631" s="77"/>
    </row>
    <row r="632">
      <c r="F632" s="77"/>
      <c r="G632" s="77"/>
      <c r="H632" s="77"/>
      <c r="I632" s="77"/>
      <c r="J632" s="77"/>
      <c r="K632" s="77"/>
    </row>
    <row r="633">
      <c r="F633" s="77"/>
      <c r="G633" s="77"/>
      <c r="H633" s="77"/>
      <c r="I633" s="77"/>
      <c r="J633" s="77"/>
      <c r="K633" s="77"/>
    </row>
    <row r="634">
      <c r="F634" s="77"/>
      <c r="G634" s="77"/>
      <c r="H634" s="77"/>
      <c r="I634" s="77"/>
      <c r="J634" s="77"/>
      <c r="K634" s="77"/>
    </row>
    <row r="635">
      <c r="F635" s="77"/>
      <c r="G635" s="77"/>
      <c r="H635" s="77"/>
      <c r="I635" s="77"/>
      <c r="J635" s="77"/>
      <c r="K635" s="77"/>
    </row>
    <row r="636">
      <c r="F636" s="77"/>
      <c r="G636" s="77"/>
      <c r="H636" s="77"/>
      <c r="I636" s="77"/>
      <c r="J636" s="77"/>
      <c r="K636" s="77"/>
    </row>
    <row r="637">
      <c r="F637" s="77"/>
      <c r="G637" s="77"/>
      <c r="H637" s="77"/>
      <c r="I637" s="77"/>
      <c r="J637" s="77"/>
      <c r="K637" s="77"/>
    </row>
    <row r="638">
      <c r="F638" s="77"/>
      <c r="G638" s="77"/>
      <c r="H638" s="77"/>
      <c r="I638" s="77"/>
      <c r="J638" s="77"/>
      <c r="K638" s="77"/>
    </row>
    <row r="639">
      <c r="F639" s="77"/>
      <c r="G639" s="77"/>
      <c r="H639" s="77"/>
      <c r="I639" s="77"/>
      <c r="J639" s="77"/>
      <c r="K639" s="77"/>
    </row>
    <row r="640">
      <c r="F640" s="77"/>
      <c r="G640" s="77"/>
      <c r="H640" s="77"/>
      <c r="I640" s="77"/>
      <c r="J640" s="77"/>
      <c r="K640" s="77"/>
    </row>
    <row r="641">
      <c r="F641" s="77"/>
      <c r="G641" s="77"/>
      <c r="H641" s="77"/>
      <c r="I641" s="77"/>
      <c r="J641" s="77"/>
      <c r="K641" s="77"/>
    </row>
    <row r="642">
      <c r="F642" s="77"/>
      <c r="G642" s="77"/>
      <c r="H642" s="77"/>
      <c r="I642" s="77"/>
      <c r="J642" s="77"/>
      <c r="K642" s="77"/>
    </row>
    <row r="643">
      <c r="F643" s="77"/>
      <c r="G643" s="77"/>
      <c r="H643" s="77"/>
      <c r="I643" s="77"/>
      <c r="J643" s="77"/>
      <c r="K643" s="77"/>
    </row>
    <row r="644">
      <c r="F644" s="77"/>
      <c r="G644" s="77"/>
      <c r="H644" s="77"/>
      <c r="I644" s="77"/>
      <c r="J644" s="77"/>
      <c r="K644" s="77"/>
    </row>
    <row r="645">
      <c r="F645" s="77"/>
      <c r="G645" s="77"/>
      <c r="H645" s="77"/>
      <c r="I645" s="77"/>
      <c r="J645" s="77"/>
      <c r="K645" s="77"/>
    </row>
    <row r="646">
      <c r="F646" s="77"/>
      <c r="G646" s="77"/>
      <c r="H646" s="77"/>
      <c r="I646" s="77"/>
      <c r="J646" s="77"/>
      <c r="K646" s="77"/>
    </row>
    <row r="647">
      <c r="F647" s="77"/>
      <c r="G647" s="77"/>
      <c r="H647" s="77"/>
      <c r="I647" s="77"/>
      <c r="J647" s="77"/>
      <c r="K647" s="77"/>
    </row>
    <row r="648">
      <c r="F648" s="77"/>
      <c r="G648" s="77"/>
      <c r="H648" s="77"/>
      <c r="I648" s="77"/>
      <c r="J648" s="77"/>
      <c r="K648" s="77"/>
    </row>
    <row r="649">
      <c r="F649" s="77"/>
      <c r="G649" s="77"/>
      <c r="H649" s="77"/>
      <c r="I649" s="77"/>
      <c r="J649" s="77"/>
      <c r="K649" s="77"/>
    </row>
    <row r="650">
      <c r="F650" s="77"/>
      <c r="G650" s="77"/>
      <c r="H650" s="77"/>
      <c r="I650" s="77"/>
      <c r="J650" s="77"/>
      <c r="K650" s="77"/>
    </row>
    <row r="651">
      <c r="F651" s="77"/>
      <c r="G651" s="77"/>
      <c r="H651" s="77"/>
      <c r="I651" s="77"/>
      <c r="J651" s="77"/>
      <c r="K651" s="77"/>
    </row>
    <row r="652">
      <c r="F652" s="77"/>
      <c r="G652" s="77"/>
      <c r="H652" s="77"/>
      <c r="I652" s="77"/>
      <c r="J652" s="77"/>
      <c r="K652" s="77"/>
    </row>
    <row r="653">
      <c r="F653" s="77"/>
      <c r="G653" s="77"/>
      <c r="H653" s="77"/>
      <c r="I653" s="77"/>
      <c r="J653" s="77"/>
      <c r="K653" s="77"/>
    </row>
    <row r="654">
      <c r="F654" s="77"/>
      <c r="G654" s="77"/>
      <c r="H654" s="77"/>
      <c r="I654" s="77"/>
      <c r="J654" s="77"/>
      <c r="K654" s="77"/>
    </row>
    <row r="655">
      <c r="F655" s="77"/>
      <c r="G655" s="77"/>
      <c r="H655" s="77"/>
      <c r="I655" s="77"/>
      <c r="J655" s="77"/>
      <c r="K655" s="77"/>
    </row>
    <row r="656">
      <c r="F656" s="77"/>
      <c r="G656" s="77"/>
      <c r="H656" s="77"/>
      <c r="I656" s="77"/>
      <c r="J656" s="77"/>
      <c r="K656" s="77"/>
    </row>
    <row r="657">
      <c r="F657" s="77"/>
      <c r="G657" s="77"/>
      <c r="H657" s="77"/>
      <c r="I657" s="77"/>
      <c r="J657" s="77"/>
      <c r="K657" s="77"/>
    </row>
    <row r="658">
      <c r="F658" s="77"/>
      <c r="G658" s="77"/>
      <c r="H658" s="77"/>
      <c r="I658" s="77"/>
      <c r="J658" s="77"/>
      <c r="K658" s="77"/>
    </row>
    <row r="659">
      <c r="F659" s="77"/>
      <c r="G659" s="77"/>
      <c r="H659" s="77"/>
      <c r="I659" s="77"/>
      <c r="J659" s="77"/>
      <c r="K659" s="77"/>
    </row>
    <row r="660">
      <c r="F660" s="77"/>
      <c r="G660" s="77"/>
      <c r="H660" s="77"/>
      <c r="I660" s="77"/>
      <c r="J660" s="77"/>
      <c r="K660" s="77"/>
    </row>
    <row r="661">
      <c r="F661" s="77"/>
      <c r="G661" s="77"/>
      <c r="H661" s="77"/>
      <c r="I661" s="77"/>
      <c r="J661" s="77"/>
      <c r="K661" s="77"/>
    </row>
    <row r="662">
      <c r="F662" s="77"/>
      <c r="G662" s="77"/>
      <c r="H662" s="77"/>
      <c r="I662" s="77"/>
      <c r="J662" s="77"/>
      <c r="K662" s="77"/>
    </row>
    <row r="663">
      <c r="F663" s="77"/>
      <c r="G663" s="77"/>
      <c r="H663" s="77"/>
      <c r="I663" s="77"/>
      <c r="J663" s="77"/>
      <c r="K663" s="77"/>
    </row>
    <row r="664">
      <c r="F664" s="77"/>
      <c r="G664" s="77"/>
      <c r="H664" s="77"/>
      <c r="I664" s="77"/>
      <c r="J664" s="77"/>
      <c r="K664" s="77"/>
    </row>
    <row r="665">
      <c r="F665" s="77"/>
      <c r="G665" s="77"/>
      <c r="H665" s="77"/>
      <c r="I665" s="77"/>
      <c r="J665" s="77"/>
      <c r="K665" s="77"/>
    </row>
    <row r="666">
      <c r="F666" s="77"/>
      <c r="G666" s="77"/>
      <c r="H666" s="77"/>
      <c r="I666" s="77"/>
      <c r="J666" s="77"/>
      <c r="K666" s="77"/>
    </row>
    <row r="667">
      <c r="F667" s="77"/>
      <c r="G667" s="77"/>
      <c r="H667" s="77"/>
      <c r="I667" s="77"/>
      <c r="J667" s="77"/>
      <c r="K667" s="77"/>
    </row>
    <row r="668">
      <c r="F668" s="77"/>
      <c r="G668" s="77"/>
      <c r="H668" s="77"/>
      <c r="I668" s="77"/>
      <c r="J668" s="77"/>
      <c r="K668" s="77"/>
    </row>
    <row r="669">
      <c r="F669" s="77"/>
      <c r="G669" s="77"/>
      <c r="H669" s="77"/>
      <c r="I669" s="77"/>
      <c r="J669" s="77"/>
      <c r="K669" s="77"/>
    </row>
    <row r="670">
      <c r="F670" s="77"/>
      <c r="G670" s="77"/>
      <c r="H670" s="77"/>
      <c r="I670" s="77"/>
      <c r="J670" s="77"/>
      <c r="K670" s="77"/>
    </row>
    <row r="671">
      <c r="F671" s="77"/>
      <c r="G671" s="77"/>
      <c r="H671" s="77"/>
      <c r="I671" s="77"/>
      <c r="J671" s="77"/>
      <c r="K671" s="77"/>
    </row>
    <row r="672">
      <c r="F672" s="77"/>
      <c r="G672" s="77"/>
      <c r="H672" s="77"/>
      <c r="I672" s="77"/>
      <c r="J672" s="77"/>
      <c r="K672" s="77"/>
    </row>
    <row r="673">
      <c r="F673" s="77"/>
      <c r="G673" s="77"/>
      <c r="H673" s="77"/>
      <c r="I673" s="77"/>
      <c r="J673" s="77"/>
      <c r="K673" s="77"/>
    </row>
    <row r="674">
      <c r="F674" s="77"/>
      <c r="G674" s="77"/>
      <c r="H674" s="77"/>
      <c r="I674" s="77"/>
      <c r="J674" s="77"/>
      <c r="K674" s="77"/>
    </row>
    <row r="675">
      <c r="F675" s="77"/>
      <c r="G675" s="77"/>
      <c r="H675" s="77"/>
      <c r="I675" s="77"/>
      <c r="J675" s="77"/>
      <c r="K675" s="77"/>
    </row>
    <row r="676">
      <c r="F676" s="77"/>
      <c r="G676" s="77"/>
      <c r="H676" s="77"/>
      <c r="I676" s="77"/>
      <c r="J676" s="77"/>
      <c r="K676" s="77"/>
    </row>
    <row r="677">
      <c r="F677" s="77"/>
      <c r="G677" s="77"/>
      <c r="H677" s="77"/>
      <c r="I677" s="77"/>
      <c r="J677" s="77"/>
      <c r="K677" s="77"/>
    </row>
    <row r="678">
      <c r="F678" s="77"/>
      <c r="G678" s="77"/>
      <c r="H678" s="77"/>
      <c r="I678" s="77"/>
      <c r="J678" s="77"/>
      <c r="K678" s="77"/>
    </row>
    <row r="679">
      <c r="F679" s="77"/>
      <c r="G679" s="77"/>
      <c r="H679" s="77"/>
      <c r="I679" s="77"/>
      <c r="J679" s="77"/>
      <c r="K679" s="77"/>
    </row>
    <row r="680">
      <c r="F680" s="77"/>
      <c r="G680" s="77"/>
      <c r="H680" s="77"/>
      <c r="I680" s="77"/>
      <c r="J680" s="77"/>
      <c r="K680" s="77"/>
    </row>
    <row r="681">
      <c r="F681" s="77"/>
      <c r="G681" s="77"/>
      <c r="H681" s="77"/>
      <c r="I681" s="77"/>
      <c r="J681" s="77"/>
      <c r="K681" s="77"/>
    </row>
    <row r="682">
      <c r="F682" s="77"/>
      <c r="G682" s="77"/>
      <c r="H682" s="77"/>
      <c r="I682" s="77"/>
      <c r="J682" s="77"/>
      <c r="K682" s="77"/>
    </row>
    <row r="683">
      <c r="F683" s="77"/>
      <c r="G683" s="77"/>
      <c r="H683" s="77"/>
      <c r="I683" s="77"/>
      <c r="J683" s="77"/>
      <c r="K683" s="77"/>
    </row>
    <row r="684">
      <c r="F684" s="77"/>
      <c r="G684" s="77"/>
      <c r="H684" s="77"/>
      <c r="I684" s="77"/>
      <c r="J684" s="77"/>
      <c r="K684" s="77"/>
    </row>
    <row r="685">
      <c r="F685" s="77"/>
      <c r="G685" s="77"/>
      <c r="H685" s="77"/>
      <c r="I685" s="77"/>
      <c r="J685" s="77"/>
      <c r="K685" s="77"/>
    </row>
    <row r="686">
      <c r="F686" s="77"/>
      <c r="G686" s="77"/>
      <c r="H686" s="77"/>
      <c r="I686" s="77"/>
      <c r="J686" s="77"/>
      <c r="K686" s="77"/>
    </row>
    <row r="687">
      <c r="F687" s="77"/>
      <c r="G687" s="77"/>
      <c r="H687" s="77"/>
      <c r="I687" s="77"/>
      <c r="J687" s="77"/>
      <c r="K687" s="77"/>
    </row>
    <row r="688">
      <c r="F688" s="77"/>
      <c r="G688" s="77"/>
      <c r="H688" s="77"/>
      <c r="I688" s="77"/>
      <c r="J688" s="77"/>
      <c r="K688" s="77"/>
    </row>
    <row r="689">
      <c r="F689" s="77"/>
      <c r="G689" s="77"/>
      <c r="H689" s="77"/>
      <c r="I689" s="77"/>
      <c r="J689" s="77"/>
      <c r="K689" s="77"/>
    </row>
    <row r="690">
      <c r="F690" s="77"/>
      <c r="G690" s="77"/>
      <c r="H690" s="77"/>
      <c r="I690" s="77"/>
      <c r="J690" s="77"/>
      <c r="K690" s="77"/>
    </row>
    <row r="691">
      <c r="F691" s="77"/>
      <c r="G691" s="77"/>
      <c r="H691" s="77"/>
      <c r="I691" s="77"/>
      <c r="J691" s="77"/>
      <c r="K691" s="77"/>
    </row>
    <row r="692">
      <c r="F692" s="77"/>
      <c r="G692" s="77"/>
      <c r="H692" s="77"/>
      <c r="I692" s="77"/>
      <c r="J692" s="77"/>
      <c r="K692" s="77"/>
    </row>
    <row r="693">
      <c r="F693" s="77"/>
      <c r="G693" s="77"/>
      <c r="H693" s="77"/>
      <c r="I693" s="77"/>
      <c r="J693" s="77"/>
      <c r="K693" s="77"/>
    </row>
    <row r="694">
      <c r="F694" s="77"/>
      <c r="G694" s="77"/>
      <c r="H694" s="77"/>
      <c r="I694" s="77"/>
      <c r="J694" s="77"/>
      <c r="K694" s="77"/>
    </row>
    <row r="695">
      <c r="F695" s="77"/>
      <c r="G695" s="77"/>
      <c r="H695" s="77"/>
      <c r="I695" s="77"/>
      <c r="J695" s="77"/>
      <c r="K695" s="77"/>
    </row>
    <row r="696">
      <c r="F696" s="77"/>
      <c r="G696" s="77"/>
      <c r="H696" s="77"/>
      <c r="I696" s="77"/>
      <c r="J696" s="77"/>
      <c r="K696" s="77"/>
    </row>
    <row r="697">
      <c r="F697" s="77"/>
      <c r="G697" s="77"/>
      <c r="H697" s="77"/>
      <c r="I697" s="77"/>
      <c r="J697" s="77"/>
      <c r="K697" s="77"/>
    </row>
    <row r="698">
      <c r="F698" s="77"/>
      <c r="G698" s="77"/>
      <c r="H698" s="77"/>
      <c r="I698" s="77"/>
      <c r="J698" s="77"/>
      <c r="K698" s="77"/>
    </row>
    <row r="699">
      <c r="F699" s="77"/>
      <c r="G699" s="77"/>
      <c r="H699" s="77"/>
      <c r="I699" s="77"/>
      <c r="J699" s="77"/>
      <c r="K699" s="77"/>
    </row>
    <row r="700">
      <c r="F700" s="77"/>
      <c r="G700" s="77"/>
      <c r="H700" s="77"/>
      <c r="I700" s="77"/>
      <c r="J700" s="77"/>
      <c r="K700" s="77"/>
    </row>
    <row r="701">
      <c r="F701" s="77"/>
      <c r="G701" s="77"/>
      <c r="H701" s="77"/>
      <c r="I701" s="77"/>
      <c r="J701" s="77"/>
      <c r="K701" s="77"/>
    </row>
    <row r="702">
      <c r="F702" s="77"/>
      <c r="G702" s="77"/>
      <c r="H702" s="77"/>
      <c r="I702" s="77"/>
      <c r="J702" s="77"/>
      <c r="K702" s="77"/>
    </row>
    <row r="703">
      <c r="F703" s="77"/>
      <c r="G703" s="77"/>
      <c r="H703" s="77"/>
      <c r="I703" s="77"/>
      <c r="J703" s="77"/>
      <c r="K703" s="77"/>
    </row>
    <row r="704">
      <c r="F704" s="77"/>
      <c r="G704" s="77"/>
      <c r="H704" s="77"/>
      <c r="I704" s="77"/>
      <c r="J704" s="77"/>
      <c r="K704" s="77"/>
    </row>
    <row r="705">
      <c r="F705" s="77"/>
      <c r="G705" s="77"/>
      <c r="H705" s="77"/>
      <c r="I705" s="77"/>
      <c r="J705" s="77"/>
      <c r="K705" s="77"/>
    </row>
    <row r="706">
      <c r="F706" s="77"/>
      <c r="G706" s="77"/>
      <c r="H706" s="77"/>
      <c r="I706" s="77"/>
      <c r="J706" s="77"/>
      <c r="K706" s="77"/>
    </row>
    <row r="707">
      <c r="F707" s="77"/>
      <c r="G707" s="77"/>
      <c r="H707" s="77"/>
      <c r="I707" s="77"/>
      <c r="J707" s="77"/>
      <c r="K707" s="77"/>
    </row>
    <row r="708">
      <c r="F708" s="77"/>
      <c r="G708" s="77"/>
      <c r="H708" s="77"/>
      <c r="I708" s="77"/>
      <c r="J708" s="77"/>
      <c r="K708" s="77"/>
    </row>
    <row r="709">
      <c r="F709" s="77"/>
      <c r="G709" s="77"/>
      <c r="H709" s="77"/>
      <c r="I709" s="77"/>
      <c r="J709" s="77"/>
      <c r="K709" s="77"/>
    </row>
    <row r="710">
      <c r="F710" s="77"/>
      <c r="G710" s="77"/>
      <c r="H710" s="77"/>
      <c r="I710" s="77"/>
      <c r="J710" s="77"/>
      <c r="K710" s="77"/>
    </row>
    <row r="711">
      <c r="F711" s="77"/>
      <c r="G711" s="77"/>
      <c r="H711" s="77"/>
      <c r="I711" s="77"/>
      <c r="J711" s="77"/>
      <c r="K711" s="77"/>
    </row>
    <row r="712">
      <c r="F712" s="77"/>
      <c r="G712" s="77"/>
      <c r="H712" s="77"/>
      <c r="I712" s="77"/>
      <c r="J712" s="77"/>
      <c r="K712" s="77"/>
    </row>
    <row r="713">
      <c r="F713" s="77"/>
      <c r="G713" s="77"/>
      <c r="H713" s="77"/>
      <c r="I713" s="77"/>
      <c r="J713" s="77"/>
      <c r="K713" s="77"/>
    </row>
    <row r="714">
      <c r="F714" s="77"/>
      <c r="G714" s="77"/>
      <c r="H714" s="77"/>
      <c r="I714" s="77"/>
      <c r="J714" s="77"/>
      <c r="K714" s="77"/>
    </row>
    <row r="715">
      <c r="F715" s="77"/>
      <c r="G715" s="77"/>
      <c r="H715" s="77"/>
      <c r="I715" s="77"/>
      <c r="J715" s="77"/>
      <c r="K715" s="77"/>
    </row>
    <row r="716">
      <c r="F716" s="77"/>
      <c r="G716" s="77"/>
      <c r="H716" s="77"/>
      <c r="I716" s="77"/>
      <c r="J716" s="77"/>
      <c r="K716" s="77"/>
    </row>
    <row r="717">
      <c r="F717" s="77"/>
      <c r="G717" s="77"/>
      <c r="H717" s="77"/>
      <c r="I717" s="77"/>
      <c r="J717" s="77"/>
      <c r="K717" s="77"/>
    </row>
    <row r="718">
      <c r="F718" s="77"/>
      <c r="G718" s="77"/>
      <c r="H718" s="77"/>
      <c r="I718" s="77"/>
      <c r="J718" s="77"/>
      <c r="K718" s="77"/>
    </row>
    <row r="719">
      <c r="F719" s="77"/>
      <c r="G719" s="77"/>
      <c r="H719" s="77"/>
      <c r="I719" s="77"/>
      <c r="J719" s="77"/>
      <c r="K719" s="77"/>
    </row>
    <row r="720">
      <c r="F720" s="77"/>
      <c r="G720" s="77"/>
      <c r="H720" s="77"/>
      <c r="I720" s="77"/>
      <c r="J720" s="77"/>
      <c r="K720" s="77"/>
    </row>
    <row r="721">
      <c r="F721" s="77"/>
      <c r="G721" s="77"/>
      <c r="H721" s="77"/>
      <c r="I721" s="77"/>
      <c r="J721" s="77"/>
      <c r="K721" s="77"/>
    </row>
    <row r="722">
      <c r="F722" s="77"/>
      <c r="G722" s="77"/>
      <c r="H722" s="77"/>
      <c r="I722" s="77"/>
      <c r="J722" s="77"/>
      <c r="K722" s="77"/>
    </row>
    <row r="723">
      <c r="F723" s="77"/>
      <c r="G723" s="77"/>
      <c r="H723" s="77"/>
      <c r="I723" s="77"/>
      <c r="J723" s="77"/>
      <c r="K723" s="77"/>
    </row>
    <row r="724">
      <c r="F724" s="77"/>
      <c r="G724" s="77"/>
      <c r="H724" s="77"/>
      <c r="I724" s="77"/>
      <c r="J724" s="77"/>
      <c r="K724" s="77"/>
    </row>
    <row r="725">
      <c r="F725" s="77"/>
      <c r="G725" s="77"/>
      <c r="H725" s="77"/>
      <c r="I725" s="77"/>
      <c r="J725" s="77"/>
      <c r="K725" s="77"/>
    </row>
    <row r="726">
      <c r="F726" s="77"/>
      <c r="G726" s="77"/>
      <c r="H726" s="77"/>
      <c r="I726" s="77"/>
      <c r="J726" s="77"/>
      <c r="K726" s="77"/>
    </row>
    <row r="727">
      <c r="F727" s="77"/>
      <c r="G727" s="77"/>
      <c r="H727" s="77"/>
      <c r="I727" s="77"/>
      <c r="J727" s="77"/>
      <c r="K727" s="77"/>
    </row>
    <row r="728">
      <c r="F728" s="77"/>
      <c r="G728" s="77"/>
      <c r="H728" s="77"/>
      <c r="I728" s="77"/>
      <c r="J728" s="77"/>
      <c r="K728" s="77"/>
    </row>
    <row r="729">
      <c r="F729" s="77"/>
      <c r="G729" s="77"/>
      <c r="H729" s="77"/>
      <c r="I729" s="77"/>
      <c r="J729" s="77"/>
      <c r="K729" s="77"/>
    </row>
    <row r="730">
      <c r="F730" s="77"/>
      <c r="G730" s="77"/>
      <c r="H730" s="77"/>
      <c r="I730" s="77"/>
      <c r="J730" s="77"/>
      <c r="K730" s="77"/>
    </row>
    <row r="731">
      <c r="F731" s="77"/>
      <c r="G731" s="77"/>
      <c r="H731" s="77"/>
      <c r="I731" s="77"/>
      <c r="J731" s="77"/>
      <c r="K731" s="77"/>
    </row>
    <row r="732">
      <c r="F732" s="77"/>
      <c r="G732" s="77"/>
      <c r="H732" s="77"/>
      <c r="I732" s="77"/>
      <c r="J732" s="77"/>
      <c r="K732" s="77"/>
    </row>
    <row r="733">
      <c r="F733" s="77"/>
      <c r="G733" s="77"/>
      <c r="H733" s="77"/>
      <c r="I733" s="77"/>
      <c r="J733" s="77"/>
      <c r="K733" s="77"/>
    </row>
    <row r="734">
      <c r="F734" s="77"/>
      <c r="G734" s="77"/>
      <c r="H734" s="77"/>
      <c r="I734" s="77"/>
      <c r="J734" s="77"/>
      <c r="K734" s="77"/>
    </row>
    <row r="735">
      <c r="F735" s="77"/>
      <c r="G735" s="77"/>
      <c r="H735" s="77"/>
      <c r="I735" s="77"/>
      <c r="J735" s="77"/>
      <c r="K735" s="77"/>
    </row>
    <row r="736">
      <c r="F736" s="77"/>
      <c r="G736" s="77"/>
      <c r="H736" s="77"/>
      <c r="I736" s="77"/>
      <c r="J736" s="77"/>
      <c r="K736" s="77"/>
    </row>
    <row r="737">
      <c r="F737" s="77"/>
      <c r="G737" s="77"/>
      <c r="H737" s="77"/>
      <c r="I737" s="77"/>
      <c r="J737" s="77"/>
      <c r="K737" s="77"/>
    </row>
    <row r="738">
      <c r="F738" s="77"/>
      <c r="G738" s="77"/>
      <c r="H738" s="77"/>
      <c r="I738" s="77"/>
      <c r="J738" s="77"/>
      <c r="K738" s="77"/>
    </row>
    <row r="739">
      <c r="F739" s="77"/>
      <c r="G739" s="77"/>
      <c r="H739" s="77"/>
      <c r="I739" s="77"/>
      <c r="J739" s="77"/>
      <c r="K739" s="77"/>
    </row>
    <row r="740">
      <c r="F740" s="77"/>
      <c r="G740" s="77"/>
      <c r="H740" s="77"/>
      <c r="I740" s="77"/>
      <c r="J740" s="77"/>
      <c r="K740" s="77"/>
    </row>
    <row r="741">
      <c r="F741" s="77"/>
      <c r="G741" s="77"/>
      <c r="H741" s="77"/>
      <c r="I741" s="77"/>
      <c r="J741" s="77"/>
      <c r="K741" s="77"/>
    </row>
    <row r="742">
      <c r="F742" s="77"/>
      <c r="G742" s="77"/>
      <c r="H742" s="77"/>
      <c r="I742" s="77"/>
      <c r="J742" s="77"/>
      <c r="K742" s="77"/>
    </row>
    <row r="743">
      <c r="F743" s="77"/>
      <c r="G743" s="77"/>
      <c r="H743" s="77"/>
      <c r="I743" s="77"/>
      <c r="J743" s="77"/>
      <c r="K743" s="77"/>
    </row>
    <row r="744">
      <c r="F744" s="77"/>
      <c r="G744" s="77"/>
      <c r="H744" s="77"/>
      <c r="I744" s="77"/>
      <c r="J744" s="77"/>
      <c r="K744" s="77"/>
    </row>
    <row r="745">
      <c r="F745" s="77"/>
      <c r="G745" s="77"/>
      <c r="H745" s="77"/>
      <c r="I745" s="77"/>
      <c r="J745" s="77"/>
      <c r="K745" s="77"/>
    </row>
    <row r="746">
      <c r="F746" s="77"/>
      <c r="G746" s="77"/>
      <c r="H746" s="77"/>
      <c r="I746" s="77"/>
      <c r="J746" s="77"/>
      <c r="K746" s="77"/>
    </row>
    <row r="747">
      <c r="F747" s="77"/>
      <c r="G747" s="77"/>
      <c r="H747" s="77"/>
      <c r="I747" s="77"/>
      <c r="J747" s="77"/>
      <c r="K747" s="77"/>
    </row>
    <row r="748">
      <c r="F748" s="77"/>
      <c r="G748" s="77"/>
      <c r="H748" s="77"/>
      <c r="I748" s="77"/>
      <c r="J748" s="77"/>
      <c r="K748" s="77"/>
    </row>
    <row r="749">
      <c r="F749" s="77"/>
      <c r="G749" s="77"/>
      <c r="H749" s="77"/>
      <c r="I749" s="77"/>
      <c r="J749" s="77"/>
      <c r="K749" s="77"/>
    </row>
    <row r="750">
      <c r="F750" s="77"/>
      <c r="G750" s="77"/>
      <c r="H750" s="77"/>
      <c r="I750" s="77"/>
      <c r="J750" s="77"/>
      <c r="K750" s="77"/>
    </row>
    <row r="751">
      <c r="F751" s="77"/>
      <c r="G751" s="77"/>
      <c r="H751" s="77"/>
      <c r="I751" s="77"/>
      <c r="J751" s="77"/>
      <c r="K751" s="77"/>
    </row>
    <row r="752">
      <c r="F752" s="77"/>
      <c r="G752" s="77"/>
      <c r="H752" s="77"/>
      <c r="I752" s="77"/>
      <c r="J752" s="77"/>
      <c r="K752" s="77"/>
    </row>
    <row r="753">
      <c r="F753" s="77"/>
      <c r="G753" s="77"/>
      <c r="H753" s="77"/>
      <c r="I753" s="77"/>
      <c r="J753" s="77"/>
      <c r="K753" s="77"/>
    </row>
    <row r="754">
      <c r="F754" s="77"/>
      <c r="G754" s="77"/>
      <c r="H754" s="77"/>
      <c r="I754" s="77"/>
      <c r="J754" s="77"/>
      <c r="K754" s="77"/>
    </row>
    <row r="755">
      <c r="F755" s="77"/>
      <c r="G755" s="77"/>
      <c r="H755" s="77"/>
      <c r="I755" s="77"/>
      <c r="J755" s="77"/>
      <c r="K755" s="77"/>
    </row>
    <row r="756">
      <c r="F756" s="77"/>
      <c r="G756" s="77"/>
      <c r="H756" s="77"/>
      <c r="I756" s="77"/>
      <c r="J756" s="77"/>
      <c r="K756" s="77"/>
    </row>
    <row r="757">
      <c r="F757" s="77"/>
      <c r="G757" s="77"/>
      <c r="H757" s="77"/>
      <c r="I757" s="77"/>
      <c r="J757" s="77"/>
      <c r="K757" s="77"/>
    </row>
    <row r="758">
      <c r="F758" s="77"/>
      <c r="G758" s="77"/>
      <c r="H758" s="77"/>
      <c r="I758" s="77"/>
      <c r="J758" s="77"/>
      <c r="K758" s="77"/>
    </row>
    <row r="759">
      <c r="F759" s="77"/>
      <c r="G759" s="77"/>
      <c r="H759" s="77"/>
      <c r="I759" s="77"/>
      <c r="J759" s="77"/>
      <c r="K759" s="77"/>
    </row>
    <row r="760">
      <c r="F760" s="77"/>
      <c r="G760" s="77"/>
      <c r="H760" s="77"/>
      <c r="I760" s="77"/>
      <c r="J760" s="77"/>
      <c r="K760" s="77"/>
    </row>
    <row r="761">
      <c r="F761" s="77"/>
      <c r="G761" s="77"/>
      <c r="H761" s="77"/>
      <c r="I761" s="77"/>
      <c r="J761" s="77"/>
      <c r="K761" s="77"/>
    </row>
    <row r="762">
      <c r="F762" s="77"/>
      <c r="G762" s="77"/>
      <c r="H762" s="77"/>
      <c r="I762" s="77"/>
      <c r="J762" s="77"/>
      <c r="K762" s="77"/>
    </row>
    <row r="763">
      <c r="F763" s="77"/>
      <c r="G763" s="77"/>
      <c r="H763" s="77"/>
      <c r="I763" s="77"/>
      <c r="J763" s="77"/>
      <c r="K763" s="77"/>
    </row>
    <row r="764">
      <c r="F764" s="77"/>
      <c r="G764" s="77"/>
      <c r="H764" s="77"/>
      <c r="I764" s="77"/>
      <c r="J764" s="77"/>
      <c r="K764" s="77"/>
    </row>
    <row r="765">
      <c r="F765" s="77"/>
      <c r="G765" s="77"/>
      <c r="H765" s="77"/>
      <c r="I765" s="77"/>
      <c r="J765" s="77"/>
      <c r="K765" s="77"/>
    </row>
    <row r="766">
      <c r="F766" s="77"/>
      <c r="G766" s="77"/>
      <c r="H766" s="77"/>
      <c r="I766" s="77"/>
      <c r="J766" s="77"/>
      <c r="K766" s="77"/>
    </row>
    <row r="767">
      <c r="F767" s="77"/>
      <c r="G767" s="77"/>
      <c r="H767" s="77"/>
      <c r="I767" s="77"/>
      <c r="J767" s="77"/>
      <c r="K767" s="77"/>
    </row>
    <row r="768">
      <c r="F768" s="77"/>
      <c r="G768" s="77"/>
      <c r="H768" s="77"/>
      <c r="I768" s="77"/>
      <c r="J768" s="77"/>
      <c r="K768" s="77"/>
    </row>
    <row r="769">
      <c r="F769" s="77"/>
      <c r="G769" s="77"/>
      <c r="H769" s="77"/>
      <c r="I769" s="77"/>
      <c r="J769" s="77"/>
      <c r="K769" s="77"/>
    </row>
    <row r="770">
      <c r="F770" s="77"/>
      <c r="G770" s="77"/>
      <c r="H770" s="77"/>
      <c r="I770" s="77"/>
      <c r="J770" s="77"/>
      <c r="K770" s="77"/>
    </row>
    <row r="771">
      <c r="F771" s="77"/>
      <c r="G771" s="77"/>
      <c r="H771" s="77"/>
      <c r="I771" s="77"/>
      <c r="J771" s="77"/>
      <c r="K771" s="77"/>
    </row>
    <row r="772">
      <c r="F772" s="77"/>
      <c r="G772" s="77"/>
      <c r="H772" s="77"/>
      <c r="I772" s="77"/>
      <c r="J772" s="77"/>
      <c r="K772" s="77"/>
    </row>
    <row r="773">
      <c r="F773" s="77"/>
      <c r="G773" s="77"/>
      <c r="H773" s="77"/>
      <c r="I773" s="77"/>
      <c r="J773" s="77"/>
      <c r="K773" s="77"/>
    </row>
    <row r="774">
      <c r="F774" s="77"/>
      <c r="G774" s="77"/>
      <c r="H774" s="77"/>
      <c r="I774" s="77"/>
      <c r="J774" s="77"/>
      <c r="K774" s="77"/>
    </row>
    <row r="775">
      <c r="F775" s="77"/>
      <c r="G775" s="77"/>
      <c r="H775" s="77"/>
      <c r="I775" s="77"/>
      <c r="J775" s="77"/>
      <c r="K775" s="77"/>
    </row>
    <row r="776">
      <c r="F776" s="77"/>
      <c r="G776" s="77"/>
      <c r="H776" s="77"/>
      <c r="I776" s="77"/>
      <c r="J776" s="77"/>
      <c r="K776" s="77"/>
    </row>
    <row r="777">
      <c r="F777" s="77"/>
      <c r="G777" s="77"/>
      <c r="H777" s="77"/>
      <c r="I777" s="77"/>
      <c r="J777" s="77"/>
      <c r="K777" s="77"/>
    </row>
    <row r="778">
      <c r="F778" s="77"/>
      <c r="G778" s="77"/>
      <c r="H778" s="77"/>
      <c r="I778" s="77"/>
      <c r="J778" s="77"/>
      <c r="K778" s="77"/>
    </row>
    <row r="779">
      <c r="F779" s="77"/>
      <c r="G779" s="77"/>
      <c r="H779" s="77"/>
      <c r="I779" s="77"/>
      <c r="J779" s="77"/>
      <c r="K779" s="77"/>
    </row>
    <row r="780">
      <c r="F780" s="77"/>
      <c r="G780" s="77"/>
      <c r="H780" s="77"/>
      <c r="I780" s="77"/>
      <c r="J780" s="77"/>
      <c r="K780" s="77"/>
    </row>
    <row r="781">
      <c r="F781" s="77"/>
      <c r="G781" s="77"/>
      <c r="H781" s="77"/>
      <c r="I781" s="77"/>
      <c r="J781" s="77"/>
      <c r="K781" s="77"/>
    </row>
    <row r="782">
      <c r="F782" s="77"/>
      <c r="G782" s="77"/>
      <c r="H782" s="77"/>
      <c r="I782" s="77"/>
      <c r="J782" s="77"/>
      <c r="K782" s="77"/>
    </row>
    <row r="783">
      <c r="F783" s="77"/>
      <c r="G783" s="77"/>
      <c r="H783" s="77"/>
      <c r="I783" s="77"/>
      <c r="J783" s="77"/>
      <c r="K783" s="77"/>
    </row>
    <row r="784">
      <c r="F784" s="77"/>
      <c r="G784" s="77"/>
      <c r="H784" s="77"/>
      <c r="I784" s="77"/>
      <c r="J784" s="77"/>
      <c r="K784" s="77"/>
    </row>
    <row r="785">
      <c r="F785" s="77"/>
      <c r="G785" s="77"/>
      <c r="H785" s="77"/>
      <c r="I785" s="77"/>
      <c r="J785" s="77"/>
      <c r="K785" s="77"/>
    </row>
    <row r="786">
      <c r="F786" s="77"/>
      <c r="G786" s="77"/>
      <c r="H786" s="77"/>
      <c r="I786" s="77"/>
      <c r="J786" s="77"/>
      <c r="K786" s="77"/>
    </row>
    <row r="787">
      <c r="F787" s="77"/>
      <c r="G787" s="77"/>
      <c r="H787" s="77"/>
      <c r="I787" s="77"/>
      <c r="J787" s="77"/>
      <c r="K787" s="77"/>
    </row>
    <row r="788">
      <c r="F788" s="77"/>
      <c r="G788" s="77"/>
      <c r="H788" s="77"/>
      <c r="I788" s="77"/>
      <c r="J788" s="77"/>
      <c r="K788" s="77"/>
    </row>
    <row r="789">
      <c r="F789" s="77"/>
      <c r="G789" s="77"/>
      <c r="H789" s="77"/>
      <c r="I789" s="77"/>
      <c r="J789" s="77"/>
      <c r="K789" s="77"/>
    </row>
    <row r="790">
      <c r="F790" s="77"/>
      <c r="G790" s="77"/>
      <c r="H790" s="77"/>
      <c r="I790" s="77"/>
      <c r="J790" s="77"/>
      <c r="K790" s="77"/>
    </row>
    <row r="791">
      <c r="F791" s="77"/>
      <c r="G791" s="77"/>
      <c r="H791" s="77"/>
      <c r="I791" s="77"/>
      <c r="J791" s="77"/>
      <c r="K791" s="77"/>
    </row>
    <row r="792">
      <c r="F792" s="77"/>
      <c r="G792" s="77"/>
      <c r="H792" s="77"/>
      <c r="I792" s="77"/>
      <c r="J792" s="77"/>
      <c r="K792" s="77"/>
    </row>
    <row r="793">
      <c r="F793" s="77"/>
      <c r="G793" s="77"/>
      <c r="H793" s="77"/>
      <c r="I793" s="77"/>
      <c r="J793" s="77"/>
      <c r="K793" s="77"/>
    </row>
    <row r="794">
      <c r="F794" s="77"/>
      <c r="G794" s="77"/>
      <c r="H794" s="77"/>
      <c r="I794" s="77"/>
      <c r="J794" s="77"/>
      <c r="K794" s="77"/>
    </row>
    <row r="795">
      <c r="F795" s="77"/>
      <c r="G795" s="77"/>
      <c r="H795" s="77"/>
      <c r="I795" s="77"/>
      <c r="J795" s="77"/>
      <c r="K795" s="77"/>
    </row>
    <row r="796">
      <c r="F796" s="77"/>
      <c r="G796" s="77"/>
      <c r="H796" s="77"/>
      <c r="I796" s="77"/>
      <c r="J796" s="77"/>
      <c r="K796" s="77"/>
    </row>
    <row r="797">
      <c r="F797" s="77"/>
      <c r="G797" s="77"/>
      <c r="H797" s="77"/>
      <c r="I797" s="77"/>
      <c r="J797" s="77"/>
      <c r="K797" s="77"/>
    </row>
    <row r="798">
      <c r="F798" s="77"/>
      <c r="G798" s="77"/>
      <c r="H798" s="77"/>
      <c r="I798" s="77"/>
      <c r="J798" s="77"/>
      <c r="K798" s="77"/>
    </row>
    <row r="799">
      <c r="F799" s="77"/>
      <c r="G799" s="77"/>
      <c r="H799" s="77"/>
      <c r="I799" s="77"/>
      <c r="J799" s="77"/>
      <c r="K799" s="77"/>
    </row>
    <row r="800">
      <c r="F800" s="77"/>
      <c r="G800" s="77"/>
      <c r="H800" s="77"/>
      <c r="I800" s="77"/>
      <c r="J800" s="77"/>
      <c r="K800" s="77"/>
    </row>
    <row r="801">
      <c r="F801" s="77"/>
      <c r="G801" s="77"/>
      <c r="H801" s="77"/>
      <c r="I801" s="77"/>
      <c r="J801" s="77"/>
      <c r="K801" s="77"/>
    </row>
    <row r="802">
      <c r="F802" s="77"/>
      <c r="G802" s="77"/>
      <c r="H802" s="77"/>
      <c r="I802" s="77"/>
      <c r="J802" s="77"/>
      <c r="K802" s="77"/>
    </row>
    <row r="803">
      <c r="F803" s="77"/>
      <c r="G803" s="77"/>
      <c r="H803" s="77"/>
      <c r="I803" s="77"/>
      <c r="J803" s="77"/>
      <c r="K803" s="77"/>
    </row>
    <row r="804">
      <c r="F804" s="77"/>
      <c r="G804" s="77"/>
      <c r="H804" s="77"/>
      <c r="I804" s="77"/>
      <c r="J804" s="77"/>
      <c r="K804" s="77"/>
    </row>
    <row r="805">
      <c r="F805" s="77"/>
      <c r="G805" s="77"/>
      <c r="H805" s="77"/>
      <c r="I805" s="77"/>
      <c r="J805" s="77"/>
      <c r="K805" s="77"/>
    </row>
    <row r="806">
      <c r="F806" s="77"/>
      <c r="G806" s="77"/>
      <c r="H806" s="77"/>
      <c r="I806" s="77"/>
      <c r="J806" s="77"/>
      <c r="K806" s="77"/>
    </row>
    <row r="807">
      <c r="F807" s="77"/>
      <c r="G807" s="77"/>
      <c r="H807" s="77"/>
      <c r="I807" s="77"/>
      <c r="J807" s="77"/>
      <c r="K807" s="77"/>
    </row>
    <row r="808">
      <c r="F808" s="77"/>
      <c r="G808" s="77"/>
      <c r="H808" s="77"/>
      <c r="I808" s="77"/>
      <c r="J808" s="77"/>
      <c r="K808" s="77"/>
    </row>
    <row r="809">
      <c r="F809" s="77"/>
      <c r="G809" s="77"/>
      <c r="H809" s="77"/>
      <c r="I809" s="77"/>
      <c r="J809" s="77"/>
      <c r="K809" s="77"/>
    </row>
    <row r="810">
      <c r="F810" s="77"/>
      <c r="G810" s="77"/>
      <c r="H810" s="77"/>
      <c r="I810" s="77"/>
      <c r="J810" s="77"/>
      <c r="K810" s="77"/>
    </row>
    <row r="811">
      <c r="F811" s="77"/>
      <c r="G811" s="77"/>
      <c r="H811" s="77"/>
      <c r="I811" s="77"/>
      <c r="J811" s="77"/>
      <c r="K811" s="77"/>
    </row>
    <row r="812">
      <c r="F812" s="77"/>
      <c r="G812" s="77"/>
      <c r="H812" s="77"/>
      <c r="I812" s="77"/>
      <c r="J812" s="77"/>
      <c r="K812" s="77"/>
    </row>
    <row r="813">
      <c r="F813" s="77"/>
      <c r="G813" s="77"/>
      <c r="H813" s="77"/>
      <c r="I813" s="77"/>
      <c r="J813" s="77"/>
      <c r="K813" s="77"/>
    </row>
    <row r="814">
      <c r="F814" s="77"/>
      <c r="G814" s="77"/>
      <c r="H814" s="77"/>
      <c r="I814" s="77"/>
      <c r="J814" s="77"/>
      <c r="K814" s="77"/>
    </row>
    <row r="815">
      <c r="F815" s="77"/>
      <c r="G815" s="77"/>
      <c r="H815" s="77"/>
      <c r="I815" s="77"/>
      <c r="J815" s="77"/>
      <c r="K815" s="77"/>
    </row>
    <row r="816">
      <c r="F816" s="77"/>
      <c r="G816" s="77"/>
      <c r="H816" s="77"/>
      <c r="I816" s="77"/>
      <c r="J816" s="77"/>
      <c r="K816" s="77"/>
    </row>
    <row r="817">
      <c r="F817" s="77"/>
      <c r="G817" s="77"/>
      <c r="H817" s="77"/>
      <c r="I817" s="77"/>
      <c r="J817" s="77"/>
      <c r="K817" s="77"/>
    </row>
    <row r="818">
      <c r="F818" s="77"/>
      <c r="G818" s="77"/>
      <c r="H818" s="77"/>
      <c r="I818" s="77"/>
      <c r="J818" s="77"/>
      <c r="K818" s="77"/>
    </row>
    <row r="819">
      <c r="F819" s="77"/>
      <c r="G819" s="77"/>
      <c r="H819" s="77"/>
      <c r="I819" s="77"/>
      <c r="J819" s="77"/>
      <c r="K819" s="77"/>
    </row>
    <row r="820">
      <c r="F820" s="77"/>
      <c r="G820" s="77"/>
      <c r="H820" s="77"/>
      <c r="I820" s="77"/>
      <c r="J820" s="77"/>
      <c r="K820" s="77"/>
    </row>
    <row r="821">
      <c r="F821" s="77"/>
      <c r="G821" s="77"/>
      <c r="H821" s="77"/>
      <c r="I821" s="77"/>
      <c r="J821" s="77"/>
      <c r="K821" s="77"/>
    </row>
    <row r="822">
      <c r="F822" s="77"/>
      <c r="G822" s="77"/>
      <c r="H822" s="77"/>
      <c r="I822" s="77"/>
      <c r="J822" s="77"/>
      <c r="K822" s="77"/>
    </row>
    <row r="823">
      <c r="F823" s="77"/>
      <c r="G823" s="77"/>
      <c r="H823" s="77"/>
      <c r="I823" s="77"/>
      <c r="J823" s="77"/>
      <c r="K823" s="77"/>
    </row>
    <row r="824">
      <c r="F824" s="77"/>
      <c r="G824" s="77"/>
      <c r="H824" s="77"/>
      <c r="I824" s="77"/>
      <c r="J824" s="77"/>
      <c r="K824" s="77"/>
    </row>
    <row r="825">
      <c r="F825" s="77"/>
      <c r="G825" s="77"/>
      <c r="H825" s="77"/>
      <c r="I825" s="77"/>
      <c r="J825" s="77"/>
      <c r="K825" s="77"/>
    </row>
    <row r="826">
      <c r="F826" s="77"/>
      <c r="G826" s="77"/>
      <c r="H826" s="77"/>
      <c r="I826" s="77"/>
      <c r="J826" s="77"/>
      <c r="K826" s="77"/>
    </row>
    <row r="827">
      <c r="F827" s="77"/>
      <c r="G827" s="77"/>
      <c r="H827" s="77"/>
      <c r="I827" s="77"/>
      <c r="J827" s="77"/>
      <c r="K827" s="77"/>
    </row>
    <row r="828">
      <c r="F828" s="77"/>
      <c r="G828" s="77"/>
      <c r="H828" s="77"/>
      <c r="I828" s="77"/>
      <c r="J828" s="77"/>
      <c r="K828" s="77"/>
    </row>
    <row r="829">
      <c r="F829" s="77"/>
      <c r="G829" s="77"/>
      <c r="H829" s="77"/>
      <c r="I829" s="77"/>
      <c r="J829" s="77"/>
      <c r="K829" s="77"/>
    </row>
    <row r="830">
      <c r="F830" s="77"/>
      <c r="G830" s="77"/>
      <c r="H830" s="77"/>
      <c r="I830" s="77"/>
      <c r="J830" s="77"/>
      <c r="K830" s="77"/>
    </row>
    <row r="831">
      <c r="F831" s="77"/>
      <c r="G831" s="77"/>
      <c r="H831" s="77"/>
      <c r="I831" s="77"/>
      <c r="J831" s="77"/>
      <c r="K831" s="77"/>
    </row>
    <row r="832">
      <c r="F832" s="77"/>
      <c r="G832" s="77"/>
      <c r="H832" s="77"/>
      <c r="I832" s="77"/>
      <c r="J832" s="77"/>
      <c r="K832" s="77"/>
    </row>
    <row r="833">
      <c r="F833" s="77"/>
      <c r="G833" s="77"/>
      <c r="H833" s="77"/>
      <c r="I833" s="77"/>
      <c r="J833" s="77"/>
      <c r="K833" s="77"/>
    </row>
    <row r="834">
      <c r="F834" s="77"/>
      <c r="G834" s="77"/>
      <c r="H834" s="77"/>
      <c r="I834" s="77"/>
      <c r="J834" s="77"/>
      <c r="K834" s="77"/>
    </row>
    <row r="835">
      <c r="F835" s="77"/>
      <c r="G835" s="77"/>
      <c r="H835" s="77"/>
      <c r="I835" s="77"/>
      <c r="J835" s="77"/>
      <c r="K835" s="77"/>
    </row>
    <row r="836">
      <c r="F836" s="77"/>
      <c r="G836" s="77"/>
      <c r="H836" s="77"/>
      <c r="I836" s="77"/>
      <c r="J836" s="77"/>
      <c r="K836" s="77"/>
    </row>
    <row r="837">
      <c r="F837" s="77"/>
      <c r="G837" s="77"/>
      <c r="H837" s="77"/>
      <c r="I837" s="77"/>
      <c r="J837" s="77"/>
      <c r="K837" s="77"/>
    </row>
    <row r="838">
      <c r="F838" s="77"/>
      <c r="G838" s="77"/>
      <c r="H838" s="77"/>
      <c r="I838" s="77"/>
      <c r="J838" s="77"/>
      <c r="K838" s="77"/>
    </row>
    <row r="839">
      <c r="F839" s="77"/>
      <c r="G839" s="77"/>
      <c r="H839" s="77"/>
      <c r="I839" s="77"/>
      <c r="J839" s="77"/>
      <c r="K839" s="77"/>
    </row>
    <row r="840">
      <c r="F840" s="77"/>
      <c r="G840" s="77"/>
      <c r="H840" s="77"/>
      <c r="I840" s="77"/>
      <c r="J840" s="77"/>
      <c r="K840" s="77"/>
    </row>
    <row r="841">
      <c r="F841" s="77"/>
      <c r="G841" s="77"/>
      <c r="H841" s="77"/>
      <c r="I841" s="77"/>
      <c r="J841" s="77"/>
      <c r="K841" s="77"/>
    </row>
    <row r="842">
      <c r="F842" s="77"/>
      <c r="G842" s="77"/>
      <c r="H842" s="77"/>
      <c r="I842" s="77"/>
      <c r="J842" s="77"/>
      <c r="K842" s="77"/>
    </row>
    <row r="843">
      <c r="F843" s="77"/>
      <c r="G843" s="77"/>
      <c r="H843" s="77"/>
      <c r="I843" s="77"/>
      <c r="J843" s="77"/>
      <c r="K843" s="77"/>
    </row>
    <row r="844">
      <c r="F844" s="77"/>
      <c r="G844" s="77"/>
      <c r="H844" s="77"/>
      <c r="I844" s="77"/>
      <c r="J844" s="77"/>
      <c r="K844" s="77"/>
    </row>
    <row r="845">
      <c r="F845" s="77"/>
      <c r="G845" s="77"/>
      <c r="H845" s="77"/>
      <c r="I845" s="77"/>
      <c r="J845" s="77"/>
      <c r="K845" s="77"/>
    </row>
    <row r="846">
      <c r="F846" s="77"/>
      <c r="G846" s="77"/>
      <c r="H846" s="77"/>
      <c r="I846" s="77"/>
      <c r="J846" s="77"/>
      <c r="K846" s="77"/>
    </row>
    <row r="847">
      <c r="F847" s="77"/>
      <c r="G847" s="77"/>
      <c r="H847" s="77"/>
      <c r="I847" s="77"/>
      <c r="J847" s="77"/>
      <c r="K847" s="77"/>
    </row>
    <row r="848">
      <c r="F848" s="77"/>
      <c r="G848" s="77"/>
      <c r="H848" s="77"/>
      <c r="I848" s="77"/>
      <c r="J848" s="77"/>
      <c r="K848" s="77"/>
    </row>
    <row r="849">
      <c r="F849" s="77"/>
      <c r="G849" s="77"/>
      <c r="H849" s="77"/>
      <c r="I849" s="77"/>
      <c r="J849" s="77"/>
      <c r="K849" s="77"/>
    </row>
    <row r="850">
      <c r="F850" s="77"/>
      <c r="G850" s="77"/>
      <c r="H850" s="77"/>
      <c r="I850" s="77"/>
      <c r="J850" s="77"/>
      <c r="K850" s="77"/>
    </row>
    <row r="851">
      <c r="F851" s="77"/>
      <c r="G851" s="77"/>
      <c r="H851" s="77"/>
      <c r="I851" s="77"/>
      <c r="J851" s="77"/>
      <c r="K851" s="77"/>
    </row>
    <row r="852">
      <c r="F852" s="77"/>
      <c r="G852" s="77"/>
      <c r="H852" s="77"/>
      <c r="I852" s="77"/>
      <c r="J852" s="77"/>
      <c r="K852" s="77"/>
    </row>
    <row r="853">
      <c r="F853" s="77"/>
      <c r="G853" s="77"/>
      <c r="H853" s="77"/>
      <c r="I853" s="77"/>
      <c r="J853" s="77"/>
      <c r="K853" s="77"/>
    </row>
    <row r="854">
      <c r="F854" s="77"/>
      <c r="G854" s="77"/>
      <c r="H854" s="77"/>
      <c r="I854" s="77"/>
      <c r="J854" s="77"/>
      <c r="K854" s="77"/>
    </row>
    <row r="855">
      <c r="F855" s="77"/>
      <c r="G855" s="77"/>
      <c r="H855" s="77"/>
      <c r="I855" s="77"/>
      <c r="J855" s="77"/>
      <c r="K855" s="77"/>
    </row>
    <row r="856">
      <c r="F856" s="77"/>
      <c r="G856" s="77"/>
      <c r="H856" s="77"/>
      <c r="I856" s="77"/>
      <c r="J856" s="77"/>
      <c r="K856" s="77"/>
    </row>
    <row r="857">
      <c r="F857" s="77"/>
      <c r="G857" s="77"/>
      <c r="H857" s="77"/>
      <c r="I857" s="77"/>
      <c r="J857" s="77"/>
      <c r="K857" s="77"/>
    </row>
    <row r="858">
      <c r="F858" s="77"/>
      <c r="G858" s="77"/>
      <c r="H858" s="77"/>
      <c r="I858" s="77"/>
      <c r="J858" s="77"/>
      <c r="K858" s="77"/>
    </row>
    <row r="859">
      <c r="F859" s="77"/>
      <c r="G859" s="77"/>
      <c r="H859" s="77"/>
      <c r="I859" s="77"/>
      <c r="J859" s="77"/>
      <c r="K859" s="77"/>
    </row>
    <row r="860">
      <c r="F860" s="77"/>
      <c r="G860" s="77"/>
      <c r="H860" s="77"/>
      <c r="I860" s="77"/>
      <c r="J860" s="77"/>
      <c r="K860" s="77"/>
    </row>
    <row r="861">
      <c r="F861" s="77"/>
      <c r="G861" s="77"/>
      <c r="H861" s="77"/>
      <c r="I861" s="77"/>
      <c r="J861" s="77"/>
      <c r="K861" s="77"/>
    </row>
    <row r="862">
      <c r="F862" s="77"/>
      <c r="G862" s="77"/>
      <c r="H862" s="77"/>
      <c r="I862" s="77"/>
      <c r="J862" s="77"/>
      <c r="K862" s="77"/>
    </row>
    <row r="863">
      <c r="F863" s="77"/>
      <c r="G863" s="77"/>
      <c r="H863" s="77"/>
      <c r="I863" s="77"/>
      <c r="J863" s="77"/>
      <c r="K863" s="77"/>
    </row>
    <row r="864">
      <c r="F864" s="77"/>
      <c r="G864" s="77"/>
      <c r="H864" s="77"/>
      <c r="I864" s="77"/>
      <c r="J864" s="77"/>
      <c r="K864" s="77"/>
    </row>
    <row r="865">
      <c r="F865" s="77"/>
      <c r="G865" s="77"/>
      <c r="H865" s="77"/>
      <c r="I865" s="77"/>
      <c r="J865" s="77"/>
      <c r="K865" s="77"/>
    </row>
    <row r="866">
      <c r="F866" s="77"/>
      <c r="G866" s="77"/>
      <c r="H866" s="77"/>
      <c r="I866" s="77"/>
      <c r="J866" s="77"/>
      <c r="K866" s="77"/>
    </row>
    <row r="867">
      <c r="F867" s="77"/>
      <c r="G867" s="77"/>
      <c r="H867" s="77"/>
      <c r="I867" s="77"/>
      <c r="J867" s="77"/>
      <c r="K867" s="77"/>
    </row>
    <row r="868">
      <c r="F868" s="77"/>
      <c r="G868" s="77"/>
      <c r="H868" s="77"/>
      <c r="I868" s="77"/>
      <c r="J868" s="77"/>
      <c r="K868" s="77"/>
    </row>
    <row r="869">
      <c r="F869" s="77"/>
      <c r="G869" s="77"/>
      <c r="H869" s="77"/>
      <c r="I869" s="77"/>
      <c r="J869" s="77"/>
      <c r="K869" s="77"/>
    </row>
    <row r="870">
      <c r="F870" s="77"/>
      <c r="G870" s="77"/>
      <c r="H870" s="77"/>
      <c r="I870" s="77"/>
      <c r="J870" s="77"/>
      <c r="K870" s="77"/>
    </row>
    <row r="871">
      <c r="F871" s="77"/>
      <c r="G871" s="77"/>
      <c r="H871" s="77"/>
      <c r="I871" s="77"/>
      <c r="J871" s="77"/>
      <c r="K871" s="77"/>
    </row>
    <row r="872">
      <c r="F872" s="77"/>
      <c r="G872" s="77"/>
      <c r="H872" s="77"/>
      <c r="I872" s="77"/>
      <c r="J872" s="77"/>
      <c r="K872" s="77"/>
    </row>
    <row r="873">
      <c r="F873" s="77"/>
      <c r="G873" s="77"/>
      <c r="H873" s="77"/>
      <c r="I873" s="77"/>
      <c r="J873" s="77"/>
      <c r="K873" s="77"/>
    </row>
    <row r="874">
      <c r="F874" s="77"/>
      <c r="G874" s="77"/>
      <c r="H874" s="77"/>
      <c r="I874" s="77"/>
      <c r="J874" s="77"/>
      <c r="K874" s="77"/>
    </row>
    <row r="875">
      <c r="F875" s="77"/>
      <c r="G875" s="77"/>
      <c r="H875" s="77"/>
      <c r="I875" s="77"/>
      <c r="J875" s="77"/>
      <c r="K875" s="77"/>
    </row>
    <row r="876">
      <c r="F876" s="77"/>
      <c r="G876" s="77"/>
      <c r="H876" s="77"/>
      <c r="I876" s="77"/>
      <c r="J876" s="77"/>
      <c r="K876" s="77"/>
    </row>
    <row r="877">
      <c r="F877" s="77"/>
      <c r="G877" s="77"/>
      <c r="H877" s="77"/>
      <c r="I877" s="77"/>
      <c r="J877" s="77"/>
      <c r="K877" s="77"/>
    </row>
    <row r="878">
      <c r="F878" s="77"/>
      <c r="G878" s="77"/>
      <c r="H878" s="77"/>
      <c r="I878" s="77"/>
      <c r="J878" s="77"/>
      <c r="K878" s="77"/>
    </row>
    <row r="879">
      <c r="F879" s="77"/>
      <c r="G879" s="77"/>
      <c r="H879" s="77"/>
      <c r="I879" s="77"/>
      <c r="J879" s="77"/>
      <c r="K879" s="77"/>
    </row>
    <row r="880">
      <c r="F880" s="77"/>
      <c r="G880" s="77"/>
      <c r="H880" s="77"/>
      <c r="I880" s="77"/>
      <c r="J880" s="77"/>
      <c r="K880" s="77"/>
    </row>
    <row r="881">
      <c r="F881" s="77"/>
      <c r="G881" s="77"/>
      <c r="H881" s="77"/>
      <c r="I881" s="77"/>
      <c r="J881" s="77"/>
      <c r="K881" s="77"/>
    </row>
    <row r="882">
      <c r="F882" s="77"/>
      <c r="G882" s="77"/>
      <c r="H882" s="77"/>
      <c r="I882" s="77"/>
      <c r="J882" s="77"/>
      <c r="K882" s="77"/>
    </row>
    <row r="883">
      <c r="F883" s="77"/>
      <c r="G883" s="77"/>
      <c r="H883" s="77"/>
      <c r="I883" s="77"/>
      <c r="J883" s="77"/>
      <c r="K883" s="77"/>
    </row>
    <row r="884">
      <c r="F884" s="77"/>
      <c r="G884" s="77"/>
      <c r="H884" s="77"/>
      <c r="I884" s="77"/>
      <c r="J884" s="77"/>
      <c r="K884" s="77"/>
    </row>
    <row r="885">
      <c r="F885" s="77"/>
      <c r="G885" s="77"/>
      <c r="H885" s="77"/>
      <c r="I885" s="77"/>
      <c r="J885" s="77"/>
      <c r="K885" s="77"/>
    </row>
    <row r="886">
      <c r="F886" s="77"/>
      <c r="G886" s="77"/>
      <c r="H886" s="77"/>
      <c r="I886" s="77"/>
      <c r="J886" s="77"/>
      <c r="K886" s="77"/>
    </row>
    <row r="887">
      <c r="F887" s="77"/>
      <c r="G887" s="77"/>
      <c r="H887" s="77"/>
      <c r="I887" s="77"/>
      <c r="J887" s="77"/>
      <c r="K887" s="77"/>
    </row>
    <row r="888">
      <c r="F888" s="77"/>
      <c r="G888" s="77"/>
      <c r="H888" s="77"/>
      <c r="I888" s="77"/>
      <c r="J888" s="77"/>
      <c r="K888" s="77"/>
    </row>
    <row r="889">
      <c r="F889" s="77"/>
      <c r="G889" s="77"/>
      <c r="H889" s="77"/>
      <c r="I889" s="77"/>
      <c r="J889" s="77"/>
      <c r="K889" s="77"/>
    </row>
    <row r="890">
      <c r="F890" s="77"/>
      <c r="G890" s="77"/>
      <c r="H890" s="77"/>
      <c r="I890" s="77"/>
      <c r="J890" s="77"/>
      <c r="K890" s="77"/>
    </row>
    <row r="891">
      <c r="F891" s="77"/>
      <c r="G891" s="77"/>
      <c r="H891" s="77"/>
      <c r="I891" s="77"/>
      <c r="J891" s="77"/>
      <c r="K891" s="77"/>
    </row>
    <row r="892">
      <c r="F892" s="77"/>
      <c r="G892" s="77"/>
      <c r="H892" s="77"/>
      <c r="I892" s="77"/>
      <c r="J892" s="77"/>
      <c r="K892" s="77"/>
    </row>
    <row r="893">
      <c r="F893" s="77"/>
      <c r="G893" s="77"/>
      <c r="H893" s="77"/>
      <c r="I893" s="77"/>
      <c r="J893" s="77"/>
      <c r="K893" s="77"/>
    </row>
    <row r="894">
      <c r="F894" s="77"/>
      <c r="G894" s="77"/>
      <c r="H894" s="77"/>
      <c r="I894" s="77"/>
      <c r="J894" s="77"/>
      <c r="K894" s="77"/>
    </row>
    <row r="895">
      <c r="F895" s="77"/>
      <c r="G895" s="77"/>
      <c r="H895" s="77"/>
      <c r="I895" s="77"/>
      <c r="J895" s="77"/>
      <c r="K895" s="77"/>
    </row>
    <row r="896">
      <c r="F896" s="77"/>
      <c r="G896" s="77"/>
      <c r="H896" s="77"/>
      <c r="I896" s="77"/>
      <c r="J896" s="77"/>
      <c r="K896" s="77"/>
    </row>
    <row r="897">
      <c r="F897" s="77"/>
      <c r="G897" s="77"/>
      <c r="H897" s="77"/>
      <c r="I897" s="77"/>
      <c r="J897" s="77"/>
      <c r="K897" s="77"/>
    </row>
    <row r="898">
      <c r="F898" s="77"/>
      <c r="G898" s="77"/>
      <c r="H898" s="77"/>
      <c r="I898" s="77"/>
      <c r="J898" s="77"/>
      <c r="K898" s="77"/>
    </row>
    <row r="899">
      <c r="F899" s="77"/>
      <c r="G899" s="77"/>
      <c r="H899" s="77"/>
      <c r="I899" s="77"/>
      <c r="J899" s="77"/>
      <c r="K899" s="77"/>
    </row>
    <row r="900">
      <c r="F900" s="77"/>
      <c r="G900" s="77"/>
      <c r="H900" s="77"/>
      <c r="I900" s="77"/>
      <c r="J900" s="77"/>
      <c r="K900" s="77"/>
    </row>
    <row r="901">
      <c r="F901" s="77"/>
      <c r="G901" s="77"/>
      <c r="H901" s="77"/>
      <c r="I901" s="77"/>
      <c r="J901" s="77"/>
      <c r="K901" s="77"/>
    </row>
    <row r="902">
      <c r="F902" s="77"/>
      <c r="G902" s="77"/>
      <c r="H902" s="77"/>
      <c r="I902" s="77"/>
      <c r="J902" s="77"/>
      <c r="K902" s="77"/>
    </row>
    <row r="903">
      <c r="F903" s="77"/>
      <c r="G903" s="77"/>
      <c r="H903" s="77"/>
      <c r="I903" s="77"/>
      <c r="J903" s="77"/>
      <c r="K903" s="77"/>
    </row>
    <row r="904">
      <c r="F904" s="77"/>
      <c r="G904" s="77"/>
      <c r="H904" s="77"/>
      <c r="I904" s="77"/>
      <c r="J904" s="77"/>
      <c r="K904" s="77"/>
    </row>
    <row r="905">
      <c r="F905" s="77"/>
      <c r="G905" s="77"/>
      <c r="H905" s="77"/>
      <c r="I905" s="77"/>
      <c r="J905" s="77"/>
      <c r="K905" s="77"/>
    </row>
    <row r="906">
      <c r="F906" s="77"/>
      <c r="G906" s="77"/>
      <c r="H906" s="77"/>
      <c r="I906" s="77"/>
      <c r="J906" s="77"/>
      <c r="K906" s="77"/>
    </row>
    <row r="907">
      <c r="F907" s="77"/>
      <c r="G907" s="77"/>
      <c r="H907" s="77"/>
      <c r="I907" s="77"/>
      <c r="J907" s="77"/>
      <c r="K907" s="77"/>
    </row>
    <row r="908">
      <c r="F908" s="77"/>
      <c r="G908" s="77"/>
      <c r="H908" s="77"/>
      <c r="I908" s="77"/>
      <c r="J908" s="77"/>
      <c r="K908" s="77"/>
    </row>
    <row r="909">
      <c r="F909" s="77"/>
      <c r="G909" s="77"/>
      <c r="H909" s="77"/>
      <c r="I909" s="77"/>
      <c r="J909" s="77"/>
      <c r="K909" s="77"/>
    </row>
    <row r="910">
      <c r="F910" s="77"/>
      <c r="G910" s="77"/>
      <c r="H910" s="77"/>
      <c r="I910" s="77"/>
      <c r="J910" s="77"/>
      <c r="K910" s="77"/>
    </row>
    <row r="911">
      <c r="F911" s="77"/>
      <c r="G911" s="77"/>
      <c r="H911" s="77"/>
      <c r="I911" s="77"/>
      <c r="J911" s="77"/>
      <c r="K911" s="77"/>
    </row>
    <row r="912">
      <c r="F912" s="77"/>
      <c r="G912" s="77"/>
      <c r="H912" s="77"/>
      <c r="I912" s="77"/>
      <c r="J912" s="77"/>
      <c r="K912" s="77"/>
    </row>
    <row r="913">
      <c r="F913" s="77"/>
      <c r="G913" s="77"/>
      <c r="H913" s="77"/>
      <c r="I913" s="77"/>
      <c r="J913" s="77"/>
      <c r="K913" s="77"/>
    </row>
    <row r="914">
      <c r="F914" s="77"/>
      <c r="G914" s="77"/>
      <c r="H914" s="77"/>
      <c r="I914" s="77"/>
      <c r="J914" s="77"/>
      <c r="K914" s="77"/>
    </row>
    <row r="915">
      <c r="F915" s="77"/>
      <c r="G915" s="77"/>
      <c r="H915" s="77"/>
      <c r="I915" s="77"/>
      <c r="J915" s="77"/>
      <c r="K915" s="77"/>
    </row>
    <row r="916">
      <c r="F916" s="77"/>
      <c r="G916" s="77"/>
      <c r="H916" s="77"/>
      <c r="I916" s="77"/>
      <c r="J916" s="77"/>
      <c r="K916" s="77"/>
    </row>
    <row r="917">
      <c r="F917" s="77"/>
      <c r="G917" s="77"/>
      <c r="H917" s="77"/>
      <c r="I917" s="77"/>
      <c r="J917" s="77"/>
      <c r="K917" s="77"/>
    </row>
    <row r="918">
      <c r="F918" s="77"/>
      <c r="G918" s="77"/>
      <c r="H918" s="77"/>
      <c r="I918" s="77"/>
      <c r="J918" s="77"/>
      <c r="K918" s="77"/>
    </row>
    <row r="919">
      <c r="F919" s="77"/>
      <c r="G919" s="77"/>
      <c r="H919" s="77"/>
      <c r="I919" s="77"/>
      <c r="J919" s="77"/>
      <c r="K919" s="77"/>
    </row>
    <row r="920">
      <c r="F920" s="77"/>
      <c r="G920" s="77"/>
      <c r="H920" s="77"/>
      <c r="I920" s="77"/>
      <c r="J920" s="77"/>
      <c r="K920" s="77"/>
    </row>
    <row r="921">
      <c r="F921" s="77"/>
      <c r="G921" s="77"/>
      <c r="H921" s="77"/>
      <c r="I921" s="77"/>
      <c r="J921" s="77"/>
      <c r="K921" s="77"/>
    </row>
    <row r="922">
      <c r="F922" s="77"/>
      <c r="G922" s="77"/>
      <c r="H922" s="77"/>
      <c r="I922" s="77"/>
      <c r="J922" s="77"/>
      <c r="K922" s="77"/>
    </row>
    <row r="923">
      <c r="F923" s="77"/>
      <c r="G923" s="77"/>
      <c r="H923" s="77"/>
      <c r="I923" s="77"/>
      <c r="J923" s="77"/>
      <c r="K923" s="77"/>
    </row>
    <row r="924">
      <c r="F924" s="77"/>
      <c r="G924" s="77"/>
      <c r="H924" s="77"/>
      <c r="I924" s="77"/>
      <c r="J924" s="77"/>
      <c r="K924" s="77"/>
    </row>
    <row r="925">
      <c r="F925" s="77"/>
      <c r="G925" s="77"/>
      <c r="H925" s="77"/>
      <c r="I925" s="77"/>
      <c r="J925" s="77"/>
      <c r="K925" s="77"/>
    </row>
    <row r="926">
      <c r="F926" s="77"/>
      <c r="G926" s="77"/>
      <c r="H926" s="77"/>
      <c r="I926" s="77"/>
      <c r="J926" s="77"/>
      <c r="K926" s="77"/>
    </row>
    <row r="927">
      <c r="F927" s="77"/>
      <c r="G927" s="77"/>
      <c r="H927" s="77"/>
      <c r="I927" s="77"/>
      <c r="J927" s="77"/>
      <c r="K927" s="77"/>
    </row>
    <row r="928">
      <c r="F928" s="77"/>
      <c r="G928" s="77"/>
      <c r="H928" s="77"/>
      <c r="I928" s="77"/>
      <c r="J928" s="77"/>
      <c r="K928" s="77"/>
    </row>
    <row r="929">
      <c r="F929" s="77"/>
      <c r="G929" s="77"/>
      <c r="H929" s="77"/>
      <c r="I929" s="77"/>
      <c r="J929" s="77"/>
      <c r="K929" s="77"/>
    </row>
    <row r="930">
      <c r="F930" s="77"/>
      <c r="G930" s="77"/>
      <c r="H930" s="77"/>
      <c r="I930" s="77"/>
      <c r="J930" s="77"/>
      <c r="K930" s="77"/>
    </row>
    <row r="931">
      <c r="F931" s="77"/>
      <c r="G931" s="77"/>
      <c r="H931" s="77"/>
      <c r="I931" s="77"/>
      <c r="J931" s="77"/>
      <c r="K931" s="77"/>
    </row>
    <row r="932">
      <c r="F932" s="77"/>
      <c r="G932" s="77"/>
      <c r="H932" s="77"/>
      <c r="I932" s="77"/>
      <c r="J932" s="77"/>
      <c r="K932" s="77"/>
    </row>
    <row r="933">
      <c r="F933" s="77"/>
      <c r="G933" s="77"/>
      <c r="H933" s="77"/>
      <c r="I933" s="77"/>
      <c r="J933" s="77"/>
      <c r="K933" s="77"/>
    </row>
    <row r="934">
      <c r="F934" s="77"/>
      <c r="G934" s="77"/>
      <c r="H934" s="77"/>
      <c r="I934" s="77"/>
      <c r="J934" s="77"/>
      <c r="K934" s="77"/>
    </row>
    <row r="935">
      <c r="F935" s="77"/>
      <c r="G935" s="77"/>
      <c r="H935" s="77"/>
      <c r="I935" s="77"/>
      <c r="J935" s="77"/>
      <c r="K935" s="77"/>
    </row>
    <row r="936">
      <c r="F936" s="77"/>
      <c r="G936" s="77"/>
      <c r="H936" s="77"/>
      <c r="I936" s="77"/>
      <c r="J936" s="77"/>
      <c r="K936" s="77"/>
    </row>
    <row r="937">
      <c r="F937" s="77"/>
      <c r="G937" s="77"/>
      <c r="H937" s="77"/>
      <c r="I937" s="77"/>
      <c r="J937" s="77"/>
      <c r="K937" s="77"/>
    </row>
    <row r="938">
      <c r="F938" s="77"/>
      <c r="G938" s="77"/>
      <c r="H938" s="77"/>
      <c r="I938" s="77"/>
      <c r="J938" s="77"/>
      <c r="K938" s="77"/>
    </row>
    <row r="939">
      <c r="F939" s="77"/>
      <c r="G939" s="77"/>
      <c r="H939" s="77"/>
      <c r="I939" s="77"/>
      <c r="J939" s="77"/>
      <c r="K939" s="77"/>
    </row>
    <row r="940">
      <c r="F940" s="77"/>
      <c r="G940" s="77"/>
      <c r="H940" s="77"/>
      <c r="I940" s="77"/>
      <c r="J940" s="77"/>
      <c r="K940" s="77"/>
    </row>
    <row r="941">
      <c r="F941" s="77"/>
      <c r="G941" s="77"/>
      <c r="H941" s="77"/>
      <c r="I941" s="77"/>
      <c r="J941" s="77"/>
      <c r="K941" s="77"/>
    </row>
    <row r="942">
      <c r="F942" s="77"/>
      <c r="G942" s="77"/>
      <c r="H942" s="77"/>
      <c r="I942" s="77"/>
      <c r="J942" s="77"/>
      <c r="K942" s="77"/>
    </row>
    <row r="943">
      <c r="F943" s="77"/>
      <c r="G943" s="77"/>
      <c r="H943" s="77"/>
      <c r="I943" s="77"/>
      <c r="J943" s="77"/>
      <c r="K943" s="77"/>
    </row>
    <row r="944">
      <c r="F944" s="77"/>
      <c r="G944" s="77"/>
      <c r="H944" s="77"/>
      <c r="I944" s="77"/>
      <c r="J944" s="77"/>
      <c r="K944" s="77"/>
    </row>
    <row r="945">
      <c r="F945" s="77"/>
      <c r="G945" s="77"/>
      <c r="H945" s="77"/>
      <c r="I945" s="77"/>
      <c r="J945" s="77"/>
      <c r="K945" s="77"/>
    </row>
    <row r="946">
      <c r="F946" s="77"/>
      <c r="G946" s="77"/>
      <c r="H946" s="77"/>
      <c r="I946" s="77"/>
      <c r="J946" s="77"/>
      <c r="K946" s="77"/>
    </row>
    <row r="947">
      <c r="F947" s="77"/>
      <c r="G947" s="77"/>
      <c r="H947" s="77"/>
      <c r="I947" s="77"/>
      <c r="J947" s="77"/>
      <c r="K947" s="77"/>
    </row>
    <row r="948">
      <c r="F948" s="77"/>
      <c r="G948" s="77"/>
      <c r="H948" s="77"/>
      <c r="I948" s="77"/>
      <c r="J948" s="77"/>
      <c r="K948" s="77"/>
    </row>
    <row r="949">
      <c r="F949" s="77"/>
      <c r="G949" s="77"/>
      <c r="H949" s="77"/>
      <c r="I949" s="77"/>
      <c r="J949" s="77"/>
      <c r="K949" s="77"/>
    </row>
    <row r="950">
      <c r="F950" s="77"/>
      <c r="G950" s="77"/>
      <c r="H950" s="77"/>
      <c r="I950" s="77"/>
      <c r="J950" s="77"/>
      <c r="K950" s="77"/>
    </row>
    <row r="951">
      <c r="F951" s="77"/>
      <c r="G951" s="77"/>
      <c r="H951" s="77"/>
      <c r="I951" s="77"/>
      <c r="J951" s="77"/>
      <c r="K951" s="77"/>
    </row>
    <row r="952">
      <c r="F952" s="77"/>
      <c r="G952" s="77"/>
      <c r="H952" s="77"/>
      <c r="I952" s="77"/>
      <c r="J952" s="77"/>
      <c r="K952" s="77"/>
    </row>
    <row r="953">
      <c r="F953" s="77"/>
      <c r="G953" s="77"/>
      <c r="H953" s="77"/>
      <c r="I953" s="77"/>
      <c r="J953" s="77"/>
      <c r="K953" s="77"/>
    </row>
    <row r="954">
      <c r="F954" s="77"/>
      <c r="G954" s="77"/>
      <c r="H954" s="77"/>
      <c r="I954" s="77"/>
      <c r="J954" s="77"/>
      <c r="K954" s="77"/>
    </row>
    <row r="955">
      <c r="F955" s="77"/>
      <c r="G955" s="77"/>
      <c r="H955" s="77"/>
      <c r="I955" s="77"/>
      <c r="J955" s="77"/>
      <c r="K955" s="77"/>
    </row>
    <row r="956">
      <c r="F956" s="77"/>
      <c r="G956" s="77"/>
      <c r="H956" s="77"/>
      <c r="I956" s="77"/>
      <c r="J956" s="77"/>
      <c r="K956" s="77"/>
    </row>
    <row r="957">
      <c r="F957" s="77"/>
      <c r="G957" s="77"/>
      <c r="H957" s="77"/>
      <c r="I957" s="77"/>
      <c r="J957" s="77"/>
      <c r="K957" s="77"/>
    </row>
    <row r="958">
      <c r="F958" s="77"/>
      <c r="G958" s="77"/>
      <c r="H958" s="77"/>
      <c r="I958" s="77"/>
      <c r="J958" s="77"/>
      <c r="K958" s="77"/>
    </row>
    <row r="959">
      <c r="F959" s="77"/>
      <c r="G959" s="77"/>
      <c r="H959" s="77"/>
      <c r="I959" s="77"/>
      <c r="J959" s="77"/>
      <c r="K959" s="77"/>
    </row>
    <row r="960">
      <c r="F960" s="77"/>
      <c r="G960" s="77"/>
      <c r="H960" s="77"/>
      <c r="I960" s="77"/>
      <c r="J960" s="77"/>
      <c r="K960" s="77"/>
    </row>
    <row r="961">
      <c r="F961" s="77"/>
      <c r="G961" s="77"/>
      <c r="H961" s="77"/>
      <c r="I961" s="77"/>
      <c r="J961" s="77"/>
      <c r="K961" s="77"/>
    </row>
    <row r="962">
      <c r="F962" s="77"/>
      <c r="G962" s="77"/>
      <c r="H962" s="77"/>
      <c r="I962" s="77"/>
      <c r="J962" s="77"/>
      <c r="K962" s="77"/>
    </row>
    <row r="963">
      <c r="F963" s="77"/>
      <c r="G963" s="77"/>
      <c r="H963" s="77"/>
      <c r="I963" s="77"/>
      <c r="J963" s="77"/>
      <c r="K963" s="77"/>
    </row>
    <row r="964">
      <c r="F964" s="77"/>
      <c r="G964" s="77"/>
      <c r="H964" s="77"/>
      <c r="I964" s="77"/>
      <c r="J964" s="77"/>
      <c r="K964" s="77"/>
    </row>
    <row r="965">
      <c r="F965" s="77"/>
      <c r="G965" s="77"/>
      <c r="H965" s="77"/>
      <c r="I965" s="77"/>
      <c r="J965" s="77"/>
      <c r="K965" s="77"/>
    </row>
    <row r="966">
      <c r="F966" s="77"/>
      <c r="G966" s="77"/>
      <c r="H966" s="77"/>
      <c r="I966" s="77"/>
      <c r="J966" s="77"/>
      <c r="K966" s="77"/>
    </row>
    <row r="967">
      <c r="F967" s="77"/>
      <c r="G967" s="77"/>
      <c r="H967" s="77"/>
      <c r="I967" s="77"/>
      <c r="J967" s="77"/>
      <c r="K967" s="77"/>
    </row>
    <row r="968">
      <c r="F968" s="77"/>
      <c r="G968" s="77"/>
      <c r="H968" s="77"/>
      <c r="I968" s="77"/>
      <c r="J968" s="77"/>
      <c r="K968" s="77"/>
    </row>
    <row r="969">
      <c r="F969" s="77"/>
      <c r="G969" s="77"/>
      <c r="H969" s="77"/>
      <c r="I969" s="77"/>
      <c r="J969" s="77"/>
      <c r="K969" s="77"/>
    </row>
    <row r="970">
      <c r="F970" s="77"/>
      <c r="G970" s="77"/>
      <c r="H970" s="77"/>
      <c r="I970" s="77"/>
      <c r="J970" s="77"/>
      <c r="K970" s="77"/>
    </row>
    <row r="971">
      <c r="F971" s="77"/>
      <c r="G971" s="77"/>
      <c r="H971" s="77"/>
      <c r="I971" s="77"/>
      <c r="J971" s="77"/>
      <c r="K971" s="77"/>
    </row>
    <row r="972">
      <c r="F972" s="77"/>
      <c r="G972" s="77"/>
      <c r="H972" s="77"/>
      <c r="I972" s="77"/>
      <c r="J972" s="77"/>
      <c r="K972" s="77"/>
    </row>
    <row r="973">
      <c r="F973" s="77"/>
      <c r="G973" s="77"/>
      <c r="H973" s="77"/>
      <c r="I973" s="77"/>
      <c r="J973" s="77"/>
      <c r="K973" s="77"/>
    </row>
    <row r="974">
      <c r="F974" s="77"/>
      <c r="G974" s="77"/>
      <c r="H974" s="77"/>
      <c r="I974" s="77"/>
      <c r="J974" s="77"/>
      <c r="K974" s="77"/>
    </row>
    <row r="975">
      <c r="F975" s="77"/>
      <c r="G975" s="77"/>
      <c r="H975" s="77"/>
      <c r="I975" s="77"/>
      <c r="J975" s="77"/>
      <c r="K975" s="77"/>
    </row>
    <row r="976">
      <c r="F976" s="77"/>
      <c r="G976" s="77"/>
      <c r="H976" s="77"/>
      <c r="I976" s="77"/>
      <c r="J976" s="77"/>
      <c r="K976" s="77"/>
    </row>
    <row r="977">
      <c r="F977" s="77"/>
      <c r="G977" s="77"/>
      <c r="H977" s="77"/>
      <c r="I977" s="77"/>
      <c r="J977" s="77"/>
      <c r="K977" s="77"/>
    </row>
    <row r="978">
      <c r="F978" s="77"/>
      <c r="G978" s="77"/>
      <c r="H978" s="77"/>
      <c r="I978" s="77"/>
      <c r="J978" s="77"/>
      <c r="K978" s="77"/>
    </row>
    <row r="979">
      <c r="F979" s="77"/>
      <c r="G979" s="77"/>
      <c r="H979" s="77"/>
      <c r="I979" s="77"/>
      <c r="J979" s="77"/>
      <c r="K979" s="77"/>
    </row>
    <row r="980">
      <c r="F980" s="77"/>
      <c r="G980" s="77"/>
      <c r="H980" s="77"/>
      <c r="I980" s="77"/>
      <c r="J980" s="77"/>
      <c r="K980" s="77"/>
    </row>
    <row r="981">
      <c r="F981" s="77"/>
      <c r="G981" s="77"/>
      <c r="H981" s="77"/>
      <c r="I981" s="77"/>
      <c r="J981" s="77"/>
      <c r="K981" s="77"/>
    </row>
    <row r="982">
      <c r="F982" s="77"/>
      <c r="G982" s="77"/>
      <c r="H982" s="77"/>
      <c r="I982" s="77"/>
      <c r="J982" s="77"/>
      <c r="K982" s="77"/>
    </row>
    <row r="983">
      <c r="F983" s="77"/>
      <c r="G983" s="77"/>
      <c r="H983" s="77"/>
      <c r="I983" s="77"/>
      <c r="J983" s="77"/>
      <c r="K983" s="77"/>
    </row>
    <row r="984">
      <c r="F984" s="77"/>
      <c r="G984" s="77"/>
      <c r="H984" s="77"/>
      <c r="I984" s="77"/>
      <c r="J984" s="77"/>
      <c r="K984" s="77"/>
    </row>
    <row r="985">
      <c r="F985" s="77"/>
      <c r="G985" s="77"/>
      <c r="H985" s="77"/>
      <c r="I985" s="77"/>
      <c r="J985" s="77"/>
      <c r="K985" s="77"/>
    </row>
    <row r="986">
      <c r="F986" s="77"/>
      <c r="G986" s="77"/>
      <c r="H986" s="77"/>
      <c r="I986" s="77"/>
      <c r="J986" s="77"/>
      <c r="K986" s="77"/>
    </row>
    <row r="987">
      <c r="F987" s="77"/>
      <c r="G987" s="77"/>
      <c r="H987" s="77"/>
      <c r="I987" s="77"/>
      <c r="J987" s="77"/>
      <c r="K987" s="77"/>
    </row>
    <row r="988">
      <c r="F988" s="77"/>
      <c r="G988" s="77"/>
      <c r="H988" s="77"/>
      <c r="I988" s="77"/>
      <c r="J988" s="77"/>
      <c r="K988" s="77"/>
    </row>
    <row r="989">
      <c r="F989" s="77"/>
      <c r="G989" s="77"/>
      <c r="H989" s="77"/>
      <c r="I989" s="77"/>
      <c r="J989" s="77"/>
      <c r="K989" s="77"/>
    </row>
    <row r="990">
      <c r="F990" s="77"/>
      <c r="G990" s="77"/>
      <c r="H990" s="77"/>
      <c r="I990" s="77"/>
      <c r="J990" s="77"/>
      <c r="K990" s="77"/>
    </row>
    <row r="991">
      <c r="F991" s="77"/>
      <c r="G991" s="77"/>
      <c r="H991" s="77"/>
      <c r="I991" s="77"/>
      <c r="J991" s="77"/>
      <c r="K991" s="77"/>
    </row>
    <row r="992">
      <c r="F992" s="77"/>
      <c r="G992" s="77"/>
      <c r="H992" s="77"/>
      <c r="I992" s="77"/>
      <c r="J992" s="77"/>
      <c r="K992" s="77"/>
    </row>
    <row r="993">
      <c r="F993" s="77"/>
      <c r="G993" s="77"/>
      <c r="H993" s="77"/>
      <c r="I993" s="77"/>
      <c r="J993" s="77"/>
      <c r="K993" s="77"/>
    </row>
    <row r="994">
      <c r="F994" s="77"/>
      <c r="G994" s="77"/>
      <c r="H994" s="77"/>
      <c r="I994" s="77"/>
      <c r="J994" s="77"/>
      <c r="K994" s="77"/>
    </row>
    <row r="995">
      <c r="F995" s="77"/>
      <c r="G995" s="77"/>
      <c r="H995" s="77"/>
      <c r="I995" s="77"/>
      <c r="J995" s="77"/>
      <c r="K995" s="77"/>
    </row>
    <row r="996">
      <c r="F996" s="77"/>
      <c r="G996" s="77"/>
      <c r="H996" s="77"/>
      <c r="I996" s="77"/>
      <c r="J996" s="77"/>
      <c r="K996" s="77"/>
    </row>
    <row r="997">
      <c r="F997" s="77"/>
      <c r="G997" s="77"/>
      <c r="H997" s="77"/>
      <c r="I997" s="77"/>
      <c r="J997" s="77"/>
      <c r="K997" s="77"/>
    </row>
    <row r="998">
      <c r="F998" s="77"/>
      <c r="G998" s="77"/>
      <c r="H998" s="77"/>
      <c r="I998" s="77"/>
      <c r="J998" s="77"/>
      <c r="K998" s="77"/>
    </row>
    <row r="999">
      <c r="F999" s="77"/>
      <c r="G999" s="77"/>
      <c r="H999" s="77"/>
      <c r="I999" s="77"/>
      <c r="J999" s="77"/>
      <c r="K999" s="77"/>
    </row>
    <row r="1000">
      <c r="F1000" s="77"/>
      <c r="G1000" s="77"/>
      <c r="H1000" s="77"/>
      <c r="I1000" s="77"/>
      <c r="J1000" s="77"/>
      <c r="K1000" s="77"/>
    </row>
    <row r="1001">
      <c r="F1001" s="77"/>
      <c r="G1001" s="77"/>
      <c r="H1001" s="77"/>
      <c r="I1001" s="77"/>
      <c r="J1001" s="77"/>
      <c r="K1001" s="77"/>
    </row>
  </sheetData>
  <mergeCells count="3">
    <mergeCell ref="A1:E1"/>
    <mergeCell ref="G1:I1"/>
    <mergeCell ref="J1:K1"/>
  </mergeCells>
  <drawing r:id="rId1"/>
</worksheet>
</file>