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Users\Admin\Downloads\"/>
    </mc:Choice>
  </mc:AlternateContent>
  <xr:revisionPtr revIDLastSave="0" documentId="13_ncr:1_{09CC31FE-391B-4FB6-B236-BC999C1C6CBE}" xr6:coauthVersionLast="47" xr6:coauthVersionMax="47" xr10:uidLastSave="{00000000-0000-0000-0000-000000000000}"/>
  <bookViews>
    <workbookView xWindow="-120" yWindow="-120" windowWidth="29040" windowHeight="15840" xr2:uid="{00000000-000D-0000-FFFF-FFFF00000000}"/>
  </bookViews>
  <sheets>
    <sheet name="Form Responses 1" sheetId="1" r:id="rId1"/>
    <sheet name="Sheet1" sheetId="2" r:id="rId2"/>
  </sheets>
  <calcPr calcId="191029"/>
</workbook>
</file>

<file path=xl/calcChain.xml><?xml version="1.0" encoding="utf-8"?>
<calcChain xmlns="http://schemas.openxmlformats.org/spreadsheetml/2006/main">
  <c r="AG268" i="2" l="1"/>
  <c r="L268" i="2"/>
  <c r="Y267" i="2"/>
  <c r="E267" i="2"/>
  <c r="U266" i="2"/>
  <c r="D266" i="2"/>
  <c r="S265" i="2"/>
  <c r="B265" i="2"/>
  <c r="R264" i="2"/>
  <c r="AG263" i="2"/>
  <c r="N263" i="2"/>
  <c r="AE262" i="2"/>
  <c r="K262" i="2"/>
  <c r="Z261" i="2"/>
  <c r="H261" i="2"/>
  <c r="V260" i="2"/>
  <c r="E260" i="2"/>
  <c r="S259" i="2"/>
  <c r="C259" i="2"/>
  <c r="Q258" i="2"/>
  <c r="AG257" i="2"/>
  <c r="L257" i="2"/>
  <c r="AB256" i="2"/>
  <c r="I256" i="2"/>
  <c r="Y255" i="2"/>
  <c r="H255" i="2"/>
  <c r="W254" i="2"/>
  <c r="E254" i="2"/>
  <c r="S253" i="2"/>
  <c r="B253" i="2"/>
  <c r="N252" i="2"/>
  <c r="AE251" i="2"/>
  <c r="Z268" i="2"/>
  <c r="G268" i="2"/>
  <c r="R267" i="2"/>
  <c r="AG266" i="2"/>
  <c r="O266" i="2"/>
  <c r="AF265" i="2"/>
  <c r="M265" i="2"/>
  <c r="AC264" i="2"/>
  <c r="K264" i="2"/>
  <c r="AA263" i="2"/>
  <c r="I263" i="2"/>
  <c r="W262" i="2"/>
  <c r="F262" i="2"/>
  <c r="T261" i="2"/>
  <c r="C261" i="2"/>
  <c r="Q260" i="2"/>
  <c r="AF259" i="2"/>
  <c r="N259" i="2"/>
  <c r="AE258" i="2"/>
  <c r="K258" i="2"/>
  <c r="Z257" i="2"/>
  <c r="G257" i="2"/>
  <c r="V256" i="2"/>
  <c r="D256" i="2"/>
  <c r="S255" i="2"/>
  <c r="C255" i="2"/>
  <c r="Q254" i="2"/>
  <c r="AG253" i="2"/>
  <c r="M253" i="2"/>
  <c r="AB252" i="2"/>
  <c r="Y268" i="2"/>
  <c r="F268" i="2"/>
  <c r="Q267" i="2"/>
  <c r="AF266" i="2"/>
  <c r="N266" i="2"/>
  <c r="AE265" i="2"/>
  <c r="L265" i="2"/>
  <c r="AB264" i="2"/>
  <c r="J264" i="2"/>
  <c r="Z263" i="2"/>
  <c r="H263" i="2"/>
  <c r="V262" i="2"/>
  <c r="E262" i="2"/>
  <c r="S261" i="2"/>
  <c r="B261" i="2"/>
  <c r="O260" i="2"/>
  <c r="AE259" i="2"/>
  <c r="M259" i="2"/>
  <c r="AB258" i="2"/>
  <c r="J258" i="2"/>
  <c r="Y257" i="2"/>
  <c r="F257" i="2"/>
  <c r="U256" i="2"/>
  <c r="C256" i="2"/>
  <c r="R255" i="2"/>
  <c r="B255" i="2"/>
  <c r="O254" i="2"/>
  <c r="AF253" i="2"/>
  <c r="L253" i="2"/>
  <c r="AA252" i="2"/>
  <c r="H252" i="2"/>
  <c r="V251" i="2"/>
  <c r="O267" i="2"/>
  <c r="K265" i="2"/>
  <c r="G263" i="2"/>
  <c r="A261" i="2"/>
  <c r="AA258" i="2"/>
  <c r="S256" i="2"/>
  <c r="N254" i="2"/>
  <c r="K252" i="2"/>
  <c r="M251" i="2"/>
  <c r="AB250" i="2"/>
  <c r="I250" i="2"/>
  <c r="X249" i="2"/>
  <c r="E249" i="2"/>
  <c r="S248" i="2"/>
  <c r="B248" i="2"/>
  <c r="N247" i="2"/>
  <c r="AE246" i="2"/>
  <c r="J246" i="2"/>
  <c r="Y245" i="2"/>
  <c r="F245" i="2"/>
  <c r="V244" i="2"/>
  <c r="D244" i="2"/>
  <c r="Q243" i="2"/>
  <c r="AG242" i="2"/>
  <c r="M242" i="2"/>
  <c r="AB241" i="2"/>
  <c r="J241" i="2"/>
  <c r="Y240" i="2"/>
  <c r="G240" i="2"/>
  <c r="W239" i="2"/>
  <c r="E239" i="2"/>
  <c r="T238" i="2"/>
  <c r="J267" i="2"/>
  <c r="AA268" i="2"/>
  <c r="H268" i="2"/>
  <c r="S267" i="2"/>
  <c r="A267" i="2"/>
  <c r="Q266" i="2"/>
  <c r="AG265" i="2"/>
  <c r="N265" i="2"/>
  <c r="AE264" i="2"/>
  <c r="M264" i="2"/>
  <c r="AB263" i="2"/>
  <c r="J263" i="2"/>
  <c r="Y262" i="2"/>
  <c r="G262" i="2"/>
  <c r="U261" i="2"/>
  <c r="D261" i="2"/>
  <c r="R260" i="2"/>
  <c r="A260" i="2"/>
  <c r="O259" i="2"/>
  <c r="AF258" i="2"/>
  <c r="L258" i="2"/>
  <c r="AA257" i="2"/>
  <c r="H257" i="2"/>
  <c r="W256" i="2"/>
  <c r="E256" i="2"/>
  <c r="T255" i="2"/>
  <c r="D255" i="2"/>
  <c r="R254" i="2"/>
  <c r="A254" i="2"/>
  <c r="N253" i="2"/>
  <c r="AE252" i="2"/>
  <c r="J252" i="2"/>
  <c r="Y251" i="2"/>
  <c r="T268" i="2"/>
  <c r="C268" i="2"/>
  <c r="M267" i="2"/>
  <c r="AB266" i="2"/>
  <c r="K266" i="2"/>
  <c r="AA265" i="2"/>
  <c r="I265" i="2"/>
  <c r="Y264" i="2"/>
  <c r="G264" i="2"/>
  <c r="W263" i="2"/>
  <c r="E263" i="2"/>
  <c r="S262" i="2"/>
  <c r="B262" i="2"/>
  <c r="O261" i="2"/>
  <c r="AF260" i="2"/>
  <c r="L260" i="2"/>
  <c r="AB259" i="2"/>
  <c r="J259" i="2"/>
  <c r="Y258" i="2"/>
  <c r="G258" i="2"/>
  <c r="U257" i="2"/>
  <c r="C257" i="2"/>
  <c r="Q256" i="2"/>
  <c r="AG255" i="2"/>
  <c r="O255" i="2"/>
  <c r="AE254" i="2"/>
  <c r="L254" i="2"/>
  <c r="AA253" i="2"/>
  <c r="I253" i="2"/>
  <c r="W252" i="2"/>
  <c r="S268" i="2"/>
  <c r="B268" i="2"/>
  <c r="K267" i="2"/>
  <c r="AA266" i="2"/>
  <c r="J266" i="2"/>
  <c r="Z265" i="2"/>
  <c r="H265" i="2"/>
  <c r="X264" i="2"/>
  <c r="F264" i="2"/>
  <c r="V263" i="2"/>
  <c r="D263" i="2"/>
  <c r="R262" i="2"/>
  <c r="A262" i="2"/>
  <c r="N261" i="2"/>
  <c r="AE260" i="2"/>
  <c r="K260" i="2"/>
  <c r="AA259" i="2"/>
  <c r="I259" i="2"/>
  <c r="W258" i="2"/>
  <c r="F258" i="2"/>
  <c r="S257" i="2"/>
  <c r="B257" i="2"/>
  <c r="O256" i="2"/>
  <c r="AF255" i="2"/>
  <c r="N255" i="2"/>
  <c r="AD254" i="2"/>
  <c r="K254" i="2"/>
  <c r="Z253" i="2"/>
  <c r="H253" i="2"/>
  <c r="V252" i="2"/>
  <c r="D252" i="2"/>
  <c r="AB268" i="2"/>
  <c r="AE266" i="2"/>
  <c r="AA264" i="2"/>
  <c r="U262" i="2"/>
  <c r="N260" i="2"/>
  <c r="I258" i="2"/>
  <c r="B256" i="2"/>
  <c r="AE253" i="2"/>
  <c r="C252" i="2"/>
  <c r="I251" i="2"/>
  <c r="W250" i="2"/>
  <c r="E250" i="2"/>
  <c r="S249" i="2"/>
  <c r="A249" i="2"/>
  <c r="N248" i="2"/>
  <c r="AE247" i="2"/>
  <c r="U268" i="2"/>
  <c r="D268" i="2"/>
  <c r="N267" i="2"/>
  <c r="AC266" i="2"/>
  <c r="L266" i="2"/>
  <c r="AB265" i="2"/>
  <c r="J265" i="2"/>
  <c r="Z264" i="2"/>
  <c r="H264" i="2"/>
  <c r="X263" i="2"/>
  <c r="F263" i="2"/>
  <c r="T262" i="2"/>
  <c r="C262" i="2"/>
  <c r="Q261" i="2"/>
  <c r="AG260" i="2"/>
  <c r="M260" i="2"/>
  <c r="AC259" i="2"/>
  <c r="K259" i="2"/>
  <c r="Z258" i="2"/>
  <c r="H258" i="2"/>
  <c r="V257" i="2"/>
  <c r="D257" i="2"/>
  <c r="R256" i="2"/>
  <c r="A256" i="2"/>
  <c r="P255" i="2"/>
  <c r="AF254" i="2"/>
  <c r="M254" i="2"/>
  <c r="AB253" i="2"/>
  <c r="J253" i="2"/>
  <c r="Y252" i="2"/>
  <c r="F252" i="2"/>
  <c r="T251" i="2"/>
  <c r="O268" i="2"/>
  <c r="AE267" i="2"/>
  <c r="H267" i="2"/>
  <c r="X266" i="2"/>
  <c r="G266" i="2"/>
  <c r="V265" i="2"/>
  <c r="E265" i="2"/>
  <c r="U264" i="2"/>
  <c r="C264" i="2"/>
  <c r="R263" i="2"/>
  <c r="A263" i="2"/>
  <c r="N262" i="2"/>
  <c r="AE261" i="2"/>
  <c r="K261" i="2"/>
  <c r="Z260" i="2"/>
  <c r="H260" i="2"/>
  <c r="W259" i="2"/>
  <c r="F259" i="2"/>
  <c r="T258" i="2"/>
  <c r="C258" i="2"/>
  <c r="O257" i="2"/>
  <c r="AF256" i="2"/>
  <c r="L256" i="2"/>
  <c r="AB255" i="2"/>
  <c r="K255" i="2"/>
  <c r="AA254" i="2"/>
  <c r="H254" i="2"/>
  <c r="V253" i="2"/>
  <c r="E253" i="2"/>
  <c r="R252" i="2"/>
  <c r="N268" i="2"/>
  <c r="AC267" i="2"/>
  <c r="G267" i="2"/>
  <c r="W266" i="2"/>
  <c r="F266" i="2"/>
  <c r="U265" i="2"/>
  <c r="D265" i="2"/>
  <c r="T264" i="2"/>
  <c r="B264" i="2"/>
  <c r="Q263" i="2"/>
  <c r="AG262" i="2"/>
  <c r="M262" i="2"/>
  <c r="AB261" i="2"/>
  <c r="J261" i="2"/>
  <c r="Y260" i="2"/>
  <c r="G260" i="2"/>
  <c r="V259" i="2"/>
  <c r="E259" i="2"/>
  <c r="S258" i="2"/>
  <c r="B258" i="2"/>
  <c r="N257" i="2"/>
  <c r="AE256" i="2"/>
  <c r="K256" i="2"/>
  <c r="AA255" i="2"/>
  <c r="J255" i="2"/>
  <c r="Z254" i="2"/>
  <c r="G254" i="2"/>
  <c r="U253" i="2"/>
  <c r="D253" i="2"/>
  <c r="Q252" i="2"/>
  <c r="AG251" i="2"/>
  <c r="V268" i="2"/>
  <c r="M266" i="2"/>
  <c r="I264" i="2"/>
  <c r="D262" i="2"/>
  <c r="AD259" i="2"/>
  <c r="W257" i="2"/>
  <c r="Q255" i="2"/>
  <c r="K253" i="2"/>
  <c r="Z251" i="2"/>
  <c r="E251" i="2"/>
  <c r="R250" i="2"/>
  <c r="A250" i="2"/>
  <c r="N249" i="2"/>
  <c r="AB248" i="2"/>
  <c r="J248" i="2"/>
  <c r="Y247" i="2"/>
  <c r="F247" i="2"/>
  <c r="S246" i="2"/>
  <c r="B246" i="2"/>
  <c r="N245" i="2"/>
  <c r="AE244" i="2"/>
  <c r="M244" i="2"/>
  <c r="Z243" i="2"/>
  <c r="H243" i="2"/>
  <c r="V242" i="2"/>
  <c r="E242" i="2"/>
  <c r="S241" i="2"/>
  <c r="B241" i="2"/>
  <c r="O240" i="2"/>
  <c r="AF239" i="2"/>
  <c r="N239" i="2"/>
  <c r="AC238" i="2"/>
  <c r="R268" i="2"/>
  <c r="I266" i="2"/>
  <c r="Q268" i="2"/>
  <c r="H266" i="2"/>
  <c r="D264" i="2"/>
  <c r="AF261" i="2"/>
  <c r="Y259" i="2"/>
  <c r="Q257" i="2"/>
  <c r="L255" i="2"/>
  <c r="F253" i="2"/>
  <c r="K268" i="2"/>
  <c r="C266" i="2"/>
  <c r="AF263" i="2"/>
  <c r="Y261" i="2"/>
  <c r="R259" i="2"/>
  <c r="K257" i="2"/>
  <c r="G255" i="2"/>
  <c r="A253" i="2"/>
  <c r="C267" i="2"/>
  <c r="AG264" i="2"/>
  <c r="AA262" i="2"/>
  <c r="T260" i="2"/>
  <c r="N258" i="2"/>
  <c r="G256" i="2"/>
  <c r="C254" i="2"/>
  <c r="AA251" i="2"/>
  <c r="R261" i="2"/>
  <c r="Z252" i="2"/>
  <c r="AB249" i="2"/>
  <c r="S247" i="2"/>
  <c r="N246" i="2"/>
  <c r="J245" i="2"/>
  <c r="H244" i="2"/>
  <c r="D243" i="2"/>
  <c r="A242" i="2"/>
  <c r="AE240" i="2"/>
  <c r="AA239" i="2"/>
  <c r="Y238" i="2"/>
  <c r="Y265" i="2"/>
  <c r="U263" i="2"/>
  <c r="M261" i="2"/>
  <c r="H259" i="2"/>
  <c r="A257" i="2"/>
  <c r="AC254" i="2"/>
  <c r="U252" i="2"/>
  <c r="Q251" i="2"/>
  <c r="AG250" i="2"/>
  <c r="L250" i="2"/>
  <c r="AA249" i="2"/>
  <c r="H249" i="2"/>
  <c r="V248" i="2"/>
  <c r="E248" i="2"/>
  <c r="R247" i="2"/>
  <c r="A247" i="2"/>
  <c r="M246" i="2"/>
  <c r="AB245" i="2"/>
  <c r="I245" i="2"/>
  <c r="Y244" i="2"/>
  <c r="G244" i="2"/>
  <c r="T243" i="2"/>
  <c r="C243" i="2"/>
  <c r="Q242" i="2"/>
  <c r="AG241" i="2"/>
  <c r="M241" i="2"/>
  <c r="AB240" i="2"/>
  <c r="J240" i="2"/>
  <c r="Z239" i="2"/>
  <c r="H239" i="2"/>
  <c r="W238" i="2"/>
  <c r="F267" i="2"/>
  <c r="C265" i="2"/>
  <c r="AF262" i="2"/>
  <c r="W260" i="2"/>
  <c r="R258" i="2"/>
  <c r="J256" i="2"/>
  <c r="F254" i="2"/>
  <c r="G252" i="2"/>
  <c r="K251" i="2"/>
  <c r="Z250" i="2"/>
  <c r="G250" i="2"/>
  <c r="V249" i="2"/>
  <c r="C249" i="2"/>
  <c r="Q248" i="2"/>
  <c r="AG247" i="2"/>
  <c r="L247" i="2"/>
  <c r="AA246" i="2"/>
  <c r="H246" i="2"/>
  <c r="V245" i="2"/>
  <c r="D245" i="2"/>
  <c r="T244" i="2"/>
  <c r="B244" i="2"/>
  <c r="N243" i="2"/>
  <c r="AE242" i="2"/>
  <c r="K242" i="2"/>
  <c r="Z241" i="2"/>
  <c r="H241" i="2"/>
  <c r="V240" i="2"/>
  <c r="AC263" i="2"/>
  <c r="E255" i="2"/>
  <c r="N250" i="2"/>
  <c r="G248" i="2"/>
  <c r="AF245" i="2"/>
  <c r="V243" i="2"/>
  <c r="O241" i="2"/>
  <c r="AC239" i="2"/>
  <c r="AA238" i="2"/>
  <c r="C238" i="2"/>
  <c r="O237" i="2"/>
  <c r="AE236" i="2"/>
  <c r="K236" i="2"/>
  <c r="Z235" i="2"/>
  <c r="H235" i="2"/>
  <c r="X234" i="2"/>
  <c r="E234" i="2"/>
  <c r="S233" i="2"/>
  <c r="A233" i="2"/>
  <c r="N232" i="2"/>
  <c r="AE231" i="2"/>
  <c r="M231" i="2"/>
  <c r="AC230" i="2"/>
  <c r="K230" i="2"/>
  <c r="Z229" i="2"/>
  <c r="G229" i="2"/>
  <c r="V228" i="2"/>
  <c r="D228" i="2"/>
  <c r="R227" i="2"/>
  <c r="AG226" i="2"/>
  <c r="N226" i="2"/>
  <c r="AB225" i="2"/>
  <c r="J225" i="2"/>
  <c r="AF267" i="2"/>
  <c r="W265" i="2"/>
  <c r="S263" i="2"/>
  <c r="L261" i="2"/>
  <c r="G259" i="2"/>
  <c r="AG256" i="2"/>
  <c r="AB254" i="2"/>
  <c r="S252" i="2"/>
  <c r="V267" i="2"/>
  <c r="R265" i="2"/>
  <c r="M263" i="2"/>
  <c r="G261" i="2"/>
  <c r="B259" i="2"/>
  <c r="AA256" i="2"/>
  <c r="V254" i="2"/>
  <c r="AE268" i="2"/>
  <c r="S266" i="2"/>
  <c r="O264" i="2"/>
  <c r="I262" i="2"/>
  <c r="C260" i="2"/>
  <c r="AE257" i="2"/>
  <c r="V255" i="2"/>
  <c r="Q253" i="2"/>
  <c r="E268" i="2"/>
  <c r="L259" i="2"/>
  <c r="R251" i="2"/>
  <c r="I249" i="2"/>
  <c r="J247" i="2"/>
  <c r="F246" i="2"/>
  <c r="B245" i="2"/>
  <c r="AF243" i="2"/>
  <c r="AA242" i="2"/>
  <c r="W241" i="2"/>
  <c r="T240" i="2"/>
  <c r="S239" i="2"/>
  <c r="O238" i="2"/>
  <c r="G265" i="2"/>
  <c r="C263" i="2"/>
  <c r="AB260" i="2"/>
  <c r="V258" i="2"/>
  <c r="N256" i="2"/>
  <c r="J254" i="2"/>
  <c r="I252" i="2"/>
  <c r="L251" i="2"/>
  <c r="AA250" i="2"/>
  <c r="H250" i="2"/>
  <c r="W249" i="2"/>
  <c r="D249" i="2"/>
  <c r="R248" i="2"/>
  <c r="A248" i="2"/>
  <c r="M247" i="2"/>
  <c r="AB246" i="2"/>
  <c r="I246" i="2"/>
  <c r="W245" i="2"/>
  <c r="E245" i="2"/>
  <c r="U244" i="2"/>
  <c r="C244" i="2"/>
  <c r="O243" i="2"/>
  <c r="AF242" i="2"/>
  <c r="L242" i="2"/>
  <c r="AA241" i="2"/>
  <c r="I241" i="2"/>
  <c r="W240" i="2"/>
  <c r="F240" i="2"/>
  <c r="V239" i="2"/>
  <c r="D239" i="2"/>
  <c r="S238" i="2"/>
  <c r="V266" i="2"/>
  <c r="S264" i="2"/>
  <c r="L262" i="2"/>
  <c r="F260" i="2"/>
  <c r="A258" i="2"/>
  <c r="Z255" i="2"/>
  <c r="T253" i="2"/>
  <c r="AF251" i="2"/>
  <c r="G251" i="2"/>
  <c r="U250" i="2"/>
  <c r="C250" i="2"/>
  <c r="Q249" i="2"/>
  <c r="AF248" i="2"/>
  <c r="L248" i="2"/>
  <c r="AA247" i="2"/>
  <c r="H247" i="2"/>
  <c r="V246" i="2"/>
  <c r="D246" i="2"/>
  <c r="Q245" i="2"/>
  <c r="AG244" i="2"/>
  <c r="O244" i="2"/>
  <c r="AB243" i="2"/>
  <c r="J243" i="2"/>
  <c r="Y242" i="2"/>
  <c r="G242" i="2"/>
  <c r="U241" i="2"/>
  <c r="D241" i="2"/>
  <c r="R240" i="2"/>
  <c r="V261" i="2"/>
  <c r="AF252" i="2"/>
  <c r="AE249" i="2"/>
  <c r="U247" i="2"/>
  <c r="K245" i="2"/>
  <c r="E243" i="2"/>
  <c r="AF240" i="2"/>
  <c r="U239" i="2"/>
  <c r="R238" i="2"/>
  <c r="AE237" i="2"/>
  <c r="J237" i="2"/>
  <c r="Y236" i="2"/>
  <c r="G236" i="2"/>
  <c r="V235" i="2"/>
  <c r="D235" i="2"/>
  <c r="S234" i="2"/>
  <c r="A234" i="2"/>
  <c r="N233" i="2"/>
  <c r="AA232" i="2"/>
  <c r="J232" i="2"/>
  <c r="AA231" i="2"/>
  <c r="I231" i="2"/>
  <c r="Y230" i="2"/>
  <c r="G230" i="2"/>
  <c r="V229" i="2"/>
  <c r="C229" i="2"/>
  <c r="Q228" i="2"/>
  <c r="AG227" i="2"/>
  <c r="M227" i="2"/>
  <c r="AB226" i="2"/>
  <c r="I226" i="2"/>
  <c r="X225" i="2"/>
  <c r="I267" i="2"/>
  <c r="B263" i="2"/>
  <c r="U258" i="2"/>
  <c r="I254" i="2"/>
  <c r="D267" i="2"/>
  <c r="AB262" i="2"/>
  <c r="O258" i="2"/>
  <c r="D254" i="2"/>
  <c r="B266" i="2"/>
  <c r="W261" i="2"/>
  <c r="J257" i="2"/>
  <c r="AG252" i="2"/>
  <c r="E257" i="2"/>
  <c r="W248" i="2"/>
  <c r="AE245" i="2"/>
  <c r="U243" i="2"/>
  <c r="N241" i="2"/>
  <c r="I239" i="2"/>
  <c r="W264" i="2"/>
  <c r="J260" i="2"/>
  <c r="AE255" i="2"/>
  <c r="A252" i="2"/>
  <c r="V250" i="2"/>
  <c r="R249" i="2"/>
  <c r="M248" i="2"/>
  <c r="I247" i="2"/>
  <c r="E246" i="2"/>
  <c r="A245" i="2"/>
  <c r="AE243" i="2"/>
  <c r="Z242" i="2"/>
  <c r="V241" i="2"/>
  <c r="S240" i="2"/>
  <c r="R239" i="2"/>
  <c r="M268" i="2"/>
  <c r="A264" i="2"/>
  <c r="U259" i="2"/>
  <c r="I255" i="2"/>
  <c r="U251" i="2"/>
  <c r="O250" i="2"/>
  <c r="K249" i="2"/>
  <c r="H248" i="2"/>
  <c r="D247" i="2"/>
  <c r="AG245" i="2"/>
  <c r="AB244" i="2"/>
  <c r="W243" i="2"/>
  <c r="T242" i="2"/>
  <c r="Q241" i="2"/>
  <c r="I268" i="2"/>
  <c r="S251" i="2"/>
  <c r="C247" i="2"/>
  <c r="S242" i="2"/>
  <c r="K239" i="2"/>
  <c r="Z237" i="2"/>
  <c r="U236" i="2"/>
  <c r="R235" i="2"/>
  <c r="N234" i="2"/>
  <c r="I233" i="2"/>
  <c r="F232" i="2"/>
  <c r="E231" i="2"/>
  <c r="C230" i="2"/>
  <c r="AF228" i="2"/>
  <c r="AA227" i="2"/>
  <c r="X226" i="2"/>
  <c r="T225" i="2"/>
  <c r="AE224" i="2"/>
  <c r="K224" i="2"/>
  <c r="Z223" i="2"/>
  <c r="H223" i="2"/>
  <c r="Y222" i="2"/>
  <c r="F222" i="2"/>
  <c r="V221" i="2"/>
  <c r="K263" i="2"/>
  <c r="S254" i="2"/>
  <c r="J250" i="2"/>
  <c r="C248" i="2"/>
  <c r="Z245" i="2"/>
  <c r="R243" i="2"/>
  <c r="K241" i="2"/>
  <c r="AB239" i="2"/>
  <c r="Z238" i="2"/>
  <c r="B238" i="2"/>
  <c r="N237" i="2"/>
  <c r="AB236" i="2"/>
  <c r="J236" i="2"/>
  <c r="Y235" i="2"/>
  <c r="G235" i="2"/>
  <c r="W234" i="2"/>
  <c r="D234" i="2"/>
  <c r="R233" i="2"/>
  <c r="AF232" i="2"/>
  <c r="M232" i="2"/>
  <c r="AD231" i="2"/>
  <c r="L231" i="2"/>
  <c r="AB230" i="2"/>
  <c r="J230" i="2"/>
  <c r="Y229" i="2"/>
  <c r="F229" i="2"/>
  <c r="U228" i="2"/>
  <c r="C228" i="2"/>
  <c r="Q227" i="2"/>
  <c r="AF226" i="2"/>
  <c r="M226" i="2"/>
  <c r="AA225" i="2"/>
  <c r="I225" i="2"/>
  <c r="Y224" i="2"/>
  <c r="F224" i="2"/>
  <c r="U223" i="2"/>
  <c r="C223" i="2"/>
  <c r="S222" i="2"/>
  <c r="A222" i="2"/>
  <c r="Q221" i="2"/>
  <c r="AG220" i="2"/>
  <c r="O220" i="2"/>
  <c r="S260" i="2"/>
  <c r="E252" i="2"/>
  <c r="U249" i="2"/>
  <c r="K247" i="2"/>
  <c r="C245" i="2"/>
  <c r="AB242" i="2"/>
  <c r="U240" i="2"/>
  <c r="Q239" i="2"/>
  <c r="N238" i="2"/>
  <c r="AB237" i="2"/>
  <c r="H237" i="2"/>
  <c r="W236" i="2"/>
  <c r="E236" i="2"/>
  <c r="T235" i="2"/>
  <c r="B235" i="2"/>
  <c r="Q234" i="2"/>
  <c r="AE233" i="2"/>
  <c r="K233" i="2"/>
  <c r="Y232" i="2"/>
  <c r="H232" i="2"/>
  <c r="Y231" i="2"/>
  <c r="G231" i="2"/>
  <c r="W230" i="2"/>
  <c r="E230" i="2"/>
  <c r="S229" i="2"/>
  <c r="A229" i="2"/>
  <c r="N228" i="2"/>
  <c r="AE227" i="2"/>
  <c r="J227" i="2"/>
  <c r="Z226" i="2"/>
  <c r="G226" i="2"/>
  <c r="R266" i="2"/>
  <c r="U246" i="2"/>
  <c r="F239" i="2"/>
  <c r="Q236" i="2"/>
  <c r="J234" i="2"/>
  <c r="C232" i="2"/>
  <c r="AG229" i="2"/>
  <c r="X227" i="2"/>
  <c r="U225" i="2"/>
  <c r="R224" i="2"/>
  <c r="N223" i="2"/>
  <c r="K222" i="2"/>
  <c r="K221" i="2"/>
  <c r="V220" i="2"/>
  <c r="B220" i="2"/>
  <c r="Q219" i="2"/>
  <c r="A219" i="2"/>
  <c r="P218" i="2"/>
  <c r="AG217" i="2"/>
  <c r="N217" i="2"/>
  <c r="AE216" i="2"/>
  <c r="J216" i="2"/>
  <c r="Y215" i="2"/>
  <c r="F215" i="2"/>
  <c r="T214" i="2"/>
  <c r="A214" i="2"/>
  <c r="N213" i="2"/>
  <c r="AB212" i="2"/>
  <c r="J212" i="2"/>
  <c r="Z211" i="2"/>
  <c r="H211" i="2"/>
  <c r="W210" i="2"/>
  <c r="E210" i="2"/>
  <c r="S209" i="2"/>
  <c r="A209" i="2"/>
  <c r="N208" i="2"/>
  <c r="AE207" i="2"/>
  <c r="J207" i="2"/>
  <c r="Z206" i="2"/>
  <c r="I206" i="2"/>
  <c r="X205" i="2"/>
  <c r="E205" i="2"/>
  <c r="S204" i="2"/>
  <c r="A204" i="2"/>
  <c r="N203" i="2"/>
  <c r="AA202" i="2"/>
  <c r="H202" i="2"/>
  <c r="W201" i="2"/>
  <c r="D201" i="2"/>
  <c r="S200" i="2"/>
  <c r="A200" i="2"/>
  <c r="O199" i="2"/>
  <c r="AE198" i="2"/>
  <c r="K198" i="2"/>
  <c r="Z197" i="2"/>
  <c r="G197" i="2"/>
  <c r="W196" i="2"/>
  <c r="D196" i="2"/>
  <c r="R195" i="2"/>
  <c r="AG194" i="2"/>
  <c r="O194" i="2"/>
  <c r="AE193" i="2"/>
  <c r="M193" i="2"/>
  <c r="AA192" i="2"/>
  <c r="U255" i="2"/>
  <c r="AA243" i="2"/>
  <c r="D238" i="2"/>
  <c r="AA235" i="2"/>
  <c r="T233" i="2"/>
  <c r="N231" i="2"/>
  <c r="H229" i="2"/>
  <c r="A227" i="2"/>
  <c r="H225" i="2"/>
  <c r="E224" i="2"/>
  <c r="B223" i="2"/>
  <c r="AG221" i="2"/>
  <c r="E221" i="2"/>
  <c r="N220" i="2"/>
  <c r="AB219" i="2"/>
  <c r="L219" i="2"/>
  <c r="AA218" i="2"/>
  <c r="K218" i="2"/>
  <c r="AA217" i="2"/>
  <c r="I217" i="2"/>
  <c r="X216" i="2"/>
  <c r="E216" i="2"/>
  <c r="S215" i="2"/>
  <c r="A215" i="2"/>
  <c r="N214" i="2"/>
  <c r="AA213" i="2"/>
  <c r="H213" i="2"/>
  <c r="W212" i="2"/>
  <c r="E212" i="2"/>
  <c r="T211" i="2"/>
  <c r="C211" i="2"/>
  <c r="R210" i="2"/>
  <c r="AG209" i="2"/>
  <c r="M209" i="2"/>
  <c r="AB208" i="2"/>
  <c r="I208" i="2"/>
  <c r="X207" i="2"/>
  <c r="E207" i="2"/>
  <c r="U206" i="2"/>
  <c r="D206" i="2"/>
  <c r="R205" i="2"/>
  <c r="AG204" i="2"/>
  <c r="M204" i="2"/>
  <c r="AA203" i="2"/>
  <c r="H203" i="2"/>
  <c r="V202" i="2"/>
  <c r="C202" i="2"/>
  <c r="Y266" i="2"/>
  <c r="O262" i="2"/>
  <c r="D258" i="2"/>
  <c r="W253" i="2"/>
  <c r="T266" i="2"/>
  <c r="J262" i="2"/>
  <c r="AF257" i="2"/>
  <c r="R253" i="2"/>
  <c r="Q265" i="2"/>
  <c r="F261" i="2"/>
  <c r="Z256" i="2"/>
  <c r="L252" i="2"/>
  <c r="A255" i="2"/>
  <c r="F248" i="2"/>
  <c r="S245" i="2"/>
  <c r="L243" i="2"/>
  <c r="F241" i="2"/>
  <c r="A239" i="2"/>
  <c r="E264" i="2"/>
  <c r="Z259" i="2"/>
  <c r="M255" i="2"/>
  <c r="W251" i="2"/>
  <c r="Q250" i="2"/>
  <c r="M249" i="2"/>
  <c r="I248" i="2"/>
  <c r="E247" i="2"/>
  <c r="A246" i="2"/>
  <c r="AC244" i="2"/>
  <c r="Y243" i="2"/>
  <c r="U242" i="2"/>
  <c r="R241" i="2"/>
  <c r="N240" i="2"/>
  <c r="M239" i="2"/>
  <c r="Z267" i="2"/>
  <c r="O263" i="2"/>
  <c r="D259" i="2"/>
  <c r="Y254" i="2"/>
  <c r="O251" i="2"/>
  <c r="K250" i="2"/>
  <c r="G249" i="2"/>
  <c r="D248" i="2"/>
  <c r="AG246" i="2"/>
  <c r="AA245" i="2"/>
  <c r="X244" i="2"/>
  <c r="S243" i="2"/>
  <c r="O242" i="2"/>
  <c r="L241" i="2"/>
  <c r="A266" i="2"/>
  <c r="B251" i="2"/>
  <c r="O246" i="2"/>
  <c r="B242" i="2"/>
  <c r="C239" i="2"/>
  <c r="U237" i="2"/>
  <c r="O236" i="2"/>
  <c r="M235" i="2"/>
  <c r="I234" i="2"/>
  <c r="E233" i="2"/>
  <c r="B232" i="2"/>
  <c r="A231" i="2"/>
  <c r="AF229" i="2"/>
  <c r="AA228" i="2"/>
  <c r="W227" i="2"/>
  <c r="S226" i="2"/>
  <c r="O225" i="2"/>
  <c r="Z224" i="2"/>
  <c r="G224" i="2"/>
  <c r="V223" i="2"/>
  <c r="D223" i="2"/>
  <c r="U222" i="2"/>
  <c r="B222" i="2"/>
  <c r="R221" i="2"/>
  <c r="E261" i="2"/>
  <c r="M252" i="2"/>
  <c r="Y249" i="2"/>
  <c r="O247" i="2"/>
  <c r="G245" i="2"/>
  <c r="A243" i="2"/>
  <c r="Z240" i="2"/>
  <c r="T239" i="2"/>
  <c r="Q238" i="2"/>
  <c r="AC237" i="2"/>
  <c r="I237" i="2"/>
  <c r="X236" i="2"/>
  <c r="F236" i="2"/>
  <c r="U235" i="2"/>
  <c r="C235" i="2"/>
  <c r="R234" i="2"/>
  <c r="AF233" i="2"/>
  <c r="M233" i="2"/>
  <c r="Z232" i="2"/>
  <c r="I232" i="2"/>
  <c r="Z231" i="2"/>
  <c r="H231" i="2"/>
  <c r="X230" i="2"/>
  <c r="F230" i="2"/>
  <c r="U229" i="2"/>
  <c r="B229" i="2"/>
  <c r="O228" i="2"/>
  <c r="AF227" i="2"/>
  <c r="K227" i="2"/>
  <c r="AA226" i="2"/>
  <c r="H226" i="2"/>
  <c r="W225" i="2"/>
  <c r="E225" i="2"/>
  <c r="U224" i="2"/>
  <c r="B224" i="2"/>
  <c r="Q223" i="2"/>
  <c r="AF222" i="2"/>
  <c r="N222" i="2"/>
  <c r="AC221" i="2"/>
  <c r="M221" i="2"/>
  <c r="AB220" i="2"/>
  <c r="B267" i="2"/>
  <c r="M258" i="2"/>
  <c r="J251" i="2"/>
  <c r="B249" i="2"/>
  <c r="Z246" i="2"/>
  <c r="S244" i="2"/>
  <c r="J242" i="2"/>
  <c r="I240" i="2"/>
  <c r="G239" i="2"/>
  <c r="I238" i="2"/>
  <c r="W237" i="2"/>
  <c r="D237" i="2"/>
  <c r="R236" i="2"/>
  <c r="A236" i="2"/>
  <c r="O235" i="2"/>
  <c r="AE234" i="2"/>
  <c r="K234" i="2"/>
  <c r="Y233" i="2"/>
  <c r="G233" i="2"/>
  <c r="U232" i="2"/>
  <c r="D232" i="2"/>
  <c r="U231" i="2"/>
  <c r="C231" i="2"/>
  <c r="R230" i="2"/>
  <c r="A230" i="2"/>
  <c r="N229" i="2"/>
  <c r="AC228" i="2"/>
  <c r="J228" i="2"/>
  <c r="Y227" i="2"/>
  <c r="F227" i="2"/>
  <c r="V226" i="2"/>
  <c r="C226" i="2"/>
  <c r="AB257" i="2"/>
  <c r="N244" i="2"/>
  <c r="H238" i="2"/>
  <c r="AG235" i="2"/>
  <c r="X233" i="2"/>
  <c r="S231" i="2"/>
  <c r="M229" i="2"/>
  <c r="E227" i="2"/>
  <c r="K225" i="2"/>
  <c r="H224" i="2"/>
  <c r="E223" i="2"/>
  <c r="C222" i="2"/>
  <c r="F221" i="2"/>
  <c r="Q220" i="2"/>
  <c r="AE219" i="2"/>
  <c r="M219" i="2"/>
  <c r="AB218" i="2"/>
  <c r="L218" i="2"/>
  <c r="AB217" i="2"/>
  <c r="J217" i="2"/>
  <c r="Y216" i="2"/>
  <c r="F216" i="2"/>
  <c r="U215" i="2"/>
  <c r="B215" i="2"/>
  <c r="O214" i="2"/>
  <c r="AB213" i="2"/>
  <c r="I213" i="2"/>
  <c r="X212" i="2"/>
  <c r="F212" i="2"/>
  <c r="U211" i="2"/>
  <c r="D211" i="2"/>
  <c r="S210" i="2"/>
  <c r="A210" i="2"/>
  <c r="N209" i="2"/>
  <c r="AD208" i="2"/>
  <c r="J208" i="2"/>
  <c r="Y207" i="2"/>
  <c r="F207" i="2"/>
  <c r="V206" i="2"/>
  <c r="E206" i="2"/>
  <c r="S205" i="2"/>
  <c r="A205" i="2"/>
  <c r="N204" i="2"/>
  <c r="AB203" i="2"/>
  <c r="I203" i="2"/>
  <c r="W202" i="2"/>
  <c r="D202" i="2"/>
  <c r="R201" i="2"/>
  <c r="AG200" i="2"/>
  <c r="N200" i="2"/>
  <c r="AD199" i="2"/>
  <c r="J199" i="2"/>
  <c r="Y198" i="2"/>
  <c r="G198" i="2"/>
  <c r="V197" i="2"/>
  <c r="C197" i="2"/>
  <c r="R196" i="2"/>
  <c r="AG195" i="2"/>
  <c r="M195" i="2"/>
  <c r="AC194" i="2"/>
  <c r="J194" i="2"/>
  <c r="AA193" i="2"/>
  <c r="H193" i="2"/>
  <c r="W192" i="2"/>
  <c r="S250" i="2"/>
  <c r="T241" i="2"/>
  <c r="Q237" i="2"/>
  <c r="I235" i="2"/>
  <c r="B233" i="2"/>
  <c r="AE230" i="2"/>
  <c r="W228" i="2"/>
  <c r="O226" i="2"/>
  <c r="AG224" i="2"/>
  <c r="AB223" i="2"/>
  <c r="AA222" i="2"/>
  <c r="X221" i="2"/>
  <c r="AF220" i="2"/>
  <c r="I220" i="2"/>
  <c r="X219" i="2"/>
  <c r="H219" i="2"/>
  <c r="W218" i="2"/>
  <c r="G218" i="2"/>
  <c r="W217" i="2"/>
  <c r="E217" i="2"/>
  <c r="S216" i="2"/>
  <c r="A216" i="2"/>
  <c r="N215" i="2"/>
  <c r="AA214" i="2"/>
  <c r="H214" i="2"/>
  <c r="W213" i="2"/>
  <c r="D213" i="2"/>
  <c r="R212" i="2"/>
  <c r="A212" i="2"/>
  <c r="O211" i="2"/>
  <c r="AF210" i="2"/>
  <c r="M210" i="2"/>
  <c r="AA209" i="2"/>
  <c r="H209" i="2"/>
  <c r="W208" i="2"/>
  <c r="E208" i="2"/>
  <c r="S207" i="2"/>
  <c r="A207" i="2"/>
  <c r="Q206" i="2"/>
  <c r="AG205" i="2"/>
  <c r="M205" i="2"/>
  <c r="AA204" i="2"/>
  <c r="H204" i="2"/>
  <c r="W203" i="2"/>
  <c r="D203" i="2"/>
  <c r="Q202" i="2"/>
  <c r="AF201" i="2"/>
  <c r="F265" i="2"/>
  <c r="M256" i="2"/>
  <c r="A265" i="2"/>
  <c r="H256" i="2"/>
  <c r="AE263" i="2"/>
  <c r="F255" i="2"/>
  <c r="A251" i="2"/>
  <c r="Z244" i="2"/>
  <c r="K240" i="2"/>
  <c r="Q262" i="2"/>
  <c r="Y253" i="2"/>
  <c r="D250" i="2"/>
  <c r="AB247" i="2"/>
  <c r="R245" i="2"/>
  <c r="K243" i="2"/>
  <c r="E241" i="2"/>
  <c r="AG238" i="2"/>
  <c r="AA261" i="2"/>
  <c r="C253" i="2"/>
  <c r="AF249" i="2"/>
  <c r="V247" i="2"/>
  <c r="L245" i="2"/>
  <c r="F243" i="2"/>
  <c r="AG240" i="2"/>
  <c r="J249" i="2"/>
  <c r="M240" i="2"/>
  <c r="F237" i="2"/>
  <c r="AG234" i="2"/>
  <c r="W232" i="2"/>
  <c r="U230" i="2"/>
  <c r="L228" i="2"/>
  <c r="E226" i="2"/>
  <c r="V224" i="2"/>
  <c r="R223" i="2"/>
  <c r="O222" i="2"/>
  <c r="T267" i="2"/>
  <c r="N251" i="2"/>
  <c r="AF246" i="2"/>
  <c r="N242" i="2"/>
  <c r="J239" i="2"/>
  <c r="Y237" i="2"/>
  <c r="S236" i="2"/>
  <c r="Q235" i="2"/>
  <c r="M234" i="2"/>
  <c r="H233" i="2"/>
  <c r="E232" i="2"/>
  <c r="D231" i="2"/>
  <c r="B230" i="2"/>
  <c r="AE228" i="2"/>
  <c r="Z227" i="2"/>
  <c r="W226" i="2"/>
  <c r="S225" i="2"/>
  <c r="O224" i="2"/>
  <c r="K223" i="2"/>
  <c r="I222" i="2"/>
  <c r="H221" i="2"/>
  <c r="AF264" i="2"/>
  <c r="Y250" i="2"/>
  <c r="G246" i="2"/>
  <c r="Y241" i="2"/>
  <c r="AF238" i="2"/>
  <c r="R237" i="2"/>
  <c r="M236" i="2"/>
  <c r="J235" i="2"/>
  <c r="G234" i="2"/>
  <c r="C233" i="2"/>
  <c r="AG231" i="2"/>
  <c r="AF230" i="2"/>
  <c r="AB229" i="2"/>
  <c r="Y228" i="2"/>
  <c r="U227" i="2"/>
  <c r="Q226" i="2"/>
  <c r="F251" i="2"/>
  <c r="V237" i="2"/>
  <c r="F233" i="2"/>
  <c r="AB228" i="2"/>
  <c r="C225" i="2"/>
  <c r="AD222" i="2"/>
  <c r="A221" i="2"/>
  <c r="Y219" i="2"/>
  <c r="X218" i="2"/>
  <c r="X217" i="2"/>
  <c r="U216" i="2"/>
  <c r="O215" i="2"/>
  <c r="I214" i="2"/>
  <c r="E213" i="2"/>
  <c r="B212" i="2"/>
  <c r="AG210" i="2"/>
  <c r="AB209" i="2"/>
  <c r="Y208" i="2"/>
  <c r="U207" i="2"/>
  <c r="R206" i="2"/>
  <c r="N205" i="2"/>
  <c r="I204" i="2"/>
  <c r="E203" i="2"/>
  <c r="AG201" i="2"/>
  <c r="AA200" i="2"/>
  <c r="Y199" i="2"/>
  <c r="U198" i="2"/>
  <c r="Q197" i="2"/>
  <c r="M196" i="2"/>
  <c r="H195" i="2"/>
  <c r="F194" i="2"/>
  <c r="D193" i="2"/>
  <c r="K248" i="2"/>
  <c r="AF236" i="2"/>
  <c r="O232" i="2"/>
  <c r="E228" i="2"/>
  <c r="X224" i="2"/>
  <c r="R222" i="2"/>
  <c r="Z220" i="2"/>
  <c r="T219" i="2"/>
  <c r="S218" i="2"/>
  <c r="R217" i="2"/>
  <c r="N216" i="2"/>
  <c r="I215" i="2"/>
  <c r="D214" i="2"/>
  <c r="AG212" i="2"/>
  <c r="AC211" i="2"/>
  <c r="Z210" i="2"/>
  <c r="W209" i="2"/>
  <c r="R208" i="2"/>
  <c r="N207" i="2"/>
  <c r="L206" i="2"/>
  <c r="H205" i="2"/>
  <c r="D204" i="2"/>
  <c r="AF202" i="2"/>
  <c r="Z201" i="2"/>
  <c r="G201" i="2"/>
  <c r="V200" i="2"/>
  <c r="D200" i="2"/>
  <c r="S199" i="2"/>
  <c r="A199" i="2"/>
  <c r="O198" i="2"/>
  <c r="AE197" i="2"/>
  <c r="J197" i="2"/>
  <c r="Z196" i="2"/>
  <c r="G196" i="2"/>
  <c r="V195" i="2"/>
  <c r="C195" i="2"/>
  <c r="S194" i="2"/>
  <c r="A194" i="2"/>
  <c r="Q193" i="2"/>
  <c r="AF192" i="2"/>
  <c r="H262" i="2"/>
  <c r="O245" i="2"/>
  <c r="U238" i="2"/>
  <c r="H236" i="2"/>
  <c r="B234" i="2"/>
  <c r="AB231" i="2"/>
  <c r="W229" i="2"/>
  <c r="N227" i="2"/>
  <c r="Q225" i="2"/>
  <c r="M224" i="2"/>
  <c r="I223" i="2"/>
  <c r="G222" i="2"/>
  <c r="I221" i="2"/>
  <c r="S220" i="2"/>
  <c r="AG219" i="2"/>
  <c r="O219" i="2"/>
  <c r="AF218" i="2"/>
  <c r="N218" i="2"/>
  <c r="AE217" i="2"/>
  <c r="L217" i="2"/>
  <c r="AA216" i="2"/>
  <c r="H216" i="2"/>
  <c r="W215" i="2"/>
  <c r="D215" i="2"/>
  <c r="R214" i="2"/>
  <c r="AF213" i="2"/>
  <c r="K213" i="2"/>
  <c r="Z212" i="2"/>
  <c r="H212" i="2"/>
  <c r="W211" i="2"/>
  <c r="F211" i="2"/>
  <c r="U210" i="2"/>
  <c r="C210" i="2"/>
  <c r="Q209" i="2"/>
  <c r="AF208" i="2"/>
  <c r="L208" i="2"/>
  <c r="AA207" i="2"/>
  <c r="H207" i="2"/>
  <c r="X206" i="2"/>
  <c r="G206" i="2"/>
  <c r="V205" i="2"/>
  <c r="C205" i="2"/>
  <c r="Q204" i="2"/>
  <c r="AF203" i="2"/>
  <c r="K203" i="2"/>
  <c r="Y202" i="2"/>
  <c r="F202" i="2"/>
  <c r="U201" i="2"/>
  <c r="B201" i="2"/>
  <c r="Q200" i="2"/>
  <c r="AF199" i="2"/>
  <c r="M199" i="2"/>
  <c r="AA198" i="2"/>
  <c r="I198" i="2"/>
  <c r="X197" i="2"/>
  <c r="E197" i="2"/>
  <c r="U196" i="2"/>
  <c r="B196" i="2"/>
  <c r="D236" i="2"/>
  <c r="I227" i="2"/>
  <c r="D222" i="2"/>
  <c r="N219" i="2"/>
  <c r="K217" i="2"/>
  <c r="C215" i="2"/>
  <c r="Y212" i="2"/>
  <c r="T210" i="2"/>
  <c r="K208" i="2"/>
  <c r="F206" i="2"/>
  <c r="AE203" i="2"/>
  <c r="S201" i="2"/>
  <c r="K199" i="2"/>
  <c r="D197" i="2"/>
  <c r="N195" i="2"/>
  <c r="K194" i="2"/>
  <c r="I193" i="2"/>
  <c r="J192" i="2"/>
  <c r="Z191" i="2"/>
  <c r="H191" i="2"/>
  <c r="X190" i="2"/>
  <c r="F190" i="2"/>
  <c r="V189" i="2"/>
  <c r="E189" i="2"/>
  <c r="U188" i="2"/>
  <c r="D188" i="2"/>
  <c r="T187" i="2"/>
  <c r="B187" i="2"/>
  <c r="Q186" i="2"/>
  <c r="AF185" i="2"/>
  <c r="N185" i="2"/>
  <c r="AC184" i="2"/>
  <c r="K184" i="2"/>
  <c r="AA183" i="2"/>
  <c r="I183" i="2"/>
  <c r="Y182" i="2"/>
  <c r="F182" i="2"/>
  <c r="U181" i="2"/>
  <c r="B181" i="2"/>
  <c r="R180" i="2"/>
  <c r="AF179" i="2"/>
  <c r="N179" i="2"/>
  <c r="AE178" i="2"/>
  <c r="J178" i="2"/>
  <c r="AA177" i="2"/>
  <c r="I177" i="2"/>
  <c r="Y176" i="2"/>
  <c r="E176" i="2"/>
  <c r="T175" i="2"/>
  <c r="D175" i="2"/>
  <c r="R174" i="2"/>
  <c r="A174" i="2"/>
  <c r="N173" i="2"/>
  <c r="AE172" i="2"/>
  <c r="V264" i="2"/>
  <c r="AC255" i="2"/>
  <c r="Q264" i="2"/>
  <c r="W255" i="2"/>
  <c r="L263" i="2"/>
  <c r="U254" i="2"/>
  <c r="M250" i="2"/>
  <c r="R244" i="2"/>
  <c r="C240" i="2"/>
  <c r="AG261" i="2"/>
  <c r="G253" i="2"/>
  <c r="AG249" i="2"/>
  <c r="W247" i="2"/>
  <c r="M245" i="2"/>
  <c r="G243" i="2"/>
  <c r="A241" i="2"/>
  <c r="AB238" i="2"/>
  <c r="I261" i="2"/>
  <c r="O252" i="2"/>
  <c r="Z249" i="2"/>
  <c r="Q247" i="2"/>
  <c r="H245" i="2"/>
  <c r="B243" i="2"/>
  <c r="AA240" i="2"/>
  <c r="Y248" i="2"/>
  <c r="E240" i="2"/>
  <c r="B237" i="2"/>
  <c r="AB234" i="2"/>
  <c r="S232" i="2"/>
  <c r="O230" i="2"/>
  <c r="H228" i="2"/>
  <c r="A226" i="2"/>
  <c r="Q224" i="2"/>
  <c r="M223" i="2"/>
  <c r="J222" i="2"/>
  <c r="O265" i="2"/>
  <c r="AE250" i="2"/>
  <c r="K246" i="2"/>
  <c r="AE241" i="2"/>
  <c r="B239" i="2"/>
  <c r="S237" i="2"/>
  <c r="N236" i="2"/>
  <c r="K235" i="2"/>
  <c r="H234" i="2"/>
  <c r="D233" i="2"/>
  <c r="A232" i="2"/>
  <c r="AG230" i="2"/>
  <c r="AE229" i="2"/>
  <c r="Z228" i="2"/>
  <c r="V227" i="2"/>
  <c r="R226" i="2"/>
  <c r="N225" i="2"/>
  <c r="J224" i="2"/>
  <c r="G223" i="2"/>
  <c r="E222" i="2"/>
  <c r="D221" i="2"/>
  <c r="Z262" i="2"/>
  <c r="F250" i="2"/>
  <c r="U245" i="2"/>
  <c r="G241" i="2"/>
  <c r="V238" i="2"/>
  <c r="M237" i="2"/>
  <c r="I236" i="2"/>
  <c r="F235" i="2"/>
  <c r="C234" i="2"/>
  <c r="AE232" i="2"/>
  <c r="AC231" i="2"/>
  <c r="AA230" i="2"/>
  <c r="X229" i="2"/>
  <c r="S228" i="2"/>
  <c r="O227" i="2"/>
  <c r="K226" i="2"/>
  <c r="AE248" i="2"/>
  <c r="C237" i="2"/>
  <c r="T232" i="2"/>
  <c r="I228" i="2"/>
  <c r="AA224" i="2"/>
  <c r="V222" i="2"/>
  <c r="AA220" i="2"/>
  <c r="U219" i="2"/>
  <c r="T218" i="2"/>
  <c r="S217" i="2"/>
  <c r="O216" i="2"/>
  <c r="J215" i="2"/>
  <c r="E214" i="2"/>
  <c r="A213" i="2"/>
  <c r="AE211" i="2"/>
  <c r="AA210" i="2"/>
  <c r="X209" i="2"/>
  <c r="S208" i="2"/>
  <c r="O207" i="2"/>
  <c r="M206" i="2"/>
  <c r="I205" i="2"/>
  <c r="E204" i="2"/>
  <c r="A203" i="2"/>
  <c r="AA201" i="2"/>
  <c r="W200" i="2"/>
  <c r="U199" i="2"/>
  <c r="Q198" i="2"/>
  <c r="K197" i="2"/>
  <c r="H196" i="2"/>
  <c r="D195" i="2"/>
  <c r="B194" i="2"/>
  <c r="AG192" i="2"/>
  <c r="C246" i="2"/>
  <c r="L236" i="2"/>
  <c r="AF231" i="2"/>
  <c r="S227" i="2"/>
  <c r="N224" i="2"/>
  <c r="H222" i="2"/>
  <c r="U220" i="2"/>
  <c r="P219" i="2"/>
  <c r="O218" i="2"/>
  <c r="M217" i="2"/>
  <c r="I216" i="2"/>
  <c r="E215" i="2"/>
  <c r="AG213" i="2"/>
  <c r="AA212" i="2"/>
  <c r="Y211" i="2"/>
  <c r="V210" i="2"/>
  <c r="R209" i="2"/>
  <c r="M208" i="2"/>
  <c r="I207" i="2"/>
  <c r="H206" i="2"/>
  <c r="D205" i="2"/>
  <c r="AG203" i="2"/>
  <c r="Z202" i="2"/>
  <c r="V201" i="2"/>
  <c r="C201" i="2"/>
  <c r="R200" i="2"/>
  <c r="AG199" i="2"/>
  <c r="N199" i="2"/>
  <c r="AB198" i="2"/>
  <c r="J198" i="2"/>
  <c r="Y197" i="2"/>
  <c r="F197" i="2"/>
  <c r="V196" i="2"/>
  <c r="C196" i="2"/>
  <c r="Q195" i="2"/>
  <c r="AF194" i="2"/>
  <c r="N194" i="2"/>
  <c r="AD193" i="2"/>
  <c r="K193" i="2"/>
  <c r="Z192" i="2"/>
  <c r="O253" i="2"/>
  <c r="I243" i="2"/>
  <c r="AF237" i="2"/>
  <c r="W235" i="2"/>
  <c r="O233" i="2"/>
  <c r="J231" i="2"/>
  <c r="D229" i="2"/>
  <c r="AC226" i="2"/>
  <c r="G225" i="2"/>
  <c r="D224" i="2"/>
  <c r="A223" i="2"/>
  <c r="AF221" i="2"/>
  <c r="C221" i="2"/>
  <c r="M220" i="2"/>
  <c r="AA219" i="2"/>
  <c r="K219" i="2"/>
  <c r="Z218" i="2"/>
  <c r="J218" i="2"/>
  <c r="Z217" i="2"/>
  <c r="H217" i="2"/>
  <c r="W216" i="2"/>
  <c r="D216" i="2"/>
  <c r="R215" i="2"/>
  <c r="AF214" i="2"/>
  <c r="K214" i="2"/>
  <c r="Z213" i="2"/>
  <c r="G213" i="2"/>
  <c r="V212" i="2"/>
  <c r="D212" i="2"/>
  <c r="S211" i="2"/>
  <c r="B211" i="2"/>
  <c r="Q210" i="2"/>
  <c r="AF209" i="2"/>
  <c r="K209" i="2"/>
  <c r="AA208" i="2"/>
  <c r="H208" i="2"/>
  <c r="W207" i="2"/>
  <c r="D207" i="2"/>
  <c r="T206" i="2"/>
  <c r="C206" i="2"/>
  <c r="Q205" i="2"/>
  <c r="AF204" i="2"/>
  <c r="K204" i="2"/>
  <c r="Z203" i="2"/>
  <c r="G203" i="2"/>
  <c r="U202" i="2"/>
  <c r="B202" i="2"/>
  <c r="O201" i="2"/>
  <c r="AE200" i="2"/>
  <c r="K200" i="2"/>
  <c r="AA199" i="2"/>
  <c r="H199" i="2"/>
  <c r="W198" i="2"/>
  <c r="E198" i="2"/>
  <c r="S197" i="2"/>
  <c r="A197" i="2"/>
  <c r="O196" i="2"/>
  <c r="B260" i="2"/>
  <c r="AB233" i="2"/>
  <c r="M225" i="2"/>
  <c r="G221" i="2"/>
  <c r="AE218" i="2"/>
  <c r="Z216" i="2"/>
  <c r="Q214" i="2"/>
  <c r="G212" i="2"/>
  <c r="B210" i="2"/>
  <c r="Z207" i="2"/>
  <c r="U205" i="2"/>
  <c r="J203" i="2"/>
  <c r="A201" i="2"/>
  <c r="Z198" i="2"/>
  <c r="S196" i="2"/>
  <c r="E195" i="2"/>
  <c r="C194" i="2"/>
  <c r="A193" i="2"/>
  <c r="F192" i="2"/>
  <c r="V191" i="2"/>
  <c r="D191" i="2"/>
  <c r="T190" i="2"/>
  <c r="B190" i="2"/>
  <c r="Q189" i="2"/>
  <c r="A189" i="2"/>
  <c r="P188" i="2"/>
  <c r="AG187" i="2"/>
  <c r="O187" i="2"/>
  <c r="AE186" i="2"/>
  <c r="K186" i="2"/>
  <c r="AA185" i="2"/>
  <c r="I185" i="2"/>
  <c r="Y184" i="2"/>
  <c r="G184" i="2"/>
  <c r="W183" i="2"/>
  <c r="E183" i="2"/>
  <c r="U182" i="2"/>
  <c r="B182" i="2"/>
  <c r="O181" i="2"/>
  <c r="AE180" i="2"/>
  <c r="M180" i="2"/>
  <c r="AA179" i="2"/>
  <c r="J179" i="2"/>
  <c r="Y178" i="2"/>
  <c r="F178" i="2"/>
  <c r="W177" i="2"/>
  <c r="E177" i="2"/>
  <c r="S176" i="2"/>
  <c r="A176" i="2"/>
  <c r="P175" i="2"/>
  <c r="AG174" i="2"/>
  <c r="M174" i="2"/>
  <c r="AB173" i="2"/>
  <c r="J173" i="2"/>
  <c r="AA260" i="2"/>
  <c r="U260" i="2"/>
  <c r="Q259" i="2"/>
  <c r="B247" i="2"/>
  <c r="A268" i="2"/>
  <c r="H251" i="2"/>
  <c r="W246" i="2"/>
  <c r="H242" i="2"/>
  <c r="E266" i="2"/>
  <c r="C251" i="2"/>
  <c r="Q246" i="2"/>
  <c r="C242" i="2"/>
  <c r="AA244" i="2"/>
  <c r="C236" i="2"/>
  <c r="W231" i="2"/>
  <c r="H227" i="2"/>
  <c r="C224" i="2"/>
  <c r="AE221" i="2"/>
  <c r="F249" i="2"/>
  <c r="L240" i="2"/>
  <c r="E237" i="2"/>
  <c r="AF234" i="2"/>
  <c r="V232" i="2"/>
  <c r="S230" i="2"/>
  <c r="K228" i="2"/>
  <c r="D226" i="2"/>
  <c r="AE223" i="2"/>
  <c r="Y221" i="2"/>
  <c r="F256" i="2"/>
  <c r="A244" i="2"/>
  <c r="E238" i="2"/>
  <c r="AB235" i="2"/>
  <c r="U233" i="2"/>
  <c r="O231" i="2"/>
  <c r="I229" i="2"/>
  <c r="B227" i="2"/>
  <c r="F242" i="2"/>
  <c r="B231" i="2"/>
  <c r="AG223" i="2"/>
  <c r="J220" i="2"/>
  <c r="H218" i="2"/>
  <c r="B216" i="2"/>
  <c r="X213" i="2"/>
  <c r="Q211" i="2"/>
  <c r="I209" i="2"/>
  <c r="B207" i="2"/>
  <c r="AB204" i="2"/>
  <c r="R202" i="2"/>
  <c r="I200" i="2"/>
  <c r="C198" i="2"/>
  <c r="AA195" i="2"/>
  <c r="W193" i="2"/>
  <c r="AG239" i="2"/>
  <c r="L230" i="2"/>
  <c r="T223" i="2"/>
  <c r="E220" i="2"/>
  <c r="C218" i="2"/>
  <c r="AB215" i="2"/>
  <c r="R213" i="2"/>
  <c r="K211" i="2"/>
  <c r="D209" i="2"/>
  <c r="AC206" i="2"/>
  <c r="W204" i="2"/>
  <c r="K202" i="2"/>
  <c r="AF200" i="2"/>
  <c r="AB199" i="2"/>
  <c r="X198" i="2"/>
  <c r="U197" i="2"/>
  <c r="Q196" i="2"/>
  <c r="K195" i="2"/>
  <c r="I194" i="2"/>
  <c r="G193" i="2"/>
  <c r="B250" i="2"/>
  <c r="K237" i="2"/>
  <c r="AB232" i="2"/>
  <c r="R228" i="2"/>
  <c r="AF224" i="2"/>
  <c r="Z222" i="2"/>
  <c r="AE220" i="2"/>
  <c r="W219" i="2"/>
  <c r="V218" i="2"/>
  <c r="V217" i="2"/>
  <c r="R216" i="2"/>
  <c r="M215" i="2"/>
  <c r="G214" i="2"/>
  <c r="C213" i="2"/>
  <c r="AG211" i="2"/>
  <c r="AE210" i="2"/>
  <c r="Z209" i="2"/>
  <c r="V208" i="2"/>
  <c r="R207" i="2"/>
  <c r="O206" i="2"/>
  <c r="K205" i="2"/>
  <c r="G204" i="2"/>
  <c r="C203" i="2"/>
  <c r="AE201" i="2"/>
  <c r="Y200" i="2"/>
  <c r="W199" i="2"/>
  <c r="S198" i="2"/>
  <c r="N197" i="2"/>
  <c r="J196" i="2"/>
  <c r="X231" i="2"/>
  <c r="R220" i="2"/>
  <c r="G216" i="2"/>
  <c r="V211" i="2"/>
  <c r="G207" i="2"/>
  <c r="X202" i="2"/>
  <c r="H198" i="2"/>
  <c r="AD194" i="2"/>
  <c r="X192" i="2"/>
  <c r="R191" i="2"/>
  <c r="O190" i="2"/>
  <c r="M189" i="2"/>
  <c r="L188" i="2"/>
  <c r="J187" i="2"/>
  <c r="G186" i="2"/>
  <c r="E185" i="2"/>
  <c r="C184" i="2"/>
  <c r="A183" i="2"/>
  <c r="AE181" i="2"/>
  <c r="Z180" i="2"/>
  <c r="W179" i="2"/>
  <c r="U178" i="2"/>
  <c r="R177" i="2"/>
  <c r="N176" i="2"/>
  <c r="L175" i="2"/>
  <c r="I174" i="2"/>
  <c r="F173" i="2"/>
  <c r="Q172" i="2"/>
  <c r="AF171" i="2"/>
  <c r="N171" i="2"/>
  <c r="AB170" i="2"/>
  <c r="J170" i="2"/>
  <c r="Z169" i="2"/>
  <c r="AB251" i="2"/>
  <c r="J233" i="2"/>
  <c r="D225" i="2"/>
  <c r="B221" i="2"/>
  <c r="Y218" i="2"/>
  <c r="V216" i="2"/>
  <c r="J214" i="2"/>
  <c r="C212" i="2"/>
  <c r="AE209" i="2"/>
  <c r="V207" i="2"/>
  <c r="O205" i="2"/>
  <c r="F203" i="2"/>
  <c r="AB200" i="2"/>
  <c r="V198" i="2"/>
  <c r="N196" i="2"/>
  <c r="B195" i="2"/>
  <c r="AG193" i="2"/>
  <c r="AE192" i="2"/>
  <c r="E192" i="2"/>
  <c r="U191" i="2"/>
  <c r="C191" i="2"/>
  <c r="S190" i="2"/>
  <c r="A190" i="2"/>
  <c r="P189" i="2"/>
  <c r="AG188" i="2"/>
  <c r="O188" i="2"/>
  <c r="AF187" i="2"/>
  <c r="N187" i="2"/>
  <c r="AD186" i="2"/>
  <c r="J186" i="2"/>
  <c r="Z185" i="2"/>
  <c r="H185" i="2"/>
  <c r="X184" i="2"/>
  <c r="F184" i="2"/>
  <c r="V183" i="2"/>
  <c r="D183" i="2"/>
  <c r="S182" i="2"/>
  <c r="A182" i="2"/>
  <c r="N181" i="2"/>
  <c r="AC180" i="2"/>
  <c r="K180" i="2"/>
  <c r="Z179" i="2"/>
  <c r="I179" i="2"/>
  <c r="X178" i="2"/>
  <c r="E178" i="2"/>
  <c r="V177" i="2"/>
  <c r="D177" i="2"/>
  <c r="R176" i="2"/>
  <c r="AG175" i="2"/>
  <c r="O175" i="2"/>
  <c r="AF174" i="2"/>
  <c r="L174" i="2"/>
  <c r="AA173" i="2"/>
  <c r="I173" i="2"/>
  <c r="X172" i="2"/>
  <c r="F172" i="2"/>
  <c r="V171" i="2"/>
  <c r="D171" i="2"/>
  <c r="S170" i="2"/>
  <c r="A170" i="2"/>
  <c r="O169" i="2"/>
  <c r="AE168" i="2"/>
  <c r="K168" i="2"/>
  <c r="Z167" i="2"/>
  <c r="A235" i="2"/>
  <c r="F226" i="2"/>
  <c r="T221" i="2"/>
  <c r="F219" i="2"/>
  <c r="C217" i="2"/>
  <c r="Y214" i="2"/>
  <c r="O212" i="2"/>
  <c r="J210" i="2"/>
  <c r="C208" i="2"/>
  <c r="AE205" i="2"/>
  <c r="U203" i="2"/>
  <c r="I201" i="2"/>
  <c r="C199" i="2"/>
  <c r="AB196" i="2"/>
  <c r="I195" i="2"/>
  <c r="G194" i="2"/>
  <c r="E193" i="2"/>
  <c r="H192" i="2"/>
  <c r="X191" i="2"/>
  <c r="F191" i="2"/>
  <c r="V190" i="2"/>
  <c r="D190" i="2"/>
  <c r="S189" i="2"/>
  <c r="C189" i="2"/>
  <c r="R188" i="2"/>
  <c r="B188" i="2"/>
  <c r="R187" i="2"/>
  <c r="AG186" i="2"/>
  <c r="N186" i="2"/>
  <c r="AD185" i="2"/>
  <c r="K185" i="2"/>
  <c r="AA184" i="2"/>
  <c r="I184" i="2"/>
  <c r="Y183" i="2"/>
  <c r="G183" i="2"/>
  <c r="W182" i="2"/>
  <c r="D182" i="2"/>
  <c r="R181" i="2"/>
  <c r="AG180" i="2"/>
  <c r="O180" i="2"/>
  <c r="AC179" i="2"/>
  <c r="L179" i="2"/>
  <c r="AA178" i="2"/>
  <c r="H178" i="2"/>
  <c r="Y177" i="2"/>
  <c r="G177" i="2"/>
  <c r="V176" i="2"/>
  <c r="C176" i="2"/>
  <c r="R175" i="2"/>
  <c r="B175" i="2"/>
  <c r="O174" i="2"/>
  <c r="AF173" i="2"/>
  <c r="L173" i="2"/>
  <c r="AA172" i="2"/>
  <c r="I172" i="2"/>
  <c r="Y171" i="2"/>
  <c r="G171" i="2"/>
  <c r="V170" i="2"/>
  <c r="D170" i="2"/>
  <c r="S169" i="2"/>
  <c r="A169" i="2"/>
  <c r="O168" i="2"/>
  <c r="AE167" i="2"/>
  <c r="G247" i="2"/>
  <c r="Q218" i="2"/>
  <c r="U209" i="2"/>
  <c r="T200" i="2"/>
  <c r="AC193" i="2"/>
  <c r="A191" i="2"/>
  <c r="AE188" i="2"/>
  <c r="AA186" i="2"/>
  <c r="V184" i="2"/>
  <c r="Q182" i="2"/>
  <c r="I180" i="2"/>
  <c r="C178" i="2"/>
  <c r="AE175" i="2"/>
  <c r="Y173" i="2"/>
  <c r="T171" i="2"/>
  <c r="M169" i="2"/>
  <c r="H168" i="2"/>
  <c r="J167" i="2"/>
  <c r="Z166" i="2"/>
  <c r="G166" i="2"/>
  <c r="U165" i="2"/>
  <c r="C165" i="2"/>
  <c r="S164" i="2"/>
  <c r="A164" i="2"/>
  <c r="N163" i="2"/>
  <c r="AC162" i="2"/>
  <c r="J162" i="2"/>
  <c r="Z161" i="2"/>
  <c r="H161" i="2"/>
  <c r="X160" i="2"/>
  <c r="E160" i="2"/>
  <c r="U159" i="2"/>
  <c r="D159" i="2"/>
  <c r="S158" i="2"/>
  <c r="C158" i="2"/>
  <c r="Q157" i="2"/>
  <c r="AF156" i="2"/>
  <c r="L156" i="2"/>
  <c r="AA155" i="2"/>
  <c r="H155" i="2"/>
  <c r="X154" i="2"/>
  <c r="F154" i="2"/>
  <c r="U153" i="2"/>
  <c r="C153" i="2"/>
  <c r="S152" i="2"/>
  <c r="A152" i="2"/>
  <c r="R151" i="2"/>
  <c r="AG150" i="2"/>
  <c r="O150" i="2"/>
  <c r="AE149" i="2"/>
  <c r="K149" i="2"/>
  <c r="Y148" i="2"/>
  <c r="F148" i="2"/>
  <c r="U147" i="2"/>
  <c r="C147" i="2"/>
  <c r="Q146" i="2"/>
  <c r="AF145" i="2"/>
  <c r="N145" i="2"/>
  <c r="AB144" i="2"/>
  <c r="K144" i="2"/>
  <c r="AA143" i="2"/>
  <c r="I143" i="2"/>
  <c r="X142" i="2"/>
  <c r="G142" i="2"/>
  <c r="D230" i="2"/>
  <c r="Z215" i="2"/>
  <c r="AA206" i="2"/>
  <c r="AA197" i="2"/>
  <c r="Q192" i="2"/>
  <c r="K190" i="2"/>
  <c r="I188" i="2"/>
  <c r="D186" i="2"/>
  <c r="AG183" i="2"/>
  <c r="Z181" i="2"/>
  <c r="T179" i="2"/>
  <c r="N177" i="2"/>
  <c r="I175" i="2"/>
  <c r="C173" i="2"/>
  <c r="AD170" i="2"/>
  <c r="AG168" i="2"/>
  <c r="AB167" i="2"/>
  <c r="E167" i="2"/>
  <c r="U166" i="2"/>
  <c r="B166" i="2"/>
  <c r="O165" i="2"/>
  <c r="AE164" i="2"/>
  <c r="M164" i="2"/>
  <c r="AA163" i="2"/>
  <c r="H163" i="2"/>
  <c r="X162" i="2"/>
  <c r="E162" i="2"/>
  <c r="U161" i="2"/>
  <c r="C161" i="2"/>
  <c r="R160" i="2"/>
  <c r="AG159" i="2"/>
  <c r="O159" i="2"/>
  <c r="AF158" i="2"/>
  <c r="N158" i="2"/>
  <c r="AE157" i="2"/>
  <c r="J157" i="2"/>
  <c r="Y156" i="2"/>
  <c r="G156" i="2"/>
  <c r="V155" i="2"/>
  <c r="C155" i="2"/>
  <c r="S154" i="2"/>
  <c r="A154" i="2"/>
  <c r="O153" i="2"/>
  <c r="AE152" i="2"/>
  <c r="M152" i="2"/>
  <c r="AC151" i="2"/>
  <c r="K151" i="2"/>
  <c r="AA150" i="2"/>
  <c r="I150" i="2"/>
  <c r="X149" i="2"/>
  <c r="F149" i="2"/>
  <c r="S148" i="2"/>
  <c r="A148" i="2"/>
  <c r="O147" i="2"/>
  <c r="AE146" i="2"/>
  <c r="J146" i="2"/>
  <c r="Z145" i="2"/>
  <c r="H145" i="2"/>
  <c r="W144" i="2"/>
  <c r="F144" i="2"/>
  <c r="V143" i="2"/>
  <c r="D143" i="2"/>
  <c r="S142" i="2"/>
  <c r="B142" i="2"/>
  <c r="M222" i="2"/>
  <c r="AE212" i="2"/>
  <c r="B204" i="2"/>
  <c r="O195" i="2"/>
  <c r="AA191" i="2"/>
  <c r="W189" i="2"/>
  <c r="U187" i="2"/>
  <c r="O185" i="2"/>
  <c r="J183" i="2"/>
  <c r="C181" i="2"/>
  <c r="AF178" i="2"/>
  <c r="Z176" i="2"/>
  <c r="S174" i="2"/>
  <c r="M172" i="2"/>
  <c r="G170" i="2"/>
  <c r="W168" i="2"/>
  <c r="S167" i="2"/>
  <c r="AG166" i="2"/>
  <c r="N166" i="2"/>
  <c r="AA165" i="2"/>
  <c r="I165" i="2"/>
  <c r="Y164" i="2"/>
  <c r="G164" i="2"/>
  <c r="V163" i="2"/>
  <c r="C163" i="2"/>
  <c r="R162" i="2"/>
  <c r="AG161" i="2"/>
  <c r="O161" i="2"/>
  <c r="AE160" i="2"/>
  <c r="K160" i="2"/>
  <c r="AA159" i="2"/>
  <c r="J159" i="2"/>
  <c r="Y158" i="2"/>
  <c r="I158" i="2"/>
  <c r="X157" i="2"/>
  <c r="E157" i="2"/>
  <c r="S156" i="2"/>
  <c r="B156" i="2"/>
  <c r="O155" i="2"/>
  <c r="AE154" i="2"/>
  <c r="M154" i="2"/>
  <c r="AA153" i="2"/>
  <c r="I153" i="2"/>
  <c r="Z152" i="2"/>
  <c r="G152" i="2"/>
  <c r="X151" i="2"/>
  <c r="F151" i="2"/>
  <c r="V150" i="2"/>
  <c r="D150" i="2"/>
  <c r="S149" i="2"/>
  <c r="A149" i="2"/>
  <c r="M148" i="2"/>
  <c r="AA147" i="2"/>
  <c r="I147" i="2"/>
  <c r="X146" i="2"/>
  <c r="E146" i="2"/>
  <c r="U145" i="2"/>
  <c r="C145" i="2"/>
  <c r="O234" i="2"/>
  <c r="B193" i="2"/>
  <c r="H184" i="2"/>
  <c r="Q175" i="2"/>
  <c r="A168" i="2"/>
  <c r="R165" i="2"/>
  <c r="J163" i="2"/>
  <c r="E161" i="2"/>
  <c r="A159" i="2"/>
  <c r="AA156" i="2"/>
  <c r="U154" i="2"/>
  <c r="O152" i="2"/>
  <c r="K150" i="2"/>
  <c r="C148" i="2"/>
  <c r="AB145" i="2"/>
  <c r="E144" i="2"/>
  <c r="C143" i="2"/>
  <c r="A142" i="2"/>
  <c r="M141" i="2"/>
  <c r="AB140" i="2"/>
  <c r="K140" i="2"/>
  <c r="Z139" i="2"/>
  <c r="I139" i="2"/>
  <c r="Y138" i="2"/>
  <c r="I138" i="2"/>
  <c r="Y137" i="2"/>
  <c r="G137" i="2"/>
  <c r="V136" i="2"/>
  <c r="C136" i="2"/>
  <c r="Q135" i="2"/>
  <c r="AG134" i="2"/>
  <c r="M134" i="2"/>
  <c r="AA133" i="2"/>
  <c r="I133" i="2"/>
  <c r="X132" i="2"/>
  <c r="F132" i="2"/>
  <c r="V131" i="2"/>
  <c r="D131" i="2"/>
  <c r="T130" i="2"/>
  <c r="B130" i="2"/>
  <c r="O129" i="2"/>
  <c r="AE128" i="2"/>
  <c r="K128" i="2"/>
  <c r="Z127" i="2"/>
  <c r="G127" i="2"/>
  <c r="V126" i="2"/>
  <c r="C126" i="2"/>
  <c r="Q125" i="2"/>
  <c r="AF124" i="2"/>
  <c r="K124" i="2"/>
  <c r="Z123" i="2"/>
  <c r="H123" i="2"/>
  <c r="W122" i="2"/>
  <c r="F122" i="2"/>
  <c r="U121" i="2"/>
  <c r="B121" i="2"/>
  <c r="S120" i="2"/>
  <c r="A120" i="2"/>
  <c r="R119" i="2"/>
  <c r="AG118" i="2"/>
  <c r="Q118" i="2"/>
  <c r="AF117" i="2"/>
  <c r="N117" i="2"/>
  <c r="AD116" i="2"/>
  <c r="I260" i="2"/>
  <c r="D260" i="2"/>
  <c r="A259" i="2"/>
  <c r="Y246" i="2"/>
  <c r="Z266" i="2"/>
  <c r="D251" i="2"/>
  <c r="R246" i="2"/>
  <c r="D242" i="2"/>
  <c r="T265" i="2"/>
  <c r="AF250" i="2"/>
  <c r="L246" i="2"/>
  <c r="AF241" i="2"/>
  <c r="I244" i="2"/>
  <c r="AF235" i="2"/>
  <c r="R231" i="2"/>
  <c r="D227" i="2"/>
  <c r="AF223" i="2"/>
  <c r="Z221" i="2"/>
  <c r="T248" i="2"/>
  <c r="D240" i="2"/>
  <c r="A237" i="2"/>
  <c r="AA234" i="2"/>
  <c r="R232" i="2"/>
  <c r="N230" i="2"/>
  <c r="G228" i="2"/>
  <c r="AG225" i="2"/>
  <c r="Y223" i="2"/>
  <c r="U221" i="2"/>
  <c r="B254" i="2"/>
  <c r="M243" i="2"/>
  <c r="A238" i="2"/>
  <c r="X235" i="2"/>
  <c r="Q233" i="2"/>
  <c r="K231" i="2"/>
  <c r="E229" i="2"/>
  <c r="AE226" i="2"/>
  <c r="H240" i="2"/>
  <c r="Q230" i="2"/>
  <c r="W223" i="2"/>
  <c r="F220" i="2"/>
  <c r="D218" i="2"/>
  <c r="AC215" i="2"/>
  <c r="S213" i="2"/>
  <c r="L211" i="2"/>
  <c r="E209" i="2"/>
  <c r="AE206" i="2"/>
  <c r="X204" i="2"/>
  <c r="M202" i="2"/>
  <c r="E200" i="2"/>
  <c r="AF197" i="2"/>
  <c r="W195" i="2"/>
  <c r="R193" i="2"/>
  <c r="AE238" i="2"/>
  <c r="AA229" i="2"/>
  <c r="J223" i="2"/>
  <c r="A220" i="2"/>
  <c r="AF217" i="2"/>
  <c r="X215" i="2"/>
  <c r="M213" i="2"/>
  <c r="G211" i="2"/>
  <c r="AG208" i="2"/>
  <c r="Y206" i="2"/>
  <c r="R204" i="2"/>
  <c r="G202" i="2"/>
  <c r="Z200" i="2"/>
  <c r="X199" i="2"/>
  <c r="T198" i="2"/>
  <c r="O197" i="2"/>
  <c r="K196" i="2"/>
  <c r="G195" i="2"/>
  <c r="E194" i="2"/>
  <c r="C193" i="2"/>
  <c r="Z247" i="2"/>
  <c r="Z236" i="2"/>
  <c r="K232" i="2"/>
  <c r="A228" i="2"/>
  <c r="W224" i="2"/>
  <c r="Q222" i="2"/>
  <c r="Y220" i="2"/>
  <c r="S219" i="2"/>
  <c r="R218" i="2"/>
  <c r="Q217" i="2"/>
  <c r="M216" i="2"/>
  <c r="H215" i="2"/>
  <c r="C214" i="2"/>
  <c r="AF212" i="2"/>
  <c r="AB211" i="2"/>
  <c r="Y210" i="2"/>
  <c r="V209" i="2"/>
  <c r="Q208" i="2"/>
  <c r="M207" i="2"/>
  <c r="K206" i="2"/>
  <c r="G205" i="2"/>
  <c r="C204" i="2"/>
  <c r="AE202" i="2"/>
  <c r="Y201" i="2"/>
  <c r="U200" i="2"/>
  <c r="R199" i="2"/>
  <c r="N198" i="2"/>
  <c r="I197" i="2"/>
  <c r="F196" i="2"/>
  <c r="R229" i="2"/>
  <c r="AF219" i="2"/>
  <c r="V215" i="2"/>
  <c r="E211" i="2"/>
  <c r="W206" i="2"/>
  <c r="E202" i="2"/>
  <c r="W197" i="2"/>
  <c r="V194" i="2"/>
  <c r="O192" i="2"/>
  <c r="M191" i="2"/>
  <c r="J190" i="2"/>
  <c r="I189" i="2"/>
  <c r="H188" i="2"/>
  <c r="F187" i="2"/>
  <c r="C186" i="2"/>
  <c r="A185" i="2"/>
  <c r="AF183" i="2"/>
  <c r="AC182" i="2"/>
  <c r="Y181" i="2"/>
  <c r="V180" i="2"/>
  <c r="S179" i="2"/>
  <c r="O178" i="2"/>
  <c r="M177" i="2"/>
  <c r="I176" i="2"/>
  <c r="H175" i="2"/>
  <c r="E174" i="2"/>
  <c r="B173" i="2"/>
  <c r="K172" i="2"/>
  <c r="AA171" i="2"/>
  <c r="I171" i="2"/>
  <c r="X170" i="2"/>
  <c r="F170" i="2"/>
  <c r="V169" i="2"/>
  <c r="W242" i="2"/>
  <c r="F231" i="2"/>
  <c r="A224" i="2"/>
  <c r="K220" i="2"/>
  <c r="I218" i="2"/>
  <c r="C216" i="2"/>
  <c r="Y213" i="2"/>
  <c r="R211" i="2"/>
  <c r="J209" i="2"/>
  <c r="C207" i="2"/>
  <c r="AE204" i="2"/>
  <c r="S202" i="2"/>
  <c r="J200" i="2"/>
  <c r="D198" i="2"/>
  <c r="AE195" i="2"/>
  <c r="AA194" i="2"/>
  <c r="Y193" i="2"/>
  <c r="U192" i="2"/>
  <c r="A192" i="2"/>
  <c r="Q191" i="2"/>
  <c r="AF190" i="2"/>
  <c r="N190" i="2"/>
  <c r="AD189" i="2"/>
  <c r="L189" i="2"/>
  <c r="AB188" i="2"/>
  <c r="K188" i="2"/>
  <c r="AA187" i="2"/>
  <c r="I187" i="2"/>
  <c r="Y186" i="2"/>
  <c r="F186" i="2"/>
  <c r="V185" i="2"/>
  <c r="D185" i="2"/>
  <c r="S184" i="2"/>
  <c r="B184" i="2"/>
  <c r="R183" i="2"/>
  <c r="AG182" i="2"/>
  <c r="N182" i="2"/>
  <c r="AB181" i="2"/>
  <c r="I181" i="2"/>
  <c r="Y180" i="2"/>
  <c r="G180" i="2"/>
  <c r="V179" i="2"/>
  <c r="E179" i="2"/>
  <c r="S178" i="2"/>
  <c r="A178" i="2"/>
  <c r="Q177" i="2"/>
  <c r="AG176" i="2"/>
  <c r="M176" i="2"/>
  <c r="AB175" i="2"/>
  <c r="K175" i="2"/>
  <c r="Z174" i="2"/>
  <c r="H174" i="2"/>
  <c r="W173" i="2"/>
  <c r="E173" i="2"/>
  <c r="T172" i="2"/>
  <c r="B172" i="2"/>
  <c r="R171" i="2"/>
  <c r="AF170" i="2"/>
  <c r="N170" i="2"/>
  <c r="AD169" i="2"/>
  <c r="J169" i="2"/>
  <c r="Z168" i="2"/>
  <c r="G168" i="2"/>
  <c r="O249" i="2"/>
  <c r="X232" i="2"/>
  <c r="AB224" i="2"/>
  <c r="AC220" i="2"/>
  <c r="U218" i="2"/>
  <c r="Q216" i="2"/>
  <c r="F214" i="2"/>
  <c r="AF211" i="2"/>
  <c r="Y209" i="2"/>
  <c r="Q207" i="2"/>
  <c r="J205" i="2"/>
  <c r="B203" i="2"/>
  <c r="X200" i="2"/>
  <c r="R198" i="2"/>
  <c r="I196" i="2"/>
  <c r="A195" i="2"/>
  <c r="AF193" i="2"/>
  <c r="AB192" i="2"/>
  <c r="D192" i="2"/>
  <c r="T191" i="2"/>
  <c r="B191" i="2"/>
  <c r="R190" i="2"/>
  <c r="AG189" i="2"/>
  <c r="O189" i="2"/>
  <c r="AF188" i="2"/>
  <c r="N188" i="2"/>
  <c r="AE187" i="2"/>
  <c r="M187" i="2"/>
  <c r="AB186" i="2"/>
  <c r="I186" i="2"/>
  <c r="Y185" i="2"/>
  <c r="G185" i="2"/>
  <c r="W184" i="2"/>
  <c r="E184" i="2"/>
  <c r="U183" i="2"/>
  <c r="C183" i="2"/>
  <c r="R182" i="2"/>
  <c r="AG181" i="2"/>
  <c r="M181" i="2"/>
  <c r="AB180" i="2"/>
  <c r="J180" i="2"/>
  <c r="Y179" i="2"/>
  <c r="H179" i="2"/>
  <c r="W178" i="2"/>
  <c r="D178" i="2"/>
  <c r="U177" i="2"/>
  <c r="C177" i="2"/>
  <c r="Q176" i="2"/>
  <c r="AF175" i="2"/>
  <c r="N175" i="2"/>
  <c r="AE174" i="2"/>
  <c r="K174" i="2"/>
  <c r="Z173" i="2"/>
  <c r="H173" i="2"/>
  <c r="W172" i="2"/>
  <c r="E172" i="2"/>
  <c r="U171" i="2"/>
  <c r="C171" i="2"/>
  <c r="R170" i="2"/>
  <c r="AG169" i="2"/>
  <c r="N169" i="2"/>
  <c r="AD168" i="2"/>
  <c r="J168" i="2"/>
  <c r="Y167" i="2"/>
  <c r="G232" i="2"/>
  <c r="K216" i="2"/>
  <c r="K207" i="2"/>
  <c r="M198" i="2"/>
  <c r="Y192" i="2"/>
  <c r="Q190" i="2"/>
  <c r="M188" i="2"/>
  <c r="H186" i="2"/>
  <c r="D184" i="2"/>
  <c r="AF181" i="2"/>
  <c r="X179" i="2"/>
  <c r="S177" i="2"/>
  <c r="M175" i="2"/>
  <c r="G173" i="2"/>
  <c r="B171" i="2"/>
  <c r="C169" i="2"/>
  <c r="AG167" i="2"/>
  <c r="F167" i="2"/>
  <c r="V166" i="2"/>
  <c r="C166" i="2"/>
  <c r="Q165" i="2"/>
  <c r="AF164" i="2"/>
  <c r="N164" i="2"/>
  <c r="AB163" i="2"/>
  <c r="I163" i="2"/>
  <c r="Y162" i="2"/>
  <c r="F162" i="2"/>
  <c r="V161" i="2"/>
  <c r="D161" i="2"/>
  <c r="S160" i="2"/>
  <c r="A160" i="2"/>
  <c r="Q159" i="2"/>
  <c r="AG158" i="2"/>
  <c r="O158" i="2"/>
  <c r="AF157" i="2"/>
  <c r="K157" i="2"/>
  <c r="Z156" i="2"/>
  <c r="H156" i="2"/>
  <c r="W155" i="2"/>
  <c r="D155" i="2"/>
  <c r="T154" i="2"/>
  <c r="B154" i="2"/>
  <c r="Q153" i="2"/>
  <c r="AF152" i="2"/>
  <c r="N152" i="2"/>
  <c r="AD151" i="2"/>
  <c r="M151" i="2"/>
  <c r="AB150" i="2"/>
  <c r="J150" i="2"/>
  <c r="Y149" i="2"/>
  <c r="G149" i="2"/>
  <c r="U148" i="2"/>
  <c r="B148" i="2"/>
  <c r="Q147" i="2"/>
  <c r="AF146" i="2"/>
  <c r="K146" i="2"/>
  <c r="AA145" i="2"/>
  <c r="I145" i="2"/>
  <c r="X144" i="2"/>
  <c r="G144" i="2"/>
  <c r="W143" i="2"/>
  <c r="E143" i="2"/>
  <c r="T142" i="2"/>
  <c r="C142" i="2"/>
  <c r="O223" i="2"/>
  <c r="O213" i="2"/>
  <c r="U204" i="2"/>
  <c r="Y195" i="2"/>
  <c r="AF191" i="2"/>
  <c r="AA189" i="2"/>
  <c r="Y187" i="2"/>
  <c r="T185" i="2"/>
  <c r="O183" i="2"/>
  <c r="G181" i="2"/>
  <c r="C179" i="2"/>
  <c r="AE176" i="2"/>
  <c r="X174" i="2"/>
  <c r="R172" i="2"/>
  <c r="K170" i="2"/>
  <c r="X168" i="2"/>
  <c r="V167" i="2"/>
  <c r="A167" i="2"/>
  <c r="O166" i="2"/>
  <c r="AB165" i="2"/>
  <c r="J165" i="2"/>
  <c r="Z164" i="2"/>
  <c r="H164" i="2"/>
  <c r="W163" i="2"/>
  <c r="D163" i="2"/>
  <c r="S162" i="2"/>
  <c r="A162" i="2"/>
  <c r="Q161" i="2"/>
  <c r="AF160" i="2"/>
  <c r="M160" i="2"/>
  <c r="AB159" i="2"/>
  <c r="K159" i="2"/>
  <c r="Z158" i="2"/>
  <c r="J158" i="2"/>
  <c r="Y157" i="2"/>
  <c r="F157" i="2"/>
  <c r="U156" i="2"/>
  <c r="C156" i="2"/>
  <c r="Q155" i="2"/>
  <c r="AF154" i="2"/>
  <c r="N154" i="2"/>
  <c r="AB153" i="2"/>
  <c r="J153" i="2"/>
  <c r="AA152" i="2"/>
  <c r="H152" i="2"/>
  <c r="Y151" i="2"/>
  <c r="G151" i="2"/>
  <c r="W150" i="2"/>
  <c r="E150" i="2"/>
  <c r="T149" i="2"/>
  <c r="B149" i="2"/>
  <c r="N148" i="2"/>
  <c r="AB147" i="2"/>
  <c r="J147" i="2"/>
  <c r="Y146" i="2"/>
  <c r="F146" i="2"/>
  <c r="V145" i="2"/>
  <c r="D145" i="2"/>
  <c r="S144" i="2"/>
  <c r="B144" i="2"/>
  <c r="R143" i="2"/>
  <c r="AG142" i="2"/>
  <c r="N142" i="2"/>
  <c r="AE141" i="2"/>
  <c r="R219" i="2"/>
  <c r="X210" i="2"/>
  <c r="X201" i="2"/>
  <c r="M194" i="2"/>
  <c r="I191" i="2"/>
  <c r="F189" i="2"/>
  <c r="C187" i="2"/>
  <c r="AE184" i="2"/>
  <c r="Z182" i="2"/>
  <c r="S180" i="2"/>
  <c r="K178" i="2"/>
  <c r="F176" i="2"/>
  <c r="B174" i="2"/>
  <c r="AB171" i="2"/>
  <c r="W169" i="2"/>
  <c r="M168" i="2"/>
  <c r="M167" i="2"/>
  <c r="AB166" i="2"/>
  <c r="I166" i="2"/>
  <c r="W165" i="2"/>
  <c r="E165" i="2"/>
  <c r="U164" i="2"/>
  <c r="C164" i="2"/>
  <c r="Q163" i="2"/>
  <c r="AF162" i="2"/>
  <c r="M162" i="2"/>
  <c r="AB161" i="2"/>
  <c r="J161" i="2"/>
  <c r="Z160" i="2"/>
  <c r="G160" i="2"/>
  <c r="W159" i="2"/>
  <c r="F159" i="2"/>
  <c r="U158" i="2"/>
  <c r="E158" i="2"/>
  <c r="S157" i="2"/>
  <c r="A157" i="2"/>
  <c r="N156" i="2"/>
  <c r="AE155" i="2"/>
  <c r="J155" i="2"/>
  <c r="Z154" i="2"/>
  <c r="H154" i="2"/>
  <c r="W153" i="2"/>
  <c r="E153" i="2"/>
  <c r="V152" i="2"/>
  <c r="C152" i="2"/>
  <c r="T151" i="2"/>
  <c r="B151" i="2"/>
  <c r="R150" i="2"/>
  <c r="AG149" i="2"/>
  <c r="N149" i="2"/>
  <c r="AA148" i="2"/>
  <c r="H148" i="2"/>
  <c r="W147" i="2"/>
  <c r="E147" i="2"/>
  <c r="S146" i="2"/>
  <c r="A146" i="2"/>
  <c r="Q145" i="2"/>
  <c r="AF144" i="2"/>
  <c r="AF216" i="2"/>
  <c r="U190" i="2"/>
  <c r="C182" i="2"/>
  <c r="K173" i="2"/>
  <c r="G167" i="2"/>
  <c r="AG164" i="2"/>
  <c r="Z162" i="2"/>
  <c r="U160" i="2"/>
  <c r="P158" i="2"/>
  <c r="I156" i="2"/>
  <c r="C154" i="2"/>
  <c r="AE151" i="2"/>
  <c r="Z149" i="2"/>
  <c r="R147" i="2"/>
  <c r="J145" i="2"/>
  <c r="AD143" i="2"/>
  <c r="Z142" i="2"/>
  <c r="Z141" i="2"/>
  <c r="I141" i="2"/>
  <c r="X140" i="2"/>
  <c r="G140" i="2"/>
  <c r="V139" i="2"/>
  <c r="E139" i="2"/>
  <c r="U138" i="2"/>
  <c r="E138" i="2"/>
  <c r="U137" i="2"/>
  <c r="C137" i="2"/>
  <c r="Q136" i="2"/>
  <c r="AF135" i="2"/>
  <c r="L135" i="2"/>
  <c r="AA134" i="2"/>
  <c r="H134" i="2"/>
  <c r="W133" i="2"/>
  <c r="E133" i="2"/>
  <c r="T132" i="2"/>
  <c r="B132" i="2"/>
  <c r="Q131" i="2"/>
  <c r="AG130" i="2"/>
  <c r="O130" i="2"/>
  <c r="AE129" i="2"/>
  <c r="J129" i="2"/>
  <c r="Y128" i="2"/>
  <c r="G128" i="2"/>
  <c r="V127" i="2"/>
  <c r="C127" i="2"/>
  <c r="Q126" i="2"/>
  <c r="AF125" i="2"/>
  <c r="K125" i="2"/>
  <c r="Z124" i="2"/>
  <c r="G124" i="2"/>
  <c r="V123" i="2"/>
  <c r="D123" i="2"/>
  <c r="S122" i="2"/>
  <c r="B122" i="2"/>
  <c r="O121" i="2"/>
  <c r="AE120" i="2"/>
  <c r="N120" i="2"/>
  <c r="AD119" i="2"/>
  <c r="M119" i="2"/>
  <c r="AC118" i="2"/>
  <c r="K118" i="2"/>
  <c r="AA117" i="2"/>
  <c r="I117" i="2"/>
  <c r="Y116" i="2"/>
  <c r="B252" i="2"/>
  <c r="AC265" i="2"/>
  <c r="E258" i="2"/>
  <c r="Q244" i="2"/>
  <c r="M257" i="2"/>
  <c r="J244" i="2"/>
  <c r="K238" i="2"/>
  <c r="Q229" i="2"/>
  <c r="AG222" i="2"/>
  <c r="W244" i="2"/>
  <c r="B236" i="2"/>
  <c r="V231" i="2"/>
  <c r="G227" i="2"/>
  <c r="AB222" i="2"/>
  <c r="O248" i="2"/>
  <c r="AG236" i="2"/>
  <c r="Q232" i="2"/>
  <c r="F228" i="2"/>
  <c r="N235" i="2"/>
  <c r="AA221" i="2"/>
  <c r="F217" i="2"/>
  <c r="S212" i="2"/>
  <c r="F208" i="2"/>
  <c r="X203" i="2"/>
  <c r="F199" i="2"/>
  <c r="Y194" i="2"/>
  <c r="Y234" i="2"/>
  <c r="P221" i="2"/>
  <c r="A217" i="2"/>
  <c r="M212" i="2"/>
  <c r="A208" i="2"/>
  <c r="R203" i="2"/>
  <c r="M200" i="2"/>
  <c r="F198" i="2"/>
  <c r="AF195" i="2"/>
  <c r="Z193" i="2"/>
  <c r="C241" i="2"/>
  <c r="Z230" i="2"/>
  <c r="AA223" i="2"/>
  <c r="H220" i="2"/>
  <c r="F218" i="2"/>
  <c r="AF215" i="2"/>
  <c r="V213" i="2"/>
  <c r="N211" i="2"/>
  <c r="G209" i="2"/>
  <c r="AG206" i="2"/>
  <c r="Z204" i="2"/>
  <c r="O202" i="2"/>
  <c r="G200" i="2"/>
  <c r="A198" i="2"/>
  <c r="AF244" i="2"/>
  <c r="M218" i="2"/>
  <c r="O209" i="2"/>
  <c r="O200" i="2"/>
  <c r="AB193" i="2"/>
  <c r="AG190" i="2"/>
  <c r="AD188" i="2"/>
  <c r="Z186" i="2"/>
  <c r="U184" i="2"/>
  <c r="O182" i="2"/>
  <c r="H180" i="2"/>
  <c r="B178" i="2"/>
  <c r="AC175" i="2"/>
  <c r="X173" i="2"/>
  <c r="G172" i="2"/>
  <c r="E171" i="2"/>
  <c r="B170" i="2"/>
  <c r="AA237" i="2"/>
  <c r="AE222" i="2"/>
  <c r="Y217" i="2"/>
  <c r="F213" i="2"/>
  <c r="Z208" i="2"/>
  <c r="J204" i="2"/>
  <c r="Z199" i="2"/>
  <c r="U195" i="2"/>
  <c r="O193" i="2"/>
  <c r="AD191" i="2"/>
  <c r="AA190" i="2"/>
  <c r="Y189" i="2"/>
  <c r="X188" i="2"/>
  <c r="W187" i="2"/>
  <c r="U186" i="2"/>
  <c r="R185" i="2"/>
  <c r="N184" i="2"/>
  <c r="M183" i="2"/>
  <c r="I182" i="2"/>
  <c r="E181" i="2"/>
  <c r="C180" i="2"/>
  <c r="A179" i="2"/>
  <c r="AD177" i="2"/>
  <c r="AB176" i="2"/>
  <c r="W175" i="2"/>
  <c r="V174" i="2"/>
  <c r="R173" i="2"/>
  <c r="O172" i="2"/>
  <c r="M171" i="2"/>
  <c r="I170" i="2"/>
  <c r="F169" i="2"/>
  <c r="C168" i="2"/>
  <c r="V230" i="2"/>
  <c r="G220" i="2"/>
  <c r="AE215" i="2"/>
  <c r="M211" i="2"/>
  <c r="AF206" i="2"/>
  <c r="N202" i="2"/>
  <c r="AG197" i="2"/>
  <c r="Z194" i="2"/>
  <c r="T192" i="2"/>
  <c r="O191" i="2"/>
  <c r="M190" i="2"/>
  <c r="K189" i="2"/>
  <c r="J188" i="2"/>
  <c r="H187" i="2"/>
  <c r="E186" i="2"/>
  <c r="C185" i="2"/>
  <c r="A184" i="2"/>
  <c r="AF182" i="2"/>
  <c r="AA181" i="2"/>
  <c r="X180" i="2"/>
  <c r="U179" i="2"/>
  <c r="R178" i="2"/>
  <c r="O177" i="2"/>
  <c r="K176" i="2"/>
  <c r="J175" i="2"/>
  <c r="G174" i="2"/>
  <c r="D173" i="2"/>
  <c r="A172" i="2"/>
  <c r="AE170" i="2"/>
  <c r="AB169" i="2"/>
  <c r="Y168" i="2"/>
  <c r="U167" i="2"/>
  <c r="B214" i="2"/>
  <c r="E196" i="2"/>
  <c r="AF189" i="2"/>
  <c r="X185" i="2"/>
  <c r="K181" i="2"/>
  <c r="B177" i="2"/>
  <c r="V172" i="2"/>
  <c r="AA168" i="2"/>
  <c r="B167" i="2"/>
  <c r="AE165" i="2"/>
  <c r="AA164" i="2"/>
  <c r="X163" i="2"/>
  <c r="U162" i="2"/>
  <c r="R161" i="2"/>
  <c r="N160" i="2"/>
  <c r="L159" i="2"/>
  <c r="K158" i="2"/>
  <c r="G157" i="2"/>
  <c r="D156" i="2"/>
  <c r="AG154" i="2"/>
  <c r="AE153" i="2"/>
  <c r="AB152" i="2"/>
  <c r="Z151" i="2"/>
  <c r="X150" i="2"/>
  <c r="U149" i="2"/>
  <c r="O148" i="2"/>
  <c r="K147" i="2"/>
  <c r="G146" i="2"/>
  <c r="E145" i="2"/>
  <c r="C144" i="2"/>
  <c r="A143" i="2"/>
  <c r="AF141" i="2"/>
  <c r="I211" i="2"/>
  <c r="W194" i="2"/>
  <c r="J189" i="2"/>
  <c r="B185" i="2"/>
  <c r="W180" i="2"/>
  <c r="J176" i="2"/>
  <c r="AG171" i="2"/>
  <c r="N168" i="2"/>
  <c r="AD166" i="2"/>
  <c r="X165" i="2"/>
  <c r="V164" i="2"/>
  <c r="R163" i="2"/>
  <c r="N162" i="2"/>
  <c r="K161" i="2"/>
  <c r="H160" i="2"/>
  <c r="G159" i="2"/>
  <c r="F158" i="2"/>
  <c r="B157" i="2"/>
  <c r="AF155" i="2"/>
  <c r="AA154" i="2"/>
  <c r="X153" i="2"/>
  <c r="W152" i="2"/>
  <c r="U151" i="2"/>
  <c r="S150" i="2"/>
  <c r="O149" i="2"/>
  <c r="I148" i="2"/>
  <c r="F147" i="2"/>
  <c r="B146" i="2"/>
  <c r="AG144" i="2"/>
  <c r="AE143" i="2"/>
  <c r="AA142" i="2"/>
  <c r="V236" i="2"/>
  <c r="O208" i="2"/>
  <c r="J193" i="2"/>
  <c r="V188" i="2"/>
  <c r="L184" i="2"/>
  <c r="A180" i="2"/>
  <c r="U175" i="2"/>
  <c r="J171" i="2"/>
  <c r="D168" i="2"/>
  <c r="X166" i="2"/>
  <c r="S165" i="2"/>
  <c r="Q164" i="2"/>
  <c r="K163" i="2"/>
  <c r="H162" i="2"/>
  <c r="F161" i="2"/>
  <c r="C160" i="2"/>
  <c r="B159" i="2"/>
  <c r="A158" i="2"/>
  <c r="AB156" i="2"/>
  <c r="Y155" i="2"/>
  <c r="V154" i="2"/>
  <c r="S153" i="2"/>
  <c r="Q152" i="2"/>
  <c r="O151" i="2"/>
  <c r="M150" i="2"/>
  <c r="I149" i="2"/>
  <c r="D148" i="2"/>
  <c r="A147" i="2"/>
  <c r="AD145" i="2"/>
  <c r="Z144" i="2"/>
  <c r="Q188" i="2"/>
  <c r="F171" i="2"/>
  <c r="O164" i="2"/>
  <c r="B160" i="2"/>
  <c r="X155" i="2"/>
  <c r="N151" i="2"/>
  <c r="AG146" i="2"/>
  <c r="U143" i="2"/>
  <c r="V141" i="2"/>
  <c r="T140" i="2"/>
  <c r="R139" i="2"/>
  <c r="Q138" i="2"/>
  <c r="O137" i="2"/>
  <c r="K136" i="2"/>
  <c r="H135" i="2"/>
  <c r="D134" i="2"/>
  <c r="A133" i="2"/>
  <c r="AE131" i="2"/>
  <c r="AB130" i="2"/>
  <c r="Y129" i="2"/>
  <c r="U128" i="2"/>
  <c r="Q127" i="2"/>
  <c r="K126" i="2"/>
  <c r="G125" i="2"/>
  <c r="C124" i="2"/>
  <c r="AG122" i="2"/>
  <c r="AE121" i="2"/>
  <c r="AA120" i="2"/>
  <c r="Z119" i="2"/>
  <c r="Y118" i="2"/>
  <c r="W117" i="2"/>
  <c r="U116" i="2"/>
  <c r="C116" i="2"/>
  <c r="Q115" i="2"/>
  <c r="AG114" i="2"/>
  <c r="M114" i="2"/>
  <c r="Z113" i="2"/>
  <c r="H113" i="2"/>
  <c r="X112" i="2"/>
  <c r="E112" i="2"/>
  <c r="S111" i="2"/>
  <c r="A111" i="2"/>
  <c r="O110" i="2"/>
  <c r="AE109" i="2"/>
  <c r="J109" i="2"/>
  <c r="Y108" i="2"/>
  <c r="G108" i="2"/>
  <c r="W107" i="2"/>
  <c r="D107" i="2"/>
  <c r="T106" i="2"/>
  <c r="B106" i="2"/>
  <c r="O105" i="2"/>
  <c r="AE104" i="2"/>
  <c r="L104" i="2"/>
  <c r="AA103" i="2"/>
  <c r="I103" i="2"/>
  <c r="X102" i="2"/>
  <c r="G102" i="2"/>
  <c r="W101" i="2"/>
  <c r="E101" i="2"/>
  <c r="S100" i="2"/>
  <c r="B100" i="2"/>
  <c r="N99" i="2"/>
  <c r="AA98" i="2"/>
  <c r="H98" i="2"/>
  <c r="X97" i="2"/>
  <c r="G97" i="2"/>
  <c r="V96" i="2"/>
  <c r="C96" i="2"/>
  <c r="Q95" i="2"/>
  <c r="AF94" i="2"/>
  <c r="M94" i="2"/>
  <c r="AA93" i="2"/>
  <c r="H93" i="2"/>
  <c r="W92" i="2"/>
  <c r="E92" i="2"/>
  <c r="S91" i="2"/>
  <c r="B91" i="2"/>
  <c r="O90" i="2"/>
  <c r="AB89" i="2"/>
  <c r="I89" i="2"/>
  <c r="X88" i="2"/>
  <c r="F88" i="2"/>
  <c r="U87" i="2"/>
  <c r="B87" i="2"/>
  <c r="Q86" i="2"/>
  <c r="AF85" i="2"/>
  <c r="M85" i="2"/>
  <c r="AD84" i="2"/>
  <c r="J84" i="2"/>
  <c r="Z83" i="2"/>
  <c r="U214" i="2"/>
  <c r="C190" i="2"/>
  <c r="Q181" i="2"/>
  <c r="Z172" i="2"/>
  <c r="C167" i="2"/>
  <c r="AB164" i="2"/>
  <c r="V162" i="2"/>
  <c r="O160" i="2"/>
  <c r="L158" i="2"/>
  <c r="E156" i="2"/>
  <c r="AF153" i="2"/>
  <c r="AA151" i="2"/>
  <c r="V149" i="2"/>
  <c r="M147" i="2"/>
  <c r="F145" i="2"/>
  <c r="AB143" i="2"/>
  <c r="Y142" i="2"/>
  <c r="Y141" i="2"/>
  <c r="H141" i="2"/>
  <c r="W140" i="2"/>
  <c r="F140" i="2"/>
  <c r="U139" i="2"/>
  <c r="D139" i="2"/>
  <c r="T138" i="2"/>
  <c r="D138" i="2"/>
  <c r="S137" i="2"/>
  <c r="B137" i="2"/>
  <c r="O136" i="2"/>
  <c r="AE135" i="2"/>
  <c r="K135" i="2"/>
  <c r="Z134" i="2"/>
  <c r="G134" i="2"/>
  <c r="V133" i="2"/>
  <c r="D133" i="2"/>
  <c r="S132" i="2"/>
  <c r="A132" i="2"/>
  <c r="O131" i="2"/>
  <c r="AF130" i="2"/>
  <c r="N130" i="2"/>
  <c r="AB129" i="2"/>
  <c r="I129" i="2"/>
  <c r="X128" i="2"/>
  <c r="F128" i="2"/>
  <c r="U127" i="2"/>
  <c r="B127" i="2"/>
  <c r="O126" i="2"/>
  <c r="AE125" i="2"/>
  <c r="J125" i="2"/>
  <c r="Y124" i="2"/>
  <c r="F124" i="2"/>
  <c r="U123" i="2"/>
  <c r="C123" i="2"/>
  <c r="R122" i="2"/>
  <c r="A122" i="2"/>
  <c r="N121" i="2"/>
  <c r="AD120" i="2"/>
  <c r="M120" i="2"/>
  <c r="AC119" i="2"/>
  <c r="K119" i="2"/>
  <c r="AB118" i="2"/>
  <c r="J118" i="2"/>
  <c r="Z117" i="2"/>
  <c r="H117" i="2"/>
  <c r="X116" i="2"/>
  <c r="F116" i="2"/>
  <c r="U115" i="2"/>
  <c r="C115" i="2"/>
  <c r="Q114" i="2"/>
  <c r="AE113" i="2"/>
  <c r="K113" i="2"/>
  <c r="AA112" i="2"/>
  <c r="H112" i="2"/>
  <c r="W111" i="2"/>
  <c r="D111" i="2"/>
  <c r="S110" i="2"/>
  <c r="A110" i="2"/>
  <c r="N109" i="2"/>
  <c r="AB108" i="2"/>
  <c r="J108" i="2"/>
  <c r="Z107" i="2"/>
  <c r="G107" i="2"/>
  <c r="W106" i="2"/>
  <c r="E106" i="2"/>
  <c r="S105" i="2"/>
  <c r="A105" i="2"/>
  <c r="O104" i="2"/>
  <c r="AF103" i="2"/>
  <c r="M103" i="2"/>
  <c r="AA102" i="2"/>
  <c r="J102" i="2"/>
  <c r="Z101" i="2"/>
  <c r="H101" i="2"/>
  <c r="W100" i="2"/>
  <c r="E100" i="2"/>
  <c r="R99" i="2"/>
  <c r="AF98" i="2"/>
  <c r="K98" i="2"/>
  <c r="AA97" i="2"/>
  <c r="J97" i="2"/>
  <c r="Y96" i="2"/>
  <c r="F96" i="2"/>
  <c r="U95" i="2"/>
  <c r="B95" i="2"/>
  <c r="Q94" i="2"/>
  <c r="AF93" i="2"/>
  <c r="K93" i="2"/>
  <c r="Z92" i="2"/>
  <c r="H92" i="2"/>
  <c r="W91" i="2"/>
  <c r="E91" i="2"/>
  <c r="S90" i="2"/>
  <c r="A90" i="2"/>
  <c r="M89" i="2"/>
  <c r="AA88" i="2"/>
  <c r="I88" i="2"/>
  <c r="X87" i="2"/>
  <c r="E87" i="2"/>
  <c r="T86" i="2"/>
  <c r="B86" i="2"/>
  <c r="Q85" i="2"/>
  <c r="AG84" i="2"/>
  <c r="N84" i="2"/>
  <c r="AD83" i="2"/>
  <c r="L83" i="2"/>
  <c r="AA82" i="2"/>
  <c r="H82" i="2"/>
  <c r="W81" i="2"/>
  <c r="D81" i="2"/>
  <c r="O203" i="2"/>
  <c r="Q187" i="2"/>
  <c r="Z178" i="2"/>
  <c r="C170" i="2"/>
  <c r="M166" i="2"/>
  <c r="F164" i="2"/>
  <c r="AF161" i="2"/>
  <c r="Z159" i="2"/>
  <c r="W157" i="2"/>
  <c r="N155" i="2"/>
  <c r="H153" i="2"/>
  <c r="E151" i="2"/>
  <c r="AF148" i="2"/>
  <c r="W146" i="2"/>
  <c r="R144" i="2"/>
  <c r="Q143" i="2"/>
  <c r="M142" i="2"/>
  <c r="T141" i="2"/>
  <c r="C141" i="2"/>
  <c r="R140" i="2"/>
  <c r="A140" i="2"/>
  <c r="O139" i="2"/>
  <c r="AF138" i="2"/>
  <c r="O138" i="2"/>
  <c r="AF137" i="2"/>
  <c r="M137" i="2"/>
  <c r="AB136" i="2"/>
  <c r="I136" i="2"/>
  <c r="X135" i="2"/>
  <c r="F135" i="2"/>
  <c r="U134" i="2"/>
  <c r="B134" i="2"/>
  <c r="Q133" i="2"/>
  <c r="AF132" i="2"/>
  <c r="M132" i="2"/>
  <c r="AB131" i="2"/>
  <c r="J131" i="2"/>
  <c r="Z130" i="2"/>
  <c r="H130" i="2"/>
  <c r="W129" i="2"/>
  <c r="D129" i="2"/>
  <c r="R128" i="2"/>
  <c r="A128" i="2"/>
  <c r="N127" i="2"/>
  <c r="AB126" i="2"/>
  <c r="I126" i="2"/>
  <c r="X125" i="2"/>
  <c r="E125" i="2"/>
  <c r="S124" i="2"/>
  <c r="A124" i="2"/>
  <c r="O123" i="2"/>
  <c r="AE122" i="2"/>
  <c r="L122" i="2"/>
  <c r="AA121" i="2"/>
  <c r="H121" i="2"/>
  <c r="Y120" i="2"/>
  <c r="G120" i="2"/>
  <c r="X119" i="2"/>
  <c r="F119" i="2"/>
  <c r="W118" i="2"/>
  <c r="E118" i="2"/>
  <c r="U117" i="2"/>
  <c r="C117" i="2"/>
  <c r="S116" i="2"/>
  <c r="A116" i="2"/>
  <c r="O115" i="2"/>
  <c r="AE114" i="2"/>
  <c r="J114" i="2"/>
  <c r="AF268" i="2"/>
  <c r="Y263" i="2"/>
  <c r="R257" i="2"/>
  <c r="K244" i="2"/>
  <c r="AC256" i="2"/>
  <c r="F244" i="2"/>
  <c r="G238" i="2"/>
  <c r="K229" i="2"/>
  <c r="AC222" i="2"/>
  <c r="E244" i="2"/>
  <c r="AE235" i="2"/>
  <c r="Q231" i="2"/>
  <c r="C227" i="2"/>
  <c r="X222" i="2"/>
  <c r="AF247" i="2"/>
  <c r="AA236" i="2"/>
  <c r="L232" i="2"/>
  <c r="B228" i="2"/>
  <c r="AC234" i="2"/>
  <c r="S221" i="2"/>
  <c r="B217" i="2"/>
  <c r="N212" i="2"/>
  <c r="B208" i="2"/>
  <c r="S203" i="2"/>
  <c r="B199" i="2"/>
  <c r="U194" i="2"/>
  <c r="F234" i="2"/>
  <c r="J221" i="2"/>
  <c r="AB216" i="2"/>
  <c r="I212" i="2"/>
  <c r="AB207" i="2"/>
  <c r="M203" i="2"/>
  <c r="H200" i="2"/>
  <c r="B198" i="2"/>
  <c r="Z195" i="2"/>
  <c r="V193" i="2"/>
  <c r="X239" i="2"/>
  <c r="H230" i="2"/>
  <c r="S223" i="2"/>
  <c r="D220" i="2"/>
  <c r="B218" i="2"/>
  <c r="AA215" i="2"/>
  <c r="Q213" i="2"/>
  <c r="J211" i="2"/>
  <c r="C209" i="2"/>
  <c r="AB206" i="2"/>
  <c r="V204" i="2"/>
  <c r="J202" i="2"/>
  <c r="C200" i="2"/>
  <c r="AB197" i="2"/>
  <c r="M238" i="2"/>
  <c r="AD217" i="2"/>
  <c r="AE208" i="2"/>
  <c r="AE199" i="2"/>
  <c r="S193" i="2"/>
  <c r="AB190" i="2"/>
  <c r="Y188" i="2"/>
  <c r="V186" i="2"/>
  <c r="O184" i="2"/>
  <c r="J182" i="2"/>
  <c r="D180" i="2"/>
  <c r="AE177" i="2"/>
  <c r="Y175" i="2"/>
  <c r="S173" i="2"/>
  <c r="C172" i="2"/>
  <c r="A171" i="2"/>
  <c r="AE169" i="2"/>
  <c r="S235" i="2"/>
  <c r="AB221" i="2"/>
  <c r="G217" i="2"/>
  <c r="U212" i="2"/>
  <c r="G208" i="2"/>
  <c r="Y203" i="2"/>
  <c r="G199" i="2"/>
  <c r="J195" i="2"/>
  <c r="F193" i="2"/>
  <c r="Y191" i="2"/>
  <c r="W190" i="2"/>
  <c r="U189" i="2"/>
  <c r="S188" i="2"/>
  <c r="S187" i="2"/>
  <c r="O186" i="2"/>
  <c r="M185" i="2"/>
  <c r="J184" i="2"/>
  <c r="H183" i="2"/>
  <c r="E182" i="2"/>
  <c r="A181" i="2"/>
  <c r="AE179" i="2"/>
  <c r="AB178" i="2"/>
  <c r="Z177" i="2"/>
  <c r="W176" i="2"/>
  <c r="S175" i="2"/>
  <c r="Q174" i="2"/>
  <c r="M173" i="2"/>
  <c r="J172" i="2"/>
  <c r="H171" i="2"/>
  <c r="E170" i="2"/>
  <c r="B169" i="2"/>
  <c r="AF167" i="2"/>
  <c r="M228" i="2"/>
  <c r="V219" i="2"/>
  <c r="K215" i="2"/>
  <c r="AB210" i="2"/>
  <c r="N206" i="2"/>
  <c r="AB201" i="2"/>
  <c r="M197" i="2"/>
  <c r="Q194" i="2"/>
  <c r="M192" i="2"/>
  <c r="J191" i="2"/>
  <c r="H190" i="2"/>
  <c r="G189" i="2"/>
  <c r="F188" i="2"/>
  <c r="D187" i="2"/>
  <c r="A186" i="2"/>
  <c r="AF184" i="2"/>
  <c r="AC183" i="2"/>
  <c r="AA182" i="2"/>
  <c r="W181" i="2"/>
  <c r="T180" i="2"/>
  <c r="Q179" i="2"/>
  <c r="M178" i="2"/>
  <c r="K177" i="2"/>
  <c r="G176" i="2"/>
  <c r="F175" i="2"/>
  <c r="C174" i="2"/>
  <c r="AG172" i="2"/>
  <c r="AC171" i="2"/>
  <c r="Z170" i="2"/>
  <c r="X169" i="2"/>
  <c r="U168" i="2"/>
  <c r="O167" i="2"/>
  <c r="AA211" i="2"/>
  <c r="AE194" i="2"/>
  <c r="N189" i="2"/>
  <c r="F185" i="2"/>
  <c r="AA180" i="2"/>
  <c r="O176" i="2"/>
  <c r="D172" i="2"/>
  <c r="R168" i="2"/>
  <c r="AE166" i="2"/>
  <c r="Y165" i="2"/>
  <c r="W164" i="2"/>
  <c r="S163" i="2"/>
  <c r="O162" i="2"/>
  <c r="M161" i="2"/>
  <c r="I160" i="2"/>
  <c r="H159" i="2"/>
  <c r="G158" i="2"/>
  <c r="C157" i="2"/>
  <c r="AG155" i="2"/>
  <c r="AB154" i="2"/>
  <c r="Y153" i="2"/>
  <c r="X152" i="2"/>
  <c r="V151" i="2"/>
  <c r="T150" i="2"/>
  <c r="Q149" i="2"/>
  <c r="J148" i="2"/>
  <c r="G147" i="2"/>
  <c r="C146" i="2"/>
  <c r="A145" i="2"/>
  <c r="AF143" i="2"/>
  <c r="AB142" i="2"/>
  <c r="O239" i="2"/>
  <c r="B209" i="2"/>
  <c r="U193" i="2"/>
  <c r="Z188" i="2"/>
  <c r="Q184" i="2"/>
  <c r="E180" i="2"/>
  <c r="Z175" i="2"/>
  <c r="O171" i="2"/>
  <c r="E168" i="2"/>
  <c r="Y166" i="2"/>
  <c r="T165" i="2"/>
  <c r="R164" i="2"/>
  <c r="M163" i="2"/>
  <c r="I162" i="2"/>
  <c r="G161" i="2"/>
  <c r="D160" i="2"/>
  <c r="C159" i="2"/>
  <c r="B158" i="2"/>
  <c r="AE156" i="2"/>
  <c r="Z155" i="2"/>
  <c r="W154" i="2"/>
  <c r="T153" i="2"/>
  <c r="R152" i="2"/>
  <c r="Q151" i="2"/>
  <c r="N150" i="2"/>
  <c r="J149" i="2"/>
  <c r="E148" i="2"/>
  <c r="B147" i="2"/>
  <c r="AE145" i="2"/>
  <c r="AA144" i="2"/>
  <c r="Z143" i="2"/>
  <c r="W142" i="2"/>
  <c r="AB227" i="2"/>
  <c r="J206" i="2"/>
  <c r="K192" i="2"/>
  <c r="E188" i="2"/>
  <c r="AB183" i="2"/>
  <c r="O179" i="2"/>
  <c r="E175" i="2"/>
  <c r="Y170" i="2"/>
  <c r="AA167" i="2"/>
  <c r="S166" i="2"/>
  <c r="N165" i="2"/>
  <c r="K164" i="2"/>
  <c r="G163" i="2"/>
  <c r="D162" i="2"/>
  <c r="B161" i="2"/>
  <c r="AF159" i="2"/>
  <c r="AE158" i="2"/>
  <c r="AB157" i="2"/>
  <c r="X156" i="2"/>
  <c r="U155" i="2"/>
  <c r="R154" i="2"/>
  <c r="N153" i="2"/>
  <c r="K152" i="2"/>
  <c r="J151" i="2"/>
  <c r="H150" i="2"/>
  <c r="E149" i="2"/>
  <c r="AF147" i="2"/>
  <c r="AB146" i="2"/>
  <c r="Y145" i="2"/>
  <c r="V144" i="2"/>
  <c r="M186" i="2"/>
  <c r="D169" i="2"/>
  <c r="AE163" i="2"/>
  <c r="R159" i="2"/>
  <c r="E155" i="2"/>
  <c r="AC150" i="2"/>
  <c r="M146" i="2"/>
  <c r="K143" i="2"/>
  <c r="R141" i="2"/>
  <c r="O140" i="2"/>
  <c r="M139" i="2"/>
  <c r="M138" i="2"/>
  <c r="K137" i="2"/>
  <c r="G136" i="2"/>
  <c r="D135" i="2"/>
  <c r="AG133" i="2"/>
  <c r="AB132" i="2"/>
  <c r="Z131" i="2"/>
  <c r="X130" i="2"/>
  <c r="U129" i="2"/>
  <c r="O128" i="2"/>
  <c r="K127" i="2"/>
  <c r="G126" i="2"/>
  <c r="C125" i="2"/>
  <c r="AF123" i="2"/>
  <c r="AA122" i="2"/>
  <c r="Y121" i="2"/>
  <c r="W120" i="2"/>
  <c r="V119" i="2"/>
  <c r="U118" i="2"/>
  <c r="S117" i="2"/>
  <c r="Q116" i="2"/>
  <c r="AF115" i="2"/>
  <c r="M115" i="2"/>
  <c r="AA114" i="2"/>
  <c r="H114" i="2"/>
  <c r="V113" i="2"/>
  <c r="D113" i="2"/>
  <c r="S112" i="2"/>
  <c r="A112" i="2"/>
  <c r="N111" i="2"/>
  <c r="AB110" i="2"/>
  <c r="J110" i="2"/>
  <c r="Y109" i="2"/>
  <c r="F109" i="2"/>
  <c r="U108" i="2"/>
  <c r="C108" i="2"/>
  <c r="R107" i="2"/>
  <c r="AG106" i="2"/>
  <c r="O106" i="2"/>
  <c r="AE105" i="2"/>
  <c r="J105" i="2"/>
  <c r="Y104" i="2"/>
  <c r="H104" i="2"/>
  <c r="W103" i="2"/>
  <c r="E103" i="2"/>
  <c r="T102" i="2"/>
  <c r="C102" i="2"/>
  <c r="R101" i="2"/>
  <c r="A101" i="2"/>
  <c r="O100" i="2"/>
  <c r="AB99" i="2"/>
  <c r="I99" i="2"/>
  <c r="W98" i="2"/>
  <c r="D98" i="2"/>
  <c r="T97" i="2"/>
  <c r="C97" i="2"/>
  <c r="Q96" i="2"/>
  <c r="AF95" i="2"/>
  <c r="K95" i="2"/>
  <c r="AA94" i="2"/>
  <c r="H94" i="2"/>
  <c r="W93" i="2"/>
  <c r="D93" i="2"/>
  <c r="S92" i="2"/>
  <c r="A92" i="2"/>
  <c r="N91" i="2"/>
  <c r="AE90" i="2"/>
  <c r="J90" i="2"/>
  <c r="X89" i="2"/>
  <c r="E89" i="2"/>
  <c r="T88" i="2"/>
  <c r="B88" i="2"/>
  <c r="O87" i="2"/>
  <c r="AE86" i="2"/>
  <c r="K86" i="2"/>
  <c r="AA85" i="2"/>
  <c r="I85" i="2"/>
  <c r="Y84" i="2"/>
  <c r="F84" i="2"/>
  <c r="V83" i="2"/>
  <c r="Y205" i="2"/>
  <c r="A188" i="2"/>
  <c r="K179" i="2"/>
  <c r="U170" i="2"/>
  <c r="R166" i="2"/>
  <c r="J164" i="2"/>
  <c r="C162" i="2"/>
  <c r="AE159" i="2"/>
  <c r="AA157" i="2"/>
  <c r="S155" i="2"/>
  <c r="M153" i="2"/>
  <c r="I151" i="2"/>
  <c r="D149" i="2"/>
  <c r="AA146" i="2"/>
  <c r="U144" i="2"/>
  <c r="T143" i="2"/>
  <c r="Q142" i="2"/>
  <c r="U141" i="2"/>
  <c r="D141" i="2"/>
  <c r="S140" i="2"/>
  <c r="B140" i="2"/>
  <c r="Q139" i="2"/>
  <c r="AG138" i="2"/>
  <c r="P138" i="2"/>
  <c r="AG137" i="2"/>
  <c r="N137" i="2"/>
  <c r="AE136" i="2"/>
  <c r="J136" i="2"/>
  <c r="Y135" i="2"/>
  <c r="G135" i="2"/>
  <c r="V134" i="2"/>
  <c r="C134" i="2"/>
  <c r="R133" i="2"/>
  <c r="AG132" i="2"/>
  <c r="N132" i="2"/>
  <c r="AC131" i="2"/>
  <c r="K131" i="2"/>
  <c r="AA130" i="2"/>
  <c r="I130" i="2"/>
  <c r="X129" i="2"/>
  <c r="E129" i="2"/>
  <c r="S128" i="2"/>
  <c r="B128" i="2"/>
  <c r="O127" i="2"/>
  <c r="AE126" i="2"/>
  <c r="J126" i="2"/>
  <c r="Y125" i="2"/>
  <c r="F125" i="2"/>
  <c r="U124" i="2"/>
  <c r="B124" i="2"/>
  <c r="Q123" i="2"/>
  <c r="AF122" i="2"/>
  <c r="M122" i="2"/>
  <c r="AB121" i="2"/>
  <c r="I121" i="2"/>
  <c r="Z120" i="2"/>
  <c r="H120" i="2"/>
  <c r="Y119" i="2"/>
  <c r="G119" i="2"/>
  <c r="X118" i="2"/>
  <c r="F118" i="2"/>
  <c r="V117" i="2"/>
  <c r="D117" i="2"/>
  <c r="T116" i="2"/>
  <c r="B116" i="2"/>
  <c r="P115" i="2"/>
  <c r="AF114" i="2"/>
  <c r="K114" i="2"/>
  <c r="Y113" i="2"/>
  <c r="G113" i="2"/>
  <c r="W112" i="2"/>
  <c r="D112" i="2"/>
  <c r="R111" i="2"/>
  <c r="AG110" i="2"/>
  <c r="N110" i="2"/>
  <c r="AB109" i="2"/>
  <c r="I109" i="2"/>
  <c r="X108" i="2"/>
  <c r="F108" i="2"/>
  <c r="V107" i="2"/>
  <c r="C107" i="2"/>
  <c r="S106" i="2"/>
  <c r="A106" i="2"/>
  <c r="N105" i="2"/>
  <c r="AB104" i="2"/>
  <c r="K104" i="2"/>
  <c r="Z103" i="2"/>
  <c r="H103" i="2"/>
  <c r="W102" i="2"/>
  <c r="F102" i="2"/>
  <c r="V101" i="2"/>
  <c r="D101" i="2"/>
  <c r="R100" i="2"/>
  <c r="A100" i="2"/>
  <c r="M99" i="2"/>
  <c r="Z98" i="2"/>
  <c r="G98" i="2"/>
  <c r="W97" i="2"/>
  <c r="F97" i="2"/>
  <c r="U96" i="2"/>
  <c r="B96" i="2"/>
  <c r="O95" i="2"/>
  <c r="AE94" i="2"/>
  <c r="K94" i="2"/>
  <c r="Z93" i="2"/>
  <c r="G93" i="2"/>
  <c r="V92" i="2"/>
  <c r="D92" i="2"/>
  <c r="R91" i="2"/>
  <c r="A91" i="2"/>
  <c r="N90" i="2"/>
  <c r="AA89" i="2"/>
  <c r="H89" i="2"/>
  <c r="W88" i="2"/>
  <c r="E88" i="2"/>
  <c r="S87" i="2"/>
  <c r="A87" i="2"/>
  <c r="O86" i="2"/>
  <c r="AE85" i="2"/>
  <c r="L85" i="2"/>
  <c r="AB84" i="2"/>
  <c r="I84" i="2"/>
  <c r="Y83" i="2"/>
  <c r="H83" i="2"/>
  <c r="W82" i="2"/>
  <c r="D82" i="2"/>
  <c r="R81" i="2"/>
  <c r="AG80" i="2"/>
  <c r="F195" i="2"/>
  <c r="J185" i="2"/>
  <c r="U176" i="2"/>
  <c r="S168" i="2"/>
  <c r="Z165" i="2"/>
  <c r="U163" i="2"/>
  <c r="N161" i="2"/>
  <c r="I159" i="2"/>
  <c r="D157" i="2"/>
  <c r="AD154" i="2"/>
  <c r="Y152" i="2"/>
  <c r="U150" i="2"/>
  <c r="K148" i="2"/>
  <c r="D146" i="2"/>
  <c r="I144" i="2"/>
  <c r="G143" i="2"/>
  <c r="E142" i="2"/>
  <c r="O141" i="2"/>
  <c r="AF140" i="2"/>
  <c r="M140" i="2"/>
  <c r="AB139" i="2"/>
  <c r="K139" i="2"/>
  <c r="AA138" i="2"/>
  <c r="K138" i="2"/>
  <c r="AA137" i="2"/>
  <c r="I137" i="2"/>
  <c r="X136" i="2"/>
  <c r="E136" i="2"/>
  <c r="S135" i="2"/>
  <c r="B135" i="2"/>
  <c r="O134" i="2"/>
  <c r="AE133" i="2"/>
  <c r="K133" i="2"/>
  <c r="Z132" i="2"/>
  <c r="H132" i="2"/>
  <c r="X131" i="2"/>
  <c r="F131" i="2"/>
  <c r="V130" i="2"/>
  <c r="D130" i="2"/>
  <c r="R129" i="2"/>
  <c r="AG128" i="2"/>
  <c r="M128" i="2"/>
  <c r="AB127" i="2"/>
  <c r="I127" i="2"/>
  <c r="X126" i="2"/>
  <c r="E126" i="2"/>
  <c r="S125" i="2"/>
  <c r="A125" i="2"/>
  <c r="N124" i="2"/>
  <c r="AB123" i="2"/>
  <c r="J123" i="2"/>
  <c r="Y122" i="2"/>
  <c r="H122" i="2"/>
  <c r="W121" i="2"/>
  <c r="D121" i="2"/>
  <c r="U120" i="2"/>
  <c r="C120" i="2"/>
  <c r="T119" i="2"/>
  <c r="B119" i="2"/>
  <c r="S118" i="2"/>
  <c r="A118" i="2"/>
  <c r="Q117" i="2"/>
  <c r="AF116" i="2"/>
  <c r="N116" i="2"/>
  <c r="AB115" i="2"/>
  <c r="J115" i="2"/>
  <c r="Y114" i="2"/>
  <c r="F114" i="2"/>
  <c r="J268" i="2"/>
  <c r="AG248" i="2"/>
  <c r="Z248" i="2"/>
  <c r="AA233" i="2"/>
  <c r="AG258" i="2"/>
  <c r="Z233" i="2"/>
  <c r="A225" i="2"/>
  <c r="A240" i="2"/>
  <c r="M230" i="2"/>
  <c r="U226" i="2"/>
  <c r="AB214" i="2"/>
  <c r="A206" i="2"/>
  <c r="AF196" i="2"/>
  <c r="AE225" i="2"/>
  <c r="W214" i="2"/>
  <c r="AA205" i="2"/>
  <c r="I199" i="2"/>
  <c r="AB194" i="2"/>
  <c r="E235" i="2"/>
  <c r="W221" i="2"/>
  <c r="D217" i="2"/>
  <c r="Q212" i="2"/>
  <c r="D208" i="2"/>
  <c r="V203" i="2"/>
  <c r="D199" i="2"/>
  <c r="I224" i="2"/>
  <c r="B205" i="2"/>
  <c r="B192" i="2"/>
  <c r="AB187" i="2"/>
  <c r="S183" i="2"/>
  <c r="F179" i="2"/>
  <c r="AA174" i="2"/>
  <c r="W171" i="2"/>
  <c r="Q169" i="2"/>
  <c r="Z219" i="2"/>
  <c r="A211" i="2"/>
  <c r="A202" i="2"/>
  <c r="R194" i="2"/>
  <c r="K191" i="2"/>
  <c r="H189" i="2"/>
  <c r="E187" i="2"/>
  <c r="AG184" i="2"/>
  <c r="AB182" i="2"/>
  <c r="U180" i="2"/>
  <c r="N178" i="2"/>
  <c r="H176" i="2"/>
  <c r="D174" i="2"/>
  <c r="AE171" i="2"/>
  <c r="Y169" i="2"/>
  <c r="Q240" i="2"/>
  <c r="E218" i="2"/>
  <c r="F209" i="2"/>
  <c r="F200" i="2"/>
  <c r="X193" i="2"/>
  <c r="AE190" i="2"/>
  <c r="AA188" i="2"/>
  <c r="X186" i="2"/>
  <c r="R184" i="2"/>
  <c r="M182" i="2"/>
  <c r="F180" i="2"/>
  <c r="AG177" i="2"/>
  <c r="AA175" i="2"/>
  <c r="V173" i="2"/>
  <c r="Q171" i="2"/>
  <c r="I169" i="2"/>
  <c r="S224" i="2"/>
  <c r="C192" i="2"/>
  <c r="T183" i="2"/>
  <c r="AB174" i="2"/>
  <c r="W167" i="2"/>
  <c r="K165" i="2"/>
  <c r="E163" i="2"/>
  <c r="AG160" i="2"/>
  <c r="AA158" i="2"/>
  <c r="V156" i="2"/>
  <c r="O154" i="2"/>
  <c r="I152" i="2"/>
  <c r="F150" i="2"/>
  <c r="AC147" i="2"/>
  <c r="W145" i="2"/>
  <c r="S143" i="2"/>
  <c r="C220" i="2"/>
  <c r="N191" i="2"/>
  <c r="AE182" i="2"/>
  <c r="F174" i="2"/>
  <c r="N167" i="2"/>
  <c r="F165" i="2"/>
  <c r="AG162" i="2"/>
  <c r="AA160" i="2"/>
  <c r="V158" i="2"/>
  <c r="O156" i="2"/>
  <c r="I154" i="2"/>
  <c r="D152" i="2"/>
  <c r="A150" i="2"/>
  <c r="X147" i="2"/>
  <c r="R145" i="2"/>
  <c r="M143" i="2"/>
  <c r="O217" i="2"/>
  <c r="Y190" i="2"/>
  <c r="G182" i="2"/>
  <c r="O173" i="2"/>
  <c r="H167" i="2"/>
  <c r="A165" i="2"/>
  <c r="AA162" i="2"/>
  <c r="V160" i="2"/>
  <c r="Q158" i="2"/>
  <c r="J156" i="2"/>
  <c r="D154" i="2"/>
  <c r="AF151" i="2"/>
  <c r="AA149" i="2"/>
  <c r="S147" i="2"/>
  <c r="K145" i="2"/>
  <c r="AB179" i="2"/>
  <c r="G162" i="2"/>
  <c r="R153" i="2"/>
  <c r="Y144" i="2"/>
  <c r="E141" i="2"/>
  <c r="A139" i="2"/>
  <c r="AF136" i="2"/>
  <c r="W134" i="2"/>
  <c r="O132" i="2"/>
  <c r="J130" i="2"/>
  <c r="C128" i="2"/>
  <c r="Z125" i="2"/>
  <c r="R123" i="2"/>
  <c r="J121" i="2"/>
  <c r="H119" i="2"/>
  <c r="E117" i="2"/>
  <c r="Z115" i="2"/>
  <c r="W114" i="2"/>
  <c r="R113" i="2"/>
  <c r="N112" i="2"/>
  <c r="I111" i="2"/>
  <c r="F110" i="2"/>
  <c r="B109" i="2"/>
  <c r="AF107" i="2"/>
  <c r="AB106" i="2"/>
  <c r="Y105" i="2"/>
  <c r="U104" i="2"/>
  <c r="S103" i="2"/>
  <c r="O102" i="2"/>
  <c r="M101" i="2"/>
  <c r="J100" i="2"/>
  <c r="E99" i="2"/>
  <c r="AG97" i="2"/>
  <c r="AF96" i="2"/>
  <c r="Z95" i="2"/>
  <c r="W94" i="2"/>
  <c r="R93" i="2"/>
  <c r="N92" i="2"/>
  <c r="J91" i="2"/>
  <c r="F90" i="2"/>
  <c r="A89" i="2"/>
  <c r="AE87" i="2"/>
  <c r="Y86" i="2"/>
  <c r="V85" i="2"/>
  <c r="U84" i="2"/>
  <c r="Q83" i="2"/>
  <c r="AB185" i="2"/>
  <c r="AB168" i="2"/>
  <c r="Y163" i="2"/>
  <c r="M159" i="2"/>
  <c r="A155" i="2"/>
  <c r="Y150" i="2"/>
  <c r="H146" i="2"/>
  <c r="J143" i="2"/>
  <c r="Q141" i="2"/>
  <c r="N140" i="2"/>
  <c r="L139" i="2"/>
  <c r="L138" i="2"/>
  <c r="J137" i="2"/>
  <c r="F136" i="2"/>
  <c r="C135" i="2"/>
  <c r="AF133" i="2"/>
  <c r="AA132" i="2"/>
  <c r="Y131" i="2"/>
  <c r="W130" i="2"/>
  <c r="S129" i="2"/>
  <c r="N128" i="2"/>
  <c r="J127" i="2"/>
  <c r="F126" i="2"/>
  <c r="B125" i="2"/>
  <c r="AE123" i="2"/>
  <c r="Z122" i="2"/>
  <c r="X121" i="2"/>
  <c r="V120" i="2"/>
  <c r="U119" i="2"/>
  <c r="T118" i="2"/>
  <c r="R117" i="2"/>
  <c r="O116" i="2"/>
  <c r="K115" i="2"/>
  <c r="G114" i="2"/>
  <c r="C113" i="2"/>
  <c r="AG111" i="2"/>
  <c r="AA110" i="2"/>
  <c r="X109" i="2"/>
  <c r="T108" i="2"/>
  <c r="Q107" i="2"/>
  <c r="N106" i="2"/>
  <c r="I105" i="2"/>
  <c r="G104" i="2"/>
  <c r="D103" i="2"/>
  <c r="B102" i="2"/>
  <c r="AG100" i="2"/>
  <c r="AA99" i="2"/>
  <c r="V98" i="2"/>
  <c r="S97" i="2"/>
  <c r="O96" i="2"/>
  <c r="J95" i="2"/>
  <c r="G94" i="2"/>
  <c r="C93" i="2"/>
  <c r="AG91" i="2"/>
  <c r="AB90" i="2"/>
  <c r="W89" i="2"/>
  <c r="S88" i="2"/>
  <c r="N87" i="2"/>
  <c r="J86" i="2"/>
  <c r="H85" i="2"/>
  <c r="E84" i="2"/>
  <c r="D83" i="2"/>
  <c r="AG81" i="2"/>
  <c r="N221" i="2"/>
  <c r="F183" i="2"/>
  <c r="R167" i="2"/>
  <c r="B163" i="2"/>
  <c r="X158" i="2"/>
  <c r="K154" i="2"/>
  <c r="C150" i="2"/>
  <c r="T145" i="2"/>
  <c r="AF142" i="2"/>
  <c r="K141" i="2"/>
  <c r="I140" i="2"/>
  <c r="G139" i="2"/>
  <c r="G138" i="2"/>
  <c r="E137" i="2"/>
  <c r="A136" i="2"/>
  <c r="AE134" i="2"/>
  <c r="Y133" i="2"/>
  <c r="V132" i="2"/>
  <c r="S131" i="2"/>
  <c r="R130" i="2"/>
  <c r="M129" i="2"/>
  <c r="I128" i="2"/>
  <c r="E127" i="2"/>
  <c r="A126" i="2"/>
  <c r="AB124" i="2"/>
  <c r="X123" i="2"/>
  <c r="U122" i="2"/>
  <c r="R121" i="2"/>
  <c r="Q120" i="2"/>
  <c r="O119" i="2"/>
  <c r="N118" i="2"/>
  <c r="K117" i="2"/>
  <c r="I116" i="2"/>
  <c r="F115" i="2"/>
  <c r="B114" i="2"/>
  <c r="O113" i="2"/>
  <c r="AE112" i="2"/>
  <c r="K112" i="2"/>
  <c r="Z111" i="2"/>
  <c r="G111" i="2"/>
  <c r="V110" i="2"/>
  <c r="D110" i="2"/>
  <c r="R109" i="2"/>
  <c r="AG108" i="2"/>
  <c r="N108" i="2"/>
  <c r="AD107" i="2"/>
  <c r="J107" i="2"/>
  <c r="Z106" i="2"/>
  <c r="H106" i="2"/>
  <c r="W105" i="2"/>
  <c r="D105" i="2"/>
  <c r="S104" i="2"/>
  <c r="B104" i="2"/>
  <c r="Q103" i="2"/>
  <c r="AE102" i="2"/>
  <c r="M102" i="2"/>
  <c r="AD101" i="2"/>
  <c r="K101" i="2"/>
  <c r="Z100" i="2"/>
  <c r="H100" i="2"/>
  <c r="V99" i="2"/>
  <c r="C99" i="2"/>
  <c r="O98" i="2"/>
  <c r="AE97" i="2"/>
  <c r="M97" i="2"/>
  <c r="AB96" i="2"/>
  <c r="I96" i="2"/>
  <c r="X95" i="2"/>
  <c r="E95" i="2"/>
  <c r="U94" i="2"/>
  <c r="B94" i="2"/>
  <c r="O93" i="2"/>
  <c r="AE92" i="2"/>
  <c r="K92" i="2"/>
  <c r="Z91" i="2"/>
  <c r="H91" i="2"/>
  <c r="W90" i="2"/>
  <c r="D90" i="2"/>
  <c r="Q89" i="2"/>
  <c r="AF88" i="2"/>
  <c r="M88" i="2"/>
  <c r="AA87" i="2"/>
  <c r="H87" i="2"/>
  <c r="W86" i="2"/>
  <c r="E86" i="2"/>
  <c r="T85" i="2"/>
  <c r="C85" i="2"/>
  <c r="R84" i="2"/>
  <c r="AG83" i="2"/>
  <c r="O83" i="2"/>
  <c r="AF82" i="2"/>
  <c r="K82" i="2"/>
  <c r="Z81" i="2"/>
  <c r="G81" i="2"/>
  <c r="E191" i="2"/>
  <c r="D165" i="2"/>
  <c r="M156" i="2"/>
  <c r="V147" i="2"/>
  <c r="AA141" i="2"/>
  <c r="W139" i="2"/>
  <c r="V137" i="2"/>
  <c r="M135" i="2"/>
  <c r="F133" i="2"/>
  <c r="A131" i="2"/>
  <c r="Z128" i="2"/>
  <c r="R126" i="2"/>
  <c r="H124" i="2"/>
  <c r="C122" i="2"/>
  <c r="AE119" i="2"/>
  <c r="AB117" i="2"/>
  <c r="W115" i="2"/>
  <c r="N113" i="2"/>
  <c r="F111" i="2"/>
  <c r="AF108" i="2"/>
  <c r="Y106" i="2"/>
  <c r="R104" i="2"/>
  <c r="L102" i="2"/>
  <c r="G100" i="2"/>
  <c r="AD97" i="2"/>
  <c r="W95" i="2"/>
  <c r="N93" i="2"/>
  <c r="G91" i="2"/>
  <c r="AE88" i="2"/>
  <c r="V86" i="2"/>
  <c r="Q84" i="2"/>
  <c r="AE82" i="2"/>
  <c r="Y81" i="2"/>
  <c r="Z80" i="2"/>
  <c r="H80" i="2"/>
  <c r="W79" i="2"/>
  <c r="D79" i="2"/>
  <c r="R78" i="2"/>
  <c r="AG77" i="2"/>
  <c r="M77" i="2"/>
  <c r="AA76" i="2"/>
  <c r="H76" i="2"/>
  <c r="W75" i="2"/>
  <c r="D75" i="2"/>
  <c r="T74" i="2"/>
  <c r="B74" i="2"/>
  <c r="R73" i="2"/>
  <c r="AG72" i="2"/>
  <c r="M72" i="2"/>
  <c r="AB71" i="2"/>
  <c r="K71" i="2"/>
  <c r="Z70" i="2"/>
  <c r="H70" i="2"/>
  <c r="V69" i="2"/>
  <c r="D69" i="2"/>
  <c r="R68" i="2"/>
  <c r="AG67" i="2"/>
  <c r="M67" i="2"/>
  <c r="AA66" i="2"/>
  <c r="I66" i="2"/>
  <c r="X65" i="2"/>
  <c r="G65" i="2"/>
  <c r="W64" i="2"/>
  <c r="E64" i="2"/>
  <c r="S63" i="2"/>
  <c r="A63" i="2"/>
  <c r="N62" i="2"/>
  <c r="AC61" i="2"/>
  <c r="K61" i="2"/>
  <c r="AB60" i="2"/>
  <c r="J60" i="2"/>
  <c r="Y59" i="2"/>
  <c r="F59" i="2"/>
  <c r="V58" i="2"/>
  <c r="C58" i="2"/>
  <c r="N57" i="2"/>
  <c r="AB56" i="2"/>
  <c r="I56" i="2"/>
  <c r="X55" i="2"/>
  <c r="E55" i="2"/>
  <c r="U54" i="2"/>
  <c r="C54" i="2"/>
  <c r="Q53" i="2"/>
  <c r="AF52" i="2"/>
  <c r="K52" i="2"/>
  <c r="AA51" i="2"/>
  <c r="H51" i="2"/>
  <c r="W50" i="2"/>
  <c r="D50" i="2"/>
  <c r="S49" i="2"/>
  <c r="A49" i="2"/>
  <c r="O48" i="2"/>
  <c r="AE47" i="2"/>
  <c r="K47" i="2"/>
  <c r="Z46" i="2"/>
  <c r="G46" i="2"/>
  <c r="W45" i="2"/>
  <c r="E45" i="2"/>
  <c r="S44" i="2"/>
  <c r="A44" i="2"/>
  <c r="N43" i="2"/>
  <c r="AD42" i="2"/>
  <c r="J42" i="2"/>
  <c r="Z41" i="2"/>
  <c r="G41" i="2"/>
  <c r="W40" i="2"/>
  <c r="E40" i="2"/>
  <c r="U39" i="2"/>
  <c r="B39" i="2"/>
  <c r="O38" i="2"/>
  <c r="AE37" i="2"/>
  <c r="J37" i="2"/>
  <c r="AA36" i="2"/>
  <c r="H36" i="2"/>
  <c r="X35" i="2"/>
  <c r="E35" i="2"/>
  <c r="U34" i="2"/>
  <c r="B34" i="2"/>
  <c r="Q33" i="2"/>
  <c r="AG32" i="2"/>
  <c r="N32" i="2"/>
  <c r="AD31" i="2"/>
  <c r="J31" i="2"/>
  <c r="Y30" i="2"/>
  <c r="F30" i="2"/>
  <c r="V29" i="2"/>
  <c r="D29" i="2"/>
  <c r="S28" i="2"/>
  <c r="N180" i="2"/>
  <c r="K162" i="2"/>
  <c r="V153" i="2"/>
  <c r="AE144" i="2"/>
  <c r="F141" i="2"/>
  <c r="B139" i="2"/>
  <c r="AG136" i="2"/>
  <c r="X134" i="2"/>
  <c r="Q132" i="2"/>
  <c r="K130" i="2"/>
  <c r="D128" i="2"/>
  <c r="AA125" i="2"/>
  <c r="S123" i="2"/>
  <c r="K121" i="2"/>
  <c r="I119" i="2"/>
  <c r="F117" i="2"/>
  <c r="A115" i="2"/>
  <c r="Y112" i="2"/>
  <c r="Q110" i="2"/>
  <c r="H108" i="2"/>
  <c r="C106" i="2"/>
  <c r="AB103" i="2"/>
  <c r="X101" i="2"/>
  <c r="O99" i="2"/>
  <c r="H97" i="2"/>
  <c r="AG94" i="2"/>
  <c r="X92" i="2"/>
  <c r="Q90" i="2"/>
  <c r="G88" i="2"/>
  <c r="AG85" i="2"/>
  <c r="AA83" i="2"/>
  <c r="S82" i="2"/>
  <c r="N81" i="2"/>
  <c r="U80" i="2"/>
  <c r="C80" i="2"/>
  <c r="Q79" i="2"/>
  <c r="AF78" i="2"/>
  <c r="K78" i="2"/>
  <c r="Z77" i="2"/>
  <c r="G77" i="2"/>
  <c r="V76" i="2"/>
  <c r="C76" i="2"/>
  <c r="Q75" i="2"/>
  <c r="AF74" i="2"/>
  <c r="N74" i="2"/>
  <c r="AD73" i="2"/>
  <c r="K73" i="2"/>
  <c r="Z72" i="2"/>
  <c r="H72" i="2"/>
  <c r="W71" i="2"/>
  <c r="F71" i="2"/>
  <c r="U70" i="2"/>
  <c r="C70" i="2"/>
  <c r="O69" i="2"/>
  <c r="AE68" i="2"/>
  <c r="K68" i="2"/>
  <c r="Z67" i="2"/>
  <c r="G67" i="2"/>
  <c r="V66" i="2"/>
  <c r="D66" i="2"/>
  <c r="S65" i="2"/>
  <c r="B65" i="2"/>
  <c r="R64" i="2"/>
  <c r="AG63" i="2"/>
  <c r="M63" i="2"/>
  <c r="AA62" i="2"/>
  <c r="H62" i="2"/>
  <c r="X61" i="2"/>
  <c r="F61" i="2"/>
  <c r="W60" i="2"/>
  <c r="E60" i="2"/>
  <c r="S59" i="2"/>
  <c r="A59" i="2"/>
  <c r="O58" i="2"/>
  <c r="AB57" i="2"/>
  <c r="H57" i="2"/>
  <c r="W56" i="2"/>
  <c r="D56" i="2"/>
  <c r="R55" i="2"/>
  <c r="AG54" i="2"/>
  <c r="O54" i="2"/>
  <c r="AE53" i="2"/>
  <c r="J53" i="2"/>
  <c r="Y52" i="2"/>
  <c r="F52" i="2"/>
  <c r="V51" i="2"/>
  <c r="C51" i="2"/>
  <c r="Q50" i="2"/>
  <c r="AF49" i="2"/>
  <c r="M49" i="2"/>
  <c r="AB48" i="2"/>
  <c r="I48" i="2"/>
  <c r="X47" i="2"/>
  <c r="F47" i="2"/>
  <c r="U46" i="2"/>
  <c r="B46" i="2"/>
  <c r="R45" i="2"/>
  <c r="AG44" i="2"/>
  <c r="M44" i="2"/>
  <c r="AA43" i="2"/>
  <c r="H43" i="2"/>
  <c r="X42" i="2"/>
  <c r="E42" i="2"/>
  <c r="U41" i="2"/>
  <c r="B41" i="2"/>
  <c r="R40" i="2"/>
  <c r="AG39" i="2"/>
  <c r="N39" i="2"/>
  <c r="AB38" i="2"/>
  <c r="I38" i="2"/>
  <c r="X37" i="2"/>
  <c r="E37" i="2"/>
  <c r="V36" i="2"/>
  <c r="C36" i="2"/>
  <c r="R35" i="2"/>
  <c r="AG34" i="2"/>
  <c r="N34" i="2"/>
  <c r="AC33" i="2"/>
  <c r="K33" i="2"/>
  <c r="Z32" i="2"/>
  <c r="H32" i="2"/>
  <c r="X31" i="2"/>
  <c r="E31" i="2"/>
  <c r="S30" i="2"/>
  <c r="A30" i="2"/>
  <c r="Q29" i="2"/>
  <c r="AF28" i="2"/>
  <c r="M28" i="2"/>
  <c r="AC27" i="2"/>
  <c r="K27" i="2"/>
  <c r="AA26" i="2"/>
  <c r="H26" i="2"/>
  <c r="G178" i="2"/>
  <c r="AA161" i="2"/>
  <c r="D153" i="2"/>
  <c r="Q144" i="2"/>
  <c r="B141" i="2"/>
  <c r="AE138" i="2"/>
  <c r="AA136" i="2"/>
  <c r="S134" i="2"/>
  <c r="K132" i="2"/>
  <c r="G130" i="2"/>
  <c r="AG127" i="2"/>
  <c r="W125" i="2"/>
  <c r="N123" i="2"/>
  <c r="G121" i="2"/>
  <c r="E119" i="2"/>
  <c r="B117" i="2"/>
  <c r="AB114" i="2"/>
  <c r="U112" i="2"/>
  <c r="K110" i="2"/>
  <c r="D108" i="2"/>
  <c r="AF105" i="2"/>
  <c r="X103" i="2"/>
  <c r="S101" i="2"/>
  <c r="J99" i="2"/>
  <c r="D97" i="2"/>
  <c r="AB94" i="2"/>
  <c r="T92" i="2"/>
  <c r="K90" i="2"/>
  <c r="C88" i="2"/>
  <c r="AB85" i="2"/>
  <c r="W83" i="2"/>
  <c r="O82" i="2"/>
  <c r="J81" i="2"/>
  <c r="T80" i="2"/>
  <c r="B80" i="2"/>
  <c r="O79" i="2"/>
  <c r="AE78" i="2"/>
  <c r="J78" i="2"/>
  <c r="Y77" i="2"/>
  <c r="F77" i="2"/>
  <c r="U76" i="2"/>
  <c r="B76" i="2"/>
  <c r="O75" i="2"/>
  <c r="AE74" i="2"/>
  <c r="M74" i="2"/>
  <c r="AB73" i="2"/>
  <c r="J73" i="2"/>
  <c r="Y72" i="2"/>
  <c r="G72" i="2"/>
  <c r="V71" i="2"/>
  <c r="E71" i="2"/>
  <c r="S70" i="2"/>
  <c r="B70" i="2"/>
  <c r="N69" i="2"/>
  <c r="AD68" i="2"/>
  <c r="J68" i="2"/>
  <c r="Y67" i="2"/>
  <c r="F67" i="2"/>
  <c r="U66" i="2"/>
  <c r="C66" i="2"/>
  <c r="R65" i="2"/>
  <c r="A65" i="2"/>
  <c r="Q64" i="2"/>
  <c r="AF63" i="2"/>
  <c r="K63" i="2"/>
  <c r="Z62" i="2"/>
  <c r="G62" i="2"/>
  <c r="W61" i="2"/>
  <c r="E61" i="2"/>
  <c r="V60" i="2"/>
  <c r="D60" i="2"/>
  <c r="R59" i="2"/>
  <c r="AG58" i="2"/>
  <c r="N58" i="2"/>
  <c r="AA57" i="2"/>
  <c r="G57" i="2"/>
  <c r="V56" i="2"/>
  <c r="C56" i="2"/>
  <c r="Q55" i="2"/>
  <c r="AF54" i="2"/>
  <c r="N54" i="2"/>
  <c r="AB53" i="2"/>
  <c r="I53" i="2"/>
  <c r="X52" i="2"/>
  <c r="E52" i="2"/>
  <c r="U51" i="2"/>
  <c r="B51" i="2"/>
  <c r="O50" i="2"/>
  <c r="AE49" i="2"/>
  <c r="K49" i="2"/>
  <c r="AA48" i="2"/>
  <c r="H48" i="2"/>
  <c r="W47" i="2"/>
  <c r="E47" i="2"/>
  <c r="S46" i="2"/>
  <c r="A46" i="2"/>
  <c r="Q45" i="2"/>
  <c r="AF44" i="2"/>
  <c r="K44" i="2"/>
  <c r="Z43" i="2"/>
  <c r="G43" i="2"/>
  <c r="W42" i="2"/>
  <c r="D42" i="2"/>
  <c r="S41" i="2"/>
  <c r="A41" i="2"/>
  <c r="Q40" i="2"/>
  <c r="AF39" i="2"/>
  <c r="M39" i="2"/>
  <c r="AA38" i="2"/>
  <c r="H38" i="2"/>
  <c r="W37" i="2"/>
  <c r="D37" i="2"/>
  <c r="U36" i="2"/>
  <c r="B36" i="2"/>
  <c r="Q35" i="2"/>
  <c r="AF34" i="2"/>
  <c r="M34" i="2"/>
  <c r="AB33" i="2"/>
  <c r="J33" i="2"/>
  <c r="Y32" i="2"/>
  <c r="G32" i="2"/>
  <c r="W31" i="2"/>
  <c r="D31" i="2"/>
  <c r="R30" i="2"/>
  <c r="AG29" i="2"/>
  <c r="O29" i="2"/>
  <c r="AE28" i="2"/>
  <c r="AG156" i="2"/>
  <c r="Z137" i="2"/>
  <c r="AF128" i="2"/>
  <c r="B120" i="2"/>
  <c r="J111" i="2"/>
  <c r="Q102" i="2"/>
  <c r="S93" i="2"/>
  <c r="V84" i="2"/>
  <c r="I80" i="2"/>
  <c r="A78" i="2"/>
  <c r="X75" i="2"/>
  <c r="S73" i="2"/>
  <c r="L71" i="2"/>
  <c r="E69" i="2"/>
  <c r="AB66" i="2"/>
  <c r="X64" i="2"/>
  <c r="O62" i="2"/>
  <c r="K60" i="2"/>
  <c r="D58" i="2"/>
  <c r="Y55" i="2"/>
  <c r="R53" i="2"/>
  <c r="I51" i="2"/>
  <c r="B49" i="2"/>
  <c r="AA46" i="2"/>
  <c r="U44" i="2"/>
  <c r="K42" i="2"/>
  <c r="F40" i="2"/>
  <c r="AF37" i="2"/>
  <c r="Y35" i="2"/>
  <c r="R33" i="2"/>
  <c r="K31" i="2"/>
  <c r="E29" i="2"/>
  <c r="A28" i="2"/>
  <c r="J27" i="2"/>
  <c r="U26" i="2"/>
  <c r="AB25" i="2"/>
  <c r="J25" i="2"/>
  <c r="Y24" i="2"/>
  <c r="F24" i="2"/>
  <c r="U23" i="2"/>
  <c r="D23" i="2"/>
  <c r="S22" i="2"/>
  <c r="A22" i="2"/>
  <c r="O21" i="2"/>
  <c r="AE20" i="2"/>
  <c r="J20" i="2"/>
  <c r="Z19" i="2"/>
  <c r="G19" i="2"/>
  <c r="W18" i="2"/>
  <c r="D18" i="2"/>
  <c r="R17" i="2"/>
  <c r="AG16" i="2"/>
  <c r="O16" i="2"/>
  <c r="AE15" i="2"/>
  <c r="J15" i="2"/>
  <c r="Z14" i="2"/>
  <c r="H14" i="2"/>
  <c r="W13" i="2"/>
  <c r="D13" i="2"/>
  <c r="R12" i="2"/>
  <c r="AG11" i="2"/>
  <c r="J11" i="2"/>
  <c r="Y10" i="2"/>
  <c r="D10" i="2"/>
  <c r="N9" i="2"/>
  <c r="AB8" i="2"/>
  <c r="I8" i="2"/>
  <c r="X7" i="2"/>
  <c r="C7" i="2"/>
  <c r="N6" i="2"/>
  <c r="AD5" i="2"/>
  <c r="L5" i="2"/>
  <c r="AC4" i="2"/>
  <c r="K4" i="2"/>
  <c r="AB3" i="2"/>
  <c r="H3" i="2"/>
  <c r="Y2" i="2"/>
  <c r="F2" i="2"/>
  <c r="W1" i="2"/>
  <c r="G1" i="2"/>
  <c r="Y154" i="2"/>
  <c r="H137" i="2"/>
  <c r="L128" i="2"/>
  <c r="S119" i="2"/>
  <c r="Y110" i="2"/>
  <c r="AG101" i="2"/>
  <c r="A93" i="2"/>
  <c r="C84" i="2"/>
  <c r="E80" i="2"/>
  <c r="AB77" i="2"/>
  <c r="S75" i="2"/>
  <c r="N73" i="2"/>
  <c r="H71" i="2"/>
  <c r="A69" i="2"/>
  <c r="X66" i="2"/>
  <c r="T64" i="2"/>
  <c r="J62" i="2"/>
  <c r="G60" i="2"/>
  <c r="AF57" i="2"/>
  <c r="U55" i="2"/>
  <c r="M53" i="2"/>
  <c r="E51" i="2"/>
  <c r="AE48" i="2"/>
  <c r="W46" i="2"/>
  <c r="O44" i="2"/>
  <c r="G42" i="2"/>
  <c r="B40" i="2"/>
  <c r="Z37" i="2"/>
  <c r="U35" i="2"/>
  <c r="M33" i="2"/>
  <c r="G31" i="2"/>
  <c r="A29" i="2"/>
  <c r="AF27" i="2"/>
  <c r="I27" i="2"/>
  <c r="S26" i="2"/>
  <c r="AA25" i="2"/>
  <c r="I25" i="2"/>
  <c r="X24" i="2"/>
  <c r="E24" i="2"/>
  <c r="S23" i="2"/>
  <c r="C23" i="2"/>
  <c r="R22" i="2"/>
  <c r="AG21" i="2"/>
  <c r="N21" i="2"/>
  <c r="AB20" i="2"/>
  <c r="I20" i="2"/>
  <c r="Y19" i="2"/>
  <c r="F19" i="2"/>
  <c r="V18" i="2"/>
  <c r="C18" i="2"/>
  <c r="Q17" i="2"/>
  <c r="AF16" i="2"/>
  <c r="N16" i="2"/>
  <c r="AB15" i="2"/>
  <c r="I15" i="2"/>
  <c r="Y14" i="2"/>
  <c r="G14" i="2"/>
  <c r="V13" i="2"/>
  <c r="C13" i="2"/>
  <c r="Q12" i="2"/>
  <c r="AF11" i="2"/>
  <c r="I11" i="2"/>
  <c r="X10" i="2"/>
  <c r="C10" i="2"/>
  <c r="M9" i="2"/>
  <c r="AA8" i="2"/>
  <c r="H8" i="2"/>
  <c r="W7" i="2"/>
  <c r="B7" i="2"/>
  <c r="M6" i="2"/>
  <c r="AC5" i="2"/>
  <c r="K5" i="2"/>
  <c r="AB4" i="2"/>
  <c r="J4" i="2"/>
  <c r="AA3" i="2"/>
  <c r="G3" i="2"/>
  <c r="X2" i="2"/>
  <c r="E2" i="2"/>
  <c r="V1" i="2"/>
  <c r="F1" i="2"/>
  <c r="U152" i="2"/>
  <c r="W136" i="2"/>
  <c r="AA127" i="2"/>
  <c r="A119" i="2"/>
  <c r="G110" i="2"/>
  <c r="N101" i="2"/>
  <c r="O92" i="2"/>
  <c r="R83" i="2"/>
  <c r="A80" i="2"/>
  <c r="X77" i="2"/>
  <c r="N75" i="2"/>
  <c r="I73" i="2"/>
  <c r="D71" i="2"/>
  <c r="AB68" i="2"/>
  <c r="T66" i="2"/>
  <c r="O64" i="2"/>
  <c r="F62" i="2"/>
  <c r="C60" i="2"/>
  <c r="Z57" i="2"/>
  <c r="O55" i="2"/>
  <c r="H53" i="2"/>
  <c r="A51" i="2"/>
  <c r="Z48" i="2"/>
  <c r="R46" i="2"/>
  <c r="J44" i="2"/>
  <c r="C42" i="2"/>
  <c r="AE39" i="2"/>
  <c r="V37" i="2"/>
  <c r="O35" i="2"/>
  <c r="I33" i="2"/>
  <c r="C31" i="2"/>
  <c r="AD28" i="2"/>
  <c r="AE27" i="2"/>
  <c r="H27" i="2"/>
  <c r="Q26" i="2"/>
  <c r="Z25" i="2"/>
  <c r="H25" i="2"/>
  <c r="W24" i="2"/>
  <c r="D24" i="2"/>
  <c r="R23" i="2"/>
  <c r="B23" i="2"/>
  <c r="Q22" i="2"/>
  <c r="AF21" i="2"/>
  <c r="M21" i="2"/>
  <c r="AA20" i="2"/>
  <c r="H20" i="2"/>
  <c r="X19" i="2"/>
  <c r="E19" i="2"/>
  <c r="U18" i="2"/>
  <c r="B18" i="2"/>
  <c r="O17" i="2"/>
  <c r="AE16" i="2"/>
  <c r="M16" i="2"/>
  <c r="AA15" i="2"/>
  <c r="H15" i="2"/>
  <c r="X14" i="2"/>
  <c r="F14" i="2"/>
  <c r="U13" i="2"/>
  <c r="B13" i="2"/>
  <c r="O12" i="2"/>
  <c r="AE11" i="2"/>
  <c r="H11" i="2"/>
  <c r="W10" i="2"/>
  <c r="B10" i="2"/>
  <c r="K9" i="2"/>
  <c r="Z8" i="2"/>
  <c r="G8" i="2"/>
  <c r="S7" i="2"/>
  <c r="A7" i="2"/>
  <c r="K6" i="2"/>
  <c r="AB5" i="2"/>
  <c r="J5" i="2"/>
  <c r="AA4" i="2"/>
  <c r="I4" i="2"/>
  <c r="Z3" i="2"/>
  <c r="F3" i="2"/>
  <c r="W2" i="2"/>
  <c r="D2" i="2"/>
  <c r="U1" i="2"/>
  <c r="E1" i="2"/>
  <c r="Q150" i="2"/>
  <c r="D136" i="2"/>
  <c r="H127" i="2"/>
  <c r="R118" i="2"/>
  <c r="V109" i="2"/>
  <c r="AE100" i="2"/>
  <c r="AE91" i="2"/>
  <c r="I83" i="2"/>
  <c r="AB79" i="2"/>
  <c r="S77" i="2"/>
  <c r="I75" i="2"/>
  <c r="E73" i="2"/>
  <c r="AG70" i="2"/>
  <c r="X68" i="2"/>
  <c r="O66" i="2"/>
  <c r="J64" i="2"/>
  <c r="B62" i="2"/>
  <c r="AE59" i="2"/>
  <c r="U57" i="2"/>
  <c r="J55" i="2"/>
  <c r="D53" i="2"/>
  <c r="AB50" i="2"/>
  <c r="V48" i="2"/>
  <c r="M46" i="2"/>
  <c r="F44" i="2"/>
  <c r="AF41" i="2"/>
  <c r="Z39" i="2"/>
  <c r="Q37" i="2"/>
  <c r="J35" i="2"/>
  <c r="E33" i="2"/>
  <c r="AF30" i="2"/>
  <c r="Y28" i="2"/>
  <c r="I26" i="2"/>
  <c r="AF23" i="2"/>
  <c r="Y21" i="2"/>
  <c r="R19" i="2"/>
  <c r="I17" i="2"/>
  <c r="C15" i="2"/>
  <c r="AB12" i="2"/>
  <c r="N10" i="2"/>
  <c r="B8" i="2"/>
  <c r="W5" i="2"/>
  <c r="S3" i="2"/>
  <c r="P1" i="2"/>
  <c r="R7" i="2"/>
  <c r="G28" i="2"/>
  <c r="O25" i="2"/>
  <c r="I23" i="2"/>
  <c r="C21" i="2"/>
  <c r="AB18" i="2"/>
  <c r="U16" i="2"/>
  <c r="N14" i="2"/>
  <c r="E12" i="2"/>
  <c r="U267" i="2"/>
  <c r="AA248" i="2"/>
  <c r="U248" i="2"/>
  <c r="W233" i="2"/>
  <c r="Y256" i="2"/>
  <c r="V233" i="2"/>
  <c r="AC224" i="2"/>
  <c r="Y239" i="2"/>
  <c r="I230" i="2"/>
  <c r="B226" i="2"/>
  <c r="X214" i="2"/>
  <c r="AB205" i="2"/>
  <c r="AA196" i="2"/>
  <c r="R225" i="2"/>
  <c r="S214" i="2"/>
  <c r="W205" i="2"/>
  <c r="E199" i="2"/>
  <c r="X194" i="2"/>
  <c r="U234" i="2"/>
  <c r="O221" i="2"/>
  <c r="AG216" i="2"/>
  <c r="L212" i="2"/>
  <c r="AG207" i="2"/>
  <c r="Q203" i="2"/>
  <c r="AG198" i="2"/>
  <c r="F223" i="2"/>
  <c r="O204" i="2"/>
  <c r="AE191" i="2"/>
  <c r="X187" i="2"/>
  <c r="N183" i="2"/>
  <c r="B179" i="2"/>
  <c r="W174" i="2"/>
  <c r="S171" i="2"/>
  <c r="K169" i="2"/>
  <c r="J219" i="2"/>
  <c r="O210" i="2"/>
  <c r="N201" i="2"/>
  <c r="H194" i="2"/>
  <c r="G191" i="2"/>
  <c r="D189" i="2"/>
  <c r="A187" i="2"/>
  <c r="AB184" i="2"/>
  <c r="X182" i="2"/>
  <c r="Q180" i="2"/>
  <c r="I178" i="2"/>
  <c r="D176" i="2"/>
  <c r="AG173" i="2"/>
  <c r="Z171" i="2"/>
  <c r="U169" i="2"/>
  <c r="G237" i="2"/>
  <c r="U217" i="2"/>
  <c r="U208" i="2"/>
  <c r="V199" i="2"/>
  <c r="N193" i="2"/>
  <c r="Z190" i="2"/>
  <c r="W188" i="2"/>
  <c r="S186" i="2"/>
  <c r="M184" i="2"/>
  <c r="H182" i="2"/>
  <c r="B180" i="2"/>
  <c r="AC177" i="2"/>
  <c r="V175" i="2"/>
  <c r="Q173" i="2"/>
  <c r="K171" i="2"/>
  <c r="E169" i="2"/>
  <c r="W220" i="2"/>
  <c r="S191" i="2"/>
  <c r="B183" i="2"/>
  <c r="J174" i="2"/>
  <c r="Q167" i="2"/>
  <c r="G165" i="2"/>
  <c r="A163" i="2"/>
  <c r="AB160" i="2"/>
  <c r="W158" i="2"/>
  <c r="Q156" i="2"/>
  <c r="J154" i="2"/>
  <c r="E152" i="2"/>
  <c r="B150" i="2"/>
  <c r="Y147" i="2"/>
  <c r="S145" i="2"/>
  <c r="N143" i="2"/>
  <c r="A218" i="2"/>
  <c r="AD190" i="2"/>
  <c r="K182" i="2"/>
  <c r="U173" i="2"/>
  <c r="I167" i="2"/>
  <c r="B165" i="2"/>
  <c r="AB162" i="2"/>
  <c r="W160" i="2"/>
  <c r="R158" i="2"/>
  <c r="K156" i="2"/>
  <c r="E154" i="2"/>
  <c r="AG151" i="2"/>
  <c r="AB149" i="2"/>
  <c r="T147" i="2"/>
  <c r="M145" i="2"/>
  <c r="H143" i="2"/>
  <c r="G215" i="2"/>
  <c r="G190" i="2"/>
  <c r="V181" i="2"/>
  <c r="AF172" i="2"/>
  <c r="D167" i="2"/>
  <c r="AD164" i="2"/>
  <c r="W162" i="2"/>
  <c r="Q160" i="2"/>
  <c r="M158" i="2"/>
  <c r="F156" i="2"/>
  <c r="AG153" i="2"/>
  <c r="AB151" i="2"/>
  <c r="W149" i="2"/>
  <c r="N147" i="2"/>
  <c r="G145" i="2"/>
  <c r="X177" i="2"/>
  <c r="W161" i="2"/>
  <c r="AG152" i="2"/>
  <c r="M144" i="2"/>
  <c r="A141" i="2"/>
  <c r="AC138" i="2"/>
  <c r="Z136" i="2"/>
  <c r="R134" i="2"/>
  <c r="J132" i="2"/>
  <c r="F130" i="2"/>
  <c r="AF127" i="2"/>
  <c r="V125" i="2"/>
  <c r="M123" i="2"/>
  <c r="F121" i="2"/>
  <c r="D119" i="2"/>
  <c r="A117" i="2"/>
  <c r="V115" i="2"/>
  <c r="R114" i="2"/>
  <c r="M113" i="2"/>
  <c r="I112" i="2"/>
  <c r="E111" i="2"/>
  <c r="B110" i="2"/>
  <c r="AE108" i="2"/>
  <c r="AA107" i="2"/>
  <c r="X106" i="2"/>
  <c r="U105" i="2"/>
  <c r="Q104" i="2"/>
  <c r="N103" i="2"/>
  <c r="K102" i="2"/>
  <c r="I101" i="2"/>
  <c r="F100" i="2"/>
  <c r="A99" i="2"/>
  <c r="AB97" i="2"/>
  <c r="Z96" i="2"/>
  <c r="V95" i="2"/>
  <c r="R94" i="2"/>
  <c r="M93" i="2"/>
  <c r="I92" i="2"/>
  <c r="F91" i="2"/>
  <c r="B90" i="2"/>
  <c r="AB88" i="2"/>
  <c r="Y87" i="2"/>
  <c r="U86" i="2"/>
  <c r="R85" i="2"/>
  <c r="O84" i="2"/>
  <c r="V225" i="2"/>
  <c r="X183" i="2"/>
  <c r="X167" i="2"/>
  <c r="F163" i="2"/>
  <c r="AB158" i="2"/>
  <c r="Q154" i="2"/>
  <c r="G150" i="2"/>
  <c r="X145" i="2"/>
  <c r="B143" i="2"/>
  <c r="L141" i="2"/>
  <c r="J140" i="2"/>
  <c r="H139" i="2"/>
  <c r="H138" i="2"/>
  <c r="F137" i="2"/>
  <c r="B136" i="2"/>
  <c r="AF134" i="2"/>
  <c r="Z133" i="2"/>
  <c r="W132" i="2"/>
  <c r="U131" i="2"/>
  <c r="S130" i="2"/>
  <c r="N129" i="2"/>
  <c r="J128" i="2"/>
  <c r="F127" i="2"/>
  <c r="B126" i="2"/>
  <c r="AE124" i="2"/>
  <c r="Y123" i="2"/>
  <c r="V122" i="2"/>
  <c r="S121" i="2"/>
  <c r="R120" i="2"/>
  <c r="Q119" i="2"/>
  <c r="O118" i="2"/>
  <c r="M117" i="2"/>
  <c r="J116" i="2"/>
  <c r="G115" i="2"/>
  <c r="C114" i="2"/>
  <c r="AF112" i="2"/>
  <c r="AA111" i="2"/>
  <c r="W110" i="2"/>
  <c r="S109" i="2"/>
  <c r="O108" i="2"/>
  <c r="K107" i="2"/>
  <c r="I106" i="2"/>
  <c r="E105" i="2"/>
  <c r="C104" i="2"/>
  <c r="AF102" i="2"/>
  <c r="AE101" i="2"/>
  <c r="AA100" i="2"/>
  <c r="W99" i="2"/>
  <c r="Q98" i="2"/>
  <c r="N97" i="2"/>
  <c r="J96" i="2"/>
  <c r="F95" i="2"/>
  <c r="C94" i="2"/>
  <c r="AF92" i="2"/>
  <c r="AA91" i="2"/>
  <c r="X90" i="2"/>
  <c r="R89" i="2"/>
  <c r="N88" i="2"/>
  <c r="I87" i="2"/>
  <c r="F86" i="2"/>
  <c r="D85" i="2"/>
  <c r="A84" i="2"/>
  <c r="AG82" i="2"/>
  <c r="AA81" i="2"/>
  <c r="K212" i="2"/>
  <c r="AF180" i="2"/>
  <c r="AF166" i="2"/>
  <c r="Q162" i="2"/>
  <c r="H158" i="2"/>
  <c r="Z153" i="2"/>
  <c r="R149" i="2"/>
  <c r="B145" i="2"/>
  <c r="V142" i="2"/>
  <c r="G141" i="2"/>
  <c r="E140" i="2"/>
  <c r="C139" i="2"/>
  <c r="C138" i="2"/>
  <c r="A137" i="2"/>
  <c r="AB135" i="2"/>
  <c r="Y134" i="2"/>
  <c r="U133" i="2"/>
  <c r="R132" i="2"/>
  <c r="N131" i="2"/>
  <c r="M130" i="2"/>
  <c r="H129" i="2"/>
  <c r="E128" i="2"/>
  <c r="A127" i="2"/>
  <c r="AB125" i="2"/>
  <c r="X124" i="2"/>
  <c r="T123" i="2"/>
  <c r="Q122" i="2"/>
  <c r="M121" i="2"/>
  <c r="K120" i="2"/>
  <c r="J119" i="2"/>
  <c r="I118" i="2"/>
  <c r="G117" i="2"/>
  <c r="E116" i="2"/>
  <c r="B115" i="2"/>
  <c r="AB113" i="2"/>
  <c r="J113" i="2"/>
  <c r="Z112" i="2"/>
  <c r="G112" i="2"/>
  <c r="V111" i="2"/>
  <c r="C111" i="2"/>
  <c r="R110" i="2"/>
  <c r="AG109" i="2"/>
  <c r="M109" i="2"/>
  <c r="AA108" i="2"/>
  <c r="I108" i="2"/>
  <c r="Y107" i="2"/>
  <c r="F107" i="2"/>
  <c r="V106" i="2"/>
  <c r="D106" i="2"/>
  <c r="R105" i="2"/>
  <c r="AG104" i="2"/>
  <c r="N104" i="2"/>
  <c r="AE103" i="2"/>
  <c r="K103" i="2"/>
  <c r="Z102" i="2"/>
  <c r="I102" i="2"/>
  <c r="Y101" i="2"/>
  <c r="G101" i="2"/>
  <c r="V100" i="2"/>
  <c r="D100" i="2"/>
  <c r="Q99" i="2"/>
  <c r="AE98" i="2"/>
  <c r="J98" i="2"/>
  <c r="Z97" i="2"/>
  <c r="I97" i="2"/>
  <c r="X96" i="2"/>
  <c r="E96" i="2"/>
  <c r="S95" i="2"/>
  <c r="A95" i="2"/>
  <c r="O94" i="2"/>
  <c r="AE93" i="2"/>
  <c r="J93" i="2"/>
  <c r="Y92" i="2"/>
  <c r="G92" i="2"/>
  <c r="V91" i="2"/>
  <c r="D91" i="2"/>
  <c r="R90" i="2"/>
  <c r="AF89" i="2"/>
  <c r="K89" i="2"/>
  <c r="Z88" i="2"/>
  <c r="H88" i="2"/>
  <c r="W87" i="2"/>
  <c r="D87" i="2"/>
  <c r="S86" i="2"/>
  <c r="A86" i="2"/>
  <c r="O85" i="2"/>
  <c r="AF84" i="2"/>
  <c r="M84" i="2"/>
  <c r="AB83" i="2"/>
  <c r="K83" i="2"/>
  <c r="Z82" i="2"/>
  <c r="G82" i="2"/>
  <c r="V81" i="2"/>
  <c r="C81" i="2"/>
  <c r="V182" i="2"/>
  <c r="AE162" i="2"/>
  <c r="G154" i="2"/>
  <c r="O145" i="2"/>
  <c r="J141" i="2"/>
  <c r="F139" i="2"/>
  <c r="D137" i="2"/>
  <c r="AB134" i="2"/>
  <c r="U132" i="2"/>
  <c r="Q130" i="2"/>
  <c r="H128" i="2"/>
  <c r="AG125" i="2"/>
  <c r="W123" i="2"/>
  <c r="Q121" i="2"/>
  <c r="N119" i="2"/>
  <c r="J117" i="2"/>
  <c r="E115" i="2"/>
  <c r="AC112" i="2"/>
  <c r="U110" i="2"/>
  <c r="M108" i="2"/>
  <c r="G106" i="2"/>
  <c r="A104" i="2"/>
  <c r="AB101" i="2"/>
  <c r="U99" i="2"/>
  <c r="L97" i="2"/>
  <c r="D95" i="2"/>
  <c r="AB92" i="2"/>
  <c r="V90" i="2"/>
  <c r="K88" i="2"/>
  <c r="D86" i="2"/>
  <c r="AF83" i="2"/>
  <c r="U82" i="2"/>
  <c r="O81" i="2"/>
  <c r="V80" i="2"/>
  <c r="D80" i="2"/>
  <c r="R79" i="2"/>
  <c r="AG78" i="2"/>
  <c r="M78" i="2"/>
  <c r="AA77" i="2"/>
  <c r="H77" i="2"/>
  <c r="W76" i="2"/>
  <c r="D76" i="2"/>
  <c r="R75" i="2"/>
  <c r="AG74" i="2"/>
  <c r="O74" i="2"/>
  <c r="AE73" i="2"/>
  <c r="M73" i="2"/>
  <c r="AA72" i="2"/>
  <c r="I72" i="2"/>
  <c r="X71" i="2"/>
  <c r="G71" i="2"/>
  <c r="V70" i="2"/>
  <c r="D70" i="2"/>
  <c r="Q69" i="2"/>
  <c r="AF68" i="2"/>
  <c r="M68" i="2"/>
  <c r="AA67" i="2"/>
  <c r="H67" i="2"/>
  <c r="W66" i="2"/>
  <c r="E66" i="2"/>
  <c r="T65" i="2"/>
  <c r="C65" i="2"/>
  <c r="S64" i="2"/>
  <c r="A64" i="2"/>
  <c r="N63" i="2"/>
  <c r="AB62" i="2"/>
  <c r="I62" i="2"/>
  <c r="Y61" i="2"/>
  <c r="G61" i="2"/>
  <c r="X60" i="2"/>
  <c r="F60" i="2"/>
  <c r="U59" i="2"/>
  <c r="B59" i="2"/>
  <c r="Q58" i="2"/>
  <c r="AE57" i="2"/>
  <c r="I57" i="2"/>
  <c r="X56" i="2"/>
  <c r="E56" i="2"/>
  <c r="S55" i="2"/>
  <c r="A55" i="2"/>
  <c r="Q54" i="2"/>
  <c r="AF53" i="2"/>
  <c r="K53" i="2"/>
  <c r="Z52" i="2"/>
  <c r="G52" i="2"/>
  <c r="W51" i="2"/>
  <c r="D51" i="2"/>
  <c r="R50" i="2"/>
  <c r="AG49" i="2"/>
  <c r="N49" i="2"/>
  <c r="AD48" i="2"/>
  <c r="J48" i="2"/>
  <c r="Y47" i="2"/>
  <c r="G47" i="2"/>
  <c r="V46" i="2"/>
  <c r="C46" i="2"/>
  <c r="S45" i="2"/>
  <c r="A45" i="2"/>
  <c r="N44" i="2"/>
  <c r="AB43" i="2"/>
  <c r="I43" i="2"/>
  <c r="Y42" i="2"/>
  <c r="F42" i="2"/>
  <c r="V41" i="2"/>
  <c r="C41" i="2"/>
  <c r="S40" i="2"/>
  <c r="A40" i="2"/>
  <c r="O39" i="2"/>
  <c r="AE38" i="2"/>
  <c r="J38" i="2"/>
  <c r="Y37" i="2"/>
  <c r="F37" i="2"/>
  <c r="W36" i="2"/>
  <c r="D36" i="2"/>
  <c r="S35" i="2"/>
  <c r="A35" i="2"/>
  <c r="O34" i="2"/>
  <c r="AD33" i="2"/>
  <c r="L33" i="2"/>
  <c r="AA32" i="2"/>
  <c r="I32" i="2"/>
  <c r="Y31" i="2"/>
  <c r="F31" i="2"/>
  <c r="U30" i="2"/>
  <c r="B30" i="2"/>
  <c r="R29" i="2"/>
  <c r="AG28" i="2"/>
  <c r="N28" i="2"/>
  <c r="X171" i="2"/>
  <c r="F160" i="2"/>
  <c r="S151" i="2"/>
  <c r="X143" i="2"/>
  <c r="U140" i="2"/>
  <c r="R138" i="2"/>
  <c r="M136" i="2"/>
  <c r="E134" i="2"/>
  <c r="AF131" i="2"/>
  <c r="Z129" i="2"/>
  <c r="R127" i="2"/>
  <c r="H125" i="2"/>
  <c r="A123" i="2"/>
  <c r="AB120" i="2"/>
  <c r="Z118" i="2"/>
  <c r="V116" i="2"/>
  <c r="N114" i="2"/>
  <c r="F112" i="2"/>
  <c r="AF109" i="2"/>
  <c r="X107" i="2"/>
  <c r="Q105" i="2"/>
  <c r="J103" i="2"/>
  <c r="F101" i="2"/>
  <c r="AB98" i="2"/>
  <c r="W96" i="2"/>
  <c r="N94" i="2"/>
  <c r="F92" i="2"/>
  <c r="AE89" i="2"/>
  <c r="V87" i="2"/>
  <c r="N85" i="2"/>
  <c r="M83" i="2"/>
  <c r="I82" i="2"/>
  <c r="E81" i="2"/>
  <c r="Q80" i="2"/>
  <c r="AF79" i="2"/>
  <c r="K79" i="2"/>
  <c r="Z78" i="2"/>
  <c r="G78" i="2"/>
  <c r="V77" i="2"/>
  <c r="C77" i="2"/>
  <c r="Q76" i="2"/>
  <c r="AF75" i="2"/>
  <c r="K75" i="2"/>
  <c r="AA74" i="2"/>
  <c r="I74" i="2"/>
  <c r="Y73" i="2"/>
  <c r="G73" i="2"/>
  <c r="V72" i="2"/>
  <c r="D72" i="2"/>
  <c r="S71" i="2"/>
  <c r="B71" i="2"/>
  <c r="O70" i="2"/>
  <c r="AE69" i="2"/>
  <c r="K69" i="2"/>
  <c r="Z68" i="2"/>
  <c r="G68" i="2"/>
  <c r="V67" i="2"/>
  <c r="C67" i="2"/>
  <c r="R66" i="2"/>
  <c r="AG65" i="2"/>
  <c r="N65" i="2"/>
  <c r="AE64" i="2"/>
  <c r="M64" i="2"/>
  <c r="AA63" i="2"/>
  <c r="H63" i="2"/>
  <c r="W62" i="2"/>
  <c r="D62" i="2"/>
  <c r="T61" i="2"/>
  <c r="B61" i="2"/>
  <c r="S60" i="2"/>
  <c r="A60" i="2"/>
  <c r="N59" i="2"/>
  <c r="AD58" i="2"/>
  <c r="J58" i="2"/>
  <c r="W57" i="2"/>
  <c r="D57" i="2"/>
  <c r="R56" i="2"/>
  <c r="AG55" i="2"/>
  <c r="M55" i="2"/>
  <c r="AB54" i="2"/>
  <c r="J54" i="2"/>
  <c r="Y53" i="2"/>
  <c r="F53" i="2"/>
  <c r="U52" i="2"/>
  <c r="B52" i="2"/>
  <c r="Q51" i="2"/>
  <c r="AF50" i="2"/>
  <c r="K50" i="2"/>
  <c r="AA49" i="2"/>
  <c r="H49" i="2"/>
  <c r="X48" i="2"/>
  <c r="E48" i="2"/>
  <c r="S47" i="2"/>
  <c r="B47" i="2"/>
  <c r="O46" i="2"/>
  <c r="AE45" i="2"/>
  <c r="M45" i="2"/>
  <c r="AA44" i="2"/>
  <c r="H44" i="2"/>
  <c r="W43" i="2"/>
  <c r="D43" i="2"/>
  <c r="S42" i="2"/>
  <c r="A42" i="2"/>
  <c r="O41" i="2"/>
  <c r="AE40" i="2"/>
  <c r="M40" i="2"/>
  <c r="AB39" i="2"/>
  <c r="I39" i="2"/>
  <c r="X38" i="2"/>
  <c r="E38" i="2"/>
  <c r="S37" i="2"/>
  <c r="A37" i="2"/>
  <c r="Q36" i="2"/>
  <c r="AF35" i="2"/>
  <c r="M35" i="2"/>
  <c r="AB34" i="2"/>
  <c r="I34" i="2"/>
  <c r="Y33" i="2"/>
  <c r="G33" i="2"/>
  <c r="V32" i="2"/>
  <c r="D32" i="2"/>
  <c r="S31" i="2"/>
  <c r="A31" i="2"/>
  <c r="N30" i="2"/>
  <c r="AC29" i="2"/>
  <c r="K29" i="2"/>
  <c r="AA28" i="2"/>
  <c r="H28" i="2"/>
  <c r="Y27" i="2"/>
  <c r="G27" i="2"/>
  <c r="W26" i="2"/>
  <c r="D26" i="2"/>
  <c r="R169" i="2"/>
  <c r="V159" i="2"/>
  <c r="A151" i="2"/>
  <c r="O143" i="2"/>
  <c r="Q140" i="2"/>
  <c r="N138" i="2"/>
  <c r="H136" i="2"/>
  <c r="A134" i="2"/>
  <c r="AA131" i="2"/>
  <c r="V129" i="2"/>
  <c r="M127" i="2"/>
  <c r="D125" i="2"/>
  <c r="AB122" i="2"/>
  <c r="X120" i="2"/>
  <c r="V118" i="2"/>
  <c r="R116" i="2"/>
  <c r="I114" i="2"/>
  <c r="B112" i="2"/>
  <c r="Z109" i="2"/>
  <c r="S107" i="2"/>
  <c r="K105" i="2"/>
  <c r="F103" i="2"/>
  <c r="B101" i="2"/>
  <c r="X98" i="2"/>
  <c r="R96" i="2"/>
  <c r="I94" i="2"/>
  <c r="B92" i="2"/>
  <c r="Y89" i="2"/>
  <c r="Q87" i="2"/>
  <c r="J85" i="2"/>
  <c r="J83" i="2"/>
  <c r="F82" i="2"/>
  <c r="B81" i="2"/>
  <c r="O80" i="2"/>
  <c r="AE79" i="2"/>
  <c r="J79" i="2"/>
  <c r="Y78" i="2"/>
  <c r="F78" i="2"/>
  <c r="U77" i="2"/>
  <c r="B77" i="2"/>
  <c r="O76" i="2"/>
  <c r="AE75" i="2"/>
  <c r="J75" i="2"/>
  <c r="Z74" i="2"/>
  <c r="H74" i="2"/>
  <c r="X73" i="2"/>
  <c r="F73" i="2"/>
  <c r="U72" i="2"/>
  <c r="C72" i="2"/>
  <c r="R71" i="2"/>
  <c r="A71" i="2"/>
  <c r="N70" i="2"/>
  <c r="AB69" i="2"/>
  <c r="J69" i="2"/>
  <c r="Y68" i="2"/>
  <c r="F68" i="2"/>
  <c r="U67" i="2"/>
  <c r="B67" i="2"/>
  <c r="Q66" i="2"/>
  <c r="AF65" i="2"/>
  <c r="M65" i="2"/>
  <c r="AD64" i="2"/>
  <c r="K64" i="2"/>
  <c r="Z63" i="2"/>
  <c r="G63" i="2"/>
  <c r="V62" i="2"/>
  <c r="C62" i="2"/>
  <c r="S61" i="2"/>
  <c r="A61" i="2"/>
  <c r="R60" i="2"/>
  <c r="AF59" i="2"/>
  <c r="M59" i="2"/>
  <c r="AB58" i="2"/>
  <c r="I58" i="2"/>
  <c r="V57" i="2"/>
  <c r="C57" i="2"/>
  <c r="Q56" i="2"/>
  <c r="AF55" i="2"/>
  <c r="K55" i="2"/>
  <c r="AA54" i="2"/>
  <c r="I54" i="2"/>
  <c r="X53" i="2"/>
  <c r="E53" i="2"/>
  <c r="S52" i="2"/>
  <c r="A52" i="2"/>
  <c r="O51" i="2"/>
  <c r="AE50" i="2"/>
  <c r="J50" i="2"/>
  <c r="Z49" i="2"/>
  <c r="G49" i="2"/>
  <c r="W48" i="2"/>
  <c r="D48" i="2"/>
  <c r="R47" i="2"/>
  <c r="A47" i="2"/>
  <c r="N46" i="2"/>
  <c r="AD45" i="2"/>
  <c r="K45" i="2"/>
  <c r="Z44" i="2"/>
  <c r="G44" i="2"/>
  <c r="V43" i="2"/>
  <c r="C43" i="2"/>
  <c r="R42" i="2"/>
  <c r="AG41" i="2"/>
  <c r="N41" i="2"/>
  <c r="AD40" i="2"/>
  <c r="K40" i="2"/>
  <c r="AA39" i="2"/>
  <c r="H39" i="2"/>
  <c r="W38" i="2"/>
  <c r="D38" i="2"/>
  <c r="R37" i="2"/>
  <c r="AG36" i="2"/>
  <c r="O36" i="2"/>
  <c r="AE35" i="2"/>
  <c r="K35" i="2"/>
  <c r="AA34" i="2"/>
  <c r="H34" i="2"/>
  <c r="W33" i="2"/>
  <c r="F33" i="2"/>
  <c r="U32" i="2"/>
  <c r="C32" i="2"/>
  <c r="R31" i="2"/>
  <c r="AG30" i="2"/>
  <c r="M30" i="2"/>
  <c r="AB29" i="2"/>
  <c r="J29" i="2"/>
  <c r="Z28" i="2"/>
  <c r="G148" i="2"/>
  <c r="R135" i="2"/>
  <c r="W126" i="2"/>
  <c r="AG117" i="2"/>
  <c r="C109" i="2"/>
  <c r="K100" i="2"/>
  <c r="K91" i="2"/>
  <c r="A83" i="2"/>
  <c r="X79" i="2"/>
  <c r="N77" i="2"/>
  <c r="E75" i="2"/>
  <c r="A73" i="2"/>
  <c r="AA70" i="2"/>
  <c r="S68" i="2"/>
  <c r="J66" i="2"/>
  <c r="F64" i="2"/>
  <c r="AE61" i="2"/>
  <c r="Z59" i="2"/>
  <c r="O57" i="2"/>
  <c r="F55" i="2"/>
  <c r="AG52" i="2"/>
  <c r="X50" i="2"/>
  <c r="Q48" i="2"/>
  <c r="H46" i="2"/>
  <c r="B44" i="2"/>
  <c r="AA41" i="2"/>
  <c r="V39" i="2"/>
  <c r="K37" i="2"/>
  <c r="F35" i="2"/>
  <c r="A33" i="2"/>
  <c r="Z30" i="2"/>
  <c r="V28" i="2"/>
  <c r="AB27" i="2"/>
  <c r="E27" i="2"/>
  <c r="N26" i="2"/>
  <c r="X25" i="2"/>
  <c r="F25" i="2"/>
  <c r="U24" i="2"/>
  <c r="B24" i="2"/>
  <c r="P23" i="2"/>
  <c r="AG22" i="2"/>
  <c r="N22" i="2"/>
  <c r="AB21" i="2"/>
  <c r="J21" i="2"/>
  <c r="Y20" i="2"/>
  <c r="F20" i="2"/>
  <c r="V19" i="2"/>
  <c r="C19" i="2"/>
  <c r="R18" i="2"/>
  <c r="AG17" i="2"/>
  <c r="M17" i="2"/>
  <c r="AB16" i="2"/>
  <c r="J16" i="2"/>
  <c r="Y15" i="2"/>
  <c r="F15" i="2"/>
  <c r="V14" i="2"/>
  <c r="D14" i="2"/>
  <c r="R13" i="2"/>
  <c r="AG12" i="2"/>
  <c r="M12" i="2"/>
  <c r="AA11" i="2"/>
  <c r="F11" i="2"/>
  <c r="R10" i="2"/>
  <c r="AF9" i="2"/>
  <c r="I9" i="2"/>
  <c r="X8" i="2"/>
  <c r="E8" i="2"/>
  <c r="Q7" i="2"/>
  <c r="AF6" i="2"/>
  <c r="I6" i="2"/>
  <c r="Z5" i="2"/>
  <c r="H5" i="2"/>
  <c r="Y4" i="2"/>
  <c r="G4" i="2"/>
  <c r="X3" i="2"/>
  <c r="D3" i="2"/>
  <c r="R2" i="2"/>
  <c r="B2" i="2"/>
  <c r="S1" i="2"/>
  <c r="C1" i="2"/>
  <c r="AG145" i="2"/>
  <c r="A135" i="2"/>
  <c r="D126" i="2"/>
  <c r="O117" i="2"/>
  <c r="R108" i="2"/>
  <c r="Y99" i="2"/>
  <c r="Z90" i="2"/>
  <c r="X82" i="2"/>
  <c r="S79" i="2"/>
  <c r="I77" i="2"/>
  <c r="A75" i="2"/>
  <c r="AB72" i="2"/>
  <c r="W70" i="2"/>
  <c r="N68" i="2"/>
  <c r="F66" i="2"/>
  <c r="B64" i="2"/>
  <c r="Z61" i="2"/>
  <c r="V59" i="2"/>
  <c r="J57" i="2"/>
  <c r="B55" i="2"/>
  <c r="AA52" i="2"/>
  <c r="S50" i="2"/>
  <c r="K48" i="2"/>
  <c r="D46" i="2"/>
  <c r="AE43" i="2"/>
  <c r="W41" i="2"/>
  <c r="Q39" i="2"/>
  <c r="G37" i="2"/>
  <c r="B35" i="2"/>
  <c r="AB32" i="2"/>
  <c r="V30" i="2"/>
  <c r="U28" i="2"/>
  <c r="AA27" i="2"/>
  <c r="D27" i="2"/>
  <c r="K26" i="2"/>
  <c r="W25" i="2"/>
  <c r="E25" i="2"/>
  <c r="S24" i="2"/>
  <c r="A24" i="2"/>
  <c r="O23" i="2"/>
  <c r="AF22" i="2"/>
  <c r="M22" i="2"/>
  <c r="AA21" i="2"/>
  <c r="I21" i="2"/>
  <c r="X20" i="2"/>
  <c r="E20" i="2"/>
  <c r="U19" i="2"/>
  <c r="B19" i="2"/>
  <c r="Q18" i="2"/>
  <c r="AF17" i="2"/>
  <c r="K17" i="2"/>
  <c r="AA16" i="2"/>
  <c r="I16" i="2"/>
  <c r="X15" i="2"/>
  <c r="E15" i="2"/>
  <c r="U14" i="2"/>
  <c r="C14" i="2"/>
  <c r="Q13" i="2"/>
  <c r="AF12" i="2"/>
  <c r="K12" i="2"/>
  <c r="Z11" i="2"/>
  <c r="E11" i="2"/>
  <c r="Q10" i="2"/>
  <c r="AE9" i="2"/>
  <c r="H9" i="2"/>
  <c r="W8" i="2"/>
  <c r="D8" i="2"/>
  <c r="O7" i="2"/>
  <c r="AE6" i="2"/>
  <c r="H6" i="2"/>
  <c r="Y5" i="2"/>
  <c r="G5" i="2"/>
  <c r="X4" i="2"/>
  <c r="F4" i="2"/>
  <c r="W3" i="2"/>
  <c r="C3" i="2"/>
  <c r="Q2" i="2"/>
  <c r="A2" i="2"/>
  <c r="R1" i="2"/>
  <c r="B1" i="2"/>
  <c r="H144" i="2"/>
  <c r="N134" i="2"/>
  <c r="R125" i="2"/>
  <c r="AE116" i="2"/>
  <c r="AG107" i="2"/>
  <c r="F99" i="2"/>
  <c r="G90" i="2"/>
  <c r="N82" i="2"/>
  <c r="N79" i="2"/>
  <c r="E77" i="2"/>
  <c r="AD74" i="2"/>
  <c r="X72" i="2"/>
  <c r="R70" i="2"/>
  <c r="I68" i="2"/>
  <c r="B66" i="2"/>
  <c r="AE63" i="2"/>
  <c r="V61" i="2"/>
  <c r="Q59" i="2"/>
  <c r="F57" i="2"/>
  <c r="AE54" i="2"/>
  <c r="W52" i="2"/>
  <c r="N50" i="2"/>
  <c r="G48" i="2"/>
  <c r="AG45" i="2"/>
  <c r="Y43" i="2"/>
  <c r="R41" i="2"/>
  <c r="K39" i="2"/>
  <c r="C37" i="2"/>
  <c r="AE34" i="2"/>
  <c r="X32" i="2"/>
  <c r="Q30" i="2"/>
  <c r="Q28" i="2"/>
  <c r="Z27" i="2"/>
  <c r="B27" i="2"/>
  <c r="J26" i="2"/>
  <c r="V25" i="2"/>
  <c r="D25" i="2"/>
  <c r="R24" i="2"/>
  <c r="AG23" i="2"/>
  <c r="N23" i="2"/>
  <c r="AE22" i="2"/>
  <c r="K22" i="2"/>
  <c r="Z21" i="2"/>
  <c r="H21" i="2"/>
  <c r="W20" i="2"/>
  <c r="D20" i="2"/>
  <c r="S19" i="2"/>
  <c r="A19" i="2"/>
  <c r="O18" i="2"/>
  <c r="AE17" i="2"/>
  <c r="J17" i="2"/>
  <c r="Z16" i="2"/>
  <c r="H16" i="2"/>
  <c r="W15" i="2"/>
  <c r="D15" i="2"/>
  <c r="T14" i="2"/>
  <c r="B14" i="2"/>
  <c r="O13" i="2"/>
  <c r="AE12" i="2"/>
  <c r="J12" i="2"/>
  <c r="Y11" i="2"/>
  <c r="D11" i="2"/>
  <c r="O10" i="2"/>
  <c r="AB9" i="2"/>
  <c r="G9" i="2"/>
  <c r="V8" i="2"/>
  <c r="C8" i="2"/>
  <c r="N7" i="2"/>
  <c r="AB6" i="2"/>
  <c r="G6" i="2"/>
  <c r="X5" i="2"/>
  <c r="F5" i="2"/>
  <c r="W4" i="2"/>
  <c r="E4" i="2"/>
  <c r="T3" i="2"/>
  <c r="B3" i="2"/>
  <c r="P2" i="2"/>
  <c r="AG1" i="2"/>
  <c r="Q1" i="2"/>
  <c r="A1" i="2"/>
  <c r="F143" i="2"/>
  <c r="AB133" i="2"/>
  <c r="AG124" i="2"/>
  <c r="M116" i="2"/>
  <c r="N107" i="2"/>
  <c r="S98" i="2"/>
  <c r="U89" i="2"/>
  <c r="E82" i="2"/>
  <c r="I79" i="2"/>
  <c r="A77" i="2"/>
  <c r="Y74" i="2"/>
  <c r="S72" i="2"/>
  <c r="M70" i="2"/>
  <c r="E68" i="2"/>
  <c r="AE65" i="2"/>
  <c r="Y63" i="2"/>
  <c r="R61" i="2"/>
  <c r="K59" i="2"/>
  <c r="B57" i="2"/>
  <c r="Z54" i="2"/>
  <c r="R52" i="2"/>
  <c r="I50" i="2"/>
  <c r="C48" i="2"/>
  <c r="AB45" i="2"/>
  <c r="U43" i="2"/>
  <c r="M41" i="2"/>
  <c r="G39" i="2"/>
  <c r="AF36" i="2"/>
  <c r="Z34" i="2"/>
  <c r="T32" i="2"/>
  <c r="K30" i="2"/>
  <c r="O28" i="2"/>
  <c r="U25" i="2"/>
  <c r="M23" i="2"/>
  <c r="G21" i="2"/>
  <c r="AG18" i="2"/>
  <c r="Y16" i="2"/>
  <c r="S14" i="2"/>
  <c r="I12" i="2"/>
  <c r="AA9" i="2"/>
  <c r="M7" i="2"/>
  <c r="E5" i="2"/>
  <c r="A3" i="2"/>
  <c r="F27" i="2"/>
  <c r="AA5" i="2"/>
  <c r="S27" i="2"/>
  <c r="AF24" i="2"/>
  <c r="X22" i="2"/>
  <c r="Q20" i="2"/>
  <c r="I18" i="2"/>
  <c r="C16" i="2"/>
  <c r="AB13" i="2"/>
  <c r="Q11" i="2"/>
  <c r="B9" i="2"/>
  <c r="W6" i="2"/>
  <c r="P4" i="2"/>
  <c r="K2" i="2"/>
  <c r="Y25" i="2"/>
  <c r="K21" i="2"/>
  <c r="N17" i="2"/>
  <c r="N12" i="2"/>
  <c r="J6" i="2"/>
  <c r="D1" i="2"/>
  <c r="AE25" i="2"/>
  <c r="V23" i="2"/>
  <c r="Q21" i="2"/>
  <c r="H19" i="2"/>
  <c r="A17" i="2"/>
  <c r="AA14" i="2"/>
  <c r="S12" i="2"/>
  <c r="E10" i="2"/>
  <c r="Y7" i="2"/>
  <c r="M5" i="2"/>
  <c r="I3" i="2"/>
  <c r="H1" i="2"/>
  <c r="A23" i="2"/>
  <c r="A18" i="2"/>
  <c r="A13" i="2"/>
  <c r="AG6" i="2"/>
  <c r="R242" i="2"/>
  <c r="B240" i="2"/>
  <c r="I242" i="2"/>
  <c r="F225" i="2"/>
  <c r="O229" i="2"/>
  <c r="Z234" i="2"/>
  <c r="I219" i="2"/>
  <c r="M201" i="2"/>
  <c r="D219" i="2"/>
  <c r="Q201" i="2"/>
  <c r="V192" i="2"/>
  <c r="G219" i="2"/>
  <c r="K210" i="2"/>
  <c r="J201" i="2"/>
  <c r="AE213" i="2"/>
  <c r="AE189" i="2"/>
  <c r="J181" i="2"/>
  <c r="Y172" i="2"/>
  <c r="AG228" i="2"/>
  <c r="S206" i="2"/>
  <c r="N192" i="2"/>
  <c r="G188" i="2"/>
  <c r="AE183" i="2"/>
  <c r="R179" i="2"/>
  <c r="G175" i="2"/>
  <c r="AA170" i="2"/>
  <c r="X223" i="2"/>
  <c r="Y204" i="2"/>
  <c r="AG191" i="2"/>
  <c r="Z187" i="2"/>
  <c r="Q183" i="2"/>
  <c r="D179" i="2"/>
  <c r="Y174" i="2"/>
  <c r="M170" i="2"/>
  <c r="F205" i="2"/>
  <c r="G179" i="2"/>
  <c r="Q166" i="2"/>
  <c r="B162" i="2"/>
  <c r="Z157" i="2"/>
  <c r="K153" i="2"/>
  <c r="C149" i="2"/>
  <c r="T144" i="2"/>
  <c r="I202" i="2"/>
  <c r="Q178" i="2"/>
  <c r="J166" i="2"/>
  <c r="AD161" i="2"/>
  <c r="U157" i="2"/>
  <c r="F153" i="2"/>
  <c r="AB148" i="2"/>
  <c r="N144" i="2"/>
  <c r="Q199" i="2"/>
  <c r="AB177" i="2"/>
  <c r="E166" i="2"/>
  <c r="X161" i="2"/>
  <c r="N157" i="2"/>
  <c r="A153" i="2"/>
  <c r="W148" i="2"/>
  <c r="AF207" i="2"/>
  <c r="AG157" i="2"/>
  <c r="R142" i="2"/>
  <c r="A138" i="2"/>
  <c r="S133" i="2"/>
  <c r="F129" i="2"/>
  <c r="V124" i="2"/>
  <c r="I120" i="2"/>
  <c r="K116" i="2"/>
  <c r="D114" i="2"/>
  <c r="AB111" i="2"/>
  <c r="U109" i="2"/>
  <c r="M107" i="2"/>
  <c r="F105" i="2"/>
  <c r="A103" i="2"/>
  <c r="AB100" i="2"/>
  <c r="R98" i="2"/>
  <c r="K96" i="2"/>
  <c r="D94" i="2"/>
  <c r="AB91" i="2"/>
  <c r="S89" i="2"/>
  <c r="J87" i="2"/>
  <c r="E85" i="2"/>
  <c r="X196" i="2"/>
  <c r="AF165" i="2"/>
  <c r="H157" i="2"/>
  <c r="Q148" i="2"/>
  <c r="H142" i="2"/>
  <c r="AE139" i="2"/>
  <c r="AB137" i="2"/>
  <c r="U135" i="2"/>
  <c r="M133" i="2"/>
  <c r="G131" i="2"/>
  <c r="A129" i="2"/>
  <c r="Y126" i="2"/>
  <c r="O124" i="2"/>
  <c r="I122" i="2"/>
  <c r="D120" i="2"/>
  <c r="B118" i="2"/>
  <c r="AE115" i="2"/>
  <c r="U113" i="2"/>
  <c r="M111" i="2"/>
  <c r="E109" i="2"/>
  <c r="AF106" i="2"/>
  <c r="X104" i="2"/>
  <c r="S102" i="2"/>
  <c r="N100" i="2"/>
  <c r="C98" i="2"/>
  <c r="AE95" i="2"/>
  <c r="V93" i="2"/>
  <c r="M91" i="2"/>
  <c r="D89" i="2"/>
  <c r="AB86" i="2"/>
  <c r="X84" i="2"/>
  <c r="R82" i="2"/>
  <c r="W191" i="2"/>
  <c r="H165" i="2"/>
  <c r="R156" i="2"/>
  <c r="Z147" i="2"/>
  <c r="AB141" i="2"/>
  <c r="X139" i="2"/>
  <c r="W137" i="2"/>
  <c r="N135" i="2"/>
  <c r="G133" i="2"/>
  <c r="B131" i="2"/>
  <c r="AA128" i="2"/>
  <c r="S126" i="2"/>
  <c r="I124" i="2"/>
  <c r="D122" i="2"/>
  <c r="AF119" i="2"/>
  <c r="AD117" i="2"/>
  <c r="X115" i="2"/>
  <c r="X113" i="2"/>
  <c r="V112" i="2"/>
  <c r="Q111" i="2"/>
  <c r="M110" i="2"/>
  <c r="H109" i="2"/>
  <c r="E108" i="2"/>
  <c r="B107" i="2"/>
  <c r="AG105" i="2"/>
  <c r="AA104" i="2"/>
  <c r="Y103" i="2"/>
  <c r="V102" i="2"/>
  <c r="U101" i="2"/>
  <c r="Q100" i="2"/>
  <c r="K99" i="2"/>
  <c r="F98" i="2"/>
  <c r="E97" i="2"/>
  <c r="A96" i="2"/>
  <c r="AD94" i="2"/>
  <c r="Y93" i="2"/>
  <c r="U92" i="2"/>
  <c r="Q91" i="2"/>
  <c r="M90" i="2"/>
  <c r="G89" i="2"/>
  <c r="D88" i="2"/>
  <c r="AG86" i="2"/>
  <c r="AC85" i="2"/>
  <c r="AA84" i="2"/>
  <c r="X83" i="2"/>
  <c r="V82" i="2"/>
  <c r="Q81" i="2"/>
  <c r="AE173" i="2"/>
  <c r="B152" i="2"/>
  <c r="Y140" i="2"/>
  <c r="R136" i="2"/>
  <c r="C132" i="2"/>
  <c r="W127" i="2"/>
  <c r="E123" i="2"/>
  <c r="AD118" i="2"/>
  <c r="S114" i="2"/>
  <c r="C110" i="2"/>
  <c r="V105" i="2"/>
  <c r="J101" i="2"/>
  <c r="AA96" i="2"/>
  <c r="J92" i="2"/>
  <c r="Z87" i="2"/>
  <c r="N83" i="2"/>
  <c r="F81" i="2"/>
  <c r="AG79" i="2"/>
  <c r="AA78" i="2"/>
  <c r="W77" i="2"/>
  <c r="R76" i="2"/>
  <c r="M75" i="2"/>
  <c r="J74" i="2"/>
  <c r="H73" i="2"/>
  <c r="E72" i="2"/>
  <c r="C71" i="2"/>
  <c r="AF69" i="2"/>
  <c r="AA68" i="2"/>
  <c r="W67" i="2"/>
  <c r="S66" i="2"/>
  <c r="O65" i="2"/>
  <c r="N64" i="2"/>
  <c r="I63" i="2"/>
  <c r="E62" i="2"/>
  <c r="C61" i="2"/>
  <c r="B60" i="2"/>
  <c r="AE58" i="2"/>
  <c r="Y57" i="2"/>
  <c r="S56" i="2"/>
  <c r="N55" i="2"/>
  <c r="K54" i="2"/>
  <c r="G53" i="2"/>
  <c r="C52" i="2"/>
  <c r="AG50" i="2"/>
  <c r="AB49" i="2"/>
  <c r="Y48" i="2"/>
  <c r="U47" i="2"/>
  <c r="Q46" i="2"/>
  <c r="N45" i="2"/>
  <c r="I44" i="2"/>
  <c r="E43" i="2"/>
  <c r="B42" i="2"/>
  <c r="AF40" i="2"/>
  <c r="AD39" i="2"/>
  <c r="Y38" i="2"/>
  <c r="U37" i="2"/>
  <c r="R36" i="2"/>
  <c r="N35" i="2"/>
  <c r="J34" i="2"/>
  <c r="H33" i="2"/>
  <c r="E32" i="2"/>
  <c r="B31" i="2"/>
  <c r="AE29" i="2"/>
  <c r="AB28" i="2"/>
  <c r="AA166" i="2"/>
  <c r="M149" i="2"/>
  <c r="D140" i="2"/>
  <c r="AA135" i="2"/>
  <c r="M131" i="2"/>
  <c r="AG126" i="2"/>
  <c r="O122" i="2"/>
  <c r="H118" i="2"/>
  <c r="AA113" i="2"/>
  <c r="K109" i="2"/>
  <c r="AF104" i="2"/>
  <c r="U100" i="2"/>
  <c r="D96" i="2"/>
  <c r="U91" i="2"/>
  <c r="C87" i="2"/>
  <c r="E83" i="2"/>
  <c r="AD80" i="2"/>
  <c r="Z79" i="2"/>
  <c r="V78" i="2"/>
  <c r="Q77" i="2"/>
  <c r="K76" i="2"/>
  <c r="G75" i="2"/>
  <c r="E74" i="2"/>
  <c r="C73" i="2"/>
  <c r="AG71" i="2"/>
  <c r="AE70" i="2"/>
  <c r="Y69" i="2"/>
  <c r="V68" i="2"/>
  <c r="Q67" i="2"/>
  <c r="M66" i="2"/>
  <c r="J65" i="2"/>
  <c r="H64" i="2"/>
  <c r="D63" i="2"/>
  <c r="AG61" i="2"/>
  <c r="AE60" i="2"/>
  <c r="AB59" i="2"/>
  <c r="Y58" i="2"/>
  <c r="R57" i="2"/>
  <c r="M56" i="2"/>
  <c r="H55" i="2"/>
  <c r="F54" i="2"/>
  <c r="B53" i="2"/>
  <c r="AE51" i="2"/>
  <c r="Z50" i="2"/>
  <c r="W49" i="2"/>
  <c r="S48" i="2"/>
  <c r="N47" i="2"/>
  <c r="J46" i="2"/>
  <c r="H45" i="2"/>
  <c r="D44" i="2"/>
  <c r="AG42" i="2"/>
  <c r="AD41" i="2"/>
  <c r="Z40" i="2"/>
  <c r="X39" i="2"/>
  <c r="S38" i="2"/>
  <c r="N37" i="2"/>
  <c r="K36" i="2"/>
  <c r="H35" i="2"/>
  <c r="E34" i="2"/>
  <c r="C33" i="2"/>
  <c r="AG31" i="2"/>
  <c r="AB30" i="2"/>
  <c r="Y29" i="2"/>
  <c r="W28" i="2"/>
  <c r="U27" i="2"/>
  <c r="R26" i="2"/>
  <c r="H166" i="2"/>
  <c r="Z148" i="2"/>
  <c r="AG139" i="2"/>
  <c r="W135" i="2"/>
  <c r="I131" i="2"/>
  <c r="AA126" i="2"/>
  <c r="K122" i="2"/>
  <c r="D118" i="2"/>
  <c r="W113" i="2"/>
  <c r="G109" i="2"/>
  <c r="Z104" i="2"/>
  <c r="P100" i="2"/>
  <c r="AG95" i="2"/>
  <c r="O91" i="2"/>
  <c r="AF86" i="2"/>
  <c r="B83" i="2"/>
  <c r="AB80" i="2"/>
  <c r="Y79" i="2"/>
  <c r="U78" i="2"/>
  <c r="O77" i="2"/>
  <c r="J76" i="2"/>
  <c r="F75" i="2"/>
  <c r="D74" i="2"/>
  <c r="B73" i="2"/>
  <c r="AF71" i="2"/>
  <c r="AB70" i="2"/>
  <c r="X69" i="2"/>
  <c r="U68" i="2"/>
  <c r="O67" i="2"/>
  <c r="K66" i="2"/>
  <c r="I65" i="2"/>
  <c r="G64" i="2"/>
  <c r="C63" i="2"/>
  <c r="AF61" i="2"/>
  <c r="AD60" i="2"/>
  <c r="AA59" i="2"/>
  <c r="X58" i="2"/>
  <c r="Q57" i="2"/>
  <c r="K56" i="2"/>
  <c r="G55" i="2"/>
  <c r="E54" i="2"/>
  <c r="A53" i="2"/>
  <c r="AD51" i="2"/>
  <c r="Y50" i="2"/>
  <c r="V49" i="2"/>
  <c r="R48" i="2"/>
  <c r="M47" i="2"/>
  <c r="I46" i="2"/>
  <c r="G45" i="2"/>
  <c r="C44" i="2"/>
  <c r="AF42" i="2"/>
  <c r="AB41" i="2"/>
  <c r="Y40" i="2"/>
  <c r="W39" i="2"/>
  <c r="R38" i="2"/>
  <c r="M37" i="2"/>
  <c r="J36" i="2"/>
  <c r="G35" i="2"/>
  <c r="D34" i="2"/>
  <c r="B33" i="2"/>
  <c r="AF31" i="2"/>
  <c r="AA30" i="2"/>
  <c r="X29" i="2"/>
  <c r="D194" i="2"/>
  <c r="J133" i="2"/>
  <c r="AA115" i="2"/>
  <c r="A98" i="2"/>
  <c r="AB81" i="2"/>
  <c r="AB76" i="2"/>
  <c r="N72" i="2"/>
  <c r="A68" i="2"/>
  <c r="U63" i="2"/>
  <c r="G59" i="2"/>
  <c r="V54" i="2"/>
  <c r="E50" i="2"/>
  <c r="X45" i="2"/>
  <c r="H41" i="2"/>
  <c r="AB36" i="2"/>
  <c r="O32" i="2"/>
  <c r="K28" i="2"/>
  <c r="AG26" i="2"/>
  <c r="S25" i="2"/>
  <c r="O24" i="2"/>
  <c r="L23" i="2"/>
  <c r="I22" i="2"/>
  <c r="F21" i="2"/>
  <c r="B20" i="2"/>
  <c r="AF18" i="2"/>
  <c r="AA17" i="2"/>
  <c r="X16" i="2"/>
  <c r="U15" i="2"/>
  <c r="R14" i="2"/>
  <c r="M13" i="2"/>
  <c r="H12" i="2"/>
  <c r="B11" i="2"/>
  <c r="Z9" i="2"/>
  <c r="S8" i="2"/>
  <c r="K7" i="2"/>
  <c r="E6" i="2"/>
  <c r="D5" i="2"/>
  <c r="C4" i="2"/>
  <c r="AG2" i="2"/>
  <c r="AE1" i="2"/>
  <c r="Z184" i="2"/>
  <c r="Y132" i="2"/>
  <c r="I115" i="2"/>
  <c r="Q97" i="2"/>
  <c r="S81" i="2"/>
  <c r="X76" i="2"/>
  <c r="J72" i="2"/>
  <c r="AB67" i="2"/>
  <c r="O63" i="2"/>
  <c r="C59" i="2"/>
  <c r="R54" i="2"/>
  <c r="A50" i="2"/>
  <c r="T45" i="2"/>
  <c r="D41" i="2"/>
  <c r="X36" i="2"/>
  <c r="J32" i="2"/>
  <c r="J28" i="2"/>
  <c r="AE26" i="2"/>
  <c r="R25" i="2"/>
  <c r="N24" i="2"/>
  <c r="K23" i="2"/>
  <c r="H22" i="2"/>
  <c r="E21" i="2"/>
  <c r="A20" i="2"/>
  <c r="AE18" i="2"/>
  <c r="Z17" i="2"/>
  <c r="W16" i="2"/>
  <c r="S15" i="2"/>
  <c r="Q14" i="2"/>
  <c r="K13" i="2"/>
  <c r="G12" i="2"/>
  <c r="A11" i="2"/>
  <c r="Y9" i="2"/>
  <c r="R8" i="2"/>
  <c r="J7" i="2"/>
  <c r="D6" i="2"/>
  <c r="C5" i="2"/>
  <c r="B4" i="2"/>
  <c r="AF2" i="2"/>
  <c r="AD1" i="2"/>
  <c r="B176" i="2"/>
  <c r="G132" i="2"/>
  <c r="X114" i="2"/>
  <c r="AG96" i="2"/>
  <c r="I81" i="2"/>
  <c r="S76" i="2"/>
  <c r="F72" i="2"/>
  <c r="X67" i="2"/>
  <c r="J63" i="2"/>
  <c r="AF58" i="2"/>
  <c r="M54" i="2"/>
  <c r="AD49" i="2"/>
  <c r="O45" i="2"/>
  <c r="AG40" i="2"/>
  <c r="S36" i="2"/>
  <c r="F32" i="2"/>
  <c r="I28" i="2"/>
  <c r="AD26" i="2"/>
  <c r="Q25" i="2"/>
  <c r="M24" i="2"/>
  <c r="J23" i="2"/>
  <c r="G22" i="2"/>
  <c r="D21" i="2"/>
  <c r="AG19" i="2"/>
  <c r="AD18" i="2"/>
  <c r="Y17" i="2"/>
  <c r="V16" i="2"/>
  <c r="R15" i="2"/>
  <c r="O14" i="2"/>
  <c r="J13" i="2"/>
  <c r="F12" i="2"/>
  <c r="AG10" i="2"/>
  <c r="X9" i="2"/>
  <c r="Q8" i="2"/>
  <c r="I7" i="2"/>
  <c r="C6" i="2"/>
  <c r="B5" i="2"/>
  <c r="A4" i="2"/>
  <c r="AE2" i="2"/>
  <c r="AC1" i="2"/>
  <c r="I168" i="2"/>
  <c r="W131" i="2"/>
  <c r="E114" i="2"/>
  <c r="M96" i="2"/>
  <c r="A81" i="2"/>
  <c r="N76" i="2"/>
  <c r="B72" i="2"/>
  <c r="S67" i="2"/>
  <c r="F63" i="2"/>
  <c r="AA58" i="2"/>
  <c r="H54" i="2"/>
  <c r="Y49" i="2"/>
  <c r="J45" i="2"/>
  <c r="AB40" i="2"/>
  <c r="N36" i="2"/>
  <c r="B32" i="2"/>
  <c r="X27" i="2"/>
  <c r="AB22" i="2"/>
  <c r="N18" i="2"/>
  <c r="A14" i="2"/>
  <c r="F9" i="2"/>
  <c r="T4" i="2"/>
  <c r="W14" i="2"/>
  <c r="AB26" i="2"/>
  <c r="F22" i="2"/>
  <c r="X17" i="2"/>
  <c r="I13" i="2"/>
  <c r="W9" i="2"/>
  <c r="B6" i="2"/>
  <c r="N3" i="2"/>
  <c r="O26" i="2"/>
  <c r="Z20" i="2"/>
  <c r="G15" i="2"/>
  <c r="F8" i="2"/>
  <c r="B28" i="2"/>
  <c r="Z24" i="2"/>
  <c r="B22" i="2"/>
  <c r="X18" i="2"/>
  <c r="AF15" i="2"/>
  <c r="E13" i="2"/>
  <c r="O9" i="2"/>
  <c r="O6" i="2"/>
  <c r="AC3" i="2"/>
  <c r="AD27" i="2"/>
  <c r="G20" i="2"/>
  <c r="E14" i="2"/>
  <c r="Z4" i="2"/>
  <c r="P259" i="2"/>
  <c r="AF225" i="2"/>
  <c r="S192" i="2"/>
  <c r="B197" i="2"/>
  <c r="Z214" i="2"/>
  <c r="AD196" i="2"/>
  <c r="W185" i="2"/>
  <c r="Q215" i="2"/>
  <c r="I190" i="2"/>
  <c r="X181" i="2"/>
  <c r="L177" i="2"/>
  <c r="V168" i="2"/>
  <c r="AB195" i="2"/>
  <c r="U185" i="2"/>
  <c r="AF176" i="2"/>
  <c r="F168" i="2"/>
  <c r="Q170" i="2"/>
  <c r="AC159" i="2"/>
  <c r="H151" i="2"/>
  <c r="G187" i="2"/>
  <c r="D164" i="2"/>
  <c r="K155" i="2"/>
  <c r="U146" i="2"/>
  <c r="R186" i="2"/>
  <c r="AF163" i="2"/>
  <c r="F155" i="2"/>
  <c r="N146" i="2"/>
  <c r="H149" i="2"/>
  <c r="Z135" i="2"/>
  <c r="AF126" i="2"/>
  <c r="G118" i="2"/>
  <c r="AG112" i="2"/>
  <c r="Q108" i="2"/>
  <c r="D104" i="2"/>
  <c r="X99" i="2"/>
  <c r="G95" i="2"/>
  <c r="Y90" i="2"/>
  <c r="G86" i="2"/>
  <c r="F177" i="2"/>
  <c r="AC152" i="2"/>
  <c r="AG140" i="2"/>
  <c r="Y136" i="2"/>
  <c r="I132" i="2"/>
  <c r="AE127" i="2"/>
  <c r="K123" i="2"/>
  <c r="C119" i="2"/>
  <c r="Z114" i="2"/>
  <c r="B108" i="2"/>
  <c r="V103" i="2"/>
  <c r="H99" i="2"/>
  <c r="Z94" i="2"/>
  <c r="I90" i="2"/>
  <c r="Z85" i="2"/>
  <c r="M81" i="2"/>
  <c r="AC160" i="2"/>
  <c r="A144" i="2"/>
  <c r="W138" i="2"/>
  <c r="J134" i="2"/>
  <c r="X127" i="2"/>
  <c r="F123" i="2"/>
  <c r="AE118" i="2"/>
  <c r="U114" i="2"/>
  <c r="C112" i="2"/>
  <c r="AA109" i="2"/>
  <c r="U107" i="2"/>
  <c r="M105" i="2"/>
  <c r="G103" i="2"/>
  <c r="C101" i="2"/>
  <c r="AF99" i="2"/>
  <c r="V97" i="2"/>
  <c r="N95" i="2"/>
  <c r="F93" i="2"/>
  <c r="AG90" i="2"/>
  <c r="V88" i="2"/>
  <c r="N86" i="2"/>
  <c r="H84" i="2"/>
  <c r="C82" i="2"/>
  <c r="Y160" i="2"/>
  <c r="V138" i="2"/>
  <c r="AF129" i="2"/>
  <c r="AF120" i="2"/>
  <c r="J112" i="2"/>
  <c r="O103" i="2"/>
  <c r="S94" i="2"/>
  <c r="S85" i="2"/>
  <c r="R80" i="2"/>
  <c r="H78" i="2"/>
  <c r="AG75" i="2"/>
  <c r="Z73" i="2"/>
  <c r="T71" i="2"/>
  <c r="L69" i="2"/>
  <c r="D67" i="2"/>
  <c r="AF64" i="2"/>
  <c r="X62" i="2"/>
  <c r="T60" i="2"/>
  <c r="K58" i="2"/>
  <c r="E57" i="2"/>
  <c r="A56" i="2"/>
  <c r="AD54" i="2"/>
  <c r="Z53" i="2"/>
  <c r="V52" i="2"/>
  <c r="R51" i="2"/>
  <c r="M50" i="2"/>
  <c r="I49" i="2"/>
  <c r="F48" i="2"/>
  <c r="C47" i="2"/>
  <c r="AF45" i="2"/>
  <c r="AB44" i="2"/>
  <c r="X43" i="2"/>
  <c r="U42" i="2"/>
  <c r="Q41" i="2"/>
  <c r="N40" i="2"/>
  <c r="F38" i="2"/>
  <c r="B37" i="2"/>
  <c r="AD34" i="2"/>
  <c r="Z33" i="2"/>
  <c r="U31" i="2"/>
  <c r="M29" i="2"/>
  <c r="D158" i="2"/>
  <c r="B138" i="2"/>
  <c r="W124" i="2"/>
  <c r="D116" i="2"/>
  <c r="E107" i="2"/>
  <c r="I98" i="2"/>
  <c r="J89" i="2"/>
  <c r="A82" i="2"/>
  <c r="G79" i="2"/>
  <c r="AF76" i="2"/>
  <c r="W74" i="2"/>
  <c r="Q72" i="2"/>
  <c r="K70" i="2"/>
  <c r="C68" i="2"/>
  <c r="AA65" i="2"/>
  <c r="W63" i="2"/>
  <c r="R62" i="2"/>
  <c r="I59" i="2"/>
  <c r="AG56" i="2"/>
  <c r="X54" i="2"/>
  <c r="O52" i="2"/>
  <c r="G50" i="2"/>
  <c r="A48" i="2"/>
  <c r="AE46" i="2"/>
  <c r="W44" i="2"/>
  <c r="N42" i="2"/>
  <c r="H40" i="2"/>
  <c r="E39" i="2"/>
  <c r="A38" i="2"/>
  <c r="AD36" i="2"/>
  <c r="AA35" i="2"/>
  <c r="X34" i="2"/>
  <c r="T33" i="2"/>
  <c r="R32" i="2"/>
  <c r="N31" i="2"/>
  <c r="I30" i="2"/>
  <c r="G29" i="2"/>
  <c r="D28" i="2"/>
  <c r="C27" i="2"/>
  <c r="E201" i="2"/>
  <c r="R157" i="2"/>
  <c r="L142" i="2"/>
  <c r="AE137" i="2"/>
  <c r="O133" i="2"/>
  <c r="C129" i="2"/>
  <c r="R124" i="2"/>
  <c r="F120" i="2"/>
  <c r="AG115" i="2"/>
  <c r="O111" i="2"/>
  <c r="A107" i="2"/>
  <c r="U102" i="2"/>
  <c r="E98" i="2"/>
  <c r="X93" i="2"/>
  <c r="F89" i="2"/>
  <c r="Z84" i="2"/>
  <c r="AE81" i="2"/>
  <c r="J80" i="2"/>
  <c r="F79" i="2"/>
  <c r="B78" i="2"/>
  <c r="AE76" i="2"/>
  <c r="Y75" i="2"/>
  <c r="V74" i="2"/>
  <c r="T73" i="2"/>
  <c r="O72" i="2"/>
  <c r="M71" i="2"/>
  <c r="J70" i="2"/>
  <c r="F69" i="2"/>
  <c r="B68" i="2"/>
  <c r="AE66" i="2"/>
  <c r="Z65" i="2"/>
  <c r="Y64" i="2"/>
  <c r="V63" i="2"/>
  <c r="Q62" i="2"/>
  <c r="N61" i="2"/>
  <c r="M60" i="2"/>
  <c r="H59" i="2"/>
  <c r="E58" i="2"/>
  <c r="AF56" i="2"/>
  <c r="Z55" i="2"/>
  <c r="W54" i="2"/>
  <c r="S53" i="2"/>
  <c r="N52" i="2"/>
  <c r="J51" i="2"/>
  <c r="F50" i="2"/>
  <c r="C49" i="2"/>
  <c r="AG47" i="2"/>
  <c r="AB46" i="2"/>
  <c r="Y45" i="2"/>
  <c r="V44" i="2"/>
  <c r="Q43" i="2"/>
  <c r="M42" i="2"/>
  <c r="I41" i="2"/>
  <c r="G40" i="2"/>
  <c r="D39" i="2"/>
  <c r="AG37" i="2"/>
  <c r="AC36" i="2"/>
  <c r="Z35" i="2"/>
  <c r="W34" i="2"/>
  <c r="S33" i="2"/>
  <c r="Q32" i="2"/>
  <c r="M31" i="2"/>
  <c r="H30" i="2"/>
  <c r="F29" i="2"/>
  <c r="D142" i="2"/>
  <c r="M124" i="2"/>
  <c r="AC106" i="2"/>
  <c r="B89" i="2"/>
  <c r="E79" i="2"/>
  <c r="U74" i="2"/>
  <c r="I70" i="2"/>
  <c r="Y65" i="2"/>
  <c r="M61" i="2"/>
  <c r="AE56" i="2"/>
  <c r="M52" i="2"/>
  <c r="AF47" i="2"/>
  <c r="O43" i="2"/>
  <c r="C39" i="2"/>
  <c r="V34" i="2"/>
  <c r="G30" i="2"/>
  <c r="W27" i="2"/>
  <c r="G26" i="2"/>
  <c r="B25" i="2"/>
  <c r="AE23" i="2"/>
  <c r="AA22" i="2"/>
  <c r="X21" i="2"/>
  <c r="U20" i="2"/>
  <c r="Q19" i="2"/>
  <c r="M18" i="2"/>
  <c r="H17" i="2"/>
  <c r="F16" i="2"/>
  <c r="B15" i="2"/>
  <c r="AG13" i="2"/>
  <c r="AA12" i="2"/>
  <c r="W11" i="2"/>
  <c r="M10" i="2"/>
  <c r="E9" i="2"/>
  <c r="A8" i="2"/>
  <c r="Z6" i="2"/>
  <c r="T5" i="2"/>
  <c r="S4" i="2"/>
  <c r="R3" i="2"/>
  <c r="N2" i="2"/>
  <c r="O1" i="2"/>
  <c r="N141" i="2"/>
  <c r="AA123" i="2"/>
  <c r="K106" i="2"/>
  <c r="Q88" i="2"/>
  <c r="A79" i="2"/>
  <c r="Q74" i="2"/>
  <c r="E70" i="2"/>
  <c r="U65" i="2"/>
  <c r="H61" i="2"/>
  <c r="Y56" i="2"/>
  <c r="H52" i="2"/>
  <c r="Z47" i="2"/>
  <c r="J43" i="2"/>
  <c r="AF38" i="2"/>
  <c r="Q34" i="2"/>
  <c r="C30" i="2"/>
  <c r="V27" i="2"/>
  <c r="F26" i="2"/>
  <c r="A25" i="2"/>
  <c r="AB23" i="2"/>
  <c r="Z22" i="2"/>
  <c r="W21" i="2"/>
  <c r="S20" i="2"/>
  <c r="O19" i="2"/>
  <c r="K18" i="2"/>
  <c r="G17" i="2"/>
  <c r="E16" i="2"/>
  <c r="A15" i="2"/>
  <c r="AF13" i="2"/>
  <c r="Z12" i="2"/>
  <c r="S11" i="2"/>
  <c r="K10" i="2"/>
  <c r="D9" i="2"/>
  <c r="AG7" i="2"/>
  <c r="Y6" i="2"/>
  <c r="S5" i="2"/>
  <c r="R4" i="2"/>
  <c r="Q3" i="2"/>
  <c r="M2" i="2"/>
  <c r="N1" i="2"/>
  <c r="I123" i="2"/>
  <c r="Z105" i="2"/>
  <c r="AF87" i="2"/>
  <c r="AB78" i="2"/>
  <c r="K74" i="2"/>
  <c r="A70" i="2"/>
  <c r="Q65" i="2"/>
  <c r="D61" i="2"/>
  <c r="U56" i="2"/>
  <c r="D52" i="2"/>
  <c r="V47" i="2"/>
  <c r="F43" i="2"/>
  <c r="Z38" i="2"/>
  <c r="K34" i="2"/>
  <c r="AF29" i="2"/>
  <c r="T27" i="2"/>
  <c r="E26" i="2"/>
  <c r="AG24" i="2"/>
  <c r="AA23" i="2"/>
  <c r="Y22" i="2"/>
  <c r="V21" i="2"/>
  <c r="R20" i="2"/>
  <c r="N19" i="2"/>
  <c r="F17" i="2"/>
  <c r="D16" i="2"/>
  <c r="AG14" i="2"/>
  <c r="Y12" i="2"/>
  <c r="J10" i="2"/>
  <c r="AF7" i="2"/>
  <c r="R5" i="2"/>
  <c r="Q4" i="2"/>
  <c r="L2" i="2"/>
  <c r="L140" i="2"/>
  <c r="G105" i="2"/>
  <c r="X78" i="2"/>
  <c r="AA69" i="2"/>
  <c r="AG60" i="2"/>
  <c r="AG51" i="2"/>
  <c r="B43" i="2"/>
  <c r="G34" i="2"/>
  <c r="C25" i="2"/>
  <c r="G16" i="2"/>
  <c r="AA6" i="2"/>
  <c r="Y3" i="2"/>
  <c r="AF19" i="2"/>
  <c r="AF10" i="2"/>
  <c r="A5" i="2"/>
  <c r="Q23" i="2"/>
  <c r="G11" i="2"/>
  <c r="V26" i="2"/>
  <c r="K20" i="2"/>
  <c r="I14" i="2"/>
  <c r="J8" i="2"/>
  <c r="G2" i="2"/>
  <c r="AD16" i="2"/>
  <c r="C2" i="2"/>
  <c r="F238" i="2"/>
  <c r="T220" i="2"/>
  <c r="Z225" i="2"/>
  <c r="I210" i="2"/>
  <c r="N264" i="2"/>
  <c r="D210" i="2"/>
  <c r="AE196" i="2"/>
  <c r="Y225" i="2"/>
  <c r="V214" i="2"/>
  <c r="Z205" i="2"/>
  <c r="Y196" i="2"/>
  <c r="X195" i="2"/>
  <c r="S185" i="2"/>
  <c r="AC176" i="2"/>
  <c r="O170" i="2"/>
  <c r="AE214" i="2"/>
  <c r="AG196" i="2"/>
  <c r="E190" i="2"/>
  <c r="AE185" i="2"/>
  <c r="S181" i="2"/>
  <c r="H177" i="2"/>
  <c r="AB172" i="2"/>
  <c r="Q168" i="2"/>
  <c r="B213" i="2"/>
  <c r="S195" i="2"/>
  <c r="X189" i="2"/>
  <c r="Q185" i="2"/>
  <c r="D181" i="2"/>
  <c r="AA176" i="2"/>
  <c r="N172" i="2"/>
  <c r="B168" i="2"/>
  <c r="K187" i="2"/>
  <c r="AF169" i="2"/>
  <c r="E164" i="2"/>
  <c r="Y159" i="2"/>
  <c r="M155" i="2"/>
  <c r="D151" i="2"/>
  <c r="V146" i="2"/>
  <c r="K142" i="2"/>
  <c r="W186" i="2"/>
  <c r="AG163" i="2"/>
  <c r="T159" i="2"/>
  <c r="G155" i="2"/>
  <c r="O146" i="2"/>
  <c r="AG185" i="2"/>
  <c r="Z163" i="2"/>
  <c r="N159" i="2"/>
  <c r="Z150" i="2"/>
  <c r="D166" i="2"/>
  <c r="V148" i="2"/>
  <c r="AF139" i="2"/>
  <c r="V135" i="2"/>
  <c r="H131" i="2"/>
  <c r="Z126" i="2"/>
  <c r="J122" i="2"/>
  <c r="C118" i="2"/>
  <c r="D115" i="2"/>
  <c r="AB112" i="2"/>
  <c r="T110" i="2"/>
  <c r="K108" i="2"/>
  <c r="F106" i="2"/>
  <c r="AG103" i="2"/>
  <c r="AA101" i="2"/>
  <c r="S99" i="2"/>
  <c r="K97" i="2"/>
  <c r="C95" i="2"/>
  <c r="AA92" i="2"/>
  <c r="U90" i="2"/>
  <c r="J88" i="2"/>
  <c r="C86" i="2"/>
  <c r="AE83" i="2"/>
  <c r="A175" i="2"/>
  <c r="A161" i="2"/>
  <c r="J152" i="2"/>
  <c r="D144" i="2"/>
  <c r="AA140" i="2"/>
  <c r="X138" i="2"/>
  <c r="U136" i="2"/>
  <c r="K134" i="2"/>
  <c r="E132" i="2"/>
  <c r="A130" i="2"/>
  <c r="Y127" i="2"/>
  <c r="O125" i="2"/>
  <c r="G123" i="2"/>
  <c r="A121" i="2"/>
  <c r="AF118" i="2"/>
  <c r="AB116" i="2"/>
  <c r="V114" i="2"/>
  <c r="M112" i="2"/>
  <c r="E110" i="2"/>
  <c r="AE107" i="2"/>
  <c r="X105" i="2"/>
  <c r="R103" i="2"/>
  <c r="L101" i="2"/>
  <c r="D99" i="2"/>
  <c r="AE96" i="2"/>
  <c r="V94" i="2"/>
  <c r="M92" i="2"/>
  <c r="E90" i="2"/>
  <c r="AB87" i="2"/>
  <c r="U85" i="2"/>
  <c r="P83" i="2"/>
  <c r="H81" i="2"/>
  <c r="H172" i="2"/>
  <c r="J160" i="2"/>
  <c r="W151" i="2"/>
  <c r="Y143" i="2"/>
  <c r="V140" i="2"/>
  <c r="S138" i="2"/>
  <c r="N136" i="2"/>
  <c r="F134" i="2"/>
  <c r="AG131" i="2"/>
  <c r="AA129" i="2"/>
  <c r="S127" i="2"/>
  <c r="I125" i="2"/>
  <c r="B123" i="2"/>
  <c r="AC120" i="2"/>
  <c r="AA118" i="2"/>
  <c r="W116" i="2"/>
  <c r="O114" i="2"/>
  <c r="B113" i="2"/>
  <c r="AF111" i="2"/>
  <c r="Z110" i="2"/>
  <c r="W109" i="2"/>
  <c r="S108" i="2"/>
  <c r="O107" i="2"/>
  <c r="M106" i="2"/>
  <c r="H105" i="2"/>
  <c r="F104" i="2"/>
  <c r="C103" i="2"/>
  <c r="A102" i="2"/>
  <c r="AF100" i="2"/>
  <c r="Z99" i="2"/>
  <c r="U98" i="2"/>
  <c r="R97" i="2"/>
  <c r="N96" i="2"/>
  <c r="I95" i="2"/>
  <c r="F94" i="2"/>
  <c r="B93" i="2"/>
  <c r="AF91" i="2"/>
  <c r="AA90" i="2"/>
  <c r="V89" i="2"/>
  <c r="R88" i="2"/>
  <c r="M87" i="2"/>
  <c r="I86" i="2"/>
  <c r="G85" i="2"/>
  <c r="D84" i="2"/>
  <c r="C83" i="2"/>
  <c r="AF81" i="2"/>
  <c r="AE239" i="2"/>
  <c r="B225" i="2"/>
  <c r="J229" i="2"/>
  <c r="V234" i="2"/>
  <c r="E219" i="2"/>
  <c r="H201" i="2"/>
  <c r="AG218" i="2"/>
  <c r="K201" i="2"/>
  <c r="R192" i="2"/>
  <c r="C219" i="2"/>
  <c r="G210" i="2"/>
  <c r="F201" i="2"/>
  <c r="J213" i="2"/>
  <c r="Z189" i="2"/>
  <c r="F181" i="2"/>
  <c r="U172" i="2"/>
  <c r="Y226" i="2"/>
  <c r="B206" i="2"/>
  <c r="I192" i="2"/>
  <c r="C188" i="2"/>
  <c r="Z183" i="2"/>
  <c r="M179" i="2"/>
  <c r="C175" i="2"/>
  <c r="W170" i="2"/>
  <c r="W222" i="2"/>
  <c r="F204" i="2"/>
  <c r="AB191" i="2"/>
  <c r="V187" i="2"/>
  <c r="K183" i="2"/>
  <c r="AG178" i="2"/>
  <c r="U174" i="2"/>
  <c r="H170" i="2"/>
  <c r="AB202" i="2"/>
  <c r="V178" i="2"/>
  <c r="K166" i="2"/>
  <c r="AE161" i="2"/>
  <c r="V157" i="2"/>
  <c r="G153" i="2"/>
  <c r="AE148" i="2"/>
  <c r="O144" i="2"/>
  <c r="B200" i="2"/>
  <c r="AF177" i="2"/>
  <c r="F166" i="2"/>
  <c r="Y161" i="2"/>
  <c r="O157" i="2"/>
  <c r="B153" i="2"/>
  <c r="X148" i="2"/>
  <c r="J144" i="2"/>
  <c r="H197" i="2"/>
  <c r="J177" i="2"/>
  <c r="A166" i="2"/>
  <c r="T161" i="2"/>
  <c r="I157" i="2"/>
  <c r="AD152" i="2"/>
  <c r="R148" i="2"/>
  <c r="AF198" i="2"/>
  <c r="M157" i="2"/>
  <c r="I142" i="2"/>
  <c r="AC137" i="2"/>
  <c r="N133" i="2"/>
  <c r="B129" i="2"/>
  <c r="Q124" i="2"/>
  <c r="E120" i="2"/>
  <c r="G116" i="2"/>
  <c r="AF113" i="2"/>
  <c r="X111" i="2"/>
  <c r="O109" i="2"/>
  <c r="H107" i="2"/>
  <c r="B105" i="2"/>
  <c r="AB102" i="2"/>
  <c r="X100" i="2"/>
  <c r="M98" i="2"/>
  <c r="G96" i="2"/>
  <c r="AG93" i="2"/>
  <c r="X91" i="2"/>
  <c r="N89" i="2"/>
  <c r="F87" i="2"/>
  <c r="A85" i="2"/>
  <c r="G192" i="2"/>
  <c r="M165" i="2"/>
  <c r="W156" i="2"/>
  <c r="AE147" i="2"/>
  <c r="AG141" i="2"/>
  <c r="Y139" i="2"/>
  <c r="X137" i="2"/>
  <c r="O135" i="2"/>
  <c r="H133" i="2"/>
  <c r="C131" i="2"/>
  <c r="AB128" i="2"/>
  <c r="U126" i="2"/>
  <c r="J124" i="2"/>
  <c r="E122" i="2"/>
  <c r="AG119" i="2"/>
  <c r="AE117" i="2"/>
  <c r="Y115" i="2"/>
  <c r="Q113" i="2"/>
  <c r="H111" i="2"/>
  <c r="A109" i="2"/>
  <c r="AA106" i="2"/>
  <c r="T104" i="2"/>
  <c r="N102" i="2"/>
  <c r="I100" i="2"/>
  <c r="AF97" i="2"/>
  <c r="Y95" i="2"/>
  <c r="Q93" i="2"/>
  <c r="I91" i="2"/>
  <c r="AG88" i="2"/>
  <c r="X86" i="2"/>
  <c r="S84" i="2"/>
  <c r="M82" i="2"/>
  <c r="R189" i="2"/>
  <c r="X164" i="2"/>
  <c r="A156" i="2"/>
  <c r="H147" i="2"/>
  <c r="X141" i="2"/>
  <c r="T139" i="2"/>
  <c r="R137" i="2"/>
  <c r="J135" i="2"/>
  <c r="C133" i="2"/>
  <c r="AE130" i="2"/>
  <c r="W128" i="2"/>
  <c r="N126" i="2"/>
  <c r="E124" i="2"/>
  <c r="AG121" i="2"/>
  <c r="AB119" i="2"/>
  <c r="Y117" i="2"/>
  <c r="S115" i="2"/>
  <c r="T113" i="2"/>
  <c r="Q112" i="2"/>
  <c r="K111" i="2"/>
  <c r="H110" i="2"/>
  <c r="D109" i="2"/>
  <c r="A108" i="2"/>
  <c r="AE106" i="2"/>
  <c r="AA105" i="2"/>
  <c r="W104" i="2"/>
  <c r="U103" i="2"/>
  <c r="R102" i="2"/>
  <c r="O101" i="2"/>
  <c r="M100" i="2"/>
  <c r="G99" i="2"/>
  <c r="B98" i="2"/>
  <c r="A97" i="2"/>
  <c r="AB95" i="2"/>
  <c r="Y94" i="2"/>
  <c r="U93" i="2"/>
  <c r="Q92" i="2"/>
  <c r="L91" i="2"/>
  <c r="H90" i="2"/>
  <c r="C89" i="2"/>
  <c r="AG87" i="2"/>
  <c r="AA86" i="2"/>
  <c r="Y85" i="2"/>
  <c r="W84" i="2"/>
  <c r="S83" i="2"/>
  <c r="Q82" i="2"/>
  <c r="K81" i="2"/>
  <c r="K167" i="2"/>
  <c r="AF149" i="2"/>
  <c r="H140" i="2"/>
  <c r="AG135" i="2"/>
  <c r="R131" i="2"/>
  <c r="D127" i="2"/>
  <c r="T122" i="2"/>
  <c r="M118" i="2"/>
  <c r="A114" i="2"/>
  <c r="Q109" i="2"/>
  <c r="C105" i="2"/>
  <c r="Y100" i="2"/>
  <c r="H96" i="2"/>
  <c r="Y91" i="2"/>
  <c r="G87" i="2"/>
  <c r="F83" i="2"/>
  <c r="AE80" i="2"/>
  <c r="AA79" i="2"/>
  <c r="W78" i="2"/>
  <c r="R77" i="2"/>
  <c r="M76" i="2"/>
  <c r="H75" i="2"/>
  <c r="F74" i="2"/>
  <c r="D73" i="2"/>
  <c r="A72" i="2"/>
  <c r="AF70" i="2"/>
  <c r="Z69" i="2"/>
  <c r="W68" i="2"/>
  <c r="R67" i="2"/>
  <c r="N66" i="2"/>
  <c r="K65" i="2"/>
  <c r="I64" i="2"/>
  <c r="E63" i="2"/>
  <c r="A62" i="2"/>
  <c r="AF60" i="2"/>
  <c r="AD59" i="2"/>
  <c r="Z58" i="2"/>
  <c r="S57" i="2"/>
  <c r="N56" i="2"/>
  <c r="I55" i="2"/>
  <c r="G54" i="2"/>
  <c r="C53" i="2"/>
  <c r="AF51" i="2"/>
  <c r="AA50" i="2"/>
  <c r="X49" i="2"/>
  <c r="U48" i="2"/>
  <c r="O47" i="2"/>
  <c r="K46" i="2"/>
  <c r="I45" i="2"/>
  <c r="E44" i="2"/>
  <c r="A43" i="2"/>
  <c r="AE41" i="2"/>
  <c r="AA40" i="2"/>
  <c r="Y39" i="2"/>
  <c r="U38" i="2"/>
  <c r="O37" i="2"/>
  <c r="M36" i="2"/>
  <c r="I35" i="2"/>
  <c r="F34" i="2"/>
  <c r="D33" i="2"/>
  <c r="A32" i="2"/>
  <c r="AE30" i="2"/>
  <c r="Z29" i="2"/>
  <c r="X28" i="2"/>
  <c r="T164" i="2"/>
  <c r="D147" i="2"/>
  <c r="S139" i="2"/>
  <c r="I135" i="2"/>
  <c r="AC130" i="2"/>
  <c r="M126" i="2"/>
  <c r="AF121" i="2"/>
  <c r="X117" i="2"/>
  <c r="I113" i="2"/>
  <c r="Z108" i="2"/>
  <c r="M104" i="2"/>
  <c r="C100" i="2"/>
  <c r="R95" i="2"/>
  <c r="C91" i="2"/>
  <c r="R86" i="2"/>
  <c r="AB82" i="2"/>
  <c r="Y80" i="2"/>
  <c r="V79" i="2"/>
  <c r="Q78" i="2"/>
  <c r="K77" i="2"/>
  <c r="G76" i="2"/>
  <c r="C75" i="2"/>
  <c r="A74" i="2"/>
  <c r="AF72" i="2"/>
  <c r="AA71" i="2"/>
  <c r="Y70" i="2"/>
  <c r="U69" i="2"/>
  <c r="Q68" i="2"/>
  <c r="K67" i="2"/>
  <c r="H66" i="2"/>
  <c r="F65" i="2"/>
  <c r="D64" i="2"/>
  <c r="AG62" i="2"/>
  <c r="AB61" i="2"/>
  <c r="AA60" i="2"/>
  <c r="X59" i="2"/>
  <c r="U58" i="2"/>
  <c r="M57" i="2"/>
  <c r="H56" i="2"/>
  <c r="D55" i="2"/>
  <c r="B54" i="2"/>
  <c r="AE52" i="2"/>
  <c r="Z51" i="2"/>
  <c r="V50" i="2"/>
  <c r="R49" i="2"/>
  <c r="N48" i="2"/>
  <c r="J47" i="2"/>
  <c r="F46" i="2"/>
  <c r="D45" i="2"/>
  <c r="AG43" i="2"/>
  <c r="AB42" i="2"/>
  <c r="Y41" i="2"/>
  <c r="V40" i="2"/>
  <c r="S39" i="2"/>
  <c r="N38" i="2"/>
  <c r="I37" i="2"/>
  <c r="G36" i="2"/>
  <c r="D35" i="2"/>
  <c r="A34" i="2"/>
  <c r="AF32" i="2"/>
  <c r="AB31" i="2"/>
  <c r="X30" i="2"/>
  <c r="U29" i="2"/>
  <c r="R28" i="2"/>
  <c r="Q27" i="2"/>
  <c r="M26" i="2"/>
  <c r="B164" i="2"/>
  <c r="R146" i="2"/>
  <c r="N139" i="2"/>
  <c r="E135" i="2"/>
  <c r="Y130" i="2"/>
  <c r="H126" i="2"/>
  <c r="Z121" i="2"/>
  <c r="T117" i="2"/>
  <c r="E113" i="2"/>
  <c r="V108" i="2"/>
  <c r="I104" i="2"/>
  <c r="AE99" i="2"/>
  <c r="M95" i="2"/>
  <c r="AF90" i="2"/>
  <c r="M86" i="2"/>
  <c r="Y82" i="2"/>
  <c r="X80" i="2"/>
  <c r="U79" i="2"/>
  <c r="O78" i="2"/>
  <c r="J77" i="2"/>
  <c r="F76" i="2"/>
  <c r="B75" i="2"/>
  <c r="AG73" i="2"/>
  <c r="AE72" i="2"/>
  <c r="Z71" i="2"/>
  <c r="X70" i="2"/>
  <c r="S69" i="2"/>
  <c r="O68" i="2"/>
  <c r="J67" i="2"/>
  <c r="G66" i="2"/>
  <c r="E65" i="2"/>
  <c r="C64" i="2"/>
  <c r="AF62" i="2"/>
  <c r="AA61" i="2"/>
  <c r="Z60" i="2"/>
  <c r="W59" i="2"/>
  <c r="S58" i="2"/>
  <c r="K57" i="2"/>
  <c r="G56" i="2"/>
  <c r="C55" i="2"/>
  <c r="A54" i="2"/>
  <c r="AB52" i="2"/>
  <c r="Y51" i="2"/>
  <c r="U50" i="2"/>
  <c r="Q49" i="2"/>
  <c r="M48" i="2"/>
  <c r="I47" i="2"/>
  <c r="E46" i="2"/>
  <c r="C45" i="2"/>
  <c r="AF43" i="2"/>
  <c r="AA42" i="2"/>
  <c r="X41" i="2"/>
  <c r="U40" i="2"/>
  <c r="R39" i="2"/>
  <c r="M38" i="2"/>
  <c r="H37" i="2"/>
  <c r="F36" i="2"/>
  <c r="C35" i="2"/>
  <c r="AF33" i="2"/>
  <c r="AE32" i="2"/>
  <c r="AA31" i="2"/>
  <c r="W30" i="2"/>
  <c r="T29" i="2"/>
  <c r="V165" i="2"/>
  <c r="E131" i="2"/>
  <c r="S113" i="2"/>
  <c r="AA95" i="2"/>
  <c r="AA80" i="2"/>
  <c r="I76" i="2"/>
  <c r="AE71" i="2"/>
  <c r="N67" i="2"/>
  <c r="B63" i="2"/>
  <c r="W58" i="2"/>
  <c r="D54" i="2"/>
  <c r="U49" i="2"/>
  <c r="F45" i="2"/>
  <c r="X40" i="2"/>
  <c r="I36" i="2"/>
  <c r="AE31" i="2"/>
  <c r="F28" i="2"/>
  <c r="Z26" i="2"/>
  <c r="N25" i="2"/>
  <c r="J24" i="2"/>
  <c r="H23" i="2"/>
  <c r="E22" i="2"/>
  <c r="B21" i="2"/>
  <c r="AE19" i="2"/>
  <c r="AA18" i="2"/>
  <c r="W17" i="2"/>
  <c r="T16" i="2"/>
  <c r="O15" i="2"/>
  <c r="M14" i="2"/>
  <c r="H13" i="2"/>
  <c r="D12" i="2"/>
  <c r="AE10" i="2"/>
  <c r="S9" i="2"/>
  <c r="N8" i="2"/>
  <c r="G7" i="2"/>
  <c r="A6" i="2"/>
  <c r="AG4" i="2"/>
  <c r="AF3" i="2"/>
  <c r="AC2" i="2"/>
  <c r="AA1" i="2"/>
  <c r="O163" i="2"/>
  <c r="U130" i="2"/>
  <c r="A113" i="2"/>
  <c r="H95" i="2"/>
  <c r="W80" i="2"/>
  <c r="E76" i="2"/>
  <c r="Y71" i="2"/>
  <c r="I67" i="2"/>
  <c r="AE62" i="2"/>
  <c r="R58" i="2"/>
  <c r="AG53" i="2"/>
  <c r="O49" i="2"/>
  <c r="B45" i="2"/>
  <c r="T40" i="2"/>
  <c r="E36" i="2"/>
  <c r="Z31" i="2"/>
  <c r="E28" i="2"/>
  <c r="Y26" i="2"/>
  <c r="M25" i="2"/>
  <c r="I24" i="2"/>
  <c r="G23" i="2"/>
  <c r="D22" i="2"/>
  <c r="A21" i="2"/>
  <c r="AD19" i="2"/>
  <c r="Z18" i="2"/>
  <c r="V17" i="2"/>
  <c r="S16" i="2"/>
  <c r="N15" i="2"/>
  <c r="K14" i="2"/>
  <c r="G13" i="2"/>
  <c r="C12" i="2"/>
  <c r="AB10" i="2"/>
  <c r="R9" i="2"/>
  <c r="M8" i="2"/>
  <c r="F7" i="2"/>
  <c r="AG5" i="2"/>
  <c r="AF4" i="2"/>
  <c r="AE3" i="2"/>
  <c r="AB2" i="2"/>
  <c r="Z1" i="2"/>
  <c r="I161" i="2"/>
  <c r="C130" i="2"/>
  <c r="O112" i="2"/>
  <c r="X94" i="2"/>
  <c r="S80" i="2"/>
  <c r="A76" i="2"/>
  <c r="U71" i="2"/>
  <c r="E67" i="2"/>
  <c r="Y62" i="2"/>
  <c r="M58" i="2"/>
  <c r="AA53" i="2"/>
  <c r="J49" i="2"/>
  <c r="AE44" i="2"/>
  <c r="O40" i="2"/>
  <c r="A36" i="2"/>
  <c r="V31" i="2"/>
  <c r="C28" i="2"/>
  <c r="X26" i="2"/>
  <c r="L25" i="2"/>
  <c r="H24" i="2"/>
  <c r="F23" i="2"/>
  <c r="C22" i="2"/>
  <c r="AG20" i="2"/>
  <c r="AB19" i="2"/>
  <c r="Y18" i="2"/>
  <c r="U17" i="2"/>
  <c r="R16" i="2"/>
  <c r="M15" i="2"/>
  <c r="J14" i="2"/>
  <c r="F13" i="2"/>
  <c r="B12" i="2"/>
  <c r="AA10" i="2"/>
  <c r="Q9" i="2"/>
  <c r="K8" i="2"/>
  <c r="E7" i="2"/>
  <c r="AF5" i="2"/>
  <c r="AE4" i="2"/>
  <c r="AD3" i="2"/>
  <c r="AA2" i="2"/>
  <c r="Y1" i="2"/>
  <c r="E159" i="2"/>
  <c r="Q129" i="2"/>
  <c r="AE111" i="2"/>
  <c r="E94" i="2"/>
  <c r="N80" i="2"/>
  <c r="AB75" i="2"/>
  <c r="Q71" i="2"/>
  <c r="A67" i="2"/>
  <c r="U62" i="2"/>
  <c r="H58" i="2"/>
  <c r="W53" i="2"/>
  <c r="F49" i="2"/>
  <c r="Y44" i="2"/>
  <c r="J40" i="2"/>
  <c r="AD35" i="2"/>
  <c r="Q31" i="2"/>
  <c r="A27" i="2"/>
  <c r="J22" i="2"/>
  <c r="AB17" i="2"/>
  <c r="N13" i="2"/>
  <c r="U8" i="2"/>
  <c r="D4" i="2"/>
  <c r="S10" i="2"/>
  <c r="C26" i="2"/>
  <c r="U21" i="2"/>
  <c r="E17" i="2"/>
  <c r="X12" i="2"/>
  <c r="O8" i="2"/>
  <c r="Q5" i="2"/>
  <c r="AD2" i="2"/>
  <c r="V24" i="2"/>
  <c r="W19" i="2"/>
  <c r="S13" i="2"/>
  <c r="I5" i="2"/>
  <c r="M27" i="2"/>
  <c r="G24" i="2"/>
  <c r="AF20" i="2"/>
  <c r="E18" i="2"/>
  <c r="K15" i="2"/>
  <c r="A12" i="2"/>
  <c r="AE8" i="2"/>
  <c r="AE5" i="2"/>
  <c r="Z2" i="2"/>
  <c r="G25" i="2"/>
  <c r="D19" i="2"/>
  <c r="AB11" i="2"/>
  <c r="E3" i="2"/>
  <c r="J238" i="2"/>
  <c r="X220" i="2"/>
  <c r="N210" i="2"/>
  <c r="H210" i="2"/>
  <c r="J226" i="2"/>
  <c r="AF205" i="2"/>
  <c r="A196" i="2"/>
  <c r="A177" i="2"/>
  <c r="T170" i="2"/>
  <c r="R197" i="2"/>
  <c r="B186" i="2"/>
  <c r="A173" i="2"/>
  <c r="U213" i="2"/>
  <c r="AB189" i="2"/>
  <c r="H181" i="2"/>
  <c r="S172" i="2"/>
  <c r="AD187" i="2"/>
  <c r="I164" i="2"/>
  <c r="R155" i="2"/>
  <c r="Z146" i="2"/>
  <c r="O142" i="2"/>
  <c r="AA169" i="2"/>
  <c r="X159" i="2"/>
  <c r="C151" i="2"/>
  <c r="J142" i="2"/>
  <c r="G169" i="2"/>
  <c r="S159" i="2"/>
  <c r="AE150" i="2"/>
  <c r="W166" i="2"/>
  <c r="C140" i="2"/>
  <c r="L131" i="2"/>
  <c r="N122" i="2"/>
  <c r="H115" i="2"/>
  <c r="X110" i="2"/>
  <c r="J106" i="2"/>
  <c r="AF101" i="2"/>
  <c r="O97" i="2"/>
  <c r="AG92" i="2"/>
  <c r="O88" i="2"/>
  <c r="B84" i="2"/>
  <c r="S161" i="2"/>
  <c r="L144" i="2"/>
  <c r="AB138" i="2"/>
  <c r="Q134" i="2"/>
  <c r="E130" i="2"/>
  <c r="U125" i="2"/>
  <c r="E121" i="2"/>
  <c r="AG116" i="2"/>
  <c r="R112" i="2"/>
  <c r="I110" i="2"/>
  <c r="AB105" i="2"/>
  <c r="Q101" i="2"/>
  <c r="B97" i="2"/>
  <c r="R92" i="2"/>
  <c r="A88" i="2"/>
  <c r="U83" i="2"/>
  <c r="N174" i="2"/>
  <c r="F152" i="2"/>
  <c r="Z140" i="2"/>
  <c r="S136" i="2"/>
  <c r="D132" i="2"/>
  <c r="AG129" i="2"/>
  <c r="N125" i="2"/>
  <c r="AG120" i="2"/>
  <c r="AA116" i="2"/>
  <c r="F113" i="2"/>
  <c r="AF110" i="2"/>
  <c r="W108" i="2"/>
  <c r="R106" i="2"/>
  <c r="J104" i="2"/>
  <c r="E102" i="2"/>
  <c r="Y98" i="2"/>
  <c r="S96" i="2"/>
  <c r="J94" i="2"/>
  <c r="C92" i="2"/>
  <c r="Z89" i="2"/>
  <c r="R87" i="2"/>
  <c r="K85" i="2"/>
  <c r="G83" i="2"/>
  <c r="AF80" i="2"/>
  <c r="AG143" i="2"/>
  <c r="I134" i="2"/>
  <c r="M125" i="2"/>
  <c r="Z116" i="2"/>
  <c r="AB107" i="2"/>
  <c r="B99" i="2"/>
  <c r="C90" i="2"/>
  <c r="J82" i="2"/>
  <c r="M79" i="2"/>
  <c r="D77" i="2"/>
  <c r="AB74" i="2"/>
  <c r="W72" i="2"/>
  <c r="Q70" i="2"/>
  <c r="H68" i="2"/>
  <c r="A66" i="2"/>
  <c r="AB63" i="2"/>
  <c r="U61" i="2"/>
  <c r="O59" i="2"/>
  <c r="J39" i="2"/>
  <c r="AG35" i="2"/>
  <c r="W32" i="2"/>
  <c r="O30" i="2"/>
  <c r="F210" i="2"/>
  <c r="U142" i="2"/>
  <c r="T133" i="2"/>
  <c r="G129" i="2"/>
  <c r="J120" i="2"/>
  <c r="U111" i="2"/>
  <c r="Y102" i="2"/>
  <c r="AB93" i="2"/>
  <c r="AE84" i="2"/>
  <c r="K80" i="2"/>
  <c r="C78" i="2"/>
  <c r="Z75" i="2"/>
  <c r="U73" i="2"/>
  <c r="N71" i="2"/>
  <c r="G69" i="2"/>
  <c r="AF66" i="2"/>
  <c r="Z64" i="2"/>
  <c r="O61" i="2"/>
  <c r="N60" i="2"/>
  <c r="F58" i="2"/>
  <c r="AA55" i="2"/>
  <c r="U53" i="2"/>
  <c r="K51" i="2"/>
  <c r="D49" i="2"/>
  <c r="Z45" i="2"/>
  <c r="R43" i="2"/>
  <c r="J41" i="2"/>
  <c r="AE140" i="2"/>
  <c r="J18" i="2"/>
  <c r="AE13" i="2"/>
  <c r="R11" i="2"/>
  <c r="C9" i="2"/>
  <c r="X6" i="2"/>
  <c r="O3" i="2"/>
  <c r="M1" i="2"/>
  <c r="X122" i="2"/>
  <c r="K87" i="2"/>
  <c r="G74" i="2"/>
  <c r="L65" i="2"/>
  <c r="O56" i="2"/>
  <c r="Q47" i="2"/>
  <c r="V38" i="2"/>
  <c r="AA29" i="2"/>
  <c r="V20" i="2"/>
  <c r="X11" i="2"/>
  <c r="O2" i="2"/>
  <c r="K24" i="2"/>
  <c r="Q15" i="2"/>
  <c r="AE7" i="2"/>
  <c r="AB1" i="2"/>
  <c r="S18" i="2"/>
  <c r="H4" i="2"/>
  <c r="E23" i="2"/>
  <c r="S17" i="2"/>
  <c r="K11" i="2"/>
  <c r="AD4" i="2"/>
  <c r="C24" i="2"/>
  <c r="A10" i="2"/>
  <c r="I257" i="2"/>
  <c r="H169" i="2"/>
  <c r="AF150" i="2"/>
  <c r="F142" i="2"/>
  <c r="AF168" i="2"/>
  <c r="B155" i="2"/>
  <c r="I146" i="2"/>
  <c r="B219" i="2"/>
  <c r="X133" i="2"/>
  <c r="H116" i="2"/>
  <c r="N98" i="2"/>
  <c r="B82" i="2"/>
  <c r="AG76" i="2"/>
  <c r="R72" i="2"/>
  <c r="D68" i="2"/>
  <c r="X63" i="2"/>
  <c r="J59" i="2"/>
  <c r="Y54" i="2"/>
  <c r="H50" i="2"/>
  <c r="AA45" i="2"/>
  <c r="K41" i="2"/>
  <c r="AE36" i="2"/>
  <c r="S32" i="2"/>
  <c r="B189" i="2"/>
  <c r="B133" i="2"/>
  <c r="R115" i="2"/>
  <c r="Y97" i="2"/>
  <c r="X81" i="2"/>
  <c r="Z76" i="2"/>
  <c r="L72" i="2"/>
  <c r="AF67" i="2"/>
  <c r="R63" i="2"/>
  <c r="E59" i="2"/>
  <c r="T54" i="2"/>
  <c r="C50" i="2"/>
  <c r="V45" i="2"/>
  <c r="F41" i="2"/>
  <c r="Z36" i="2"/>
  <c r="M32" i="2"/>
  <c r="AG27" i="2"/>
  <c r="S141" i="2"/>
  <c r="AG123" i="2"/>
  <c r="Q106" i="2"/>
  <c r="U88" i="2"/>
  <c r="B79" i="2"/>
  <c r="R74" i="2"/>
  <c r="F70" i="2"/>
  <c r="V65" i="2"/>
  <c r="I61" i="2"/>
  <c r="Z56" i="2"/>
  <c r="I52" i="2"/>
  <c r="AA47" i="2"/>
  <c r="K43" i="2"/>
  <c r="AG38" i="2"/>
  <c r="R34" i="2"/>
  <c r="D30" i="2"/>
  <c r="V104" i="2"/>
  <c r="W69" i="2"/>
  <c r="AB51" i="2"/>
  <c r="C34" i="2"/>
  <c r="AE24" i="2"/>
  <c r="O20" i="2"/>
  <c r="B16" i="2"/>
  <c r="O11" i="2"/>
  <c r="S6" i="2"/>
  <c r="J2" i="2"/>
  <c r="E104" i="2"/>
  <c r="R69" i="2"/>
  <c r="X51" i="2"/>
  <c r="AE33" i="2"/>
  <c r="AB24" i="2"/>
  <c r="N20" i="2"/>
  <c r="A16" i="2"/>
  <c r="N11" i="2"/>
  <c r="R6" i="2"/>
  <c r="I2" i="2"/>
  <c r="T103" i="2"/>
  <c r="M69" i="2"/>
  <c r="S51" i="2"/>
  <c r="AA33" i="2"/>
  <c r="AA24" i="2"/>
  <c r="M20" i="2"/>
  <c r="AG15" i="2"/>
  <c r="M11" i="2"/>
  <c r="Q6" i="2"/>
  <c r="H2" i="2"/>
  <c r="B103" i="2"/>
  <c r="I69" i="2"/>
  <c r="N51" i="2"/>
  <c r="V33" i="2"/>
  <c r="V15" i="2"/>
  <c r="T1" i="2"/>
  <c r="I10" i="2"/>
  <c r="O22" i="2"/>
  <c r="K25" i="2"/>
  <c r="X13" i="2"/>
  <c r="X1" i="2"/>
  <c r="J30" i="2"/>
  <c r="AA56" i="2"/>
  <c r="M43" i="2"/>
  <c r="A39" i="2"/>
  <c r="E30" i="2"/>
  <c r="AE132" i="2"/>
  <c r="U97" i="2"/>
  <c r="Y76" i="2"/>
  <c r="AE67" i="2"/>
  <c r="D59" i="2"/>
  <c r="S54" i="2"/>
  <c r="U45" i="2"/>
  <c r="Y36" i="2"/>
  <c r="AA139" i="2"/>
  <c r="AC60" i="2"/>
  <c r="AE42" i="2"/>
  <c r="W22" i="2"/>
  <c r="H18" i="2"/>
  <c r="A9" i="2"/>
  <c r="N78" i="2"/>
  <c r="Z42" i="2"/>
  <c r="O27" i="2"/>
  <c r="G18" i="2"/>
  <c r="AG8" i="2"/>
  <c r="Z138" i="2"/>
  <c r="U60" i="2"/>
  <c r="E78" i="2"/>
  <c r="Q24" i="2"/>
  <c r="AG3" i="2"/>
  <c r="AA19" i="2"/>
  <c r="Z15" i="2"/>
  <c r="F138" i="2"/>
  <c r="D78" i="2"/>
  <c r="H69" i="2"/>
  <c r="O60" i="2"/>
  <c r="M51" i="2"/>
  <c r="O42" i="2"/>
  <c r="B38" i="2"/>
  <c r="H29" i="2"/>
  <c r="Q137" i="2"/>
  <c r="H102" i="2"/>
  <c r="AF77" i="2"/>
  <c r="Q73" i="2"/>
  <c r="V64" i="2"/>
  <c r="W55" i="2"/>
  <c r="Y46" i="2"/>
  <c r="AB37" i="2"/>
  <c r="C29" i="2"/>
  <c r="I155" i="2"/>
  <c r="AE110" i="2"/>
  <c r="F80" i="2"/>
  <c r="I71" i="2"/>
  <c r="K62" i="2"/>
  <c r="AF48" i="2"/>
  <c r="C40" i="2"/>
  <c r="H31" i="2"/>
  <c r="G122" i="2"/>
  <c r="J56" i="2"/>
  <c r="B26" i="2"/>
  <c r="D17" i="2"/>
  <c r="AB7" i="2"/>
  <c r="V121" i="2"/>
  <c r="AF73" i="2"/>
  <c r="K38" i="2"/>
  <c r="S21" i="2"/>
  <c r="V12" i="2"/>
  <c r="K3" i="2"/>
  <c r="AA73" i="2"/>
  <c r="G38" i="2"/>
  <c r="R21" i="2"/>
  <c r="U12" i="2"/>
  <c r="J3" i="2"/>
  <c r="W73" i="2"/>
  <c r="C38" i="2"/>
  <c r="AF1" i="2"/>
  <c r="L1" i="2"/>
  <c r="Q16" i="2"/>
  <c r="Y8" i="2"/>
  <c r="T158" i="2"/>
  <c r="K129" i="2"/>
  <c r="Y111" i="2"/>
  <c r="A94" i="2"/>
  <c r="M80" i="2"/>
  <c r="AA75" i="2"/>
  <c r="O71" i="2"/>
  <c r="AG66" i="2"/>
  <c r="S62" i="2"/>
  <c r="G58" i="2"/>
  <c r="V53" i="2"/>
  <c r="E49" i="2"/>
  <c r="X44" i="2"/>
  <c r="I40" i="2"/>
  <c r="AB35" i="2"/>
  <c r="O31" i="2"/>
  <c r="AB155" i="2"/>
  <c r="V128" i="2"/>
  <c r="B111" i="2"/>
  <c r="I93" i="2"/>
  <c r="G80" i="2"/>
  <c r="V75" i="2"/>
  <c r="J71" i="2"/>
  <c r="Z66" i="2"/>
  <c r="M62" i="2"/>
  <c r="B58" i="2"/>
  <c r="O53" i="2"/>
  <c r="AG48" i="2"/>
  <c r="R44" i="2"/>
  <c r="D40" i="2"/>
  <c r="W35" i="2"/>
  <c r="I31" i="2"/>
  <c r="AF26" i="2"/>
  <c r="L137" i="2"/>
  <c r="W119" i="2"/>
  <c r="D102" i="2"/>
  <c r="G84" i="2"/>
  <c r="AE77" i="2"/>
  <c r="O73" i="2"/>
  <c r="B69" i="2"/>
  <c r="U64" i="2"/>
  <c r="H60" i="2"/>
  <c r="V55" i="2"/>
  <c r="F51" i="2"/>
  <c r="X46" i="2"/>
  <c r="H42" i="2"/>
  <c r="AA37" i="2"/>
  <c r="N33" i="2"/>
  <c r="B29" i="2"/>
  <c r="Z86" i="2"/>
  <c r="H65" i="2"/>
  <c r="L47" i="2"/>
  <c r="W29" i="2"/>
  <c r="Y23" i="2"/>
  <c r="K19" i="2"/>
  <c r="AE14" i="2"/>
  <c r="H10" i="2"/>
  <c r="P5" i="2"/>
  <c r="K1" i="2"/>
  <c r="H86" i="2"/>
  <c r="D65" i="2"/>
  <c r="H47" i="2"/>
  <c r="S29" i="2"/>
  <c r="X23" i="2"/>
  <c r="J19" i="2"/>
  <c r="AD14" i="2"/>
  <c r="G10" i="2"/>
  <c r="O5" i="2"/>
  <c r="J1" i="2"/>
  <c r="W85" i="2"/>
  <c r="AG64" i="2"/>
  <c r="D47" i="2"/>
  <c r="N29" i="2"/>
  <c r="W23" i="2"/>
  <c r="I19" i="2"/>
  <c r="AB14" i="2"/>
  <c r="F10" i="2"/>
  <c r="N5" i="2"/>
  <c r="I1" i="2"/>
  <c r="F85" i="2"/>
  <c r="AB64" i="2"/>
  <c r="AG46" i="2"/>
  <c r="I29" i="2"/>
  <c r="C11" i="2"/>
  <c r="Z23" i="2"/>
  <c r="H7" i="2"/>
  <c r="K16" i="2"/>
  <c r="T22" i="2"/>
  <c r="Z10" i="2"/>
  <c r="AE21" i="2"/>
  <c r="AE142" i="2"/>
  <c r="AA124" i="2"/>
  <c r="I107" i="2"/>
  <c r="O89" i="2"/>
  <c r="H79" i="2"/>
  <c r="X74" i="2"/>
  <c r="L70" i="2"/>
  <c r="AB65" i="2"/>
  <c r="Q61" i="2"/>
  <c r="A57" i="2"/>
  <c r="Q52" i="2"/>
  <c r="B48" i="2"/>
  <c r="S43" i="2"/>
  <c r="F39" i="2"/>
  <c r="Y34" i="2"/>
  <c r="W141" i="2"/>
  <c r="D124" i="2"/>
  <c r="U106" i="2"/>
  <c r="Y88" i="2"/>
  <c r="C79" i="2"/>
  <c r="S74" i="2"/>
  <c r="G70" i="2"/>
  <c r="W65" i="2"/>
  <c r="J61" i="2"/>
  <c r="J52" i="2"/>
  <c r="AB47" i="2"/>
  <c r="S34" i="2"/>
  <c r="AF186" i="2"/>
  <c r="N115" i="2"/>
  <c r="U81" i="2"/>
  <c r="K72" i="2"/>
  <c r="Q63" i="2"/>
  <c r="B50" i="2"/>
  <c r="E41" i="2"/>
  <c r="K32" i="2"/>
  <c r="S78" i="2"/>
  <c r="R27" i="2"/>
  <c r="AA13" i="2"/>
  <c r="O4" i="2"/>
  <c r="J139" i="2"/>
  <c r="Y60" i="2"/>
  <c r="V22" i="2"/>
  <c r="Z13" i="2"/>
  <c r="N4" i="2"/>
  <c r="I78" i="2"/>
  <c r="V42" i="2"/>
  <c r="N27" i="2"/>
  <c r="U22" i="2"/>
  <c r="F18" i="2"/>
  <c r="Y13" i="2"/>
  <c r="AF8" i="2"/>
  <c r="M4" i="2"/>
  <c r="J138" i="2"/>
  <c r="Q60" i="2"/>
  <c r="Q42" i="2"/>
  <c r="F6" i="2"/>
  <c r="M19" i="2"/>
  <c r="J9" i="2"/>
  <c r="D7" i="2"/>
  <c r="O120" i="2"/>
  <c r="AC102" i="2"/>
  <c r="B85" i="2"/>
  <c r="V73" i="2"/>
  <c r="AA64" i="2"/>
  <c r="AB55" i="2"/>
  <c r="AF46" i="2"/>
  <c r="U33" i="2"/>
  <c r="AA119" i="2"/>
  <c r="K84" i="2"/>
  <c r="C69" i="2"/>
  <c r="I60" i="2"/>
  <c r="G51" i="2"/>
  <c r="I42" i="2"/>
  <c r="O33" i="2"/>
  <c r="Q128" i="2"/>
  <c r="E93" i="2"/>
  <c r="U75" i="2"/>
  <c r="Y66" i="2"/>
  <c r="A58" i="2"/>
  <c r="N53" i="2"/>
  <c r="Q44" i="2"/>
  <c r="V35" i="2"/>
  <c r="C74" i="2"/>
  <c r="Q38" i="2"/>
  <c r="T21" i="2"/>
  <c r="W12" i="2"/>
  <c r="M3" i="2"/>
  <c r="F56" i="2"/>
  <c r="A26" i="2"/>
  <c r="C17" i="2"/>
  <c r="AA7" i="2"/>
  <c r="C121" i="2"/>
  <c r="B56" i="2"/>
  <c r="AF25" i="2"/>
  <c r="B17" i="2"/>
  <c r="Z7" i="2"/>
  <c r="T120" i="2"/>
  <c r="AE55" i="2"/>
  <c r="C20" i="2"/>
  <c r="AF14" i="2"/>
  <c r="S2" i="2"/>
  <c r="L4" i="2"/>
  <c r="T15" i="1" l="1"/>
  <c r="Q14" i="1"/>
  <c r="T9" i="1"/>
  <c r="U5" i="1"/>
  <c r="T3" i="1"/>
  <c r="Q15" i="1"/>
  <c r="S10" i="1"/>
  <c r="T6" i="1"/>
  <c r="U2" i="1"/>
  <c r="S7" i="1"/>
  <c r="U11" i="1"/>
  <c r="U14" i="1"/>
  <c r="Q10" i="1"/>
  <c r="U10" i="1"/>
  <c r="S3" i="1"/>
  <c r="S15" i="1"/>
  <c r="S12" i="1"/>
  <c r="T8" i="1"/>
  <c r="U4" i="1"/>
  <c r="T12" i="1"/>
  <c r="U13" i="1"/>
  <c r="S9" i="1"/>
  <c r="T5" i="1"/>
  <c r="Q2" i="1"/>
  <c r="S5" i="1"/>
  <c r="U8" i="1"/>
  <c r="T13" i="1"/>
  <c r="S6" i="1"/>
  <c r="Q8" i="1"/>
  <c r="S14" i="1"/>
  <c r="T11" i="1"/>
  <c r="U7" i="1"/>
  <c r="Q4" i="1"/>
  <c r="U9" i="1"/>
  <c r="Q13" i="1"/>
  <c r="S8" i="1"/>
  <c r="T4" i="1"/>
  <c r="Q12" i="1"/>
  <c r="T2" i="1"/>
  <c r="Q5" i="1"/>
  <c r="U12" i="1"/>
  <c r="S4" i="1"/>
  <c r="Q6" i="1"/>
  <c r="U15" i="1"/>
  <c r="T10" i="1"/>
  <c r="U6" i="1"/>
  <c r="Q3" i="1"/>
  <c r="Q7" i="1"/>
  <c r="S11" i="1"/>
  <c r="T7" i="1"/>
  <c r="U3" i="1"/>
  <c r="Q9" i="1"/>
  <c r="S13" i="1"/>
  <c r="S2" i="1"/>
  <c r="Q11" i="1"/>
  <c r="T14" i="1"/>
  <c r="R2" i="1" l="1"/>
  <c r="R13" i="1"/>
  <c r="R12" i="1"/>
  <c r="R15" i="1"/>
  <c r="R4" i="1"/>
  <c r="R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M4" authorId="0" shapeId="0" xr:uid="{00000000-0006-0000-0000-000001000000}">
      <text>
        <r>
          <rPr>
            <sz val="10"/>
            <color rgb="FF000000"/>
            <rFont val="Arial"/>
            <scheme val="minor"/>
          </rPr>
          <t>Responder updated this value.</t>
        </r>
      </text>
    </comment>
    <comment ref="M15" authorId="0" shapeId="0" xr:uid="{00000000-0006-0000-0000-000002000000}">
      <text>
        <r>
          <rPr>
            <sz val="10"/>
            <color rgb="FF000000"/>
            <rFont val="Arial"/>
            <scheme val="minor"/>
          </rPr>
          <t>Responder updated this value.</t>
        </r>
      </text>
    </comment>
  </commentList>
</comments>
</file>

<file path=xl/sharedStrings.xml><?xml version="1.0" encoding="utf-8"?>
<sst xmlns="http://schemas.openxmlformats.org/spreadsheetml/2006/main" count="197" uniqueCount="103">
  <si>
    <t>Timestamp</t>
  </si>
  <si>
    <t>Email Address</t>
  </si>
  <si>
    <t>Mã số sinh viên (đầy đủ)</t>
  </si>
  <si>
    <t>Họ và tên</t>
  </si>
  <si>
    <t>Ngày sinh</t>
  </si>
  <si>
    <t>Lớp (ví dụ: K24DLK 1)</t>
  </si>
  <si>
    <t>Chuyên ngành</t>
  </si>
  <si>
    <t>Khóa</t>
  </si>
  <si>
    <t>Số điện thoại</t>
  </si>
  <si>
    <t>Tham gia làm bài tốt nghiệp</t>
  </si>
  <si>
    <t>Tên Doanh nghiệp/Khách sạn thực tập (yêu cầu SV ghi chính xác)</t>
  </si>
  <si>
    <t>Bộ phận thực tập</t>
  </si>
  <si>
    <t>Tên đề tài (Ghi chính xác, không viết hoa toàn bộ tên đề tài)</t>
  </si>
  <si>
    <t>Tên giảng viên hướng dẫn</t>
  </si>
  <si>
    <t>Em cam kết thông tin đã kê khai là hoàn toàn chính xác  và tên đề tài đã được giảng viên hướng dẫn phê duyệt. Mọi sự sai lệch về thông tin đơn vị thực tập, tên đề tài em xin hoàn toàn tự chịu trách nhiệm.</t>
  </si>
  <si>
    <t>ghi chú của giáo vụ</t>
  </si>
  <si>
    <t>giảng viên hướng dẫn khoa bố trí</t>
  </si>
  <si>
    <t>CHECK</t>
  </si>
  <si>
    <t>Tên khách sạn khoa đã duyệt</t>
  </si>
  <si>
    <t>Tên bộ phận thực tập khoa đã duyệt</t>
  </si>
  <si>
    <t>Kết quả phê duyệt KHÁCH SẠN của Trưởng Khoa</t>
  </si>
  <si>
    <t>Xét duyệt tên đề tài của Giảng viên hướng dẫn</t>
  </si>
  <si>
    <t>Ghi chú của Giảng viên hướng dẫn</t>
  </si>
  <si>
    <t>Xét duyệt tên đề tài của TRƯỞNG KHOA</t>
  </si>
  <si>
    <t>Ghi chú của TRƯỞNG KHOA</t>
  </si>
  <si>
    <t>Column 25</t>
  </si>
  <si>
    <t>Column 26</t>
  </si>
  <si>
    <t>PHẠM NGỌC TƯƠI</t>
  </si>
  <si>
    <t>K27_DLK3</t>
  </si>
  <si>
    <t>Quản trị Du lịch &amp; Khách sạn</t>
  </si>
  <si>
    <t>K27</t>
  </si>
  <si>
    <t>Khóa luận</t>
  </si>
  <si>
    <t>Khách Sạn Hilton Đà Nẵng</t>
  </si>
  <si>
    <t>Nhà hàng</t>
  </si>
  <si>
    <t>Nâng cao chất lượng dịch vụ lưu trú tại khách sạn Hilton Đà Nẵng</t>
  </si>
  <si>
    <t>PHẠM THỊ HOÀNG DUNG</t>
  </si>
  <si>
    <t>cam kết</t>
  </si>
  <si>
    <t>Nguyễn Thị Mỹ Duyên</t>
  </si>
  <si>
    <t>K27DLK 3</t>
  </si>
  <si>
    <t>Hyatt Regency Danang Resort and Spa</t>
  </si>
  <si>
    <t xml:space="preserve">Báo cáo kết quả thực tập và đánh giá chất lượng dịch vụ tại Nhà hàng Baguette thuộc Hyatt Regency Danang Resort and Spa </t>
  </si>
  <si>
    <t>Phạm Thị Hoàng Dung</t>
  </si>
  <si>
    <t>Phạm Thị Ngọc Mùi</t>
  </si>
  <si>
    <t>K27DLK2</t>
  </si>
  <si>
    <t>Diamond Sea Hotel</t>
  </si>
  <si>
    <t>Buồng phòng</t>
  </si>
  <si>
    <t>Nghiên cứu các yếu tố ảnh hưởng đến sự hài lòng của khách hàng đối với chất lượng dịch vụ  tại bộ phận buồng của Diamond Sea Hotel Đà Nẵng</t>
  </si>
  <si>
    <t>Dương Thị Xuân Diệu</t>
  </si>
  <si>
    <t>DUYỆT</t>
  </si>
  <si>
    <t>Ngô Thị Phương Thảo</t>
  </si>
  <si>
    <t>K27PSUDLK1</t>
  </si>
  <si>
    <t>Quản trị Du lịch &amp; Khách sạn chuẩn PSU</t>
  </si>
  <si>
    <t>Hyatt Recency Danang Resort &amp; Spa</t>
  </si>
  <si>
    <t xml:space="preserve">Giải pháp marketing nhằm nâng cao và thu hút khách du lịch nội địa đến với nhà hàng Vive Oceane tại Hyatt Receny Danang Resort &amp; Spa </t>
  </si>
  <si>
    <t>Võ Đức Hiếu</t>
  </si>
  <si>
    <t xml:space="preserve">Trần Thị Thanh Nguyệt </t>
  </si>
  <si>
    <t xml:space="preserve">K27PSUDLK1 </t>
  </si>
  <si>
    <t>Hyatt Regency Da Nang Resort &amp; Spa</t>
  </si>
  <si>
    <t>Báo cáo kết quả thực tập và đánh giá nâng cao chất lượng dịch vụ tại nhà hàng Osteria Al Mare thuộc Hyatt Regency Da Nang Resort &amp; Spa</t>
  </si>
  <si>
    <t>Huỳnh Thị Thanh Nhàn</t>
  </si>
  <si>
    <t>Đánh giá các yếu tố ảnh hưởng đến sự hài lòng của khách hàng về chất lượng dịch vụ tại bộ phận nhà hàng Vive Océane- Beach Club &amp; Restaurant tại Hyatt Regency Da Nang Resort &amp; Spa</t>
  </si>
  <si>
    <t>Trần Hoàng Anh</t>
  </si>
  <si>
    <t>Nguyễn Ngọ</t>
  </si>
  <si>
    <t>K26PSUDLK1</t>
  </si>
  <si>
    <t>K26</t>
  </si>
  <si>
    <t>Premier Village DaNang Resort</t>
  </si>
  <si>
    <t>Nghiên cứu sự hài lòng của khách hàng đối với chất lượng dịch vụ tại nhà hàng Nautica Beach Club của Premier Village Danang Resort</t>
  </si>
  <si>
    <t>Ngô Thị Hồng Nhung</t>
  </si>
  <si>
    <t>K27PSUDLH</t>
  </si>
  <si>
    <t>Quản trị Du lịch &amp; Nhà hàng chuẩn PSU</t>
  </si>
  <si>
    <t xml:space="preserve"> Premier Village Đà Nẵng</t>
  </si>
  <si>
    <t>“Đánh giá các yếu tố ảnh hưởng đến sự hài lòng của khách hàng về chất lượng dịch vụ tại Nhà hàng Cá Chuồn Cồ  ở Premier Village Đà Nẵng”</t>
  </si>
  <si>
    <t xml:space="preserve">Phạm Thị Thu Thuỷ </t>
  </si>
  <si>
    <t>Nguyễn Mai Anh</t>
  </si>
  <si>
    <t>Hyatt Regency DaNang resort and spa</t>
  </si>
  <si>
    <t>Đánh giá các yếu tố ảnh hưởng đến sự hài lòng của khách hàng về chất lượng dịch vụ tại nhà hàng  XanhHouse thuộc Hyatt Regency DaNang resort and spa</t>
  </si>
  <si>
    <t>Phạm Thị Thu Thuỷ</t>
  </si>
  <si>
    <t>Nguyễn Đăng Khoa</t>
  </si>
  <si>
    <t>K27DLKPSU 1</t>
  </si>
  <si>
    <t>Hyatt Regency Danang Resort &amp; Spa</t>
  </si>
  <si>
    <t>Tiền sảnh</t>
  </si>
  <si>
    <t>Nghiên cứu các nhân tố ảnh hưởng đến sự hài lòng trong công việc của nhân viên tại Hyatt Regency Danang Resort &amp; Spa</t>
  </si>
  <si>
    <t>Mai Thị Thương</t>
  </si>
  <si>
    <t>Nguyễn Vũ Lan Anh</t>
  </si>
  <si>
    <t>K27PSU- DLH</t>
  </si>
  <si>
    <t>Meliá DaNang Beach Resort</t>
  </si>
  <si>
    <t>Nghiên cứu các nhân tố ảnh hưởng đến chất lượng dịch vụ tại nhà hàng Sasa thuộc Meliá Danang Beach Resort</t>
  </si>
  <si>
    <t>Nguyễn Ngọc Thạch</t>
  </si>
  <si>
    <t>Meliá Danang Beach Resort</t>
  </si>
  <si>
    <t>Bếp</t>
  </si>
  <si>
    <t>Nghiên cứu các nhân tố ảnh hưởng đến sự hài lòng trong công việc của nhân viên tại Meliá Danang Beach Resort</t>
  </si>
  <si>
    <t xml:space="preserve">Lê Thị Thu Ny </t>
  </si>
  <si>
    <t>Đánh giá các yếu tố ảnh hưởng đến sự hài lòng của khách hàng về chất lượng dịch vụ  tại bộ phận nhà hàng Le Petit Chef tại Hyatt Regency Da Nang Resort &amp; Spa</t>
  </si>
  <si>
    <t xml:space="preserve">Trần Hoàng Anh </t>
  </si>
  <si>
    <t>Trịnh Thị Ý Thương</t>
  </si>
  <si>
    <t>K24PSUDLH</t>
  </si>
  <si>
    <t>K24</t>
  </si>
  <si>
    <t>Renaissance Hoi An resort &amp; Spa</t>
  </si>
  <si>
    <t>Nghiên cứu các nhân tố ảnh hưởng đến sự hài lòng của khách hàng đối với chất lượng dịch vụ ăn uống của Renaissance Hoi An Resort &amp; Spa</t>
  </si>
  <si>
    <t>KHÔNG DUYỆT</t>
  </si>
  <si>
    <t>DUYỆT CÓ CHỈNH SỬA</t>
  </si>
  <si>
    <t>Tên chính xác của khách sạn là Premier Village Danang Resort</t>
  </si>
  <si>
    <t xml:space="preserve">Điều chỉnh lại tên khách sạn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</si>
</sst>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m/d/yyyy\ h:mm:ss"/>
    <numFmt numFmtId="165" formatCode="mm/dd/yyyy"/>
  </numFmts>
  <fonts count="10" x14ac:knownFonts="1">
    <font>
      <sz val="10"/>
      <color rgb="FF000000"/>
      <name val="Arial"/>
      <scheme val="minor"/>
    </font>
    <font>
      <sz val="10"/>
      <color theme="1"/>
      <name val="Arial"/>
      <scheme val="minor"/>
    </font>
    <font>
      <b/>
      <sz val="10"/>
      <color rgb="FF000000"/>
      <name val="Roboto"/>
    </font>
    <font>
      <b/>
      <sz val="10"/>
      <color rgb="FF000000"/>
      <name val="Arial"/>
      <scheme val="minor"/>
    </font>
    <font>
      <b/>
      <sz val="10"/>
      <color theme="1"/>
      <name val="Roboto"/>
    </font>
    <font>
      <sz val="10"/>
      <color rgb="FF434343"/>
      <name val="Roboto"/>
    </font>
    <font>
      <sz val="10"/>
      <color theme="1"/>
      <name val="Arial"/>
    </font>
    <font>
      <sz val="10"/>
      <name val="Arial"/>
      <scheme val="minor"/>
    </font>
    <font>
      <sz val="10"/>
      <name val="Roboto"/>
    </font>
    <font>
      <sz val="10"/>
      <name val="Arial"/>
    </font>
  </fonts>
  <fills count="5">
    <fill>
      <patternFill patternType="none"/>
    </fill>
    <fill>
      <patternFill patternType="gray125"/>
    </fill>
    <fill>
      <patternFill patternType="solid">
        <fgColor rgb="FFB6D7A8"/>
        <bgColor rgb="FFB6D7A8"/>
      </patternFill>
    </fill>
    <fill>
      <patternFill patternType="solid">
        <fgColor rgb="FFD9EAD3"/>
        <bgColor rgb="FFD9EAD3"/>
      </patternFill>
    </fill>
    <fill>
      <patternFill patternType="solid">
        <fgColor rgb="FFF4CCCC"/>
        <bgColor rgb="FFF4CCCC"/>
      </patternFill>
    </fill>
  </fills>
  <borders count="8">
    <border>
      <left/>
      <right/>
      <top/>
      <bottom/>
      <diagonal/>
    </border>
    <border>
      <left style="thin">
        <color rgb="FF442F65"/>
      </left>
      <right style="thin">
        <color rgb="FF5B3F86"/>
      </right>
      <top style="thin">
        <color rgb="FF442F65"/>
      </top>
      <bottom style="thin">
        <color rgb="FF442F65"/>
      </bottom>
      <diagonal/>
    </border>
    <border>
      <left style="thin">
        <color rgb="FF5B3F86"/>
      </left>
      <right style="thin">
        <color rgb="FF5B3F86"/>
      </right>
      <top style="thin">
        <color rgb="FF442F65"/>
      </top>
      <bottom style="thin">
        <color rgb="FF442F65"/>
      </bottom>
      <diagonal/>
    </border>
    <border>
      <left style="thin">
        <color rgb="FFB6D7A8"/>
      </left>
      <right style="thin">
        <color rgb="FFB6D7A8"/>
      </right>
      <top style="thin">
        <color rgb="FF442F65"/>
      </top>
      <bottom style="thin">
        <color rgb="FF442F65"/>
      </bottom>
      <diagonal/>
    </border>
    <border>
      <left style="thin">
        <color rgb="FF000000"/>
      </left>
      <right style="thin">
        <color rgb="FF000000"/>
      </right>
      <top style="thin">
        <color rgb="FF000000"/>
      </top>
      <bottom style="thin">
        <color rgb="FF000000"/>
      </bottom>
      <diagonal/>
    </border>
    <border>
      <left style="thin">
        <color rgb="FFD9EAD3"/>
      </left>
      <right style="thin">
        <color rgb="FFD9EAD3"/>
      </right>
      <top style="thin">
        <color rgb="FF442F65"/>
      </top>
      <bottom style="thin">
        <color rgb="FF442F65"/>
      </bottom>
      <diagonal/>
    </border>
    <border>
      <left style="thin">
        <color rgb="FFD9EAD3"/>
      </left>
      <right style="thin">
        <color rgb="FF442F65"/>
      </right>
      <top style="thin">
        <color rgb="FF442F65"/>
      </top>
      <bottom style="thin">
        <color rgb="FF442F65"/>
      </bottom>
      <diagonal/>
    </border>
    <border>
      <left style="thin">
        <color rgb="FF5B3F86"/>
      </left>
      <right style="thin">
        <color rgb="FF442F65"/>
      </right>
      <top style="thin">
        <color rgb="FF442F65"/>
      </top>
      <bottom style="thin">
        <color rgb="FF442F65"/>
      </bottom>
      <diagonal/>
    </border>
  </borders>
  <cellStyleXfs count="1">
    <xf numFmtId="0" fontId="0" fillId="0" borderId="0"/>
  </cellStyleXfs>
  <cellXfs count="40">
    <xf numFmtId="0" fontId="0" fillId="0" borderId="0" xfId="0"/>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2" fillId="2" borderId="3" xfId="0" applyFont="1" applyFill="1" applyBorder="1" applyAlignment="1">
      <alignment horizontal="left" vertical="center" wrapText="1"/>
    </xf>
    <xf numFmtId="49" fontId="2" fillId="2" borderId="3" xfId="0" applyNumberFormat="1" applyFont="1" applyFill="1" applyBorder="1" applyAlignment="1">
      <alignment horizontal="left" vertical="center" wrapText="1"/>
    </xf>
    <xf numFmtId="49" fontId="3" fillId="2" borderId="4" xfId="0" applyNumberFormat="1"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4" borderId="5" xfId="0" applyFont="1" applyFill="1" applyBorder="1" applyAlignment="1">
      <alignment horizontal="left" vertical="center" wrapText="1"/>
    </xf>
    <xf numFmtId="0" fontId="2" fillId="4" borderId="6"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7" xfId="0" applyFont="1" applyFill="1" applyBorder="1" applyAlignment="1">
      <alignment horizontal="left" vertical="center" wrapText="1"/>
    </xf>
    <xf numFmtId="164" fontId="1" fillId="0" borderId="4" xfId="0" applyNumberFormat="1" applyFont="1" applyBorder="1" applyAlignment="1">
      <alignment vertical="center" wrapText="1"/>
    </xf>
    <xf numFmtId="0" fontId="1" fillId="0" borderId="4" xfId="0" applyFont="1" applyBorder="1" applyAlignment="1">
      <alignment vertical="center" wrapText="1"/>
    </xf>
    <xf numFmtId="14" fontId="1" fillId="0" borderId="4" xfId="0" applyNumberFormat="1" applyFont="1" applyBorder="1" applyAlignment="1">
      <alignment vertical="center" wrapText="1"/>
    </xf>
    <xf numFmtId="0" fontId="1" fillId="0" borderId="4" xfId="0" quotePrefix="1" applyFont="1" applyBorder="1" applyAlignment="1">
      <alignment vertical="center" wrapText="1"/>
    </xf>
    <xf numFmtId="0" fontId="1" fillId="2" borderId="4" xfId="0" applyFont="1" applyFill="1" applyBorder="1" applyAlignment="1">
      <alignment vertical="center" wrapText="1"/>
    </xf>
    <xf numFmtId="0" fontId="5" fillId="2" borderId="4" xfId="0" applyFont="1" applyFill="1" applyBorder="1" applyAlignment="1">
      <alignment vertical="center" wrapText="1"/>
    </xf>
    <xf numFmtId="0" fontId="6" fillId="2" borderId="4" xfId="0" applyFont="1" applyFill="1" applyBorder="1" applyAlignment="1">
      <alignment vertical="center" wrapText="1"/>
    </xf>
    <xf numFmtId="0" fontId="6" fillId="3" borderId="4" xfId="0" applyFont="1" applyFill="1" applyBorder="1" applyAlignment="1">
      <alignment vertical="center"/>
    </xf>
    <xf numFmtId="0" fontId="1" fillId="3" borderId="4" xfId="0" applyFont="1" applyFill="1" applyBorder="1" applyAlignment="1">
      <alignment vertical="center" wrapText="1"/>
    </xf>
    <xf numFmtId="0" fontId="1" fillId="4" borderId="4" xfId="0" applyFont="1" applyFill="1" applyBorder="1" applyAlignment="1">
      <alignment vertical="center" wrapText="1"/>
    </xf>
    <xf numFmtId="0" fontId="1" fillId="0" borderId="0" xfId="0" applyFont="1" applyAlignment="1">
      <alignment wrapText="1"/>
    </xf>
    <xf numFmtId="0" fontId="1" fillId="0" borderId="0" xfId="0" applyFont="1"/>
    <xf numFmtId="0" fontId="1" fillId="4" borderId="0" xfId="0" applyFont="1" applyFill="1" applyAlignment="1">
      <alignment wrapText="1"/>
    </xf>
    <xf numFmtId="49" fontId="1" fillId="0" borderId="0" xfId="0" applyNumberFormat="1" applyFont="1"/>
    <xf numFmtId="164" fontId="1" fillId="0" borderId="0" xfId="0" applyNumberFormat="1" applyFont="1"/>
    <xf numFmtId="14" fontId="1" fillId="0" borderId="0" xfId="0" applyNumberFormat="1" applyFont="1"/>
    <xf numFmtId="165" fontId="1" fillId="0" borderId="0" xfId="0" applyNumberFormat="1" applyFont="1"/>
    <xf numFmtId="164" fontId="7" fillId="0" borderId="4" xfId="0" applyNumberFormat="1" applyFont="1" applyBorder="1" applyAlignment="1">
      <alignment vertical="center" wrapText="1"/>
    </xf>
    <xf numFmtId="0" fontId="7" fillId="0" borderId="4" xfId="0" applyFont="1" applyBorder="1" applyAlignment="1">
      <alignment vertical="center" wrapText="1"/>
    </xf>
    <xf numFmtId="14" fontId="7" fillId="0" borderId="4" xfId="0" applyNumberFormat="1" applyFont="1" applyBorder="1" applyAlignment="1">
      <alignment vertical="center" wrapText="1"/>
    </xf>
    <xf numFmtId="0" fontId="7" fillId="0" borderId="4" xfId="0" quotePrefix="1" applyFont="1" applyBorder="1" applyAlignment="1">
      <alignment vertical="center" wrapText="1"/>
    </xf>
    <xf numFmtId="0" fontId="7" fillId="2" borderId="4" xfId="0" applyFont="1" applyFill="1" applyBorder="1" applyAlignment="1">
      <alignment vertical="center" wrapText="1"/>
    </xf>
    <xf numFmtId="0" fontId="8" fillId="2" borderId="4" xfId="0" applyFont="1" applyFill="1" applyBorder="1" applyAlignment="1">
      <alignment vertical="center" wrapText="1"/>
    </xf>
    <xf numFmtId="0" fontId="9" fillId="2" borderId="4" xfId="0" applyFont="1" applyFill="1" applyBorder="1" applyAlignment="1">
      <alignment vertical="center" wrapText="1"/>
    </xf>
    <xf numFmtId="0" fontId="9" fillId="3" borderId="4" xfId="0" applyFont="1" applyFill="1" applyBorder="1" applyAlignment="1">
      <alignment vertical="center"/>
    </xf>
    <xf numFmtId="0" fontId="7" fillId="3" borderId="4" xfId="0" applyFont="1" applyFill="1" applyBorder="1" applyAlignment="1">
      <alignment vertical="center" wrapText="1"/>
    </xf>
    <xf numFmtId="0" fontId="7" fillId="4" borderId="4" xfId="0" applyFont="1" applyFill="1" applyBorder="1" applyAlignment="1">
      <alignment vertical="center" wrapText="1"/>
    </xf>
    <xf numFmtId="0" fontId="7" fillId="0" borderId="0" xfId="0" applyFont="1"/>
  </cellXfs>
  <cellStyles count="1">
    <cellStyle name="Normal" xfId="0" builtinId="0"/>
  </cellStyles>
  <dxfs count="3">
    <dxf>
      <fill>
        <patternFill patternType="solid">
          <fgColor rgb="FFF8F9FA"/>
          <bgColor rgb="FFF8F9FA"/>
        </patternFill>
      </fill>
    </dxf>
    <dxf>
      <fill>
        <patternFill patternType="solid">
          <fgColor rgb="FFFFFFFF"/>
          <bgColor rgb="FFFFFFFF"/>
        </patternFill>
      </fill>
    </dxf>
    <dxf>
      <fill>
        <patternFill patternType="solid">
          <fgColor rgb="FF5B3F86"/>
          <bgColor rgb="FF5B3F86"/>
        </patternFill>
      </fill>
    </dxf>
  </dxfs>
  <tableStyles count="1">
    <tableStyle name="Form Responses 1-style" pivot="0" count="3" xr9:uid="{00000000-0011-0000-FFFF-FFFF00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Form_Responses1" displayName="Form_Responses1" ref="A1:AA15">
  <autoFilter ref="A1:AA15" xr:uid="{00000000-0009-0000-0100-000001000000}"/>
  <tableColumns count="27">
    <tableColumn id="1" xr3:uid="{00000000-0010-0000-0000-000001000000}" name="Timestamp"/>
    <tableColumn id="2" xr3:uid="{00000000-0010-0000-0000-000002000000}" name="Email Address"/>
    <tableColumn id="3" xr3:uid="{00000000-0010-0000-0000-000003000000}" name="Mã số sinh viên (đầy đủ)"/>
    <tableColumn id="4" xr3:uid="{00000000-0010-0000-0000-000004000000}" name="Họ và tên"/>
    <tableColumn id="5" xr3:uid="{00000000-0010-0000-0000-000005000000}" name="Ngày sinh"/>
    <tableColumn id="6" xr3:uid="{00000000-0010-0000-0000-000006000000}" name="Lớp (ví dụ: K24DLK 1)"/>
    <tableColumn id="7" xr3:uid="{00000000-0010-0000-0000-000007000000}" name="Chuyên ngành"/>
    <tableColumn id="8" xr3:uid="{00000000-0010-0000-0000-000008000000}" name="Khóa"/>
    <tableColumn id="9" xr3:uid="{00000000-0010-0000-0000-000009000000}" name="Số điện thoại"/>
    <tableColumn id="10" xr3:uid="{00000000-0010-0000-0000-00000A000000}" name="Tham gia làm bài tốt nghiệp"/>
    <tableColumn id="11" xr3:uid="{00000000-0010-0000-0000-00000B000000}" name="Tên Doanh nghiệp/Khách sạn thực tập (yêu cầu SV ghi chính xác)"/>
    <tableColumn id="12" xr3:uid="{00000000-0010-0000-0000-00000C000000}" name="Bộ phận thực tập"/>
    <tableColumn id="13" xr3:uid="{00000000-0010-0000-0000-00000D000000}" name="Tên đề tài (Ghi chính xác, không viết hoa toàn bộ tên đề tài)"/>
    <tableColumn id="14" xr3:uid="{00000000-0010-0000-0000-00000E000000}" name="Tên giảng viên hướng dẫn"/>
    <tableColumn id="15" xr3:uid="{00000000-0010-0000-0000-00000F000000}" name="Em cam kết thông tin đã kê khai là hoàn toàn chính xác  và tên đề tài đã được giảng viên hướng dẫn phê duyệt. Mọi sự sai lệch về thông tin đơn vị thực tập, tên đề tài em xin hoàn toàn tự chịu trách nhiệm."/>
    <tableColumn id="16" xr3:uid="{00000000-0010-0000-0000-000010000000}" name="ghi chú của giáo vụ"/>
    <tableColumn id="17" xr3:uid="{00000000-0010-0000-0000-000011000000}" name="giảng viên hướng dẫn khoa bố trí"/>
    <tableColumn id="18" xr3:uid="{00000000-0010-0000-0000-000012000000}" name="CHECK"/>
    <tableColumn id="19" xr3:uid="{00000000-0010-0000-0000-000013000000}" name="Tên khách sạn khoa đã duyệt"/>
    <tableColumn id="20" xr3:uid="{00000000-0010-0000-0000-000014000000}" name="Tên bộ phận thực tập khoa đã duyệt"/>
    <tableColumn id="21" xr3:uid="{00000000-0010-0000-0000-000015000000}" name="Kết quả phê duyệt KHÁCH SẠN của Trưởng Khoa"/>
    <tableColumn id="22" xr3:uid="{00000000-0010-0000-0000-000016000000}" name="Xét duyệt tên đề tài của Giảng viên hướng dẫn"/>
    <tableColumn id="23" xr3:uid="{00000000-0010-0000-0000-000017000000}" name="Ghi chú của Giảng viên hướng dẫn"/>
    <tableColumn id="24" xr3:uid="{00000000-0010-0000-0000-000018000000}" name="Xét duyệt tên đề tài của TRƯỞNG KHOA"/>
    <tableColumn id="25" xr3:uid="{00000000-0010-0000-0000-000019000000}" name="Ghi chú của TRƯỞNG KHOA"/>
    <tableColumn id="26" xr3:uid="{00000000-0010-0000-0000-00001A000000}" name="Column 25"/>
    <tableColumn id="27" xr3:uid="{00000000-0010-0000-0000-00001B000000}" name="Column 26"/>
  </tableColumns>
  <tableStyleInfo name="Form Responses 1-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A115"/>
  <sheetViews>
    <sheetView tabSelected="1" zoomScaleNormal="100" workbookViewId="0">
      <pane xSplit="4" ySplit="1" topLeftCell="E2" activePane="bottomRight" state="frozen"/>
      <selection pane="topRight" activeCell="E1" sqref="E1"/>
      <selection pane="bottomLeft" activeCell="A2" sqref="A2"/>
      <selection pane="bottomRight" activeCell="X1" sqref="C1:X1"/>
    </sheetView>
  </sheetViews>
  <sheetFormatPr defaultColWidth="12.5703125" defaultRowHeight="15.75" customHeight="1" x14ac:dyDescent="0.2"/>
  <cols>
    <col min="1" max="1" width="18.85546875" customWidth="1"/>
    <col min="2" max="2" width="12.140625" customWidth="1"/>
    <col min="3" max="3" width="12.42578125" customWidth="1"/>
    <col min="4" max="4" width="18.85546875" customWidth="1"/>
    <col min="5" max="5" width="13" customWidth="1"/>
    <col min="6" max="6" width="14.42578125" customWidth="1"/>
    <col min="7" max="7" width="18.85546875" customWidth="1"/>
    <col min="8" max="8" width="7.7109375" customWidth="1"/>
    <col min="9" max="9" width="14.28515625" customWidth="1"/>
    <col min="10" max="10" width="12.28515625" customWidth="1"/>
    <col min="11" max="11" width="16.140625" customWidth="1"/>
    <col min="12" max="12" width="11.85546875" customWidth="1"/>
    <col min="13" max="13" width="37.5703125" customWidth="1"/>
    <col min="14" max="14" width="15.5703125" customWidth="1"/>
    <col min="15" max="15" width="12.28515625" customWidth="1"/>
    <col min="16" max="17" width="18.85546875" customWidth="1"/>
    <col min="18" max="18" width="9.85546875" customWidth="1"/>
    <col min="19" max="19" width="18.85546875" customWidth="1"/>
    <col min="20" max="20" width="11" customWidth="1"/>
    <col min="21" max="23" width="18.85546875" customWidth="1"/>
    <col min="24" max="24" width="21" customWidth="1"/>
    <col min="25" max="27" width="18.85546875" customWidth="1"/>
  </cols>
  <sheetData>
    <row r="1" spans="1:27" ht="96" customHeight="1" x14ac:dyDescent="0.2">
      <c r="A1" s="1" t="s">
        <v>0</v>
      </c>
      <c r="B1" s="2" t="s">
        <v>1</v>
      </c>
      <c r="C1" s="2" t="s">
        <v>2</v>
      </c>
      <c r="D1" s="2" t="s">
        <v>3</v>
      </c>
      <c r="E1" s="2" t="s">
        <v>4</v>
      </c>
      <c r="F1" s="2" t="s">
        <v>5</v>
      </c>
      <c r="G1" s="2" t="s">
        <v>6</v>
      </c>
      <c r="H1" s="2" t="s">
        <v>7</v>
      </c>
      <c r="I1" s="2" t="s">
        <v>8</v>
      </c>
      <c r="J1" s="2" t="s">
        <v>9</v>
      </c>
      <c r="K1" s="2" t="s">
        <v>10</v>
      </c>
      <c r="L1" s="2" t="s">
        <v>11</v>
      </c>
      <c r="M1" s="2" t="s">
        <v>12</v>
      </c>
      <c r="N1" s="2" t="s">
        <v>13</v>
      </c>
      <c r="O1" s="2" t="s">
        <v>14</v>
      </c>
      <c r="P1" s="3" t="s">
        <v>15</v>
      </c>
      <c r="Q1" s="3" t="s">
        <v>16</v>
      </c>
      <c r="R1" s="4" t="s">
        <v>17</v>
      </c>
      <c r="S1" s="4" t="s">
        <v>18</v>
      </c>
      <c r="T1" s="5" t="s">
        <v>19</v>
      </c>
      <c r="U1" s="4" t="s">
        <v>20</v>
      </c>
      <c r="V1" s="6" t="s">
        <v>21</v>
      </c>
      <c r="W1" s="7" t="s">
        <v>22</v>
      </c>
      <c r="X1" s="8" t="s">
        <v>23</v>
      </c>
      <c r="Y1" s="9" t="s">
        <v>24</v>
      </c>
      <c r="Z1" s="10" t="s">
        <v>25</v>
      </c>
      <c r="AA1" s="11" t="s">
        <v>26</v>
      </c>
    </row>
    <row r="2" spans="1:27" ht="25.5" x14ac:dyDescent="0.2">
      <c r="A2" s="12">
        <v>45704.462098865741</v>
      </c>
      <c r="B2" s="13"/>
      <c r="C2" s="13">
        <v>27207130741</v>
      </c>
      <c r="D2" s="13" t="s">
        <v>27</v>
      </c>
      <c r="E2" s="14">
        <v>37931</v>
      </c>
      <c r="F2" s="13" t="s">
        <v>28</v>
      </c>
      <c r="G2" s="13" t="s">
        <v>29</v>
      </c>
      <c r="H2" s="13" t="s">
        <v>30</v>
      </c>
      <c r="I2" s="15"/>
      <c r="J2" s="13" t="s">
        <v>31</v>
      </c>
      <c r="K2" s="13" t="s">
        <v>32</v>
      </c>
      <c r="L2" s="13" t="s">
        <v>33</v>
      </c>
      <c r="M2" s="13" t="s">
        <v>34</v>
      </c>
      <c r="N2" s="13" t="s">
        <v>35</v>
      </c>
      <c r="O2" s="13" t="s">
        <v>36</v>
      </c>
      <c r="P2" s="16"/>
      <c r="Q2" s="17" t="str">
        <f ca="1">VLOOKUP($C2,Sheet1!$C$2:$AK$1000,31,0)</f>
        <v>Phạm Thị Hoàng Dung</v>
      </c>
      <c r="R2" s="18" t="str">
        <f ca="1">IF(AND(N2=Q2,K2=S2,L2=T2),"","cần kiểm tra lại")</f>
        <v/>
      </c>
      <c r="S2" s="17" t="str">
        <f ca="1">VLOOKUP($C2,Sheet1!$C$2:$AK$1000,25,0)</f>
        <v>Khách sạn Hilton Đà Nẵng</v>
      </c>
      <c r="T2" s="17" t="str">
        <f ca="1">VLOOKUP($C2,Sheet1!$C$2:$AK$1000,26,0)</f>
        <v>Nhà hàng</v>
      </c>
      <c r="U2" s="17" t="str">
        <f ca="1">VLOOKUP($C2,Sheet1!$C$2:$AK$1000,23,0)</f>
        <v>DUYỆT</v>
      </c>
      <c r="V2" s="19" t="s">
        <v>99</v>
      </c>
      <c r="W2" s="20"/>
      <c r="X2" s="21" t="s">
        <v>99</v>
      </c>
      <c r="Y2" s="21"/>
      <c r="Z2" s="13"/>
      <c r="AA2" s="13"/>
    </row>
    <row r="3" spans="1:27" ht="38.25" x14ac:dyDescent="0.2">
      <c r="A3" s="12">
        <v>45705.37146263889</v>
      </c>
      <c r="B3" s="13"/>
      <c r="C3" s="13">
        <v>27207102765</v>
      </c>
      <c r="D3" s="13" t="s">
        <v>37</v>
      </c>
      <c r="E3" s="14">
        <v>37692</v>
      </c>
      <c r="F3" s="13" t="s">
        <v>38</v>
      </c>
      <c r="G3" s="13" t="s">
        <v>29</v>
      </c>
      <c r="H3" s="13" t="s">
        <v>30</v>
      </c>
      <c r="I3" s="15"/>
      <c r="J3" s="13" t="s">
        <v>31</v>
      </c>
      <c r="K3" s="13" t="s">
        <v>39</v>
      </c>
      <c r="L3" s="13" t="s">
        <v>33</v>
      </c>
      <c r="M3" s="13" t="s">
        <v>40</v>
      </c>
      <c r="N3" s="13" t="s">
        <v>41</v>
      </c>
      <c r="O3" s="13" t="s">
        <v>36</v>
      </c>
      <c r="P3" s="16"/>
      <c r="Q3" s="17" t="str">
        <f ca="1">VLOOKUP($C3,Sheet1!$C$2:$AK$1000,31,0)</f>
        <v>Phạm Thị Hoàng Dung</v>
      </c>
      <c r="R3" s="18"/>
      <c r="S3" s="17" t="str">
        <f ca="1">VLOOKUP($C3,Sheet1!$C$2:$AK$1000,25,0)</f>
        <v>Hyatt regency DaNang Resort</v>
      </c>
      <c r="T3" s="17" t="str">
        <f ca="1">VLOOKUP($C3,Sheet1!$C$2:$AK$1000,26,0)</f>
        <v>Nhà hàng</v>
      </c>
      <c r="U3" s="17" t="str">
        <f ca="1">VLOOKUP($C3,Sheet1!$C$2:$AK$1000,23,0)</f>
        <v>DUYỆT</v>
      </c>
      <c r="V3" s="19" t="s">
        <v>99</v>
      </c>
      <c r="W3" s="20"/>
      <c r="X3" s="21" t="s">
        <v>99</v>
      </c>
      <c r="Y3" s="21"/>
      <c r="Z3" s="13"/>
      <c r="AA3" s="13"/>
    </row>
    <row r="4" spans="1:27" ht="51" x14ac:dyDescent="0.2">
      <c r="A4" s="12">
        <v>45705.583662280093</v>
      </c>
      <c r="B4" s="13"/>
      <c r="C4" s="13">
        <v>27207152647</v>
      </c>
      <c r="D4" s="13" t="s">
        <v>42</v>
      </c>
      <c r="E4" s="14">
        <v>37829</v>
      </c>
      <c r="F4" s="13" t="s">
        <v>43</v>
      </c>
      <c r="G4" s="13" t="s">
        <v>29</v>
      </c>
      <c r="H4" s="13" t="s">
        <v>30</v>
      </c>
      <c r="I4" s="15"/>
      <c r="J4" s="13" t="s">
        <v>31</v>
      </c>
      <c r="K4" s="13" t="s">
        <v>44</v>
      </c>
      <c r="L4" s="13" t="s">
        <v>45</v>
      </c>
      <c r="M4" s="13" t="s">
        <v>46</v>
      </c>
      <c r="N4" s="13" t="s">
        <v>47</v>
      </c>
      <c r="O4" s="13" t="s">
        <v>36</v>
      </c>
      <c r="P4" s="16"/>
      <c r="Q4" s="17" t="str">
        <f ca="1">VLOOKUP($C4,Sheet1!$C$2:$AK$1000,31,0)</f>
        <v>Dương Thị Xuân Diệu</v>
      </c>
      <c r="R4" s="18" t="str">
        <f ca="1">IF(AND(N4=Q4,K4=S4,L4=T4),"","cần kiểm tra lại")</f>
        <v/>
      </c>
      <c r="S4" s="17" t="str">
        <f ca="1">VLOOKUP($C4,Sheet1!$C$2:$AK$1000,25,0)</f>
        <v>Diamond Sea Hotel</v>
      </c>
      <c r="T4" s="17" t="str">
        <f ca="1">VLOOKUP($C4,Sheet1!$C$2:$AK$1000,26,0)</f>
        <v>Buồng phòng</v>
      </c>
      <c r="U4" s="17" t="str">
        <f ca="1">VLOOKUP($C4,Sheet1!$C$2:$AK$1000,23,0)</f>
        <v>DUYỆT</v>
      </c>
      <c r="V4" s="19" t="s">
        <v>48</v>
      </c>
      <c r="W4" s="20"/>
      <c r="X4" s="21" t="s">
        <v>48</v>
      </c>
      <c r="Y4" s="21"/>
      <c r="Z4" s="13"/>
      <c r="AA4" s="13"/>
    </row>
    <row r="5" spans="1:27" ht="51" x14ac:dyDescent="0.2">
      <c r="A5" s="12">
        <v>45705.59699273148</v>
      </c>
      <c r="B5" s="13"/>
      <c r="C5" s="13">
        <v>27207152388</v>
      </c>
      <c r="D5" s="13" t="s">
        <v>49</v>
      </c>
      <c r="E5" s="14">
        <v>37755</v>
      </c>
      <c r="F5" s="13" t="s">
        <v>50</v>
      </c>
      <c r="G5" s="13" t="s">
        <v>51</v>
      </c>
      <c r="H5" s="13" t="s">
        <v>30</v>
      </c>
      <c r="I5" s="15"/>
      <c r="J5" s="13" t="s">
        <v>31</v>
      </c>
      <c r="K5" s="13" t="s">
        <v>52</v>
      </c>
      <c r="L5" s="13" t="s">
        <v>33</v>
      </c>
      <c r="M5" s="13" t="s">
        <v>53</v>
      </c>
      <c r="N5" s="13" t="s">
        <v>54</v>
      </c>
      <c r="O5" s="13" t="s">
        <v>36</v>
      </c>
      <c r="P5" s="16"/>
      <c r="Q5" s="17" t="str">
        <f ca="1">VLOOKUP($C5,Sheet1!$C$2:$AK$1000,31,0)</f>
        <v>Võ Đức Hiếu</v>
      </c>
      <c r="R5" s="18"/>
      <c r="S5" s="17" t="str">
        <f ca="1">VLOOKUP($C5,Sheet1!$C$2:$AK$1000,25,0)</f>
        <v>Hyatt regency DaNang Resort</v>
      </c>
      <c r="T5" s="17" t="str">
        <f ca="1">VLOOKUP($C5,Sheet1!$C$2:$AK$1000,26,0)</f>
        <v>Nhà hàng</v>
      </c>
      <c r="U5" s="17" t="str">
        <f ca="1">VLOOKUP($C5,Sheet1!$C$2:$AK$1000,23,0)</f>
        <v>DUYỆT</v>
      </c>
      <c r="V5" s="19" t="s">
        <v>48</v>
      </c>
      <c r="W5" s="20"/>
      <c r="X5" s="21" t="s">
        <v>100</v>
      </c>
      <c r="Y5" s="21" t="s">
        <v>102</v>
      </c>
      <c r="Z5" s="13"/>
      <c r="AA5" s="13"/>
    </row>
    <row r="6" spans="1:27" ht="51" x14ac:dyDescent="0.2">
      <c r="A6" s="12">
        <v>45705.619535949074</v>
      </c>
      <c r="B6" s="13"/>
      <c r="C6" s="13">
        <v>27207142484</v>
      </c>
      <c r="D6" s="13" t="s">
        <v>55</v>
      </c>
      <c r="E6" s="14">
        <v>37980</v>
      </c>
      <c r="F6" s="13" t="s">
        <v>56</v>
      </c>
      <c r="G6" s="13" t="s">
        <v>51</v>
      </c>
      <c r="H6" s="13" t="s">
        <v>30</v>
      </c>
      <c r="I6" s="15"/>
      <c r="J6" s="13" t="s">
        <v>31</v>
      </c>
      <c r="K6" s="13" t="s">
        <v>57</v>
      </c>
      <c r="L6" s="13" t="s">
        <v>33</v>
      </c>
      <c r="M6" s="13" t="s">
        <v>58</v>
      </c>
      <c r="N6" s="13" t="s">
        <v>41</v>
      </c>
      <c r="O6" s="13" t="s">
        <v>36</v>
      </c>
      <c r="P6" s="16"/>
      <c r="Q6" s="17" t="str">
        <f ca="1">VLOOKUP($C6,Sheet1!$C$2:$AK$1000,31,0)</f>
        <v>Phạm Thị Hoàng Dung</v>
      </c>
      <c r="R6" s="18"/>
      <c r="S6" s="17" t="str">
        <f ca="1">VLOOKUP($C6,Sheet1!$C$2:$AK$1000,25,0)</f>
        <v>Hyatt regency DaNang Resort</v>
      </c>
      <c r="T6" s="17" t="str">
        <f ca="1">VLOOKUP($C6,Sheet1!$C$2:$AK$1000,26,0)</f>
        <v>Nhà hàng</v>
      </c>
      <c r="U6" s="17" t="str">
        <f ca="1">VLOOKUP($C6,Sheet1!$C$2:$AK$1000,23,0)</f>
        <v>DUYỆT</v>
      </c>
      <c r="V6" s="19" t="s">
        <v>99</v>
      </c>
      <c r="W6" s="20"/>
      <c r="X6" s="21" t="s">
        <v>99</v>
      </c>
      <c r="Y6" s="21"/>
      <c r="Z6" s="13"/>
      <c r="AA6" s="13"/>
    </row>
    <row r="7" spans="1:27" ht="63.75" x14ac:dyDescent="0.2">
      <c r="A7" s="12">
        <v>45705.940940671295</v>
      </c>
      <c r="B7" s="13"/>
      <c r="C7" s="13">
        <v>27207142127</v>
      </c>
      <c r="D7" s="13" t="s">
        <v>59</v>
      </c>
      <c r="E7" s="14">
        <v>37689</v>
      </c>
      <c r="F7" s="13" t="s">
        <v>50</v>
      </c>
      <c r="G7" s="13" t="s">
        <v>51</v>
      </c>
      <c r="H7" s="13" t="s">
        <v>30</v>
      </c>
      <c r="I7" s="15"/>
      <c r="J7" s="13" t="s">
        <v>31</v>
      </c>
      <c r="K7" s="13" t="s">
        <v>57</v>
      </c>
      <c r="L7" s="13" t="s">
        <v>33</v>
      </c>
      <c r="M7" s="13" t="s">
        <v>60</v>
      </c>
      <c r="N7" s="13" t="s">
        <v>61</v>
      </c>
      <c r="O7" s="13" t="s">
        <v>36</v>
      </c>
      <c r="P7" s="16"/>
      <c r="Q7" s="17" t="str">
        <f ca="1">VLOOKUP($C7,Sheet1!$C$2:$AK$1000,31,0)</f>
        <v>Trần Hoàng Anh</v>
      </c>
      <c r="R7" s="18"/>
      <c r="S7" s="17" t="str">
        <f ca="1">VLOOKUP($C7,Sheet1!$C$2:$AK$1000,25,0)</f>
        <v>Hyatt regency DaNang Resort</v>
      </c>
      <c r="T7" s="17" t="str">
        <f ca="1">VLOOKUP($C7,Sheet1!$C$2:$AK$1000,26,0)</f>
        <v>Nhà hàng</v>
      </c>
      <c r="U7" s="17" t="str">
        <f ca="1">VLOOKUP($C7,Sheet1!$C$2:$AK$1000,23,0)</f>
        <v>DUYỆT</v>
      </c>
      <c r="V7" s="19" t="s">
        <v>48</v>
      </c>
      <c r="W7" s="20"/>
      <c r="X7" s="21" t="s">
        <v>48</v>
      </c>
      <c r="Y7" s="21"/>
      <c r="Z7" s="13"/>
      <c r="AA7" s="13"/>
    </row>
    <row r="8" spans="1:27" ht="51" x14ac:dyDescent="0.2">
      <c r="A8" s="12">
        <v>45706.673642592592</v>
      </c>
      <c r="B8" s="13"/>
      <c r="C8" s="13">
        <v>26217125586</v>
      </c>
      <c r="D8" s="13" t="s">
        <v>62</v>
      </c>
      <c r="E8" s="14">
        <v>37462</v>
      </c>
      <c r="F8" s="13" t="s">
        <v>63</v>
      </c>
      <c r="G8" s="13" t="s">
        <v>51</v>
      </c>
      <c r="H8" s="13" t="s">
        <v>64</v>
      </c>
      <c r="I8" s="15"/>
      <c r="J8" s="13" t="s">
        <v>31</v>
      </c>
      <c r="K8" s="13" t="s">
        <v>65</v>
      </c>
      <c r="L8" s="13" t="s">
        <v>33</v>
      </c>
      <c r="M8" s="13" t="s">
        <v>66</v>
      </c>
      <c r="N8" s="13" t="s">
        <v>47</v>
      </c>
      <c r="O8" s="13" t="s">
        <v>36</v>
      </c>
      <c r="P8" s="16"/>
      <c r="Q8" s="17" t="str">
        <f ca="1">VLOOKUP($C8,Sheet1!$C$2:$AK$1000,31,0)</f>
        <v>Dương Thị Xuân Diệu</v>
      </c>
      <c r="R8" s="18" t="str">
        <f ca="1">IF(AND(N8=Q8,K8=S8,L8=T8),"","cần kiểm tra lại")</f>
        <v/>
      </c>
      <c r="S8" s="17" t="str">
        <f ca="1">VLOOKUP($C8,Sheet1!$C$2:$AK$1000,25,0)</f>
        <v>Premier Village Danang Resort</v>
      </c>
      <c r="T8" s="17" t="str">
        <f ca="1">VLOOKUP($C8,Sheet1!$C$2:$AK$1000,26,0)</f>
        <v>Nhà hàng</v>
      </c>
      <c r="U8" s="17" t="str">
        <f ca="1">VLOOKUP($C8,Sheet1!$C$2:$AK$1000,23,0)</f>
        <v>DUYỆT</v>
      </c>
      <c r="V8" s="19" t="s">
        <v>48</v>
      </c>
      <c r="W8" s="20"/>
      <c r="X8" s="21" t="s">
        <v>48</v>
      </c>
      <c r="Y8" s="21"/>
      <c r="Z8" s="13"/>
      <c r="AA8" s="13"/>
    </row>
    <row r="9" spans="1:27" ht="51" x14ac:dyDescent="0.2">
      <c r="A9" s="12">
        <v>45706.80868858796</v>
      </c>
      <c r="B9" s="13"/>
      <c r="C9" s="13">
        <v>27207153285</v>
      </c>
      <c r="D9" s="13" t="s">
        <v>67</v>
      </c>
      <c r="E9" s="14">
        <v>37803</v>
      </c>
      <c r="F9" s="13" t="s">
        <v>68</v>
      </c>
      <c r="G9" s="13" t="s">
        <v>69</v>
      </c>
      <c r="H9" s="13" t="s">
        <v>30</v>
      </c>
      <c r="I9" s="15"/>
      <c r="J9" s="13" t="s">
        <v>31</v>
      </c>
      <c r="K9" s="13" t="s">
        <v>70</v>
      </c>
      <c r="L9" s="13" t="s">
        <v>33</v>
      </c>
      <c r="M9" s="13" t="s">
        <v>71</v>
      </c>
      <c r="N9" s="13" t="s">
        <v>72</v>
      </c>
      <c r="O9" s="13" t="s">
        <v>36</v>
      </c>
      <c r="P9" s="16"/>
      <c r="Q9" s="17" t="str">
        <f ca="1">VLOOKUP($C9,Sheet1!$C$2:$AK$1000,31,0)</f>
        <v>Phạm Thị Thu Thủy</v>
      </c>
      <c r="R9" s="18"/>
      <c r="S9" s="17" t="str">
        <f ca="1">VLOOKUP($C9,Sheet1!$C$2:$AK$1000,25,0)</f>
        <v>Premier Village Danang Resort</v>
      </c>
      <c r="T9" s="17" t="str">
        <f ca="1">VLOOKUP($C9,Sheet1!$C$2:$AK$1000,26,0)</f>
        <v>Nhà hàng</v>
      </c>
      <c r="U9" s="17" t="str">
        <f ca="1">VLOOKUP($C9,Sheet1!$C$2:$AK$1000,23,0)</f>
        <v>DUYỆT</v>
      </c>
      <c r="V9" s="19" t="s">
        <v>48</v>
      </c>
      <c r="W9" s="20"/>
      <c r="X9" s="21" t="s">
        <v>100</v>
      </c>
      <c r="Y9" s="21" t="s">
        <v>101</v>
      </c>
      <c r="Z9" s="13"/>
      <c r="AA9" s="13"/>
    </row>
    <row r="10" spans="1:27" ht="51" x14ac:dyDescent="0.2">
      <c r="A10" s="12">
        <v>45706.818722395838</v>
      </c>
      <c r="B10" s="13"/>
      <c r="C10" s="13">
        <v>27207128507</v>
      </c>
      <c r="D10" s="13" t="s">
        <v>73</v>
      </c>
      <c r="E10" s="14">
        <v>37661</v>
      </c>
      <c r="F10" s="13" t="s">
        <v>68</v>
      </c>
      <c r="G10" s="13" t="s">
        <v>69</v>
      </c>
      <c r="H10" s="13" t="s">
        <v>30</v>
      </c>
      <c r="I10" s="15"/>
      <c r="J10" s="13" t="s">
        <v>31</v>
      </c>
      <c r="K10" s="13" t="s">
        <v>74</v>
      </c>
      <c r="L10" s="13" t="s">
        <v>33</v>
      </c>
      <c r="M10" s="13" t="s">
        <v>75</v>
      </c>
      <c r="N10" s="13" t="s">
        <v>76</v>
      </c>
      <c r="O10" s="13" t="s">
        <v>36</v>
      </c>
      <c r="P10" s="16"/>
      <c r="Q10" s="17" t="str">
        <f ca="1">VLOOKUP($C10,Sheet1!$C$2:$AK$1000,31,0)</f>
        <v>Phạm Thị Thu Thủy</v>
      </c>
      <c r="R10" s="18"/>
      <c r="S10" s="17" t="str">
        <f ca="1">VLOOKUP($C10,Sheet1!$C$2:$AK$1000,25,0)</f>
        <v>Hyatt regency DaNang Resort</v>
      </c>
      <c r="T10" s="17" t="str">
        <f ca="1">VLOOKUP($C10,Sheet1!$C$2:$AK$1000,26,0)</f>
        <v>Nhà hàng</v>
      </c>
      <c r="U10" s="17" t="str">
        <f ca="1">VLOOKUP($C10,Sheet1!$C$2:$AK$1000,23,0)</f>
        <v>DUYỆT</v>
      </c>
      <c r="V10" s="19" t="s">
        <v>48</v>
      </c>
      <c r="W10" s="20"/>
      <c r="X10" s="21" t="s">
        <v>48</v>
      </c>
      <c r="Y10" s="21"/>
      <c r="Z10" s="13"/>
      <c r="AA10" s="13"/>
    </row>
    <row r="11" spans="1:27" s="39" customFormat="1" ht="38.25" x14ac:dyDescent="0.2">
      <c r="A11" s="29">
        <v>45706.873663888888</v>
      </c>
      <c r="B11" s="30"/>
      <c r="C11" s="30">
        <v>27213445193</v>
      </c>
      <c r="D11" s="30" t="s">
        <v>77</v>
      </c>
      <c r="E11" s="31">
        <v>37673</v>
      </c>
      <c r="F11" s="30" t="s">
        <v>78</v>
      </c>
      <c r="G11" s="30" t="s">
        <v>51</v>
      </c>
      <c r="H11" s="30" t="s">
        <v>30</v>
      </c>
      <c r="I11" s="32"/>
      <c r="J11" s="30" t="s">
        <v>31</v>
      </c>
      <c r="K11" s="30" t="s">
        <v>79</v>
      </c>
      <c r="L11" s="30" t="s">
        <v>80</v>
      </c>
      <c r="M11" s="30" t="s">
        <v>81</v>
      </c>
      <c r="N11" s="30" t="s">
        <v>82</v>
      </c>
      <c r="O11" s="30" t="s">
        <v>36</v>
      </c>
      <c r="P11" s="33"/>
      <c r="Q11" s="34" t="str">
        <f ca="1">VLOOKUP($C11,Sheet1!$C$2:$AK$1000,31,0)</f>
        <v>Mai Thị Thương</v>
      </c>
      <c r="R11" s="35"/>
      <c r="S11" s="34" t="str">
        <f ca="1">VLOOKUP($C11,Sheet1!$C$2:$AK$1000,25,0)</f>
        <v>Hyatt regency DaNang Resort</v>
      </c>
      <c r="T11" s="34" t="str">
        <f ca="1">VLOOKUP($C11,Sheet1!$C$2:$AK$1000,26,0)</f>
        <v>Tiền sảnh</v>
      </c>
      <c r="U11" s="34" t="str">
        <f ca="1">VLOOKUP($C11,Sheet1!$C$2:$AK$1000,23,0)</f>
        <v>DUYỆT</v>
      </c>
      <c r="V11" s="36" t="s">
        <v>48</v>
      </c>
      <c r="W11" s="37"/>
      <c r="X11" s="38" t="s">
        <v>48</v>
      </c>
      <c r="Y11" s="38"/>
      <c r="Z11" s="30"/>
      <c r="AA11" s="30"/>
    </row>
    <row r="12" spans="1:27" ht="38.25" x14ac:dyDescent="0.2">
      <c r="A12" s="12">
        <v>45706.877032777775</v>
      </c>
      <c r="B12" s="13"/>
      <c r="C12" s="13">
        <v>27207128489</v>
      </c>
      <c r="D12" s="13" t="s">
        <v>83</v>
      </c>
      <c r="E12" s="14">
        <v>37865</v>
      </c>
      <c r="F12" s="13" t="s">
        <v>84</v>
      </c>
      <c r="G12" s="13" t="s">
        <v>69</v>
      </c>
      <c r="H12" s="13" t="s">
        <v>30</v>
      </c>
      <c r="I12" s="15"/>
      <c r="J12" s="13" t="s">
        <v>31</v>
      </c>
      <c r="K12" s="13" t="s">
        <v>85</v>
      </c>
      <c r="L12" s="13" t="s">
        <v>33</v>
      </c>
      <c r="M12" s="13" t="s">
        <v>86</v>
      </c>
      <c r="N12" s="13" t="s">
        <v>82</v>
      </c>
      <c r="O12" s="13" t="s">
        <v>36</v>
      </c>
      <c r="P12" s="16"/>
      <c r="Q12" s="17" t="str">
        <f ca="1">VLOOKUP($C12,Sheet1!$C$2:$AK$1000,31,0)</f>
        <v>Mai Thị Thương</v>
      </c>
      <c r="R12" s="18" t="str">
        <f t="shared" ref="R12:R13" ca="1" si="0">IF(AND(N12=Q12,K12=S12,L12=T12),"","cần kiểm tra lại")</f>
        <v/>
      </c>
      <c r="S12" s="17" t="str">
        <f ca="1">VLOOKUP($C12,Sheet1!$C$2:$AK$1000,25,0)</f>
        <v>Meliá Danang Beach Resort</v>
      </c>
      <c r="T12" s="17" t="str">
        <f ca="1">VLOOKUP($C12,Sheet1!$C$2:$AK$1000,26,0)</f>
        <v>Nhà hàng</v>
      </c>
      <c r="U12" s="17" t="str">
        <f ca="1">VLOOKUP($C12,Sheet1!$C$2:$AK$1000,23,0)</f>
        <v>DUYỆT</v>
      </c>
      <c r="V12" s="19" t="s">
        <v>48</v>
      </c>
      <c r="W12" s="20"/>
      <c r="X12" s="21" t="s">
        <v>48</v>
      </c>
      <c r="Y12" s="21"/>
      <c r="Z12" s="13"/>
      <c r="AA12" s="13"/>
    </row>
    <row r="13" spans="1:27" s="39" customFormat="1" ht="38.25" x14ac:dyDescent="0.2">
      <c r="A13" s="29">
        <v>45706.885623287038</v>
      </c>
      <c r="B13" s="30"/>
      <c r="C13" s="30">
        <v>27217140882</v>
      </c>
      <c r="D13" s="30" t="s">
        <v>87</v>
      </c>
      <c r="E13" s="31">
        <v>37912</v>
      </c>
      <c r="F13" s="30" t="s">
        <v>68</v>
      </c>
      <c r="G13" s="30" t="s">
        <v>69</v>
      </c>
      <c r="H13" s="30" t="s">
        <v>30</v>
      </c>
      <c r="I13" s="32"/>
      <c r="J13" s="30" t="s">
        <v>31</v>
      </c>
      <c r="K13" s="30" t="s">
        <v>88</v>
      </c>
      <c r="L13" s="30" t="s">
        <v>89</v>
      </c>
      <c r="M13" s="30" t="s">
        <v>90</v>
      </c>
      <c r="N13" s="30" t="s">
        <v>82</v>
      </c>
      <c r="O13" s="30" t="s">
        <v>36</v>
      </c>
      <c r="P13" s="33"/>
      <c r="Q13" s="34" t="str">
        <f ca="1">VLOOKUP($C13,Sheet1!$C$2:$AK$1000,31,0)</f>
        <v>Mai Thị Thương</v>
      </c>
      <c r="R13" s="35" t="str">
        <f t="shared" ca="1" si="0"/>
        <v/>
      </c>
      <c r="S13" s="34" t="str">
        <f ca="1">VLOOKUP($C13,Sheet1!$C$2:$AK$1000,25,0)</f>
        <v>Meliá Danang Beach Resort</v>
      </c>
      <c r="T13" s="34" t="str">
        <f ca="1">VLOOKUP($C13,Sheet1!$C$2:$AK$1000,26,0)</f>
        <v>Bếp</v>
      </c>
      <c r="U13" s="34" t="str">
        <f ca="1">VLOOKUP($C13,Sheet1!$C$2:$AK$1000,23,0)</f>
        <v>DUYỆT</v>
      </c>
      <c r="V13" s="36" t="s">
        <v>48</v>
      </c>
      <c r="W13" s="37"/>
      <c r="X13" s="38" t="s">
        <v>48</v>
      </c>
      <c r="Y13" s="38"/>
      <c r="Z13" s="30"/>
      <c r="AA13" s="30"/>
    </row>
    <row r="14" spans="1:27" ht="51" x14ac:dyDescent="0.2">
      <c r="A14" s="12">
        <v>45706.937202118061</v>
      </c>
      <c r="B14" s="13"/>
      <c r="C14" s="13">
        <v>27207130518</v>
      </c>
      <c r="D14" s="13" t="s">
        <v>91</v>
      </c>
      <c r="E14" s="14">
        <v>37807</v>
      </c>
      <c r="F14" s="13" t="s">
        <v>56</v>
      </c>
      <c r="G14" s="13" t="s">
        <v>51</v>
      </c>
      <c r="H14" s="13" t="s">
        <v>30</v>
      </c>
      <c r="I14" s="15"/>
      <c r="J14" s="13" t="s">
        <v>31</v>
      </c>
      <c r="K14" s="13" t="s">
        <v>57</v>
      </c>
      <c r="L14" s="13" t="s">
        <v>33</v>
      </c>
      <c r="M14" s="13" t="s">
        <v>92</v>
      </c>
      <c r="N14" s="13" t="s">
        <v>93</v>
      </c>
      <c r="O14" s="13" t="s">
        <v>36</v>
      </c>
      <c r="P14" s="16"/>
      <c r="Q14" s="17" t="str">
        <f ca="1">VLOOKUP($C14,Sheet1!$C$2:$AK$1000,31,0)</f>
        <v>Trần Hoàng Anh</v>
      </c>
      <c r="R14" s="18"/>
      <c r="S14" s="17" t="str">
        <f ca="1">VLOOKUP($C14,Sheet1!$C$2:$AK$1000,25,0)</f>
        <v>Hyatt regency DaNang Resort</v>
      </c>
      <c r="T14" s="17" t="str">
        <f ca="1">VLOOKUP($C14,Sheet1!$C$2:$AK$1000,26,0)</f>
        <v>Nhà hàng</v>
      </c>
      <c r="U14" s="17" t="str">
        <f ca="1">VLOOKUP($C14,Sheet1!$C$2:$AK$1000,23,0)</f>
        <v>DUYỆT</v>
      </c>
      <c r="V14" s="19" t="s">
        <v>48</v>
      </c>
      <c r="W14" s="20"/>
      <c r="X14" s="21" t="s">
        <v>48</v>
      </c>
      <c r="Y14" s="21"/>
      <c r="Z14" s="13"/>
      <c r="AA14" s="13"/>
    </row>
    <row r="15" spans="1:27" ht="51" x14ac:dyDescent="0.2">
      <c r="A15" s="12">
        <v>45707.682765173609</v>
      </c>
      <c r="B15" s="13"/>
      <c r="C15" s="13">
        <v>24207201291</v>
      </c>
      <c r="D15" s="13" t="s">
        <v>94</v>
      </c>
      <c r="E15" s="14">
        <v>36715</v>
      </c>
      <c r="F15" s="13" t="s">
        <v>95</v>
      </c>
      <c r="G15" s="13" t="s">
        <v>69</v>
      </c>
      <c r="H15" s="13" t="s">
        <v>96</v>
      </c>
      <c r="I15" s="15"/>
      <c r="J15" s="13" t="s">
        <v>31</v>
      </c>
      <c r="K15" s="13" t="s">
        <v>97</v>
      </c>
      <c r="L15" s="13" t="s">
        <v>33</v>
      </c>
      <c r="M15" s="13" t="s">
        <v>98</v>
      </c>
      <c r="N15" s="13" t="s">
        <v>47</v>
      </c>
      <c r="O15" s="13" t="s">
        <v>36</v>
      </c>
      <c r="P15" s="16"/>
      <c r="Q15" s="17" t="str">
        <f ca="1">VLOOKUP($C15,Sheet1!$C$2:$AK$1000,31,0)</f>
        <v>Dương Thị Xuân Diệu</v>
      </c>
      <c r="R15" s="18" t="str">
        <f ca="1">IF(AND(N15=Q15,K15=S15,L15=T15),"","cần kiểm tra lại")</f>
        <v/>
      </c>
      <c r="S15" s="17" t="str">
        <f ca="1">VLOOKUP($C15,Sheet1!$C$2:$AK$1000,25,0)</f>
        <v>Renaissance Hoi An Resort &amp; Spa</v>
      </c>
      <c r="T15" s="17" t="str">
        <f ca="1">VLOOKUP($C15,Sheet1!$C$2:$AK$1000,26,0)</f>
        <v>Nhà hàng</v>
      </c>
      <c r="U15" s="17" t="str">
        <f ca="1">VLOOKUP($C15,Sheet1!$C$2:$AK$1000,23,0)</f>
        <v>DUYỆT</v>
      </c>
      <c r="V15" s="19" t="s">
        <v>48</v>
      </c>
      <c r="W15" s="20"/>
      <c r="X15" s="21" t="s">
        <v>48</v>
      </c>
      <c r="Y15" s="21"/>
      <c r="Z15" s="13"/>
      <c r="AA15" s="13"/>
    </row>
    <row r="16" spans="1:27" ht="12.75" x14ac:dyDescent="0.2">
      <c r="R16" s="22"/>
      <c r="V16" s="23"/>
      <c r="W16" s="22"/>
      <c r="X16" s="24"/>
      <c r="Y16" s="24"/>
    </row>
    <row r="17" spans="18:25" ht="12.75" x14ac:dyDescent="0.2">
      <c r="R17" s="22"/>
      <c r="V17" s="23"/>
      <c r="W17" s="22"/>
      <c r="X17" s="24"/>
      <c r="Y17" s="24"/>
    </row>
    <row r="18" spans="18:25" ht="12.75" x14ac:dyDescent="0.2">
      <c r="R18" s="22"/>
      <c r="V18" s="23"/>
      <c r="W18" s="22"/>
      <c r="X18" s="24"/>
      <c r="Y18" s="24"/>
    </row>
    <row r="19" spans="18:25" ht="12.75" x14ac:dyDescent="0.2">
      <c r="R19" s="22"/>
      <c r="V19" s="23"/>
      <c r="W19" s="22"/>
      <c r="X19" s="24"/>
      <c r="Y19" s="24"/>
    </row>
    <row r="20" spans="18:25" ht="12.75" x14ac:dyDescent="0.2">
      <c r="R20" s="22"/>
      <c r="V20" s="23"/>
      <c r="W20" s="22"/>
      <c r="X20" s="24"/>
      <c r="Y20" s="24"/>
    </row>
    <row r="21" spans="18:25" ht="12.75" x14ac:dyDescent="0.2">
      <c r="R21" s="22"/>
      <c r="V21" s="23"/>
      <c r="W21" s="22"/>
      <c r="X21" s="24"/>
      <c r="Y21" s="24"/>
    </row>
    <row r="22" spans="18:25" ht="12.75" x14ac:dyDescent="0.2">
      <c r="R22" s="22"/>
      <c r="V22" s="23"/>
      <c r="W22" s="22"/>
      <c r="X22" s="24"/>
      <c r="Y22" s="24"/>
    </row>
    <row r="23" spans="18:25" ht="12.75" x14ac:dyDescent="0.2">
      <c r="R23" s="22"/>
      <c r="V23" s="23"/>
      <c r="W23" s="22"/>
      <c r="X23" s="24"/>
      <c r="Y23" s="24"/>
    </row>
    <row r="24" spans="18:25" ht="12.75" x14ac:dyDescent="0.2">
      <c r="R24" s="22"/>
      <c r="V24" s="23"/>
      <c r="W24" s="22"/>
      <c r="X24" s="24"/>
      <c r="Y24" s="24"/>
    </row>
    <row r="25" spans="18:25" ht="12.75" x14ac:dyDescent="0.2">
      <c r="R25" s="22"/>
      <c r="V25" s="23"/>
      <c r="W25" s="22"/>
      <c r="X25" s="24"/>
      <c r="Y25" s="24"/>
    </row>
    <row r="26" spans="18:25" ht="12.75" x14ac:dyDescent="0.2">
      <c r="R26" s="22"/>
      <c r="V26" s="23"/>
      <c r="W26" s="22"/>
      <c r="X26" s="24"/>
      <c r="Y26" s="24"/>
    </row>
    <row r="27" spans="18:25" ht="12.75" x14ac:dyDescent="0.2">
      <c r="R27" s="22"/>
      <c r="V27" s="23"/>
      <c r="W27" s="22"/>
      <c r="X27" s="24"/>
      <c r="Y27" s="24"/>
    </row>
    <row r="28" spans="18:25" ht="12.75" x14ac:dyDescent="0.2">
      <c r="R28" s="22"/>
      <c r="V28" s="23"/>
      <c r="W28" s="22"/>
      <c r="X28" s="24"/>
      <c r="Y28" s="24"/>
    </row>
    <row r="29" spans="18:25" ht="12.75" x14ac:dyDescent="0.2">
      <c r="R29" s="22"/>
      <c r="V29" s="23"/>
      <c r="W29" s="22"/>
      <c r="X29" s="24"/>
      <c r="Y29" s="24"/>
    </row>
    <row r="30" spans="18:25" ht="12.75" x14ac:dyDescent="0.2">
      <c r="R30" s="22"/>
      <c r="V30" s="23"/>
      <c r="W30" s="22"/>
      <c r="X30" s="24"/>
      <c r="Y30" s="24"/>
    </row>
    <row r="31" spans="18:25" ht="12.75" x14ac:dyDescent="0.2">
      <c r="R31" s="22"/>
      <c r="V31" s="23"/>
      <c r="W31" s="22"/>
      <c r="X31" s="24"/>
      <c r="Y31" s="24"/>
    </row>
    <row r="32" spans="18:25" ht="12.75" x14ac:dyDescent="0.2">
      <c r="R32" s="22"/>
      <c r="V32" s="23"/>
      <c r="W32" s="22"/>
      <c r="X32" s="24"/>
      <c r="Y32" s="24"/>
    </row>
    <row r="33" spans="18:25" ht="12.75" x14ac:dyDescent="0.2">
      <c r="R33" s="22"/>
      <c r="V33" s="23"/>
      <c r="W33" s="22"/>
      <c r="X33" s="24"/>
      <c r="Y33" s="24"/>
    </row>
    <row r="34" spans="18:25" ht="12.75" x14ac:dyDescent="0.2">
      <c r="R34" s="22"/>
      <c r="V34" s="23"/>
      <c r="W34" s="22"/>
      <c r="X34" s="24"/>
      <c r="Y34" s="24"/>
    </row>
    <row r="35" spans="18:25" ht="12.75" x14ac:dyDescent="0.2">
      <c r="R35" s="22"/>
      <c r="V35" s="23"/>
      <c r="W35" s="22"/>
      <c r="X35" s="24"/>
      <c r="Y35" s="24"/>
    </row>
    <row r="36" spans="18:25" ht="12.75" x14ac:dyDescent="0.2">
      <c r="R36" s="22"/>
      <c r="V36" s="23"/>
      <c r="W36" s="22"/>
      <c r="X36" s="24"/>
      <c r="Y36" s="24"/>
    </row>
    <row r="37" spans="18:25" ht="12.75" x14ac:dyDescent="0.2">
      <c r="R37" s="22"/>
      <c r="V37" s="23"/>
      <c r="W37" s="22"/>
      <c r="X37" s="24"/>
      <c r="Y37" s="24"/>
    </row>
    <row r="38" spans="18:25" ht="12.75" x14ac:dyDescent="0.2">
      <c r="R38" s="22"/>
      <c r="V38" s="23"/>
      <c r="W38" s="22"/>
      <c r="X38" s="24"/>
      <c r="Y38" s="24"/>
    </row>
    <row r="39" spans="18:25" ht="12.75" x14ac:dyDescent="0.2">
      <c r="R39" s="22"/>
      <c r="V39" s="23"/>
      <c r="W39" s="22"/>
      <c r="X39" s="24"/>
      <c r="Y39" s="24"/>
    </row>
    <row r="40" spans="18:25" ht="12.75" x14ac:dyDescent="0.2">
      <c r="R40" s="22"/>
      <c r="W40" s="22"/>
      <c r="X40" s="24"/>
      <c r="Y40" s="24"/>
    </row>
    <row r="41" spans="18:25" ht="12.75" x14ac:dyDescent="0.2">
      <c r="R41" s="22"/>
      <c r="W41" s="22"/>
      <c r="X41" s="24"/>
      <c r="Y41" s="24"/>
    </row>
    <row r="42" spans="18:25" ht="12.75" x14ac:dyDescent="0.2">
      <c r="R42" s="22"/>
      <c r="W42" s="22"/>
      <c r="X42" s="24"/>
      <c r="Y42" s="24"/>
    </row>
    <row r="43" spans="18:25" ht="12.75" x14ac:dyDescent="0.2">
      <c r="R43" s="22"/>
      <c r="W43" s="22"/>
      <c r="X43" s="24"/>
      <c r="Y43" s="24"/>
    </row>
    <row r="44" spans="18:25" ht="12.75" x14ac:dyDescent="0.2">
      <c r="R44" s="22"/>
      <c r="W44" s="22"/>
      <c r="X44" s="24"/>
      <c r="Y44" s="24"/>
    </row>
    <row r="45" spans="18:25" ht="12.75" x14ac:dyDescent="0.2">
      <c r="R45" s="22"/>
      <c r="W45" s="22"/>
      <c r="X45" s="24"/>
      <c r="Y45" s="24"/>
    </row>
    <row r="46" spans="18:25" ht="12.75" x14ac:dyDescent="0.2">
      <c r="R46" s="22"/>
      <c r="W46" s="22"/>
      <c r="X46" s="24"/>
      <c r="Y46" s="24"/>
    </row>
    <row r="47" spans="18:25" ht="12.75" x14ac:dyDescent="0.2">
      <c r="R47" s="22"/>
      <c r="W47" s="22"/>
      <c r="X47" s="24"/>
      <c r="Y47" s="24"/>
    </row>
    <row r="48" spans="18:25" ht="12.75" x14ac:dyDescent="0.2">
      <c r="R48" s="22"/>
      <c r="W48" s="22"/>
      <c r="X48" s="24"/>
      <c r="Y48" s="24"/>
    </row>
    <row r="49" spans="18:25" ht="12.75" x14ac:dyDescent="0.2">
      <c r="R49" s="22"/>
      <c r="W49" s="22"/>
      <c r="X49" s="24"/>
      <c r="Y49" s="24"/>
    </row>
    <row r="50" spans="18:25" ht="12.75" x14ac:dyDescent="0.2">
      <c r="R50" s="22"/>
      <c r="W50" s="22"/>
      <c r="X50" s="24"/>
      <c r="Y50" s="24"/>
    </row>
    <row r="51" spans="18:25" ht="12.75" x14ac:dyDescent="0.2">
      <c r="R51" s="22"/>
      <c r="W51" s="22"/>
      <c r="X51" s="24"/>
      <c r="Y51" s="24"/>
    </row>
    <row r="52" spans="18:25" ht="12.75" x14ac:dyDescent="0.2">
      <c r="R52" s="22"/>
      <c r="W52" s="22"/>
      <c r="X52" s="24"/>
      <c r="Y52" s="24"/>
    </row>
    <row r="53" spans="18:25" ht="12.75" x14ac:dyDescent="0.2">
      <c r="R53" s="22"/>
      <c r="W53" s="22"/>
      <c r="X53" s="24"/>
      <c r="Y53" s="24"/>
    </row>
    <row r="54" spans="18:25" ht="12.75" x14ac:dyDescent="0.2">
      <c r="R54" s="22"/>
      <c r="W54" s="22"/>
      <c r="X54" s="24"/>
      <c r="Y54" s="24"/>
    </row>
    <row r="55" spans="18:25" ht="12.75" x14ac:dyDescent="0.2">
      <c r="R55" s="22"/>
      <c r="W55" s="22"/>
      <c r="X55" s="24"/>
      <c r="Y55" s="24"/>
    </row>
    <row r="56" spans="18:25" ht="12.75" x14ac:dyDescent="0.2">
      <c r="R56" s="22"/>
      <c r="W56" s="22"/>
      <c r="X56" s="24"/>
      <c r="Y56" s="24"/>
    </row>
    <row r="57" spans="18:25" ht="12.75" x14ac:dyDescent="0.2">
      <c r="R57" s="22"/>
      <c r="W57" s="22"/>
      <c r="X57" s="24"/>
      <c r="Y57" s="24"/>
    </row>
    <row r="58" spans="18:25" ht="12.75" x14ac:dyDescent="0.2">
      <c r="R58" s="22"/>
      <c r="W58" s="22"/>
      <c r="X58" s="24"/>
      <c r="Y58" s="24"/>
    </row>
    <row r="59" spans="18:25" ht="12.75" x14ac:dyDescent="0.2">
      <c r="R59" s="22"/>
      <c r="W59" s="22"/>
      <c r="X59" s="24"/>
      <c r="Y59" s="24"/>
    </row>
    <row r="60" spans="18:25" ht="12.75" x14ac:dyDescent="0.2">
      <c r="R60" s="22"/>
      <c r="W60" s="22"/>
      <c r="X60" s="24"/>
      <c r="Y60" s="24"/>
    </row>
    <row r="61" spans="18:25" ht="12.75" x14ac:dyDescent="0.2">
      <c r="R61" s="22"/>
      <c r="W61" s="22"/>
      <c r="X61" s="24"/>
      <c r="Y61" s="24"/>
    </row>
    <row r="62" spans="18:25" ht="12.75" x14ac:dyDescent="0.2">
      <c r="R62" s="22"/>
      <c r="W62" s="22"/>
      <c r="X62" s="24"/>
      <c r="Y62" s="24"/>
    </row>
    <row r="63" spans="18:25" ht="12.75" x14ac:dyDescent="0.2">
      <c r="R63" s="22"/>
      <c r="W63" s="22"/>
      <c r="X63" s="24"/>
      <c r="Y63" s="24"/>
    </row>
    <row r="64" spans="18:25" ht="12.75" x14ac:dyDescent="0.2">
      <c r="R64" s="22"/>
      <c r="W64" s="22"/>
      <c r="X64" s="24"/>
      <c r="Y64" s="24"/>
    </row>
    <row r="65" spans="18:25" ht="12.75" x14ac:dyDescent="0.2">
      <c r="R65" s="22"/>
      <c r="W65" s="22"/>
      <c r="X65" s="24"/>
      <c r="Y65" s="24"/>
    </row>
    <row r="66" spans="18:25" ht="12.75" x14ac:dyDescent="0.2">
      <c r="R66" s="22"/>
      <c r="W66" s="22"/>
      <c r="X66" s="24"/>
      <c r="Y66" s="24"/>
    </row>
    <row r="67" spans="18:25" ht="12.75" x14ac:dyDescent="0.2">
      <c r="R67" s="22"/>
      <c r="W67" s="22"/>
      <c r="X67" s="24"/>
      <c r="Y67" s="24"/>
    </row>
    <row r="68" spans="18:25" ht="12.75" x14ac:dyDescent="0.2">
      <c r="R68" s="22"/>
      <c r="W68" s="22"/>
      <c r="X68" s="24"/>
      <c r="Y68" s="24"/>
    </row>
    <row r="69" spans="18:25" ht="12.75" x14ac:dyDescent="0.2">
      <c r="R69" s="22"/>
      <c r="W69" s="22"/>
      <c r="X69" s="24"/>
      <c r="Y69" s="24"/>
    </row>
    <row r="70" spans="18:25" ht="12.75" x14ac:dyDescent="0.2">
      <c r="R70" s="22"/>
      <c r="W70" s="22"/>
      <c r="X70" s="24"/>
      <c r="Y70" s="24"/>
    </row>
    <row r="71" spans="18:25" ht="12.75" x14ac:dyDescent="0.2">
      <c r="R71" s="22"/>
      <c r="W71" s="22"/>
      <c r="X71" s="24"/>
      <c r="Y71" s="24"/>
    </row>
    <row r="72" spans="18:25" ht="12.75" x14ac:dyDescent="0.2">
      <c r="R72" s="22"/>
      <c r="W72" s="22"/>
      <c r="X72" s="24"/>
      <c r="Y72" s="24"/>
    </row>
    <row r="73" spans="18:25" ht="12.75" x14ac:dyDescent="0.2">
      <c r="R73" s="22"/>
      <c r="W73" s="22"/>
      <c r="X73" s="24"/>
      <c r="Y73" s="24"/>
    </row>
    <row r="74" spans="18:25" ht="12.75" x14ac:dyDescent="0.2">
      <c r="R74" s="22"/>
      <c r="W74" s="22"/>
      <c r="X74" s="24"/>
      <c r="Y74" s="24"/>
    </row>
    <row r="75" spans="18:25" ht="12.75" x14ac:dyDescent="0.2">
      <c r="R75" s="22"/>
      <c r="W75" s="22"/>
      <c r="X75" s="24"/>
      <c r="Y75" s="24"/>
    </row>
    <row r="76" spans="18:25" ht="12.75" x14ac:dyDescent="0.2">
      <c r="R76" s="22"/>
      <c r="W76" s="22"/>
      <c r="X76" s="24"/>
      <c r="Y76" s="24"/>
    </row>
    <row r="77" spans="18:25" ht="12.75" x14ac:dyDescent="0.2">
      <c r="R77" s="22"/>
      <c r="W77" s="22"/>
      <c r="X77" s="24"/>
      <c r="Y77" s="24"/>
    </row>
    <row r="78" spans="18:25" ht="12.75" x14ac:dyDescent="0.2">
      <c r="R78" s="22"/>
      <c r="W78" s="22"/>
      <c r="X78" s="24"/>
      <c r="Y78" s="24"/>
    </row>
    <row r="79" spans="18:25" ht="12.75" x14ac:dyDescent="0.2">
      <c r="R79" s="22"/>
      <c r="W79" s="22"/>
      <c r="X79" s="24"/>
      <c r="Y79" s="24"/>
    </row>
    <row r="80" spans="18:25" ht="12.75" x14ac:dyDescent="0.2">
      <c r="R80" s="22"/>
      <c r="W80" s="22"/>
      <c r="X80" s="24"/>
      <c r="Y80" s="24"/>
    </row>
    <row r="81" spans="18:25" ht="12.75" x14ac:dyDescent="0.2">
      <c r="R81" s="22"/>
      <c r="W81" s="22"/>
      <c r="X81" s="24"/>
      <c r="Y81" s="24"/>
    </row>
    <row r="82" spans="18:25" ht="12.75" x14ac:dyDescent="0.2">
      <c r="R82" s="22"/>
      <c r="W82" s="22"/>
      <c r="X82" s="24"/>
      <c r="Y82" s="24"/>
    </row>
    <row r="83" spans="18:25" ht="12.75" x14ac:dyDescent="0.2">
      <c r="R83" s="22"/>
      <c r="W83" s="22"/>
      <c r="X83" s="24"/>
      <c r="Y83" s="24"/>
    </row>
    <row r="84" spans="18:25" ht="12.75" x14ac:dyDescent="0.2">
      <c r="R84" s="22"/>
      <c r="W84" s="22"/>
      <c r="X84" s="24"/>
      <c r="Y84" s="24"/>
    </row>
    <row r="85" spans="18:25" ht="12.75" x14ac:dyDescent="0.2">
      <c r="R85" s="22"/>
      <c r="W85" s="22"/>
      <c r="X85" s="24"/>
      <c r="Y85" s="24"/>
    </row>
    <row r="86" spans="18:25" ht="12.75" x14ac:dyDescent="0.2">
      <c r="R86" s="22"/>
      <c r="W86" s="22"/>
      <c r="X86" s="24"/>
      <c r="Y86" s="24"/>
    </row>
    <row r="87" spans="18:25" ht="12.75" x14ac:dyDescent="0.2">
      <c r="R87" s="22"/>
      <c r="W87" s="22"/>
      <c r="X87" s="24"/>
      <c r="Y87" s="24"/>
    </row>
    <row r="88" spans="18:25" ht="12.75" x14ac:dyDescent="0.2">
      <c r="R88" s="22"/>
      <c r="W88" s="22"/>
      <c r="X88" s="24"/>
      <c r="Y88" s="24"/>
    </row>
    <row r="89" spans="18:25" ht="12.75" x14ac:dyDescent="0.2">
      <c r="R89" s="22"/>
      <c r="W89" s="22"/>
      <c r="X89" s="24"/>
      <c r="Y89" s="24"/>
    </row>
    <row r="90" spans="18:25" ht="12.75" x14ac:dyDescent="0.2">
      <c r="R90" s="22"/>
      <c r="W90" s="22"/>
      <c r="X90" s="24"/>
      <c r="Y90" s="24"/>
    </row>
    <row r="91" spans="18:25" ht="12.75" x14ac:dyDescent="0.2">
      <c r="R91" s="22"/>
      <c r="W91" s="22"/>
      <c r="X91" s="24"/>
      <c r="Y91" s="24"/>
    </row>
    <row r="92" spans="18:25" ht="12.75" x14ac:dyDescent="0.2">
      <c r="R92" s="22"/>
      <c r="W92" s="22"/>
      <c r="X92" s="24"/>
      <c r="Y92" s="24"/>
    </row>
    <row r="93" spans="18:25" ht="12.75" x14ac:dyDescent="0.2">
      <c r="R93" s="22"/>
      <c r="W93" s="22"/>
      <c r="X93" s="24"/>
      <c r="Y93" s="24"/>
    </row>
    <row r="94" spans="18:25" ht="12.75" x14ac:dyDescent="0.2">
      <c r="R94" s="22"/>
      <c r="W94" s="22"/>
      <c r="X94" s="24"/>
      <c r="Y94" s="24"/>
    </row>
    <row r="95" spans="18:25" ht="12.75" x14ac:dyDescent="0.2">
      <c r="R95" s="22"/>
      <c r="W95" s="22"/>
      <c r="X95" s="24"/>
      <c r="Y95" s="24"/>
    </row>
    <row r="96" spans="18:25" ht="12.75" x14ac:dyDescent="0.2">
      <c r="R96" s="22"/>
      <c r="W96" s="22"/>
      <c r="X96" s="24"/>
      <c r="Y96" s="24"/>
    </row>
    <row r="97" spans="18:25" ht="12.75" x14ac:dyDescent="0.2">
      <c r="R97" s="22"/>
      <c r="W97" s="22"/>
      <c r="X97" s="24"/>
      <c r="Y97" s="24"/>
    </row>
    <row r="98" spans="18:25" ht="12.75" x14ac:dyDescent="0.2">
      <c r="R98" s="22"/>
      <c r="W98" s="22"/>
      <c r="X98" s="24"/>
      <c r="Y98" s="24"/>
    </row>
    <row r="99" spans="18:25" ht="12.75" x14ac:dyDescent="0.2">
      <c r="R99" s="22"/>
      <c r="W99" s="22"/>
      <c r="X99" s="24"/>
      <c r="Y99" s="24"/>
    </row>
    <row r="100" spans="18:25" ht="12.75" x14ac:dyDescent="0.2">
      <c r="R100" s="22"/>
      <c r="W100" s="22"/>
      <c r="X100" s="24"/>
      <c r="Y100" s="24"/>
    </row>
    <row r="101" spans="18:25" ht="12.75" x14ac:dyDescent="0.2">
      <c r="R101" s="22"/>
      <c r="W101" s="22"/>
      <c r="X101" s="24"/>
      <c r="Y101" s="24"/>
    </row>
    <row r="102" spans="18:25" ht="12.75" x14ac:dyDescent="0.2">
      <c r="R102" s="22"/>
      <c r="W102" s="22"/>
      <c r="X102" s="24"/>
      <c r="Y102" s="24"/>
    </row>
    <row r="103" spans="18:25" ht="12.75" x14ac:dyDescent="0.2">
      <c r="R103" s="22"/>
      <c r="W103" s="22"/>
      <c r="X103" s="24"/>
      <c r="Y103" s="24"/>
    </row>
    <row r="104" spans="18:25" ht="12.75" x14ac:dyDescent="0.2">
      <c r="R104" s="22"/>
      <c r="W104" s="22"/>
      <c r="X104" s="24"/>
      <c r="Y104" s="24"/>
    </row>
    <row r="105" spans="18:25" ht="12.75" x14ac:dyDescent="0.2">
      <c r="R105" s="22"/>
      <c r="W105" s="22"/>
      <c r="X105" s="24"/>
      <c r="Y105" s="24"/>
    </row>
    <row r="106" spans="18:25" ht="12.75" x14ac:dyDescent="0.2">
      <c r="R106" s="22"/>
      <c r="W106" s="22"/>
      <c r="X106" s="24"/>
      <c r="Y106" s="24"/>
    </row>
    <row r="107" spans="18:25" ht="12.75" x14ac:dyDescent="0.2">
      <c r="R107" s="22"/>
      <c r="W107" s="22"/>
      <c r="X107" s="24"/>
      <c r="Y107" s="24"/>
    </row>
    <row r="108" spans="18:25" ht="12.75" x14ac:dyDescent="0.2">
      <c r="R108" s="22"/>
      <c r="W108" s="22"/>
      <c r="X108" s="24"/>
      <c r="Y108" s="24"/>
    </row>
    <row r="109" spans="18:25" ht="12.75" x14ac:dyDescent="0.2">
      <c r="R109" s="22"/>
      <c r="W109" s="22"/>
      <c r="X109" s="24"/>
      <c r="Y109" s="24"/>
    </row>
    <row r="110" spans="18:25" ht="12.75" x14ac:dyDescent="0.2">
      <c r="R110" s="22"/>
      <c r="W110" s="22"/>
      <c r="X110" s="24"/>
      <c r="Y110" s="24"/>
    </row>
    <row r="111" spans="18:25" ht="12.75" x14ac:dyDescent="0.2">
      <c r="R111" s="22"/>
      <c r="W111" s="22"/>
      <c r="X111" s="24"/>
      <c r="Y111" s="24"/>
    </row>
    <row r="112" spans="18:25" ht="12.75" x14ac:dyDescent="0.2">
      <c r="R112" s="22"/>
      <c r="W112" s="22"/>
      <c r="X112" s="24"/>
      <c r="Y112" s="24"/>
    </row>
    <row r="113" spans="18:25" ht="12.75" x14ac:dyDescent="0.2">
      <c r="R113" s="22"/>
      <c r="W113" s="22"/>
      <c r="X113" s="24"/>
      <c r="Y113" s="24"/>
    </row>
    <row r="114" spans="18:25" ht="12.75" x14ac:dyDescent="0.2">
      <c r="R114" s="22"/>
      <c r="W114" s="22"/>
      <c r="X114" s="24"/>
      <c r="Y114" s="24"/>
    </row>
    <row r="115" spans="18:25" ht="12.75" x14ac:dyDescent="0.2">
      <c r="R115" s="22"/>
      <c r="W115" s="22"/>
      <c r="X115" s="24"/>
      <c r="Y115" s="24"/>
    </row>
  </sheetData>
  <dataValidations count="2">
    <dataValidation type="list" allowBlank="1" showErrorMessage="1" sqref="V2:V39" xr:uid="{00000000-0002-0000-0000-000000000000}">
      <formula1>"DUYỆT,KHÔNG DUYỆT"</formula1>
    </dataValidation>
    <dataValidation type="list" allowBlank="1" sqref="X2:X15" xr:uid="{00000000-0002-0000-0000-000001000000}">
      <formula1>"DUYỆT,KHÔNG DUYỆT,CẦN ĐIỀU CHỈNH"</formula1>
    </dataValidation>
  </dataValidations>
  <pageMargins left="0.7" right="0.7" top="0.75" bottom="0.75" header="0.3" footer="0.3"/>
  <pageSetup paperSize="9" orientation="portrait" verticalDpi="0" r:id="rId1"/>
  <legacy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G368"/>
  <sheetViews>
    <sheetView workbookViewId="0"/>
  </sheetViews>
  <sheetFormatPr defaultColWidth="12.5703125" defaultRowHeight="15.75" customHeight="1" x14ac:dyDescent="0.2"/>
  <sheetData>
    <row r="1" spans="1:33" ht="15.75" customHeight="1" x14ac:dyDescent="0.2">
      <c r="A1" s="23" t="str">
        <f ca="1">IFERROR(__xludf.DUMMYFUNCTION("IMPORTRANGE(""https://docs.google.com/spreadsheets/d/1gy0OtAbsLVxVPj4cbXECZGwjdFVUDNAQ3Tej8bA6hhs/edit?gid=1891726666#gid=189172666"",""danh sách đăng ký!A:AG"")"),"Timestamp")</f>
        <v>Timestamp</v>
      </c>
      <c r="B1" s="23" t="str">
        <f ca="1">IFERROR(__xludf.DUMMYFUNCTION("""COMPUTED_VALUE"""),"Email Address")</f>
        <v>Email Address</v>
      </c>
      <c r="C1" s="23" t="str">
        <f ca="1">IFERROR(__xludf.DUMMYFUNCTION("""COMPUTED_VALUE"""),"Mã số sinh viên (đầy đủ)")</f>
        <v>Mã số sinh viên (đầy đủ)</v>
      </c>
      <c r="D1" s="23" t="str">
        <f ca="1">IFERROR(__xludf.DUMMYFUNCTION("""COMPUTED_VALUE"""),"Họ và tên")</f>
        <v>Họ và tên</v>
      </c>
      <c r="E1" s="23" t="str">
        <f ca="1">IFERROR(__xludf.DUMMYFUNCTION("""COMPUTED_VALUE"""),"Ngày sinh")</f>
        <v>Ngày sinh</v>
      </c>
      <c r="F1" s="23" t="str">
        <f ca="1">IFERROR(__xludf.DUMMYFUNCTION("""COMPUTED_VALUE"""),"Lớp (ví dụ: K23DLK 1)")</f>
        <v>Lớp (ví dụ: K23DLK 1)</v>
      </c>
      <c r="G1" s="23" t="str">
        <f ca="1">IFERROR(__xludf.DUMMYFUNCTION("""COMPUTED_VALUE"""),"Chuyên ngành")</f>
        <v>Chuyên ngành</v>
      </c>
      <c r="H1" s="23" t="str">
        <f ca="1">IFERROR(__xludf.DUMMYFUNCTION("""COMPUTED_VALUE"""),"Khóa (ví dụ: K23)")</f>
        <v>Khóa (ví dụ: K23)</v>
      </c>
      <c r="I1" s="23" t="str">
        <f ca="1">IFERROR(__xludf.DUMMYFUNCTION("""COMPUTED_VALUE"""),"Số điện thoại")</f>
        <v>Số điện thoại</v>
      </c>
      <c r="J1" s="23" t="str">
        <f ca="1">IFERROR(__xludf.DUMMYFUNCTION("""COMPUTED_VALUE"""),"Tham gia làm bài tốt nghiệp")</f>
        <v>Tham gia làm bài tốt nghiệp</v>
      </c>
      <c r="K1" s="23" t="str">
        <f ca="1">IFERROR(__xludf.DUMMYFUNCTION("""COMPUTED_VALUE"""),"Tên đơn vị thực tập (sinh viên đã được doanh nghiệp xác nhận nhận vào thực tập)")</f>
        <v>Tên đơn vị thực tập (sinh viên đã được doanh nghiệp xác nhận nhận vào thực tập)</v>
      </c>
      <c r="L1" s="23" t="str">
        <f ca="1">IFERROR(__xludf.DUMMYFUNCTION("""COMPUTED_VALUE"""),"Nếu sinh viên thực tập tại đơn vị khác, không có ở danh mục trên, nhập chính xác tên khách sạn tại đây")</f>
        <v>Nếu sinh viên thực tập tại đơn vị khác, không có ở danh mục trên, nhập chính xác tên khách sạn tại đây</v>
      </c>
      <c r="M1" s="23" t="str">
        <f ca="1">IFERROR(__xludf.DUMMYFUNCTION("""COMPUTED_VALUE"""),"Địa chỉ đơn vị thực tập")</f>
        <v>Địa chỉ đơn vị thực tập</v>
      </c>
      <c r="N1" s="23" t="str">
        <f ca="1">IFERROR(__xludf.DUMMYFUNCTION("""COMPUTED_VALUE"""),"Thành phố nơi thực tập")</f>
        <v>Thành phố nơi thực tập</v>
      </c>
      <c r="O1" s="23" t="str">
        <f ca="1">IFERROR(__xludf.DUMMYFUNCTION("""COMPUTED_VALUE"""),"Bộ phận thực tập")</f>
        <v>Bộ phận thực tập</v>
      </c>
      <c r="P1" s="23" t="str">
        <f ca="1">IFERROR(__xludf.DUMMYFUNCTION("""COMPUTED_VALUE"""),"Nếu sinh viên thực tập tại bộ phận khác, không có tại danh mục trên, nhập tên bộ phận thực tập tại đây")</f>
        <v>Nếu sinh viên thực tập tại bộ phận khác, không có tại danh mục trên, nhập tên bộ phận thực tập tại đây</v>
      </c>
      <c r="Q1" s="23" t="str">
        <f ca="1">IFERROR(__xludf.DUMMYFUNCTION("""COMPUTED_VALUE"""),"Ngày sinh viên nộp phiếu tiếp nhận sinh viên thực tập về Khoa")</f>
        <v>Ngày sinh viên nộp phiếu tiếp nhận sinh viên thực tập về Khoa</v>
      </c>
      <c r="R1" s="23" t="str">
        <f ca="1">IFERROR(__xludf.DUMMYFUNCTION("""COMPUTED_VALUE"""),"Em cam kết thông tin đã kê khai là hoàn toàn chính xác")</f>
        <v>Em cam kết thông tin đã kê khai là hoàn toàn chính xác</v>
      </c>
      <c r="S1" s="23" t="str">
        <f ca="1">IFERROR(__xludf.DUMMYFUNCTION("""COMPUTED_VALUE"""),"Tham gia làm bài tốt nghiệp")</f>
        <v>Tham gia làm bài tốt nghiệp</v>
      </c>
      <c r="T1" s="23" t="str">
        <f ca="1">IFERROR(__xludf.DUMMYFUNCTION("""COMPUTED_VALUE"""),"Nếu sinh viên làm Khóa luận TN, SV mong muốn được giảng viên nào hướng dẫn (SV nên liên lạc GV trước khi đăng ký)")</f>
        <v>Nếu sinh viên làm Khóa luận TN, SV mong muốn được giảng viên nào hướng dẫn (SV nên liên lạc GV trước khi đăng ký)</v>
      </c>
      <c r="U1" s="23" t="str">
        <f ca="1">IFERROR(__xludf.DUMMYFUNCTION("""COMPUTED_VALUE"""),"Ngày bắt đầu thực tập")</f>
        <v>Ngày bắt đầu thực tập</v>
      </c>
      <c r="V1" s="23" t="str">
        <f ca="1">IFERROR(__xludf.DUMMYFUNCTION("""COMPUTED_VALUE"""),"Ngày kết thúc thực tập")</f>
        <v>Ngày kết thúc thực tập</v>
      </c>
      <c r="W1" s="23" t="str">
        <f ca="1">IFERROR(__xludf.DUMMYFUNCTION("""COMPUTED_VALUE"""),"Mã phiếu tiếp nhận sv thực tập")</f>
        <v>Mã phiếu tiếp nhận sv thực tập</v>
      </c>
      <c r="X1" s="23" t="str">
        <f ca="1">IFERROR(__xludf.DUMMYFUNCTION("""COMPUTED_VALUE"""),"Ngày Khoa nhận phiếu tiếp nhận sinh viên thực tập")</f>
        <v>Ngày Khoa nhận phiếu tiếp nhận sinh viên thực tập</v>
      </c>
      <c r="Y1" s="23" t="str">
        <f ca="1">IFERROR(__xludf.DUMMYFUNCTION("""COMPUTED_VALUE"""),"Kết quả xét duyệt đơn vị thực tập")</f>
        <v>Kết quả xét duyệt đơn vị thực tập</v>
      </c>
      <c r="Z1" s="25" t="str">
        <f ca="1">IFERROR(__xludf.DUMMYFUNCTION("""COMPUTED_VALUE"""),"Ngày duyệt đơn vị thực tập")</f>
        <v>Ngày duyệt đơn vị thực tập</v>
      </c>
      <c r="AA1" s="25" t="str">
        <f ca="1">IFERROR(__xludf.DUMMYFUNCTION("""COMPUTED_VALUE"""),"DN khoa đã duyệt")</f>
        <v>DN khoa đã duyệt</v>
      </c>
      <c r="AB1" s="25" t="str">
        <f ca="1">IFERROR(__xludf.DUMMYFUNCTION("""COMPUTED_VALUE"""),"Bộ phận TT khoa đã duyệt")</f>
        <v>Bộ phận TT khoa đã duyệt</v>
      </c>
      <c r="AC1" s="23" t="str">
        <f ca="1">IFERROR(__xludf.DUMMYFUNCTION("""COMPUTED_VALUE"""),"Đơn xin tham dự tốt nghiệp")</f>
        <v>Đơn xin tham dự tốt nghiệp</v>
      </c>
      <c r="AD1" s="23" t="str">
        <f ca="1">IFERROR(__xludf.DUMMYFUNCTION("""COMPUTED_VALUE"""),"Ghi chú")</f>
        <v>Ghi chú</v>
      </c>
      <c r="AE1" s="23" t="str">
        <f ca="1">IFERROR(__xludf.DUMMYFUNCTION("""COMPUTED_VALUE"""),"Column 1")</f>
        <v>Column 1</v>
      </c>
      <c r="AF1" s="23" t="str">
        <f ca="1">IFERROR(__xludf.DUMMYFUNCTION("""COMPUTED_VALUE"""),"XÉT ĐIỀU KIỆN THỰC TẬP")</f>
        <v>XÉT ĐIỀU KIỆN THỰC TẬP</v>
      </c>
      <c r="AG1" s="23" t="str">
        <f ca="1">IFERROR(__xludf.DUMMYFUNCTION("""COMPUTED_VALUE"""),"giảng viên hướng dẫn")</f>
        <v>giảng viên hướng dẫn</v>
      </c>
    </row>
    <row r="2" spans="1:33" ht="15.75" customHeight="1" x14ac:dyDescent="0.2">
      <c r="A2" s="26">
        <f ca="1">IFERROR(__xludf.DUMMYFUNCTION("""COMPUTED_VALUE"""),45664.6439478935)</f>
        <v>45664.643947893499</v>
      </c>
      <c r="B2" s="23" t="str">
        <f ca="1">IFERROR(__xludf.DUMMYFUNCTION("""COMPUTED_VALUE"""),"kally1237@outlook.com")</f>
        <v>kally1237@outlook.com</v>
      </c>
      <c r="C2" s="23">
        <f ca="1">IFERROR(__xludf.DUMMYFUNCTION("""COMPUTED_VALUE"""),25207203811)</f>
        <v>25207203811</v>
      </c>
      <c r="D2" s="23" t="str">
        <f ca="1">IFERROR(__xludf.DUMMYFUNCTION("""COMPUTED_VALUE"""),"NGUYỄN THỊ KIỀU TRINH")</f>
        <v>NGUYỄN THỊ KIỀU TRINH</v>
      </c>
      <c r="E2" s="27">
        <f ca="1">IFERROR(__xludf.DUMMYFUNCTION("""COMPUTED_VALUE"""),36947)</f>
        <v>36947</v>
      </c>
      <c r="F2" s="23" t="str">
        <f ca="1">IFERROR(__xludf.DUMMYFUNCTION("""COMPUTED_VALUE"""),"K26PSUDLK3")</f>
        <v>K26PSUDLK3</v>
      </c>
      <c r="G2" s="23" t="str">
        <f ca="1">IFERROR(__xludf.DUMMYFUNCTION("""COMPUTED_VALUE"""),"Quản trị Du lịch &amp; Khách sạn chuẩn PSU")</f>
        <v>Quản trị Du lịch &amp; Khách sạn chuẩn PSU</v>
      </c>
      <c r="H2" s="23">
        <f ca="1">IFERROR(__xludf.DUMMYFUNCTION("""COMPUTED_VALUE"""),26)</f>
        <v>26</v>
      </c>
      <c r="I2" s="23" t="str">
        <f ca="1">IFERROR(__xludf.DUMMYFUNCTION("""COMPUTED_VALUE"""),"0898435704")</f>
        <v>0898435704</v>
      </c>
      <c r="J2" s="23" t="str">
        <f ca="1">IFERROR(__xludf.DUMMYFUNCTION("""COMPUTED_VALUE"""),"Chuyên đề")</f>
        <v>Chuyên đề</v>
      </c>
      <c r="K2" s="23" t="str">
        <f ca="1">IFERROR(__xludf.DUMMYFUNCTION("""COMPUTED_VALUE"""),"Melia ChiangMai ThaiLand")</f>
        <v>Melia ChiangMai ThaiLand</v>
      </c>
      <c r="L2" s="23" t="str">
        <f ca="1">IFERROR(__xludf.DUMMYFUNCTION("""COMPUTED_VALUE"""),"Melia ChiangMai ThaiLand")</f>
        <v>Melia ChiangMai ThaiLand</v>
      </c>
      <c r="M2" s="23" t="str">
        <f ca="1">IFERROR(__xludf.DUMMYFUNCTION("""COMPUTED_VALUE"""),"46, 48 Charoenprathet Road Chang Khlan, Thailand")</f>
        <v>46, 48 Charoenprathet Road Chang Khlan, Thailand</v>
      </c>
      <c r="N2" s="23" t="str">
        <f ca="1">IFERROR(__xludf.DUMMYFUNCTION("""COMPUTED_VALUE"""),"ChiangMai")</f>
        <v>ChiangMai</v>
      </c>
      <c r="O2" s="23" t="str">
        <f ca="1">IFERROR(__xludf.DUMMYFUNCTION("""COMPUTED_VALUE"""),"F&amp;B coordinator")</f>
        <v>F&amp;B coordinator</v>
      </c>
      <c r="P2" s="23" t="str">
        <f ca="1">IFERROR(__xludf.DUMMYFUNCTION("""COMPUTED_VALUE"""),"F&amp;B coordinator")</f>
        <v>F&amp;B coordinator</v>
      </c>
      <c r="Q2" s="23" t="str">
        <f ca="1">IFERROR(__xludf.DUMMYFUNCTION("""COMPUTED_VALUE"""),"06/01/2025")</f>
        <v>06/01/2025</v>
      </c>
      <c r="R2" s="23" t="str">
        <f ca="1">IFERROR(__xludf.DUMMYFUNCTION("""COMPUTED_VALUE"""),"cam kết")</f>
        <v>cam kết</v>
      </c>
      <c r="S2" s="23" t="str">
        <f ca="1">IFERROR(__xludf.DUMMYFUNCTION("""COMPUTED_VALUE"""),"Chuyên đề")</f>
        <v>Chuyên đề</v>
      </c>
      <c r="T2" s="23"/>
      <c r="U2" s="23"/>
      <c r="V2" s="23"/>
      <c r="W2" s="23">
        <f ca="1">IFERROR(__xludf.DUMMYFUNCTION("""COMPUTED_VALUE"""),1)</f>
        <v>1</v>
      </c>
      <c r="X2" s="28">
        <f ca="1">IFERROR(__xludf.DUMMYFUNCTION("""COMPUTED_VALUE"""),45870)</f>
        <v>45870</v>
      </c>
      <c r="Y2" s="23" t="str">
        <f ca="1">IFERROR(__xludf.DUMMYFUNCTION("""COMPUTED_VALUE"""),"DUYỆT")</f>
        <v>DUYỆT</v>
      </c>
      <c r="Z2" s="28">
        <f ca="1">IFERROR(__xludf.DUMMYFUNCTION("""COMPUTED_VALUE"""),45870)</f>
        <v>45870</v>
      </c>
      <c r="AA2" s="23" t="str">
        <f ca="1">IFERROR(__xludf.DUMMYFUNCTION("""COMPUTED_VALUE"""),"Melia ChiangMai ThaiLand")</f>
        <v>Melia ChiangMai ThaiLand</v>
      </c>
      <c r="AB2" s="23" t="str">
        <f ca="1">IFERROR(__xludf.DUMMYFUNCTION("""COMPUTED_VALUE"""),"F&amp;B coordinator")</f>
        <v>F&amp;B coordinator</v>
      </c>
      <c r="AC2" s="23" t="str">
        <f ca="1">IFERROR(__xludf.DUMMYFUNCTION("""COMPUTED_VALUE"""),"ĐÃ NỘP")</f>
        <v>ĐÃ NỘP</v>
      </c>
      <c r="AD2" s="23" t="str">
        <f ca="1">IFERROR(__xludf.DUMMYFUNCTION("""COMPUTED_VALUE"""),"Trưởng khoa đã duyệt đơn")</f>
        <v>Trưởng khoa đã duyệt đơn</v>
      </c>
      <c r="AE2" s="23" t="str">
        <f ca="1">IFERROR(__xludf.DUMMYFUNCTION("""COMPUTED_VALUE"""),"")</f>
        <v/>
      </c>
      <c r="AF2" s="23" t="str">
        <f ca="1">IFERROR(__xludf.DUMMYFUNCTION("""COMPUTED_VALUE"""),"CHUYÊN ĐỀ")</f>
        <v>CHUYÊN ĐỀ</v>
      </c>
      <c r="AG2" s="23" t="str">
        <f ca="1">IFERROR(__xludf.DUMMYFUNCTION("""COMPUTED_VALUE"""),"Đặng Thị Thùy Trang")</f>
        <v>Đặng Thị Thùy Trang</v>
      </c>
    </row>
    <row r="3" spans="1:33" ht="15.75" customHeight="1" x14ac:dyDescent="0.2">
      <c r="A3" s="26">
        <f ca="1">IFERROR(__xludf.DUMMYFUNCTION("""COMPUTED_VALUE"""),45665.3993351504)</f>
        <v>45665.399335150403</v>
      </c>
      <c r="B3" s="23" t="str">
        <f ca="1">IFERROR(__xludf.DUMMYFUNCTION("""COMPUTED_VALUE"""),"vantam1103@gmail.com")</f>
        <v>vantam1103@gmail.com</v>
      </c>
      <c r="C3" s="23">
        <f ca="1">IFERROR(__xludf.DUMMYFUNCTION("""COMPUTED_VALUE"""),25217103085)</f>
        <v>25217103085</v>
      </c>
      <c r="D3" s="23" t="str">
        <f ca="1">IFERROR(__xludf.DUMMYFUNCTION("""COMPUTED_VALUE"""),"Nguyễn Võ Văn Tâm")</f>
        <v>Nguyễn Võ Văn Tâm</v>
      </c>
      <c r="E3" s="27">
        <f ca="1">IFERROR(__xludf.DUMMYFUNCTION("""COMPUTED_VALUE"""),36961)</f>
        <v>36961</v>
      </c>
      <c r="F3" s="23" t="str">
        <f ca="1">IFERROR(__xludf.DUMMYFUNCTION("""COMPUTED_VALUE"""),"K25PSUDLK1")</f>
        <v>K25PSUDLK1</v>
      </c>
      <c r="G3" s="23" t="str">
        <f ca="1">IFERROR(__xludf.DUMMYFUNCTION("""COMPUTED_VALUE"""),"Quản trị Du lịch &amp; Khách sạn chuẩn PSU")</f>
        <v>Quản trị Du lịch &amp; Khách sạn chuẩn PSU</v>
      </c>
      <c r="H3" s="23">
        <f ca="1">IFERROR(__xludf.DUMMYFUNCTION("""COMPUTED_VALUE"""),25)</f>
        <v>25</v>
      </c>
      <c r="I3" s="23" t="str">
        <f ca="1">IFERROR(__xludf.DUMMYFUNCTION("""COMPUTED_VALUE"""),"0828025651")</f>
        <v>0828025651</v>
      </c>
      <c r="J3" s="23" t="str">
        <f ca="1">IFERROR(__xludf.DUMMYFUNCTION("""COMPUTED_VALUE"""),"Chuyên đề")</f>
        <v>Chuyên đề</v>
      </c>
      <c r="K3" s="23" t="str">
        <f ca="1">IFERROR(__xludf.DUMMYFUNCTION("""COMPUTED_VALUE"""),"Da Nang Mikazuki Japanese Resorts &amp; Spa")</f>
        <v>Da Nang Mikazuki Japanese Resorts &amp; Spa</v>
      </c>
      <c r="L3" s="23"/>
      <c r="M3" s="23" t="str">
        <f ca="1">IFERROR(__xludf.DUMMYFUNCTION("""COMPUTED_VALUE"""),"Khu du lịch Xuân Thiều, Đ. Nguyễn Tất Thành, P. Hòa Hiệp Nam, Q. Liên Chiểu, TP Đà Nẵng")</f>
        <v>Khu du lịch Xuân Thiều, Đ. Nguyễn Tất Thành, P. Hòa Hiệp Nam, Q. Liên Chiểu, TP Đà Nẵng</v>
      </c>
      <c r="N3" s="23" t="str">
        <f ca="1">IFERROR(__xludf.DUMMYFUNCTION("""COMPUTED_VALUE"""),"Tp. Đà Nẵng")</f>
        <v>Tp. Đà Nẵng</v>
      </c>
      <c r="O3" s="23" t="str">
        <f ca="1">IFERROR(__xludf.DUMMYFUNCTION("""COMPUTED_VALUE"""),"Nhà hàng")</f>
        <v>Nhà hàng</v>
      </c>
      <c r="P3" s="23"/>
      <c r="Q3" s="23" t="str">
        <f ca="1">IFERROR(__xludf.DUMMYFUNCTION("""COMPUTED_VALUE"""),"03/01/2025")</f>
        <v>03/01/2025</v>
      </c>
      <c r="R3" s="23" t="str">
        <f ca="1">IFERROR(__xludf.DUMMYFUNCTION("""COMPUTED_VALUE"""),"cam kết")</f>
        <v>cam kết</v>
      </c>
      <c r="S3" s="23" t="str">
        <f ca="1">IFERROR(__xludf.DUMMYFUNCTION("""COMPUTED_VALUE"""),"Chuyên đề")</f>
        <v>Chuyên đề</v>
      </c>
      <c r="T3" s="23" t="str">
        <f ca="1">IFERROR(__xludf.DUMMYFUNCTION("""COMPUTED_VALUE"""),"Hồ Sử Minh Tài")</f>
        <v>Hồ Sử Minh Tài</v>
      </c>
      <c r="U3" s="23"/>
      <c r="V3" s="23"/>
      <c r="W3" s="23">
        <f ca="1">IFERROR(__xludf.DUMMYFUNCTION("""COMPUTED_VALUE"""),2)</f>
        <v>2</v>
      </c>
      <c r="X3" s="28">
        <f ca="1">IFERROR(__xludf.DUMMYFUNCTION("""COMPUTED_VALUE"""),45870)</f>
        <v>45870</v>
      </c>
      <c r="Y3" s="23" t="str">
        <f ca="1">IFERROR(__xludf.DUMMYFUNCTION("""COMPUTED_VALUE"""),"DUYỆT")</f>
        <v>DUYỆT</v>
      </c>
      <c r="Z3" s="28">
        <f ca="1">IFERROR(__xludf.DUMMYFUNCTION("""COMPUTED_VALUE"""),45870)</f>
        <v>45870</v>
      </c>
      <c r="AA3" s="23" t="str">
        <f ca="1">IFERROR(__xludf.DUMMYFUNCTION("""COMPUTED_VALUE"""),"Da Nang Mikazuki Japanese Resorts &amp; Spa")</f>
        <v>Da Nang Mikazuki Japanese Resorts &amp; Spa</v>
      </c>
      <c r="AB3" s="23" t="str">
        <f ca="1">IFERROR(__xludf.DUMMYFUNCTION("""COMPUTED_VALUE"""),"Nhà hàng")</f>
        <v>Nhà hàng</v>
      </c>
      <c r="AC3" s="23" t="str">
        <f ca="1">IFERROR(__xludf.DUMMYFUNCTION("""COMPUTED_VALUE"""),"ĐÃ NỘP")</f>
        <v>ĐÃ NỘP</v>
      </c>
      <c r="AD3" s="23" t="str">
        <f ca="1">IFERROR(__xludf.DUMMYFUNCTION("""COMPUTED_VALUE"""),"Trưởng khoa đã duyệt đơn")</f>
        <v>Trưởng khoa đã duyệt đơn</v>
      </c>
      <c r="AE3" s="23" t="str">
        <f ca="1">IFERROR(__xludf.DUMMYFUNCTION("""COMPUTED_VALUE"""),"")</f>
        <v/>
      </c>
      <c r="AF3" s="23" t="str">
        <f ca="1">IFERROR(__xludf.DUMMYFUNCTION("""COMPUTED_VALUE"""),"CHUYÊN ĐỀ")</f>
        <v>CHUYÊN ĐỀ</v>
      </c>
      <c r="AG3" s="23" t="str">
        <f ca="1">IFERROR(__xludf.DUMMYFUNCTION("""COMPUTED_VALUE"""),"Ngô Thị Thanh Nga")</f>
        <v>Ngô Thị Thanh Nga</v>
      </c>
    </row>
    <row r="4" spans="1:33" ht="15.75" customHeight="1" x14ac:dyDescent="0.2">
      <c r="A4" s="26">
        <f ca="1">IFERROR(__xludf.DUMMYFUNCTION("""COMPUTED_VALUE"""),45665.4038129282)</f>
        <v>45665.403812928198</v>
      </c>
      <c r="B4" s="23" t="str">
        <f ca="1">IFERROR(__xludf.DUMMYFUNCTION("""COMPUTED_VALUE"""),"kurot1910@gmail.com")</f>
        <v>kurot1910@gmail.com</v>
      </c>
      <c r="C4" s="23">
        <f ca="1">IFERROR(__xludf.DUMMYFUNCTION("""COMPUTED_VALUE"""),26217135177)</f>
        <v>26217135177</v>
      </c>
      <c r="D4" s="23" t="str">
        <f ca="1">IFERROR(__xludf.DUMMYFUNCTION("""COMPUTED_VALUE"""),"Nguyễn Ngọc Nhân")</f>
        <v>Nguyễn Ngọc Nhân</v>
      </c>
      <c r="E4" s="27">
        <f ca="1">IFERROR(__xludf.DUMMYFUNCTION("""COMPUTED_VALUE"""),37548)</f>
        <v>37548</v>
      </c>
      <c r="F4" s="23" t="str">
        <f ca="1">IFERROR(__xludf.DUMMYFUNCTION("""COMPUTED_VALUE"""),"K26DLK16")</f>
        <v>K26DLK16</v>
      </c>
      <c r="G4" s="23" t="str">
        <f ca="1">IFERROR(__xludf.DUMMYFUNCTION("""COMPUTED_VALUE"""),"Quản trị Du lịch &amp; Khách sạn")</f>
        <v>Quản trị Du lịch &amp; Khách sạn</v>
      </c>
      <c r="H4" s="23">
        <f ca="1">IFERROR(__xludf.DUMMYFUNCTION("""COMPUTED_VALUE"""),26)</f>
        <v>26</v>
      </c>
      <c r="I4" s="23" t="str">
        <f ca="1">IFERROR(__xludf.DUMMYFUNCTION("""COMPUTED_VALUE"""),"0905510617")</f>
        <v>0905510617</v>
      </c>
      <c r="J4" s="23" t="str">
        <f ca="1">IFERROR(__xludf.DUMMYFUNCTION("""COMPUTED_VALUE"""),"Chuyên đề")</f>
        <v>Chuyên đề</v>
      </c>
      <c r="K4" s="23" t="str">
        <f ca="1">IFERROR(__xludf.DUMMYFUNCTION("""COMPUTED_VALUE"""),"Le Sands Oceanfront Da Nang Hotel")</f>
        <v>Le Sands Oceanfront Da Nang Hotel</v>
      </c>
      <c r="L4" s="23" t="str">
        <f ca="1">IFERROR(__xludf.DUMMYFUNCTION("""COMPUTED_VALUE"""),"Không có")</f>
        <v>Không có</v>
      </c>
      <c r="M4" s="23" t="str">
        <f ca="1">IFERROR(__xludf.DUMMYFUNCTION("""COMPUTED_VALUE"""),"28 Võ Nguyên Giáp, Mân Thái, Sơn Trà, Đà Nẵng")</f>
        <v>28 Võ Nguyên Giáp, Mân Thái, Sơn Trà, Đà Nẵng</v>
      </c>
      <c r="N4" s="23" t="str">
        <f ca="1">IFERROR(__xludf.DUMMYFUNCTION("""COMPUTED_VALUE"""),"Đà Nẵng")</f>
        <v>Đà Nẵng</v>
      </c>
      <c r="O4" s="23" t="str">
        <f ca="1">IFERROR(__xludf.DUMMYFUNCTION("""COMPUTED_VALUE"""),"Nhà hàng")</f>
        <v>Nhà hàng</v>
      </c>
      <c r="P4" s="23" t="str">
        <f ca="1">IFERROR(__xludf.DUMMYFUNCTION("""COMPUTED_VALUE"""),"Không có")</f>
        <v>Không có</v>
      </c>
      <c r="Q4" s="23" t="str">
        <f ca="1">IFERROR(__xludf.DUMMYFUNCTION("""COMPUTED_VALUE"""),"8/1/2025")</f>
        <v>8/1/2025</v>
      </c>
      <c r="R4" s="23" t="str">
        <f ca="1">IFERROR(__xludf.DUMMYFUNCTION("""COMPUTED_VALUE"""),"cam kết")</f>
        <v>cam kết</v>
      </c>
      <c r="S4" s="23" t="str">
        <f ca="1">IFERROR(__xludf.DUMMYFUNCTION("""COMPUTED_VALUE"""),"Chuyên đề")</f>
        <v>Chuyên đề</v>
      </c>
      <c r="T4" s="23" t="str">
        <f ca="1">IFERROR(__xludf.DUMMYFUNCTION("""COMPUTED_VALUE"""),"Phạm Thị Thu Thủy")</f>
        <v>Phạm Thị Thu Thủy</v>
      </c>
      <c r="U4" s="23"/>
      <c r="V4" s="23"/>
      <c r="W4" s="23">
        <f ca="1">IFERROR(__xludf.DUMMYFUNCTION("""COMPUTED_VALUE"""),3)</f>
        <v>3</v>
      </c>
      <c r="X4" s="28">
        <f ca="1">IFERROR(__xludf.DUMMYFUNCTION("""COMPUTED_VALUE"""),45870)</f>
        <v>45870</v>
      </c>
      <c r="Y4" s="23" t="str">
        <f ca="1">IFERROR(__xludf.DUMMYFUNCTION("""COMPUTED_VALUE"""),"DUYỆT")</f>
        <v>DUYỆT</v>
      </c>
      <c r="Z4" s="28">
        <f ca="1">IFERROR(__xludf.DUMMYFUNCTION("""COMPUTED_VALUE"""),45870)</f>
        <v>45870</v>
      </c>
      <c r="AA4" s="23" t="str">
        <f ca="1">IFERROR(__xludf.DUMMYFUNCTION("""COMPUTED_VALUE"""),"Le Sands Oceanfront Da Nang Hotel")</f>
        <v>Le Sands Oceanfront Da Nang Hotel</v>
      </c>
      <c r="AB4" s="23" t="str">
        <f ca="1">IFERROR(__xludf.DUMMYFUNCTION("""COMPUTED_VALUE"""),"Nhà hàng")</f>
        <v>Nhà hàng</v>
      </c>
      <c r="AC4" s="23" t="str">
        <f ca="1">IFERROR(__xludf.DUMMYFUNCTION("""COMPUTED_VALUE"""),"ĐÃ NỘP")</f>
        <v>ĐÃ NỘP</v>
      </c>
      <c r="AD4" s="23" t="str">
        <f ca="1">IFERROR(__xludf.DUMMYFUNCTION("""COMPUTED_VALUE"""),"Trưởng khoa đã duyệt đơn")</f>
        <v>Trưởng khoa đã duyệt đơn</v>
      </c>
      <c r="AE4" s="23" t="str">
        <f ca="1">IFERROR(__xludf.DUMMYFUNCTION("""COMPUTED_VALUE"""),"")</f>
        <v/>
      </c>
      <c r="AF4" s="23" t="str">
        <f ca="1">IFERROR(__xludf.DUMMYFUNCTION("""COMPUTED_VALUE"""),"CHUYÊN ĐỀ")</f>
        <v>CHUYÊN ĐỀ</v>
      </c>
      <c r="AG4" s="23" t="str">
        <f ca="1">IFERROR(__xludf.DUMMYFUNCTION("""COMPUTED_VALUE"""),"Huỳnh Lý Thùy Linh")</f>
        <v>Huỳnh Lý Thùy Linh</v>
      </c>
    </row>
    <row r="5" spans="1:33" ht="15.75" customHeight="1" x14ac:dyDescent="0.2">
      <c r="A5" s="26">
        <f ca="1">IFERROR(__xludf.DUMMYFUNCTION("""COMPUTED_VALUE"""),45665.4042152893)</f>
        <v>45665.404215289302</v>
      </c>
      <c r="B5" s="23" t="str">
        <f ca="1">IFERROR(__xludf.DUMMYFUNCTION("""COMPUTED_VALUE"""),"minhtringuyentruong08@gmail.com")</f>
        <v>minhtringuyentruong08@gmail.com</v>
      </c>
      <c r="C5" s="23">
        <f ca="1">IFERROR(__xludf.DUMMYFUNCTION("""COMPUTED_VALUE"""),26217236080)</f>
        <v>26217236080</v>
      </c>
      <c r="D5" s="23" t="str">
        <f ca="1">IFERROR(__xludf.DUMMYFUNCTION("""COMPUTED_VALUE"""),"Nguyễn Trương Minh Trí")</f>
        <v>Nguyễn Trương Minh Trí</v>
      </c>
      <c r="E5" s="27">
        <f ca="1">IFERROR(__xludf.DUMMYFUNCTION("""COMPUTED_VALUE"""),37107)</f>
        <v>37107</v>
      </c>
      <c r="F5" s="23" t="str">
        <f ca="1">IFERROR(__xludf.DUMMYFUNCTION("""COMPUTED_VALUE"""),"K26DLK16")</f>
        <v>K26DLK16</v>
      </c>
      <c r="G5" s="23" t="str">
        <f ca="1">IFERROR(__xludf.DUMMYFUNCTION("""COMPUTED_VALUE"""),"Quản trị Du lịch &amp; Khách sạn")</f>
        <v>Quản trị Du lịch &amp; Khách sạn</v>
      </c>
      <c r="H5" s="23">
        <f ca="1">IFERROR(__xludf.DUMMYFUNCTION("""COMPUTED_VALUE"""),26)</f>
        <v>26</v>
      </c>
      <c r="I5" s="23" t="str">
        <f ca="1">IFERROR(__xludf.DUMMYFUNCTION("""COMPUTED_VALUE"""),"0348222256")</f>
        <v>0348222256</v>
      </c>
      <c r="J5" s="23" t="str">
        <f ca="1">IFERROR(__xludf.DUMMYFUNCTION("""COMPUTED_VALUE"""),"Chuyên đề")</f>
        <v>Chuyên đề</v>
      </c>
      <c r="K5" s="23" t="str">
        <f ca="1">IFERROR(__xludf.DUMMYFUNCTION("""COMPUTED_VALUE"""),"Le Sands Oceanfront Da Nang Hotel")</f>
        <v>Le Sands Oceanfront Da Nang Hotel</v>
      </c>
      <c r="L5" s="23" t="str">
        <f ca="1">IFERROR(__xludf.DUMMYFUNCTION("""COMPUTED_VALUE"""),"Không có ")</f>
        <v xml:space="preserve">Không có </v>
      </c>
      <c r="M5" s="23" t="str">
        <f ca="1">IFERROR(__xludf.DUMMYFUNCTION("""COMPUTED_VALUE"""),"28 Võ Nguyên Giáp, Mân Thái, Sơn Trà, Đà Nẵng")</f>
        <v>28 Võ Nguyên Giáp, Mân Thái, Sơn Trà, Đà Nẵng</v>
      </c>
      <c r="N5" s="23" t="str">
        <f ca="1">IFERROR(__xludf.DUMMYFUNCTION("""COMPUTED_VALUE"""),"Đà Nẵng")</f>
        <v>Đà Nẵng</v>
      </c>
      <c r="O5" s="23" t="str">
        <f ca="1">IFERROR(__xludf.DUMMYFUNCTION("""COMPUTED_VALUE"""),"Nhà hàng")</f>
        <v>Nhà hàng</v>
      </c>
      <c r="P5" s="23" t="str">
        <f ca="1">IFERROR(__xludf.DUMMYFUNCTION("""COMPUTED_VALUE"""),"Không có ")</f>
        <v xml:space="preserve">Không có </v>
      </c>
      <c r="Q5" s="23" t="str">
        <f ca="1">IFERROR(__xludf.DUMMYFUNCTION("""COMPUTED_VALUE"""),"08/01/2025")</f>
        <v>08/01/2025</v>
      </c>
      <c r="R5" s="23" t="str">
        <f ca="1">IFERROR(__xludf.DUMMYFUNCTION("""COMPUTED_VALUE"""),"cam kết")</f>
        <v>cam kết</v>
      </c>
      <c r="S5" s="23" t="str">
        <f ca="1">IFERROR(__xludf.DUMMYFUNCTION("""COMPUTED_VALUE"""),"Chuyên đề")</f>
        <v>Chuyên đề</v>
      </c>
      <c r="T5" s="23" t="str">
        <f ca="1">IFERROR(__xludf.DUMMYFUNCTION("""COMPUTED_VALUE"""),"Trần Hoàng Anh")</f>
        <v>Trần Hoàng Anh</v>
      </c>
      <c r="U5" s="23"/>
      <c r="V5" s="23"/>
      <c r="W5" s="23">
        <f ca="1">IFERROR(__xludf.DUMMYFUNCTION("""COMPUTED_VALUE"""),4)</f>
        <v>4</v>
      </c>
      <c r="X5" s="28">
        <f ca="1">IFERROR(__xludf.DUMMYFUNCTION("""COMPUTED_VALUE"""),45870)</f>
        <v>45870</v>
      </c>
      <c r="Y5" s="23" t="str">
        <f ca="1">IFERROR(__xludf.DUMMYFUNCTION("""COMPUTED_VALUE"""),"DUYỆT")</f>
        <v>DUYỆT</v>
      </c>
      <c r="Z5" s="28">
        <f ca="1">IFERROR(__xludf.DUMMYFUNCTION("""COMPUTED_VALUE"""),45870)</f>
        <v>45870</v>
      </c>
      <c r="AA5" s="23" t="str">
        <f ca="1">IFERROR(__xludf.DUMMYFUNCTION("""COMPUTED_VALUE"""),"Le Sands Oceanfront Da Nang Hotel")</f>
        <v>Le Sands Oceanfront Da Nang Hotel</v>
      </c>
      <c r="AB5" s="23" t="str">
        <f ca="1">IFERROR(__xludf.DUMMYFUNCTION("""COMPUTED_VALUE"""),"Nhà hàng")</f>
        <v>Nhà hàng</v>
      </c>
      <c r="AC5" s="23" t="str">
        <f ca="1">IFERROR(__xludf.DUMMYFUNCTION("""COMPUTED_VALUE"""),"ĐÃ NỘP")</f>
        <v>ĐÃ NỘP</v>
      </c>
      <c r="AD5" s="23" t="str">
        <f ca="1">IFERROR(__xludf.DUMMYFUNCTION("""COMPUTED_VALUE"""),"Trưởng khoa đã duyệt đơn")</f>
        <v>Trưởng khoa đã duyệt đơn</v>
      </c>
      <c r="AE5" s="23" t="str">
        <f ca="1">IFERROR(__xludf.DUMMYFUNCTION("""COMPUTED_VALUE"""),"")</f>
        <v/>
      </c>
      <c r="AF5" s="23" t="str">
        <f ca="1">IFERROR(__xludf.DUMMYFUNCTION("""COMPUTED_VALUE"""),"CHUYÊN ĐỀ")</f>
        <v>CHUYÊN ĐỀ</v>
      </c>
      <c r="AG5" s="23" t="str">
        <f ca="1">IFERROR(__xludf.DUMMYFUNCTION("""COMPUTED_VALUE"""),"Huỳnh Lý Thùy Linh")</f>
        <v>Huỳnh Lý Thùy Linh</v>
      </c>
    </row>
    <row r="6" spans="1:33" ht="15.75" customHeight="1" x14ac:dyDescent="0.2">
      <c r="A6" s="26">
        <f ca="1">IFERROR(__xludf.DUMMYFUNCTION("""COMPUTED_VALUE"""),45665.6123378935)</f>
        <v>45665.612337893501</v>
      </c>
      <c r="B6" s="23" t="str">
        <f ca="1">IFERROR(__xludf.DUMMYFUNCTION("""COMPUTED_VALUE"""),"nguyenthithanhnhung2588@gmail.com")</f>
        <v>nguyenthithanhnhung2588@gmail.com</v>
      </c>
      <c r="C6" s="23">
        <f ca="1">IFERROR(__xludf.DUMMYFUNCTION("""COMPUTED_VALUE"""),27207133206)</f>
        <v>27207133206</v>
      </c>
      <c r="D6" s="23" t="str">
        <f ca="1">IFERROR(__xludf.DUMMYFUNCTION("""COMPUTED_VALUE"""),"Nguyễn Thị Thanh Nhung ")</f>
        <v xml:space="preserve">Nguyễn Thị Thanh Nhung </v>
      </c>
      <c r="E6" s="27">
        <f ca="1">IFERROR(__xludf.DUMMYFUNCTION("""COMPUTED_VALUE"""),37672)</f>
        <v>37672</v>
      </c>
      <c r="F6" s="23" t="str">
        <f ca="1">IFERROR(__xludf.DUMMYFUNCTION("""COMPUTED_VALUE"""),"K27DLK 2")</f>
        <v>K27DLK 2</v>
      </c>
      <c r="G6" s="23" t="str">
        <f ca="1">IFERROR(__xludf.DUMMYFUNCTION("""COMPUTED_VALUE"""),"Quản trị Du lịch &amp; Khách sạn")</f>
        <v>Quản trị Du lịch &amp; Khách sạn</v>
      </c>
      <c r="H6" s="23">
        <f ca="1">IFERROR(__xludf.DUMMYFUNCTION("""COMPUTED_VALUE"""),27)</f>
        <v>27</v>
      </c>
      <c r="I6" s="23" t="str">
        <f ca="1">IFERROR(__xludf.DUMMYFUNCTION("""COMPUTED_VALUE"""),"0832765506")</f>
        <v>0832765506</v>
      </c>
      <c r="J6" s="23" t="str">
        <f ca="1">IFERROR(__xludf.DUMMYFUNCTION("""COMPUTED_VALUE"""),"Chuyên đề")</f>
        <v>Chuyên đề</v>
      </c>
      <c r="K6" s="23" t="str">
        <f ca="1">IFERROR(__xludf.DUMMYFUNCTION("""COMPUTED_VALUE"""),"Novotel DaNang Premier Han River")</f>
        <v>Novotel DaNang Premier Han River</v>
      </c>
      <c r="L6" s="23"/>
      <c r="M6" s="23" t="str">
        <f ca="1">IFERROR(__xludf.DUMMYFUNCTION("""COMPUTED_VALUE"""),"36 Bạch Đằng, Thạch Thang, Hải Châu, Đà Năng")</f>
        <v>36 Bạch Đằng, Thạch Thang, Hải Châu, Đà Năng</v>
      </c>
      <c r="N6" s="23" t="str">
        <f ca="1">IFERROR(__xludf.DUMMYFUNCTION("""COMPUTED_VALUE"""),"Đà Nẵng")</f>
        <v>Đà Nẵng</v>
      </c>
      <c r="O6" s="23" t="str">
        <f ca="1">IFERROR(__xludf.DUMMYFUNCTION("""COMPUTED_VALUE"""),"Nhà hàng")</f>
        <v>Nhà hàng</v>
      </c>
      <c r="P6" s="23"/>
      <c r="Q6" s="23" t="str">
        <f ca="1">IFERROR(__xludf.DUMMYFUNCTION("""COMPUTED_VALUE"""),"7/1/2025")</f>
        <v>7/1/2025</v>
      </c>
      <c r="R6" s="23" t="str">
        <f ca="1">IFERROR(__xludf.DUMMYFUNCTION("""COMPUTED_VALUE"""),"cam kết")</f>
        <v>cam kết</v>
      </c>
      <c r="S6" s="23" t="str">
        <f ca="1">IFERROR(__xludf.DUMMYFUNCTION("""COMPUTED_VALUE"""),"Chuyên đề")</f>
        <v>Chuyên đề</v>
      </c>
      <c r="T6" s="23"/>
      <c r="U6" s="23"/>
      <c r="V6" s="23"/>
      <c r="W6" s="23">
        <f ca="1">IFERROR(__xludf.DUMMYFUNCTION("""COMPUTED_VALUE"""),5)</f>
        <v>5</v>
      </c>
      <c r="X6" s="28">
        <f ca="1">IFERROR(__xludf.DUMMYFUNCTION("""COMPUTED_VALUE"""),45870)</f>
        <v>45870</v>
      </c>
      <c r="Y6" s="23" t="str">
        <f ca="1">IFERROR(__xludf.DUMMYFUNCTION("""COMPUTED_VALUE"""),"DUYỆT")</f>
        <v>DUYỆT</v>
      </c>
      <c r="Z6" s="28">
        <f ca="1">IFERROR(__xludf.DUMMYFUNCTION("""COMPUTED_VALUE"""),45870)</f>
        <v>45870</v>
      </c>
      <c r="AA6" s="23" t="str">
        <f ca="1">IFERROR(__xludf.DUMMYFUNCTION("""COMPUTED_VALUE"""),"Novotel DaNang Premier Han River")</f>
        <v>Novotel DaNang Premier Han River</v>
      </c>
      <c r="AB6" s="23" t="str">
        <f ca="1">IFERROR(__xludf.DUMMYFUNCTION("""COMPUTED_VALUE"""),"Nhà hàng")</f>
        <v>Nhà hàng</v>
      </c>
      <c r="AC6" s="23"/>
      <c r="AD6" s="23"/>
      <c r="AE6" s="23" t="str">
        <f ca="1">IFERROR(__xludf.DUMMYFUNCTION("""COMPUTED_VALUE"""),"")</f>
        <v/>
      </c>
      <c r="AF6" s="23" t="str">
        <f ca="1">IFERROR(__xludf.DUMMYFUNCTION("""COMPUTED_VALUE"""),"CHUYÊN ĐỀ")</f>
        <v>CHUYÊN ĐỀ</v>
      </c>
      <c r="AG6" s="23" t="str">
        <f ca="1">IFERROR(__xludf.DUMMYFUNCTION("""COMPUTED_VALUE"""),"Nguyễn Thị Minh Thư")</f>
        <v>Nguyễn Thị Minh Thư</v>
      </c>
    </row>
    <row r="7" spans="1:33" ht="15.75" customHeight="1" x14ac:dyDescent="0.2">
      <c r="A7" s="26">
        <f ca="1">IFERROR(__xludf.DUMMYFUNCTION("""COMPUTED_VALUE"""),45665.6140569097)</f>
        <v>45665.614056909697</v>
      </c>
      <c r="B7" s="23" t="str">
        <f ca="1">IFERROR(__xludf.DUMMYFUNCTION("""COMPUTED_VALUE"""),"phuongdiem1323@gmail.com")</f>
        <v>phuongdiem1323@gmail.com</v>
      </c>
      <c r="C7" s="23">
        <f ca="1">IFERROR(__xludf.DUMMYFUNCTION("""COMPUTED_VALUE"""),27217133907)</f>
        <v>27217133907</v>
      </c>
      <c r="D7" s="23" t="str">
        <f ca="1">IFERROR(__xludf.DUMMYFUNCTION("""COMPUTED_VALUE"""),"Trần Phương Diễm")</f>
        <v>Trần Phương Diễm</v>
      </c>
      <c r="E7" s="27">
        <f ca="1">IFERROR(__xludf.DUMMYFUNCTION("""COMPUTED_VALUE"""),37754)</f>
        <v>37754</v>
      </c>
      <c r="F7" s="23" t="str">
        <f ca="1">IFERROR(__xludf.DUMMYFUNCTION("""COMPUTED_VALUE"""),"K27DLK6")</f>
        <v>K27DLK6</v>
      </c>
      <c r="G7" s="23" t="str">
        <f ca="1">IFERROR(__xludf.DUMMYFUNCTION("""COMPUTED_VALUE"""),"Quản trị Du lịch &amp; Khách sạn")</f>
        <v>Quản trị Du lịch &amp; Khách sạn</v>
      </c>
      <c r="H7" s="23">
        <f ca="1">IFERROR(__xludf.DUMMYFUNCTION("""COMPUTED_VALUE"""),27)</f>
        <v>27</v>
      </c>
      <c r="I7" s="23" t="str">
        <f ca="1">IFERROR(__xludf.DUMMYFUNCTION("""COMPUTED_VALUE"""),"0354526023")</f>
        <v>0354526023</v>
      </c>
      <c r="J7" s="23" t="str">
        <f ca="1">IFERROR(__xludf.DUMMYFUNCTION("""COMPUTED_VALUE"""),"Chuyên đề")</f>
        <v>Chuyên đề</v>
      </c>
      <c r="K7" s="23" t="str">
        <f ca="1">IFERROR(__xludf.DUMMYFUNCTION("""COMPUTED_VALUE"""),"Khách sạn Như Minh Plaza")</f>
        <v>Khách sạn Như Minh Plaza</v>
      </c>
      <c r="L7" s="23"/>
      <c r="M7" s="23" t="str">
        <f ca="1">IFERROR(__xludf.DUMMYFUNCTION("""COMPUTED_VALUE"""),"41 Phạm Văn Đồng, An Hải Bắc, Sơn Trà, Đà Nẵng")</f>
        <v>41 Phạm Văn Đồng, An Hải Bắc, Sơn Trà, Đà Nẵng</v>
      </c>
      <c r="N7" s="23" t="str">
        <f ca="1">IFERROR(__xludf.DUMMYFUNCTION("""COMPUTED_VALUE"""),"Đà Nẵng")</f>
        <v>Đà Nẵng</v>
      </c>
      <c r="O7" s="23" t="str">
        <f ca="1">IFERROR(__xludf.DUMMYFUNCTION("""COMPUTED_VALUE"""),"Tiền sảnh")</f>
        <v>Tiền sảnh</v>
      </c>
      <c r="P7" s="23"/>
      <c r="Q7" s="23" t="str">
        <f ca="1">IFERROR(__xludf.DUMMYFUNCTION("""COMPUTED_VALUE"""),"8/1/2025")</f>
        <v>8/1/2025</v>
      </c>
      <c r="R7" s="23" t="str">
        <f ca="1">IFERROR(__xludf.DUMMYFUNCTION("""COMPUTED_VALUE"""),"cam kết")</f>
        <v>cam kết</v>
      </c>
      <c r="S7" s="23" t="str">
        <f ca="1">IFERROR(__xludf.DUMMYFUNCTION("""COMPUTED_VALUE"""),"Chuyên đề")</f>
        <v>Chuyên đề</v>
      </c>
      <c r="T7" s="23"/>
      <c r="U7" s="23"/>
      <c r="V7" s="23"/>
      <c r="W7" s="23">
        <f ca="1">IFERROR(__xludf.DUMMYFUNCTION("""COMPUTED_VALUE"""),6)</f>
        <v>6</v>
      </c>
      <c r="X7" s="28">
        <f ca="1">IFERROR(__xludf.DUMMYFUNCTION("""COMPUTED_VALUE"""),45901)</f>
        <v>45901</v>
      </c>
      <c r="Y7" s="23" t="str">
        <f ca="1">IFERROR(__xludf.DUMMYFUNCTION("""COMPUTED_VALUE"""),"DUYỆT")</f>
        <v>DUYỆT</v>
      </c>
      <c r="Z7" s="28">
        <f ca="1">IFERROR(__xludf.DUMMYFUNCTION("""COMPUTED_VALUE"""),45870)</f>
        <v>45870</v>
      </c>
      <c r="AA7" s="23" t="str">
        <f ca="1">IFERROR(__xludf.DUMMYFUNCTION("""COMPUTED_VALUE"""),"Khách sạn Như Minh Plaza")</f>
        <v>Khách sạn Như Minh Plaza</v>
      </c>
      <c r="AB7" s="23" t="str">
        <f ca="1">IFERROR(__xludf.DUMMYFUNCTION("""COMPUTED_VALUE"""),"Tiền sảnh")</f>
        <v>Tiền sảnh</v>
      </c>
      <c r="AC7" s="23"/>
      <c r="AD7" s="23"/>
      <c r="AE7" s="23" t="str">
        <f ca="1">IFERROR(__xludf.DUMMYFUNCTION("""COMPUTED_VALUE"""),"")</f>
        <v/>
      </c>
      <c r="AF7" s="23" t="str">
        <f ca="1">IFERROR(__xludf.DUMMYFUNCTION("""COMPUTED_VALUE"""),"CHUYÊN ĐỀ")</f>
        <v>CHUYÊN ĐỀ</v>
      </c>
      <c r="AG7" s="23" t="str">
        <f ca="1">IFERROR(__xludf.DUMMYFUNCTION("""COMPUTED_VALUE"""),"Bùi Lê Anh Phương")</f>
        <v>Bùi Lê Anh Phương</v>
      </c>
    </row>
    <row r="8" spans="1:33" ht="15.75" customHeight="1" x14ac:dyDescent="0.2">
      <c r="A8" s="26">
        <f ca="1">IFERROR(__xludf.DUMMYFUNCTION("""COMPUTED_VALUE"""),45665.6144489814)</f>
        <v>45665.614448981403</v>
      </c>
      <c r="B8" s="23" t="str">
        <f ca="1">IFERROR(__xludf.DUMMYFUNCTION("""COMPUTED_VALUE"""),"nhuthien2808@gmail.com")</f>
        <v>nhuthien2808@gmail.com</v>
      </c>
      <c r="C8" s="23">
        <f ca="1">IFERROR(__xludf.DUMMYFUNCTION("""COMPUTED_VALUE"""),27207129095)</f>
        <v>27207129095</v>
      </c>
      <c r="D8" s="23" t="str">
        <f ca="1">IFERROR(__xludf.DUMMYFUNCTION("""COMPUTED_VALUE"""),"Lê Thị Như Thiện")</f>
        <v>Lê Thị Như Thiện</v>
      </c>
      <c r="E8" s="27">
        <f ca="1">IFERROR(__xludf.DUMMYFUNCTION("""COMPUTED_VALUE"""),37866)</f>
        <v>37866</v>
      </c>
      <c r="F8" s="23" t="str">
        <f ca="1">IFERROR(__xludf.DUMMYFUNCTION("""COMPUTED_VALUE"""),"K27DLK2")</f>
        <v>K27DLK2</v>
      </c>
      <c r="G8" s="23" t="str">
        <f ca="1">IFERROR(__xludf.DUMMYFUNCTION("""COMPUTED_VALUE"""),"Quản trị Du lịch &amp; Khách sạn")</f>
        <v>Quản trị Du lịch &amp; Khách sạn</v>
      </c>
      <c r="H8" s="23">
        <f ca="1">IFERROR(__xludf.DUMMYFUNCTION("""COMPUTED_VALUE"""),27)</f>
        <v>27</v>
      </c>
      <c r="I8" s="23" t="str">
        <f ca="1">IFERROR(__xludf.DUMMYFUNCTION("""COMPUTED_VALUE"""),"0377529188")</f>
        <v>0377529188</v>
      </c>
      <c r="J8" s="23" t="str">
        <f ca="1">IFERROR(__xludf.DUMMYFUNCTION("""COMPUTED_VALUE"""),"Chuyên đề")</f>
        <v>Chuyên đề</v>
      </c>
      <c r="K8" s="23" t="str">
        <f ca="1">IFERROR(__xludf.DUMMYFUNCTION("""COMPUTED_VALUE"""),"Maximilan Danang Beach Hotel")</f>
        <v>Maximilan Danang Beach Hotel</v>
      </c>
      <c r="L8" s="23"/>
      <c r="M8" s="23" t="str">
        <f ca="1">IFERROR(__xludf.DUMMYFUNCTION("""COMPUTED_VALUE"""),"222 Võ Nguyên Giáp, Sơn Trà, Đà Nẵng")</f>
        <v>222 Võ Nguyên Giáp, Sơn Trà, Đà Nẵng</v>
      </c>
      <c r="N8" s="23" t="str">
        <f ca="1">IFERROR(__xludf.DUMMYFUNCTION("""COMPUTED_VALUE"""),"Đà Nẵng")</f>
        <v>Đà Nẵng</v>
      </c>
      <c r="O8" s="23" t="str">
        <f ca="1">IFERROR(__xludf.DUMMYFUNCTION("""COMPUTED_VALUE"""),"Tiền sảnh")</f>
        <v>Tiền sảnh</v>
      </c>
      <c r="P8" s="23"/>
      <c r="Q8" s="23" t="str">
        <f ca="1">IFERROR(__xludf.DUMMYFUNCTION("""COMPUTED_VALUE"""),"23/12/2024")</f>
        <v>23/12/2024</v>
      </c>
      <c r="R8" s="23" t="str">
        <f ca="1">IFERROR(__xludf.DUMMYFUNCTION("""COMPUTED_VALUE"""),"cam kết")</f>
        <v>cam kết</v>
      </c>
      <c r="S8" s="23" t="str">
        <f ca="1">IFERROR(__xludf.DUMMYFUNCTION("""COMPUTED_VALUE"""),"Chuyên đề")</f>
        <v>Chuyên đề</v>
      </c>
      <c r="T8" s="23"/>
      <c r="U8" s="27">
        <f ca="1">IFERROR(__xludf.DUMMYFUNCTION("""COMPUTED_VALUE"""),45649)</f>
        <v>45649</v>
      </c>
      <c r="V8" s="27">
        <f ca="1">IFERROR(__xludf.DUMMYFUNCTION("""COMPUTED_VALUE"""),45732)</f>
        <v>45732</v>
      </c>
      <c r="W8" s="23">
        <f ca="1">IFERROR(__xludf.DUMMYFUNCTION("""COMPUTED_VALUE"""),7)</f>
        <v>7</v>
      </c>
      <c r="X8" s="28">
        <f ca="1">IFERROR(__xludf.DUMMYFUNCTION("""COMPUTED_VALUE"""),45870)</f>
        <v>45870</v>
      </c>
      <c r="Y8" s="23" t="str">
        <f ca="1">IFERROR(__xludf.DUMMYFUNCTION("""COMPUTED_VALUE"""),"DUYỆT")</f>
        <v>DUYỆT</v>
      </c>
      <c r="Z8" s="28">
        <f ca="1">IFERROR(__xludf.DUMMYFUNCTION("""COMPUTED_VALUE"""),45870)</f>
        <v>45870</v>
      </c>
      <c r="AA8" s="23" t="str">
        <f ca="1">IFERROR(__xludf.DUMMYFUNCTION("""COMPUTED_VALUE"""),"Maximilan Danang Beach Hotel")</f>
        <v>Maximilan Danang Beach Hotel</v>
      </c>
      <c r="AB8" s="23" t="str">
        <f ca="1">IFERROR(__xludf.DUMMYFUNCTION("""COMPUTED_VALUE"""),"Tiền sảnh")</f>
        <v>Tiền sảnh</v>
      </c>
      <c r="AC8" s="23"/>
      <c r="AD8" s="23"/>
      <c r="AE8" s="23" t="str">
        <f ca="1">IFERROR(__xludf.DUMMYFUNCTION("""COMPUTED_VALUE"""),"")</f>
        <v/>
      </c>
      <c r="AF8" s="23" t="str">
        <f ca="1">IFERROR(__xludf.DUMMYFUNCTION("""COMPUTED_VALUE"""),"CHUYÊN ĐỀ")</f>
        <v>CHUYÊN ĐỀ</v>
      </c>
      <c r="AG8" s="23" t="str">
        <f ca="1">IFERROR(__xludf.DUMMYFUNCTION("""COMPUTED_VALUE"""),"Phạm Thị Hoàng Dung")</f>
        <v>Phạm Thị Hoàng Dung</v>
      </c>
    </row>
    <row r="9" spans="1:33" ht="15.75" customHeight="1" x14ac:dyDescent="0.2">
      <c r="A9" s="26">
        <f ca="1">IFERROR(__xludf.DUMMYFUNCTION("""COMPUTED_VALUE"""),45665.6164598379)</f>
        <v>45665.616459837896</v>
      </c>
      <c r="B9" s="23" t="str">
        <f ca="1">IFERROR(__xludf.DUMMYFUNCTION("""COMPUTED_VALUE"""),"vietha19112002@gmail.com")</f>
        <v>vietha19112002@gmail.com</v>
      </c>
      <c r="C9" s="23">
        <f ca="1">IFERROR(__xludf.DUMMYFUNCTION("""COMPUTED_VALUE"""),27207124538)</f>
        <v>27207124538</v>
      </c>
      <c r="D9" s="23" t="str">
        <f ca="1">IFERROR(__xludf.DUMMYFUNCTION("""COMPUTED_VALUE"""),"Nguyễn Việt Hà")</f>
        <v>Nguyễn Việt Hà</v>
      </c>
      <c r="E9" s="27">
        <f ca="1">IFERROR(__xludf.DUMMYFUNCTION("""COMPUTED_VALUE"""),37627)</f>
        <v>37627</v>
      </c>
      <c r="F9" s="23" t="str">
        <f ca="1">IFERROR(__xludf.DUMMYFUNCTION("""COMPUTED_VALUE"""),"K27DLK 6")</f>
        <v>K27DLK 6</v>
      </c>
      <c r="G9" s="23" t="str">
        <f ca="1">IFERROR(__xludf.DUMMYFUNCTION("""COMPUTED_VALUE"""),"Quản trị Du lịch &amp; Khách sạn")</f>
        <v>Quản trị Du lịch &amp; Khách sạn</v>
      </c>
      <c r="H9" s="23">
        <f ca="1">IFERROR(__xludf.DUMMYFUNCTION("""COMPUTED_VALUE"""),27)</f>
        <v>27</v>
      </c>
      <c r="I9" s="23" t="str">
        <f ca="1">IFERROR(__xludf.DUMMYFUNCTION("""COMPUTED_VALUE"""),"0963072146")</f>
        <v>0963072146</v>
      </c>
      <c r="J9" s="23" t="str">
        <f ca="1">IFERROR(__xludf.DUMMYFUNCTION("""COMPUTED_VALUE"""),"Chuyên đề")</f>
        <v>Chuyên đề</v>
      </c>
      <c r="K9" s="23" t="str">
        <f ca="1">IFERROR(__xludf.DUMMYFUNCTION("""COMPUTED_VALUE"""),"Khách sạn Như Minh Plaza")</f>
        <v>Khách sạn Như Minh Plaza</v>
      </c>
      <c r="L9" s="23"/>
      <c r="M9" s="23" t="str">
        <f ca="1">IFERROR(__xludf.DUMMYFUNCTION("""COMPUTED_VALUE"""),"41 Phạm Văn Đồng, An Hải Bắc, Sơn Trà, Đà Nẵng")</f>
        <v>41 Phạm Văn Đồng, An Hải Bắc, Sơn Trà, Đà Nẵng</v>
      </c>
      <c r="N9" s="23" t="str">
        <f ca="1">IFERROR(__xludf.DUMMYFUNCTION("""COMPUTED_VALUE"""),"Đà Nẵng")</f>
        <v>Đà Nẵng</v>
      </c>
      <c r="O9" s="23" t="str">
        <f ca="1">IFERROR(__xludf.DUMMYFUNCTION("""COMPUTED_VALUE"""),"Tiền sảnh")</f>
        <v>Tiền sảnh</v>
      </c>
      <c r="P9" s="23"/>
      <c r="Q9" s="23" t="str">
        <f ca="1">IFERROR(__xludf.DUMMYFUNCTION("""COMPUTED_VALUE"""),"8/1/2025")</f>
        <v>8/1/2025</v>
      </c>
      <c r="R9" s="23" t="str">
        <f ca="1">IFERROR(__xludf.DUMMYFUNCTION("""COMPUTED_VALUE"""),"cam kết")</f>
        <v>cam kết</v>
      </c>
      <c r="S9" s="23" t="str">
        <f ca="1">IFERROR(__xludf.DUMMYFUNCTION("""COMPUTED_VALUE"""),"Chuyên đề")</f>
        <v>Chuyên đề</v>
      </c>
      <c r="T9" s="23"/>
      <c r="U9" s="23"/>
      <c r="V9" s="23"/>
      <c r="W9" s="23">
        <f ca="1">IFERROR(__xludf.DUMMYFUNCTION("""COMPUTED_VALUE"""),8)</f>
        <v>8</v>
      </c>
      <c r="X9" s="28">
        <f ca="1">IFERROR(__xludf.DUMMYFUNCTION("""COMPUTED_VALUE"""),45901)</f>
        <v>45901</v>
      </c>
      <c r="Y9" s="23" t="str">
        <f ca="1">IFERROR(__xludf.DUMMYFUNCTION("""COMPUTED_VALUE"""),"DUYỆT")</f>
        <v>DUYỆT</v>
      </c>
      <c r="Z9" s="28">
        <f ca="1">IFERROR(__xludf.DUMMYFUNCTION("""COMPUTED_VALUE"""),45870)</f>
        <v>45870</v>
      </c>
      <c r="AA9" s="23" t="str">
        <f ca="1">IFERROR(__xludf.DUMMYFUNCTION("""COMPUTED_VALUE"""),"Khách sạn Như Minh Plaza")</f>
        <v>Khách sạn Như Minh Plaza</v>
      </c>
      <c r="AB9" s="23" t="str">
        <f ca="1">IFERROR(__xludf.DUMMYFUNCTION("""COMPUTED_VALUE"""),"Tiền sảnh")</f>
        <v>Tiền sảnh</v>
      </c>
      <c r="AC9" s="23"/>
      <c r="AD9" s="23"/>
      <c r="AE9" s="23" t="str">
        <f ca="1">IFERROR(__xludf.DUMMYFUNCTION("""COMPUTED_VALUE"""),"")</f>
        <v/>
      </c>
      <c r="AF9" s="23" t="str">
        <f ca="1">IFERROR(__xludf.DUMMYFUNCTION("""COMPUTED_VALUE"""),"không đủ điều kiện")</f>
        <v>không đủ điều kiện</v>
      </c>
      <c r="AG9" s="23"/>
    </row>
    <row r="10" spans="1:33" ht="15.75" customHeight="1" x14ac:dyDescent="0.2">
      <c r="A10" s="26">
        <f ca="1">IFERROR(__xludf.DUMMYFUNCTION("""COMPUTED_VALUE"""),45665.6231084375)</f>
        <v>45665.623108437503</v>
      </c>
      <c r="B10" s="23" t="str">
        <f ca="1">IFERROR(__xludf.DUMMYFUNCTION("""COMPUTED_VALUE"""),"thul39238@gmail.com")</f>
        <v>thul39238@gmail.com</v>
      </c>
      <c r="C10" s="23">
        <f ca="1">IFERROR(__xludf.DUMMYFUNCTION("""COMPUTED_VALUE"""),27207132468)</f>
        <v>27207132468</v>
      </c>
      <c r="D10" s="23" t="str">
        <f ca="1">IFERROR(__xludf.DUMMYFUNCTION("""COMPUTED_VALUE"""),"Lê Thị Khánh Thư")</f>
        <v>Lê Thị Khánh Thư</v>
      </c>
      <c r="E10" s="27">
        <f ca="1">IFERROR(__xludf.DUMMYFUNCTION("""COMPUTED_VALUE"""),37911)</f>
        <v>37911</v>
      </c>
      <c r="F10" s="23" t="str">
        <f ca="1">IFERROR(__xludf.DUMMYFUNCTION("""COMPUTED_VALUE"""),"K27DLK3")</f>
        <v>K27DLK3</v>
      </c>
      <c r="G10" s="23" t="str">
        <f ca="1">IFERROR(__xludf.DUMMYFUNCTION("""COMPUTED_VALUE"""),"Quản trị Du lịch &amp; Khách sạn")</f>
        <v>Quản trị Du lịch &amp; Khách sạn</v>
      </c>
      <c r="H10" s="23">
        <f ca="1">IFERROR(__xludf.DUMMYFUNCTION("""COMPUTED_VALUE"""),27)</f>
        <v>27</v>
      </c>
      <c r="I10" s="23" t="str">
        <f ca="1">IFERROR(__xludf.DUMMYFUNCTION("""COMPUTED_VALUE"""),"0827377827")</f>
        <v>0827377827</v>
      </c>
      <c r="J10" s="23" t="str">
        <f ca="1">IFERROR(__xludf.DUMMYFUNCTION("""COMPUTED_VALUE"""),"Chuyên đề")</f>
        <v>Chuyên đề</v>
      </c>
      <c r="K10" s="23" t="str">
        <f ca="1">IFERROR(__xludf.DUMMYFUNCTION("""COMPUTED_VALUE"""),"Maximilan Danang Beach Hotel")</f>
        <v>Maximilan Danang Beach Hotel</v>
      </c>
      <c r="L10" s="23"/>
      <c r="M10" s="23" t="str">
        <f ca="1">IFERROR(__xludf.DUMMYFUNCTION("""COMPUTED_VALUE"""),"222 Võ Nguyên Giáp")</f>
        <v>222 Võ Nguyên Giáp</v>
      </c>
      <c r="N10" s="23" t="str">
        <f ca="1">IFERROR(__xludf.DUMMYFUNCTION("""COMPUTED_VALUE"""),"Đà Nẵng")</f>
        <v>Đà Nẵng</v>
      </c>
      <c r="O10" s="23" t="str">
        <f ca="1">IFERROR(__xludf.DUMMYFUNCTION("""COMPUTED_VALUE"""),"Nhà hàng")</f>
        <v>Nhà hàng</v>
      </c>
      <c r="P10" s="23"/>
      <c r="Q10" s="23" t="str">
        <f ca="1">IFERROR(__xludf.DUMMYFUNCTION("""COMPUTED_VALUE"""),"23/12/2024")</f>
        <v>23/12/2024</v>
      </c>
      <c r="R10" s="23" t="str">
        <f ca="1">IFERROR(__xludf.DUMMYFUNCTION("""COMPUTED_VALUE"""),"cam kết")</f>
        <v>cam kết</v>
      </c>
      <c r="S10" s="23" t="str">
        <f ca="1">IFERROR(__xludf.DUMMYFUNCTION("""COMPUTED_VALUE"""),"Chuyên đề")</f>
        <v>Chuyên đề</v>
      </c>
      <c r="T10" s="23"/>
      <c r="U10" s="23"/>
      <c r="V10" s="23"/>
      <c r="W10" s="23">
        <f ca="1">IFERROR(__xludf.DUMMYFUNCTION("""COMPUTED_VALUE"""),9)</f>
        <v>9</v>
      </c>
      <c r="X10" s="28">
        <f ca="1">IFERROR(__xludf.DUMMYFUNCTION("""COMPUTED_VALUE"""),45962)</f>
        <v>45962</v>
      </c>
      <c r="Y10" s="23" t="str">
        <f ca="1">IFERROR(__xludf.DUMMYFUNCTION("""COMPUTED_VALUE"""),"DUYỆT")</f>
        <v>DUYỆT</v>
      </c>
      <c r="Z10" s="28">
        <f ca="1">IFERROR(__xludf.DUMMYFUNCTION("""COMPUTED_VALUE"""),45870)</f>
        <v>45870</v>
      </c>
      <c r="AA10" s="23" t="str">
        <f ca="1">IFERROR(__xludf.DUMMYFUNCTION("""COMPUTED_VALUE"""),"Maximilan Danang Beach Hotel")</f>
        <v>Maximilan Danang Beach Hotel</v>
      </c>
      <c r="AB10" s="23" t="str">
        <f ca="1">IFERROR(__xludf.DUMMYFUNCTION("""COMPUTED_VALUE"""),"Nhà hàng")</f>
        <v>Nhà hàng</v>
      </c>
      <c r="AC10" s="23"/>
      <c r="AD10" s="23"/>
      <c r="AE10" s="23" t="str">
        <f ca="1">IFERROR(__xludf.DUMMYFUNCTION("""COMPUTED_VALUE"""),"")</f>
        <v/>
      </c>
      <c r="AF10" s="23" t="str">
        <f ca="1">IFERROR(__xludf.DUMMYFUNCTION("""COMPUTED_VALUE"""),"CHUYÊN ĐỀ")</f>
        <v>CHUYÊN ĐỀ</v>
      </c>
      <c r="AG10" s="23" t="str">
        <f ca="1">IFERROR(__xludf.DUMMYFUNCTION("""COMPUTED_VALUE"""),"Phạm Thị Hoàng Dung")</f>
        <v>Phạm Thị Hoàng Dung</v>
      </c>
    </row>
    <row r="11" spans="1:33" ht="15.75" customHeight="1" x14ac:dyDescent="0.2">
      <c r="A11" s="26">
        <f ca="1">IFERROR(__xludf.DUMMYFUNCTION("""COMPUTED_VALUE"""),45665.6378084375)</f>
        <v>45665.637808437503</v>
      </c>
      <c r="B11" s="23" t="str">
        <f ca="1">IFERROR(__xludf.DUMMYFUNCTION("""COMPUTED_VALUE"""),"dtth.801@gmail.com")</f>
        <v>dtth.801@gmail.com</v>
      </c>
      <c r="C11" s="23">
        <f ca="1">IFERROR(__xludf.DUMMYFUNCTION("""COMPUTED_VALUE"""),27207120147)</f>
        <v>27207120147</v>
      </c>
      <c r="D11" s="23" t="str">
        <f ca="1">IFERROR(__xludf.DUMMYFUNCTION("""COMPUTED_VALUE"""),"Đặng Thị Thu Hoài")</f>
        <v>Đặng Thị Thu Hoài</v>
      </c>
      <c r="E11" s="27">
        <f ca="1">IFERROR(__xludf.DUMMYFUNCTION("""COMPUTED_VALUE"""),37629)</f>
        <v>37629</v>
      </c>
      <c r="F11" s="23" t="str">
        <f ca="1">IFERROR(__xludf.DUMMYFUNCTION("""COMPUTED_VALUE"""),"K27DLK2")</f>
        <v>K27DLK2</v>
      </c>
      <c r="G11" s="23" t="str">
        <f ca="1">IFERROR(__xludf.DUMMYFUNCTION("""COMPUTED_VALUE"""),"Quản trị Du lịch &amp; Khách sạn")</f>
        <v>Quản trị Du lịch &amp; Khách sạn</v>
      </c>
      <c r="H11" s="23">
        <f ca="1">IFERROR(__xludf.DUMMYFUNCTION("""COMPUTED_VALUE"""),27)</f>
        <v>27</v>
      </c>
      <c r="I11" s="23" t="str">
        <f ca="1">IFERROR(__xludf.DUMMYFUNCTION("""COMPUTED_VALUE"""),"0838868844")</f>
        <v>0838868844</v>
      </c>
      <c r="J11" s="23" t="str">
        <f ca="1">IFERROR(__xludf.DUMMYFUNCTION("""COMPUTED_VALUE"""),"Chuyên đề")</f>
        <v>Chuyên đề</v>
      </c>
      <c r="K11" s="23" t="str">
        <f ca="1">IFERROR(__xludf.DUMMYFUNCTION("""COMPUTED_VALUE"""),"Wyndham DaNang Golden Bay")</f>
        <v>Wyndham DaNang Golden Bay</v>
      </c>
      <c r="L11" s="23"/>
      <c r="M11" s="23" t="str">
        <f ca="1">IFERROR(__xludf.DUMMYFUNCTION("""COMPUTED_VALUE"""),"01 Lê Văn Duyệt, Sơn Trà, Đà Nẵng")</f>
        <v>01 Lê Văn Duyệt, Sơn Trà, Đà Nẵng</v>
      </c>
      <c r="N11" s="23" t="str">
        <f ca="1">IFERROR(__xludf.DUMMYFUNCTION("""COMPUTED_VALUE"""),"Thành phố Đà Nẵng")</f>
        <v>Thành phố Đà Nẵng</v>
      </c>
      <c r="O11" s="23" t="str">
        <f ca="1">IFERROR(__xludf.DUMMYFUNCTION("""COMPUTED_VALUE"""),"Buồng phòng")</f>
        <v>Buồng phòng</v>
      </c>
      <c r="P11" s="23"/>
      <c r="Q11" s="23" t="str">
        <f ca="1">IFERROR(__xludf.DUMMYFUNCTION("""COMPUTED_VALUE"""),"13/1")</f>
        <v>13/1</v>
      </c>
      <c r="R11" s="23" t="str">
        <f ca="1">IFERROR(__xludf.DUMMYFUNCTION("""COMPUTED_VALUE"""),"cam kết")</f>
        <v>cam kết</v>
      </c>
      <c r="S11" s="23" t="str">
        <f ca="1">IFERROR(__xludf.DUMMYFUNCTION("""COMPUTED_VALUE"""),"Chuyên đề")</f>
        <v>Chuyên đề</v>
      </c>
      <c r="T11" s="23"/>
      <c r="U11" s="23"/>
      <c r="V11" s="23"/>
      <c r="W11" s="23">
        <f ca="1">IFERROR(__xludf.DUMMYFUNCTION("""COMPUTED_VALUE"""),10)</f>
        <v>10</v>
      </c>
      <c r="X11" s="23" t="str">
        <f ca="1">IFERROR(__xludf.DUMMYFUNCTION("""COMPUTED_VALUE"""),"14/01/2025")</f>
        <v>14/01/2025</v>
      </c>
      <c r="Y11" s="23" t="str">
        <f ca="1">IFERROR(__xludf.DUMMYFUNCTION("""COMPUTED_VALUE"""),"DUYỆT")</f>
        <v>DUYỆT</v>
      </c>
      <c r="Z11" s="28">
        <f ca="1">IFERROR(__xludf.DUMMYFUNCTION("""COMPUTED_VALUE"""),45870)</f>
        <v>45870</v>
      </c>
      <c r="AA11" s="23" t="str">
        <f ca="1">IFERROR(__xludf.DUMMYFUNCTION("""COMPUTED_VALUE"""),"Wyndham DaNang Golden Bay")</f>
        <v>Wyndham DaNang Golden Bay</v>
      </c>
      <c r="AB11" s="23" t="str">
        <f ca="1">IFERROR(__xludf.DUMMYFUNCTION("""COMPUTED_VALUE"""),"Buồng phòng")</f>
        <v>Buồng phòng</v>
      </c>
      <c r="AC11" s="23"/>
      <c r="AD11" s="23"/>
      <c r="AE11" s="23" t="str">
        <f ca="1">IFERROR(__xludf.DUMMYFUNCTION("""COMPUTED_VALUE"""),"")</f>
        <v/>
      </c>
      <c r="AF11" s="23" t="str">
        <f ca="1">IFERROR(__xludf.DUMMYFUNCTION("""COMPUTED_VALUE"""),"CHUYÊN ĐỀ")</f>
        <v>CHUYÊN ĐỀ</v>
      </c>
      <c r="AG11" s="23" t="str">
        <f ca="1">IFERROR(__xludf.DUMMYFUNCTION("""COMPUTED_VALUE"""),"Trịnh Thị Kim Chung")</f>
        <v>Trịnh Thị Kim Chung</v>
      </c>
    </row>
    <row r="12" spans="1:33" ht="15.75" customHeight="1" x14ac:dyDescent="0.2">
      <c r="A12" s="26">
        <f ca="1">IFERROR(__xludf.DUMMYFUNCTION("""COMPUTED_VALUE"""),45665.7263746643)</f>
        <v>45665.7263746643</v>
      </c>
      <c r="B12" s="23" t="str">
        <f ca="1">IFERROR(__xludf.DUMMYFUNCTION("""COMPUTED_VALUE"""),"nguyenhaj7prime@gmail.com")</f>
        <v>nguyenhaj7prime@gmail.com</v>
      </c>
      <c r="C12" s="23">
        <f ca="1">IFERROR(__xludf.DUMMYFUNCTION("""COMPUTED_VALUE"""),27217123844)</f>
        <v>27217123844</v>
      </c>
      <c r="D12" s="23" t="str">
        <f ca="1">IFERROR(__xludf.DUMMYFUNCTION("""COMPUTED_VALUE"""),"Nguyễn Trương Hải Hà")</f>
        <v>Nguyễn Trương Hải Hà</v>
      </c>
      <c r="E12" s="27">
        <f ca="1">IFERROR(__xludf.DUMMYFUNCTION("""COMPUTED_VALUE"""),37938)</f>
        <v>37938</v>
      </c>
      <c r="F12" s="23" t="str">
        <f ca="1">IFERROR(__xludf.DUMMYFUNCTION("""COMPUTED_VALUE"""),"K27DLK2")</f>
        <v>K27DLK2</v>
      </c>
      <c r="G12" s="23" t="str">
        <f ca="1">IFERROR(__xludf.DUMMYFUNCTION("""COMPUTED_VALUE"""),"Quản trị Du lịch &amp; Khách sạn")</f>
        <v>Quản trị Du lịch &amp; Khách sạn</v>
      </c>
      <c r="H12" s="23">
        <f ca="1">IFERROR(__xludf.DUMMYFUNCTION("""COMPUTED_VALUE"""),27)</f>
        <v>27</v>
      </c>
      <c r="I12" s="23" t="str">
        <f ca="1">IFERROR(__xludf.DUMMYFUNCTION("""COMPUTED_VALUE"""),"0964632897")</f>
        <v>0964632897</v>
      </c>
      <c r="J12" s="23" t="str">
        <f ca="1">IFERROR(__xludf.DUMMYFUNCTION("""COMPUTED_VALUE"""),"Chuyên đề")</f>
        <v>Chuyên đề</v>
      </c>
      <c r="K12" s="23" t="str">
        <f ca="1">IFERROR(__xludf.DUMMYFUNCTION("""COMPUTED_VALUE"""),"Paracel Danang Hotel")</f>
        <v>Paracel Danang Hotel</v>
      </c>
      <c r="L12" s="23"/>
      <c r="M12" s="23" t="str">
        <f ca="1">IFERROR(__xludf.DUMMYFUNCTION("""COMPUTED_VALUE"""),"204 Võ Nguyên Giáp")</f>
        <v>204 Võ Nguyên Giáp</v>
      </c>
      <c r="N12" s="23" t="str">
        <f ca="1">IFERROR(__xludf.DUMMYFUNCTION("""COMPUTED_VALUE"""),"Đà Nẵng")</f>
        <v>Đà Nẵng</v>
      </c>
      <c r="O12" s="23" t="str">
        <f ca="1">IFERROR(__xludf.DUMMYFUNCTION("""COMPUTED_VALUE"""),"Nhà hàng")</f>
        <v>Nhà hàng</v>
      </c>
      <c r="P12" s="23"/>
      <c r="Q12" s="23" t="str">
        <f ca="1">IFERROR(__xludf.DUMMYFUNCTION("""COMPUTED_VALUE"""),"2/1/2025")</f>
        <v>2/1/2025</v>
      </c>
      <c r="R12" s="23" t="str">
        <f ca="1">IFERROR(__xludf.DUMMYFUNCTION("""COMPUTED_VALUE"""),"cam kết")</f>
        <v>cam kết</v>
      </c>
      <c r="S12" s="23" t="str">
        <f ca="1">IFERROR(__xludf.DUMMYFUNCTION("""COMPUTED_VALUE"""),"Chuyên đề")</f>
        <v>Chuyên đề</v>
      </c>
      <c r="T12" s="23"/>
      <c r="U12" s="27">
        <f ca="1">IFERROR(__xludf.DUMMYFUNCTION("""COMPUTED_VALUE"""),45698)</f>
        <v>45698</v>
      </c>
      <c r="V12" s="27">
        <f ca="1">IFERROR(__xludf.DUMMYFUNCTION("""COMPUTED_VALUE"""),45787)</f>
        <v>45787</v>
      </c>
      <c r="W12" s="23">
        <f ca="1">IFERROR(__xludf.DUMMYFUNCTION("""COMPUTED_VALUE"""),11)</f>
        <v>11</v>
      </c>
      <c r="X12" s="28">
        <f ca="1">IFERROR(__xludf.DUMMYFUNCTION("""COMPUTED_VALUE"""),45962)</f>
        <v>45962</v>
      </c>
      <c r="Y12" s="23" t="str">
        <f ca="1">IFERROR(__xludf.DUMMYFUNCTION("""COMPUTED_VALUE"""),"DUYỆT")</f>
        <v>DUYỆT</v>
      </c>
      <c r="Z12" s="28">
        <f ca="1">IFERROR(__xludf.DUMMYFUNCTION("""COMPUTED_VALUE"""),45870)</f>
        <v>45870</v>
      </c>
      <c r="AA12" s="23" t="str">
        <f ca="1">IFERROR(__xludf.DUMMYFUNCTION("""COMPUTED_VALUE"""),"Paracel Danang Hotel")</f>
        <v>Paracel Danang Hotel</v>
      </c>
      <c r="AB12" s="23" t="str">
        <f ca="1">IFERROR(__xludf.DUMMYFUNCTION("""COMPUTED_VALUE"""),"Nhà hàng")</f>
        <v>Nhà hàng</v>
      </c>
      <c r="AC12" s="23"/>
      <c r="AD12" s="23"/>
      <c r="AE12" s="23" t="str">
        <f ca="1">IFERROR(__xludf.DUMMYFUNCTION("""COMPUTED_VALUE"""),"")</f>
        <v/>
      </c>
      <c r="AF12" s="23" t="str">
        <f ca="1">IFERROR(__xludf.DUMMYFUNCTION("""COMPUTED_VALUE"""),"CHUYÊN ĐỀ")</f>
        <v>CHUYÊN ĐỀ</v>
      </c>
      <c r="AG12" s="23" t="str">
        <f ca="1">IFERROR(__xludf.DUMMYFUNCTION("""COMPUTED_VALUE"""),"Trịnh Thị Kim Chung")</f>
        <v>Trịnh Thị Kim Chung</v>
      </c>
    </row>
    <row r="13" spans="1:33" ht="15.75" customHeight="1" x14ac:dyDescent="0.2">
      <c r="A13" s="26">
        <f ca="1">IFERROR(__xludf.DUMMYFUNCTION("""COMPUTED_VALUE"""),45665.7600358333)</f>
        <v>45665.7600358333</v>
      </c>
      <c r="B13" s="23" t="str">
        <f ca="1">IFERROR(__xludf.DUMMYFUNCTION("""COMPUTED_VALUE"""),"nguyenvituong281@gmail.com")</f>
        <v>nguyenvituong281@gmail.com</v>
      </c>
      <c r="C13" s="23">
        <f ca="1">IFERROR(__xludf.DUMMYFUNCTION("""COMPUTED_VALUE"""),27207141051)</f>
        <v>27207141051</v>
      </c>
      <c r="D13" s="23" t="str">
        <f ca="1">IFERROR(__xludf.DUMMYFUNCTION("""COMPUTED_VALUE"""),"Nguyễn Vi Tường")</f>
        <v>Nguyễn Vi Tường</v>
      </c>
      <c r="E13" s="27">
        <f ca="1">IFERROR(__xludf.DUMMYFUNCTION("""COMPUTED_VALUE"""),37668)</f>
        <v>37668</v>
      </c>
      <c r="F13" s="23" t="str">
        <f ca="1">IFERROR(__xludf.DUMMYFUNCTION("""COMPUTED_VALUE"""),"K27DLK4")</f>
        <v>K27DLK4</v>
      </c>
      <c r="G13" s="23" t="str">
        <f ca="1">IFERROR(__xludf.DUMMYFUNCTION("""COMPUTED_VALUE"""),"Quản trị Du lịch &amp; Khách sạn")</f>
        <v>Quản trị Du lịch &amp; Khách sạn</v>
      </c>
      <c r="H13" s="23">
        <f ca="1">IFERROR(__xludf.DUMMYFUNCTION("""COMPUTED_VALUE"""),27)</f>
        <v>27</v>
      </c>
      <c r="I13" s="23" t="str">
        <f ca="1">IFERROR(__xludf.DUMMYFUNCTION("""COMPUTED_VALUE"""),"0987820931")</f>
        <v>0987820931</v>
      </c>
      <c r="J13" s="23" t="str">
        <f ca="1">IFERROR(__xludf.DUMMYFUNCTION("""COMPUTED_VALUE"""),"Chuyên đề")</f>
        <v>Chuyên đề</v>
      </c>
      <c r="K13" s="23" t="str">
        <f ca="1">IFERROR(__xludf.DUMMYFUNCTION("""COMPUTED_VALUE"""),"Novotel DaNang Premier Han River")</f>
        <v>Novotel DaNang Premier Han River</v>
      </c>
      <c r="L13" s="23"/>
      <c r="M13" s="23" t="str">
        <f ca="1">IFERROR(__xludf.DUMMYFUNCTION("""COMPUTED_VALUE"""),"36 Bạch Đằng, Thạch Thang, Hải Châu")</f>
        <v>36 Bạch Đằng, Thạch Thang, Hải Châu</v>
      </c>
      <c r="N13" s="23" t="str">
        <f ca="1">IFERROR(__xludf.DUMMYFUNCTION("""COMPUTED_VALUE"""),"Đà Nẵng")</f>
        <v>Đà Nẵng</v>
      </c>
      <c r="O13" s="23" t="str">
        <f ca="1">IFERROR(__xludf.DUMMYFUNCTION("""COMPUTED_VALUE"""),"Nhà hàng")</f>
        <v>Nhà hàng</v>
      </c>
      <c r="P13" s="23"/>
      <c r="Q13" s="23" t="str">
        <f ca="1">IFERROR(__xludf.DUMMYFUNCTION("""COMPUTED_VALUE"""),"07/01/2025")</f>
        <v>07/01/2025</v>
      </c>
      <c r="R13" s="23" t="str">
        <f ca="1">IFERROR(__xludf.DUMMYFUNCTION("""COMPUTED_VALUE"""),"cam kết")</f>
        <v>cam kết</v>
      </c>
      <c r="S13" s="23" t="str">
        <f ca="1">IFERROR(__xludf.DUMMYFUNCTION("""COMPUTED_VALUE"""),"Chuyên đề")</f>
        <v>Chuyên đề</v>
      </c>
      <c r="T13" s="23"/>
      <c r="U13" s="27">
        <f ca="1">IFERROR(__xludf.DUMMYFUNCTION("""COMPUTED_VALUE"""),45698)</f>
        <v>45698</v>
      </c>
      <c r="V13" s="27">
        <f ca="1">IFERROR(__xludf.DUMMYFUNCTION("""COMPUTED_VALUE"""),45787)</f>
        <v>45787</v>
      </c>
      <c r="W13" s="23">
        <f ca="1">IFERROR(__xludf.DUMMYFUNCTION("""COMPUTED_VALUE"""),12)</f>
        <v>12</v>
      </c>
      <c r="X13" s="28">
        <f ca="1">IFERROR(__xludf.DUMMYFUNCTION("""COMPUTED_VALUE"""),45962)</f>
        <v>45962</v>
      </c>
      <c r="Y13" s="23" t="str">
        <f ca="1">IFERROR(__xludf.DUMMYFUNCTION("""COMPUTED_VALUE"""),"DUYỆT")</f>
        <v>DUYỆT</v>
      </c>
      <c r="Z13" s="28">
        <f ca="1">IFERROR(__xludf.DUMMYFUNCTION("""COMPUTED_VALUE"""),45870)</f>
        <v>45870</v>
      </c>
      <c r="AA13" s="23" t="str">
        <f ca="1">IFERROR(__xludf.DUMMYFUNCTION("""COMPUTED_VALUE"""),"Novotel DaNang Premier Han River")</f>
        <v>Novotel DaNang Premier Han River</v>
      </c>
      <c r="AB13" s="23" t="str">
        <f ca="1">IFERROR(__xludf.DUMMYFUNCTION("""COMPUTED_VALUE"""),"Nhà hàng")</f>
        <v>Nhà hàng</v>
      </c>
      <c r="AC13" s="23"/>
      <c r="AD13" s="23"/>
      <c r="AE13" s="23" t="str">
        <f ca="1">IFERROR(__xludf.DUMMYFUNCTION("""COMPUTED_VALUE"""),"")</f>
        <v/>
      </c>
      <c r="AF13" s="23" t="str">
        <f ca="1">IFERROR(__xludf.DUMMYFUNCTION("""COMPUTED_VALUE"""),"CHUYÊN ĐỀ")</f>
        <v>CHUYÊN ĐỀ</v>
      </c>
      <c r="AG13" s="23" t="str">
        <f ca="1">IFERROR(__xludf.DUMMYFUNCTION("""COMPUTED_VALUE"""),"Nguyễn Thị Minh Thư")</f>
        <v>Nguyễn Thị Minh Thư</v>
      </c>
    </row>
    <row r="14" spans="1:33" ht="15.75" customHeight="1" x14ac:dyDescent="0.2">
      <c r="A14" s="26">
        <f ca="1">IFERROR(__xludf.DUMMYFUNCTION("""COMPUTED_VALUE"""),45665.7657079629)</f>
        <v>45665.765707962899</v>
      </c>
      <c r="B14" s="23" t="str">
        <f ca="1">IFERROR(__xludf.DUMMYFUNCTION("""COMPUTED_VALUE"""),"vyvy8811@gmail.com")</f>
        <v>vyvy8811@gmail.com</v>
      </c>
      <c r="C14" s="23">
        <f ca="1">IFERROR(__xludf.DUMMYFUNCTION("""COMPUTED_VALUE"""),27207124833)</f>
        <v>27207124833</v>
      </c>
      <c r="D14" s="23" t="str">
        <f ca="1">IFERROR(__xludf.DUMMYFUNCTION("""COMPUTED_VALUE"""),"Nguyễn Lê Tường Vy ")</f>
        <v xml:space="preserve">Nguyễn Lê Tường Vy </v>
      </c>
      <c r="E14" s="27">
        <f ca="1">IFERROR(__xludf.DUMMYFUNCTION("""COMPUTED_VALUE"""),37892)</f>
        <v>37892</v>
      </c>
      <c r="F14" s="23" t="str">
        <f ca="1">IFERROR(__xludf.DUMMYFUNCTION("""COMPUTED_VALUE"""),"K27DLK3")</f>
        <v>K27DLK3</v>
      </c>
      <c r="G14" s="23" t="str">
        <f ca="1">IFERROR(__xludf.DUMMYFUNCTION("""COMPUTED_VALUE"""),"Quản trị Du lịch &amp; Khách sạn")</f>
        <v>Quản trị Du lịch &amp; Khách sạn</v>
      </c>
      <c r="H14" s="23">
        <f ca="1">IFERROR(__xludf.DUMMYFUNCTION("""COMPUTED_VALUE"""),27)</f>
        <v>27</v>
      </c>
      <c r="I14" s="23" t="str">
        <f ca="1">IFERROR(__xludf.DUMMYFUNCTION("""COMPUTED_VALUE"""),"0876820811")</f>
        <v>0876820811</v>
      </c>
      <c r="J14" s="23" t="str">
        <f ca="1">IFERROR(__xludf.DUMMYFUNCTION("""COMPUTED_VALUE"""),"Chuyên đề")</f>
        <v>Chuyên đề</v>
      </c>
      <c r="K14" s="23" t="str">
        <f ca="1">IFERROR(__xludf.DUMMYFUNCTION("""COMPUTED_VALUE"""),"Wyndham DaNang Golden Bay")</f>
        <v>Wyndham DaNang Golden Bay</v>
      </c>
      <c r="L14" s="23"/>
      <c r="M14" s="23" t="str">
        <f ca="1">IFERROR(__xludf.DUMMYFUNCTION("""COMPUTED_VALUE"""),"01 Lê Văn Duyệt, Nại Hiên Đông, Sơn Trà, Đà Nẵng")</f>
        <v>01 Lê Văn Duyệt, Nại Hiên Đông, Sơn Trà, Đà Nẵng</v>
      </c>
      <c r="N14" s="23" t="str">
        <f ca="1">IFERROR(__xludf.DUMMYFUNCTION("""COMPUTED_VALUE"""),"Đà Nẵng")</f>
        <v>Đà Nẵng</v>
      </c>
      <c r="O14" s="23" t="str">
        <f ca="1">IFERROR(__xludf.DUMMYFUNCTION("""COMPUTED_VALUE"""),"Nhà hàng")</f>
        <v>Nhà hàng</v>
      </c>
      <c r="P14" s="23"/>
      <c r="Q14" s="23" t="str">
        <f ca="1">IFERROR(__xludf.DUMMYFUNCTION("""COMPUTED_VALUE"""),"7/1/2025")</f>
        <v>7/1/2025</v>
      </c>
      <c r="R14" s="23" t="str">
        <f ca="1">IFERROR(__xludf.DUMMYFUNCTION("""COMPUTED_VALUE"""),"cam kết")</f>
        <v>cam kết</v>
      </c>
      <c r="S14" s="23" t="str">
        <f ca="1">IFERROR(__xludf.DUMMYFUNCTION("""COMPUTED_VALUE"""),"Chuyên đề")</f>
        <v>Chuyên đề</v>
      </c>
      <c r="T14" s="23" t="str">
        <f ca="1">IFERROR(__xludf.DUMMYFUNCTION("""COMPUTED_VALUE"""),"Mai Thị Thương")</f>
        <v>Mai Thị Thương</v>
      </c>
      <c r="U14" s="27">
        <f ca="1">IFERROR(__xludf.DUMMYFUNCTION("""COMPUTED_VALUE"""),45698)</f>
        <v>45698</v>
      </c>
      <c r="V14" s="27">
        <f ca="1">IFERROR(__xludf.DUMMYFUNCTION("""COMPUTED_VALUE"""),45787)</f>
        <v>45787</v>
      </c>
      <c r="W14" s="23">
        <f ca="1">IFERROR(__xludf.DUMMYFUNCTION("""COMPUTED_VALUE"""),13)</f>
        <v>13</v>
      </c>
      <c r="X14" s="28">
        <f ca="1">IFERROR(__xludf.DUMMYFUNCTION("""COMPUTED_VALUE"""),45962)</f>
        <v>45962</v>
      </c>
      <c r="Y14" s="23" t="str">
        <f ca="1">IFERROR(__xludf.DUMMYFUNCTION("""COMPUTED_VALUE"""),"DUYỆT")</f>
        <v>DUYỆT</v>
      </c>
      <c r="Z14" s="28">
        <f ca="1">IFERROR(__xludf.DUMMYFUNCTION("""COMPUTED_VALUE"""),45870)</f>
        <v>45870</v>
      </c>
      <c r="AA14" s="23" t="str">
        <f ca="1">IFERROR(__xludf.DUMMYFUNCTION("""COMPUTED_VALUE"""),"Wyndham DaNang Golden Bay")</f>
        <v>Wyndham DaNang Golden Bay</v>
      </c>
      <c r="AB14" s="23" t="str">
        <f ca="1">IFERROR(__xludf.DUMMYFUNCTION("""COMPUTED_VALUE"""),"Nhà hàng")</f>
        <v>Nhà hàng</v>
      </c>
      <c r="AC14" s="23"/>
      <c r="AD14" s="23" t="str">
        <f ca="1">IFERROR(__xludf.DUMMYFUNCTION("""COMPUTED_VALUE"""),"sv phải đám bảo ko quá 5sv/nhà hàng")</f>
        <v>sv phải đám bảo ko quá 5sv/nhà hàng</v>
      </c>
      <c r="AE14" s="23" t="str">
        <f ca="1">IFERROR(__xludf.DUMMYFUNCTION("""COMPUTED_VALUE"""),"")</f>
        <v/>
      </c>
      <c r="AF14" s="23" t="str">
        <f ca="1">IFERROR(__xludf.DUMMYFUNCTION("""COMPUTED_VALUE"""),"CHUYÊN ĐỀ")</f>
        <v>CHUYÊN ĐỀ</v>
      </c>
      <c r="AG14" s="23" t="str">
        <f ca="1">IFERROR(__xludf.DUMMYFUNCTION("""COMPUTED_VALUE"""),"Trần Thị Mỹ Linh")</f>
        <v>Trần Thị Mỹ Linh</v>
      </c>
    </row>
    <row r="15" spans="1:33" ht="15.75" customHeight="1" x14ac:dyDescent="0.2">
      <c r="A15" s="26">
        <f ca="1">IFERROR(__xludf.DUMMYFUNCTION("""COMPUTED_VALUE"""),45665.9256509953)</f>
        <v>45665.925650995297</v>
      </c>
      <c r="B15" s="23" t="str">
        <f ca="1">IFERROR(__xludf.DUMMYFUNCTION("""COMPUTED_VALUE"""),"nguyenthithuthuong01012003@gmail.com")</f>
        <v>nguyenthithuthuong01012003@gmail.com</v>
      </c>
      <c r="C15" s="23">
        <f ca="1">IFERROR(__xludf.DUMMYFUNCTION("""COMPUTED_VALUE"""),27207121269)</f>
        <v>27207121269</v>
      </c>
      <c r="D15" s="23" t="str">
        <f ca="1">IFERROR(__xludf.DUMMYFUNCTION("""COMPUTED_VALUE"""),"Nguyễn Thị Thu Thương")</f>
        <v>Nguyễn Thị Thu Thương</v>
      </c>
      <c r="E15" s="27">
        <f ca="1">IFERROR(__xludf.DUMMYFUNCTION("""COMPUTED_VALUE"""),37622)</f>
        <v>37622</v>
      </c>
      <c r="F15" s="23" t="str">
        <f ca="1">IFERROR(__xludf.DUMMYFUNCTION("""COMPUTED_VALUE"""),"K27DLK3")</f>
        <v>K27DLK3</v>
      </c>
      <c r="G15" s="23" t="str">
        <f ca="1">IFERROR(__xludf.DUMMYFUNCTION("""COMPUTED_VALUE"""),"Quản trị Du lịch &amp; Khách sạn")</f>
        <v>Quản trị Du lịch &amp; Khách sạn</v>
      </c>
      <c r="H15" s="23">
        <f ca="1">IFERROR(__xludf.DUMMYFUNCTION("""COMPUTED_VALUE"""),27)</f>
        <v>27</v>
      </c>
      <c r="I15" s="23" t="str">
        <f ca="1">IFERROR(__xludf.DUMMYFUNCTION("""COMPUTED_VALUE"""),"0899202724")</f>
        <v>0899202724</v>
      </c>
      <c r="J15" s="23" t="str">
        <f ca="1">IFERROR(__xludf.DUMMYFUNCTION("""COMPUTED_VALUE"""),"Chuyên đề")</f>
        <v>Chuyên đề</v>
      </c>
      <c r="K15" s="23" t="str">
        <f ca="1">IFERROR(__xludf.DUMMYFUNCTION("""COMPUTED_VALUE"""),"Maximilan Danang Beach Hotel")</f>
        <v>Maximilan Danang Beach Hotel</v>
      </c>
      <c r="L15" s="23"/>
      <c r="M15" s="23" t="str">
        <f ca="1">IFERROR(__xludf.DUMMYFUNCTION("""COMPUTED_VALUE"""),"222 Võ Nguyên Giáp")</f>
        <v>222 Võ Nguyên Giáp</v>
      </c>
      <c r="N15" s="23" t="str">
        <f ca="1">IFERROR(__xludf.DUMMYFUNCTION("""COMPUTED_VALUE"""),"Đà Nẵng")</f>
        <v>Đà Nẵng</v>
      </c>
      <c r="O15" s="23" t="str">
        <f ca="1">IFERROR(__xludf.DUMMYFUNCTION("""COMPUTED_VALUE"""),"Nhà hàng")</f>
        <v>Nhà hàng</v>
      </c>
      <c r="P15" s="23"/>
      <c r="Q15" s="23" t="str">
        <f ca="1">IFERROR(__xludf.DUMMYFUNCTION("""COMPUTED_VALUE"""),"23/12/2024")</f>
        <v>23/12/2024</v>
      </c>
      <c r="R15" s="23" t="str">
        <f ca="1">IFERROR(__xludf.DUMMYFUNCTION("""COMPUTED_VALUE"""),"cam kết")</f>
        <v>cam kết</v>
      </c>
      <c r="S15" s="23" t="str">
        <f ca="1">IFERROR(__xludf.DUMMYFUNCTION("""COMPUTED_VALUE"""),"Chuyên đề")</f>
        <v>Chuyên đề</v>
      </c>
      <c r="T15" s="23"/>
      <c r="U15" s="27">
        <f ca="1">IFERROR(__xludf.DUMMYFUNCTION("""COMPUTED_VALUE"""),45649)</f>
        <v>45649</v>
      </c>
      <c r="V15" s="27">
        <f ca="1">IFERROR(__xludf.DUMMYFUNCTION("""COMPUTED_VALUE"""),45732)</f>
        <v>45732</v>
      </c>
      <c r="W15" s="23">
        <f ca="1">IFERROR(__xludf.DUMMYFUNCTION("""COMPUTED_VALUE"""),14)</f>
        <v>14</v>
      </c>
      <c r="X15" s="28">
        <f ca="1">IFERROR(__xludf.DUMMYFUNCTION("""COMPUTED_VALUE"""),45962)</f>
        <v>45962</v>
      </c>
      <c r="Y15" s="23" t="str">
        <f ca="1">IFERROR(__xludf.DUMMYFUNCTION("""COMPUTED_VALUE"""),"DUYỆT")</f>
        <v>DUYỆT</v>
      </c>
      <c r="Z15" s="28">
        <f ca="1">IFERROR(__xludf.DUMMYFUNCTION("""COMPUTED_VALUE"""),45870)</f>
        <v>45870</v>
      </c>
      <c r="AA15" s="23" t="str">
        <f ca="1">IFERROR(__xludf.DUMMYFUNCTION("""COMPUTED_VALUE"""),"Maximilan Danang Beach Hotel")</f>
        <v>Maximilan Danang Beach Hotel</v>
      </c>
      <c r="AB15" s="23" t="str">
        <f ca="1">IFERROR(__xludf.DUMMYFUNCTION("""COMPUTED_VALUE"""),"Nhà hàng")</f>
        <v>Nhà hàng</v>
      </c>
      <c r="AC15" s="23"/>
      <c r="AD15" s="23"/>
      <c r="AE15" s="23" t="str">
        <f ca="1">IFERROR(__xludf.DUMMYFUNCTION("""COMPUTED_VALUE"""),"")</f>
        <v/>
      </c>
      <c r="AF15" s="23" t="str">
        <f ca="1">IFERROR(__xludf.DUMMYFUNCTION("""COMPUTED_VALUE"""),"CHUYÊN ĐỀ")</f>
        <v>CHUYÊN ĐỀ</v>
      </c>
      <c r="AG15" s="23" t="str">
        <f ca="1">IFERROR(__xludf.DUMMYFUNCTION("""COMPUTED_VALUE"""),"Phạm Thị Hoàng Dung")</f>
        <v>Phạm Thị Hoàng Dung</v>
      </c>
    </row>
    <row r="16" spans="1:33" ht="15.75" customHeight="1" x14ac:dyDescent="0.2">
      <c r="A16" s="26">
        <f ca="1">IFERROR(__xludf.DUMMYFUNCTION("""COMPUTED_VALUE"""),45666.3733663078)</f>
        <v>45666.373366307802</v>
      </c>
      <c r="B16" s="23" t="str">
        <f ca="1">IFERROR(__xludf.DUMMYFUNCTION("""COMPUTED_VALUE"""),"ynguyen.22112003@gmail.com")</f>
        <v>ynguyen.22112003@gmail.com</v>
      </c>
      <c r="C16" s="23">
        <f ca="1">IFERROR(__xludf.DUMMYFUNCTION("""COMPUTED_VALUE"""),27207146805)</f>
        <v>27207146805</v>
      </c>
      <c r="D16" s="23" t="str">
        <f ca="1">IFERROR(__xludf.DUMMYFUNCTION("""COMPUTED_VALUE"""),"Nguyễn Thị Như Ý")</f>
        <v>Nguyễn Thị Như Ý</v>
      </c>
      <c r="E16" s="27">
        <f ca="1">IFERROR(__xludf.DUMMYFUNCTION("""COMPUTED_VALUE"""),37947)</f>
        <v>37947</v>
      </c>
      <c r="F16" s="23" t="str">
        <f ca="1">IFERROR(__xludf.DUMMYFUNCTION("""COMPUTED_VALUE"""),"K27DLK7")</f>
        <v>K27DLK7</v>
      </c>
      <c r="G16" s="23" t="str">
        <f ca="1">IFERROR(__xludf.DUMMYFUNCTION("""COMPUTED_VALUE"""),"Quản trị Du lịch &amp; Khách sạn")</f>
        <v>Quản trị Du lịch &amp; Khách sạn</v>
      </c>
      <c r="H16" s="23">
        <f ca="1">IFERROR(__xludf.DUMMYFUNCTION("""COMPUTED_VALUE"""),27)</f>
        <v>27</v>
      </c>
      <c r="I16" s="23" t="str">
        <f ca="1">IFERROR(__xludf.DUMMYFUNCTION("""COMPUTED_VALUE"""),"0765739874")</f>
        <v>0765739874</v>
      </c>
      <c r="J16" s="23" t="str">
        <f ca="1">IFERROR(__xludf.DUMMYFUNCTION("""COMPUTED_VALUE"""),"Chuyên đề")</f>
        <v>Chuyên đề</v>
      </c>
      <c r="K16" s="23" t="str">
        <f ca="1">IFERROR(__xludf.DUMMYFUNCTION("""COMPUTED_VALUE"""),"Wyndham DaNang Golden Bay")</f>
        <v>Wyndham DaNang Golden Bay</v>
      </c>
      <c r="L16" s="23"/>
      <c r="M16" s="23" t="str">
        <f ca="1">IFERROR(__xludf.DUMMYFUNCTION("""COMPUTED_VALUE"""),"01 Lê Văn Duyệt, Nại Hiên Đông,Sơn Trà")</f>
        <v>01 Lê Văn Duyệt, Nại Hiên Đông,Sơn Trà</v>
      </c>
      <c r="N16" s="23" t="str">
        <f ca="1">IFERROR(__xludf.DUMMYFUNCTION("""COMPUTED_VALUE"""),"Thành phố Đà Nẵng ")</f>
        <v xml:space="preserve">Thành phố Đà Nẵng </v>
      </c>
      <c r="O16" s="23" t="str">
        <f ca="1">IFERROR(__xludf.DUMMYFUNCTION("""COMPUTED_VALUE"""),"Nhà hàng")</f>
        <v>Nhà hàng</v>
      </c>
      <c r="P16" s="23"/>
      <c r="Q16" s="23" t="str">
        <f ca="1">IFERROR(__xludf.DUMMYFUNCTION("""COMPUTED_VALUE"""),"9/1/2025")</f>
        <v>9/1/2025</v>
      </c>
      <c r="R16" s="23" t="str">
        <f ca="1">IFERROR(__xludf.DUMMYFUNCTION("""COMPUTED_VALUE"""),"cam kết")</f>
        <v>cam kết</v>
      </c>
      <c r="S16" s="23" t="str">
        <f ca="1">IFERROR(__xludf.DUMMYFUNCTION("""COMPUTED_VALUE"""),"Chuyên đề")</f>
        <v>Chuyên đề</v>
      </c>
      <c r="T16" s="23" t="str">
        <f ca="1">IFERROR(__xludf.DUMMYFUNCTION("""COMPUTED_VALUE"""),"Mai Thị Thương")</f>
        <v>Mai Thị Thương</v>
      </c>
      <c r="U16" s="27">
        <f ca="1">IFERROR(__xludf.DUMMYFUNCTION("""COMPUTED_VALUE"""),45698)</f>
        <v>45698</v>
      </c>
      <c r="V16" s="27">
        <f ca="1">IFERROR(__xludf.DUMMYFUNCTION("""COMPUTED_VALUE"""),45787)</f>
        <v>45787</v>
      </c>
      <c r="W16" s="23">
        <f ca="1">IFERROR(__xludf.DUMMYFUNCTION("""COMPUTED_VALUE"""),15)</f>
        <v>15</v>
      </c>
      <c r="X16" s="28">
        <f ca="1">IFERROR(__xludf.DUMMYFUNCTION("""COMPUTED_VALUE"""),45962)</f>
        <v>45962</v>
      </c>
      <c r="Y16" s="23" t="str">
        <f ca="1">IFERROR(__xludf.DUMMYFUNCTION("""COMPUTED_VALUE"""),"DUYỆT")</f>
        <v>DUYỆT</v>
      </c>
      <c r="Z16" s="28">
        <f ca="1">IFERROR(__xludf.DUMMYFUNCTION("""COMPUTED_VALUE"""),45870)</f>
        <v>45870</v>
      </c>
      <c r="AA16" s="23" t="str">
        <f ca="1">IFERROR(__xludf.DUMMYFUNCTION("""COMPUTED_VALUE"""),"Wyndham DaNang Golden Bay")</f>
        <v>Wyndham DaNang Golden Bay</v>
      </c>
      <c r="AB16" s="23" t="str">
        <f ca="1">IFERROR(__xludf.DUMMYFUNCTION("""COMPUTED_VALUE"""),"Nhà hàng")</f>
        <v>Nhà hàng</v>
      </c>
      <c r="AC16" s="23"/>
      <c r="AD16" s="23" t="str">
        <f ca="1">IFERROR(__xludf.DUMMYFUNCTION("""COMPUTED_VALUE"""),"sv phải đám bảo ko quá 5sv/nhà hàng")</f>
        <v>sv phải đám bảo ko quá 5sv/nhà hàng</v>
      </c>
      <c r="AE16" s="23" t="str">
        <f ca="1">IFERROR(__xludf.DUMMYFUNCTION("""COMPUTED_VALUE"""),"")</f>
        <v/>
      </c>
      <c r="AF16" s="23" t="str">
        <f ca="1">IFERROR(__xludf.DUMMYFUNCTION("""COMPUTED_VALUE"""),"CHUYÊN ĐỀ")</f>
        <v>CHUYÊN ĐỀ</v>
      </c>
      <c r="AG16" s="23" t="str">
        <f ca="1">IFERROR(__xludf.DUMMYFUNCTION("""COMPUTED_VALUE"""),"Trần Thị Mỹ Linh")</f>
        <v>Trần Thị Mỹ Linh</v>
      </c>
    </row>
    <row r="17" spans="1:33" ht="15.75" customHeight="1" x14ac:dyDescent="0.2">
      <c r="A17" s="26">
        <f ca="1">IFERROR(__xludf.DUMMYFUNCTION("""COMPUTED_VALUE"""),45666.4734239351)</f>
        <v>45666.473423935102</v>
      </c>
      <c r="B17" s="23" t="str">
        <f ca="1">IFERROR(__xludf.DUMMYFUNCTION("""COMPUTED_VALUE"""),"lekieutrinh23022@gmail.com")</f>
        <v>lekieutrinh23022@gmail.com</v>
      </c>
      <c r="C17" s="23">
        <f ca="1">IFERROR(__xludf.DUMMYFUNCTION("""COMPUTED_VALUE"""),27215131988)</f>
        <v>27215131988</v>
      </c>
      <c r="D17" s="23" t="str">
        <f ca="1">IFERROR(__xludf.DUMMYFUNCTION("""COMPUTED_VALUE"""),"Nguyễn Lê Kiều Trinh")</f>
        <v>Nguyễn Lê Kiều Trinh</v>
      </c>
      <c r="E17" s="27">
        <f ca="1">IFERROR(__xludf.DUMMYFUNCTION("""COMPUTED_VALUE"""),37675)</f>
        <v>37675</v>
      </c>
      <c r="F17" s="23" t="str">
        <f ca="1">IFERROR(__xludf.DUMMYFUNCTION("""COMPUTED_VALUE"""),"K27DLK 7")</f>
        <v>K27DLK 7</v>
      </c>
      <c r="G17" s="23" t="str">
        <f ca="1">IFERROR(__xludf.DUMMYFUNCTION("""COMPUTED_VALUE"""),"Quản trị Du lịch &amp; Khách sạn")</f>
        <v>Quản trị Du lịch &amp; Khách sạn</v>
      </c>
      <c r="H17" s="23">
        <f ca="1">IFERROR(__xludf.DUMMYFUNCTION("""COMPUTED_VALUE"""),27)</f>
        <v>27</v>
      </c>
      <c r="I17" s="23" t="str">
        <f ca="1">IFERROR(__xludf.DUMMYFUNCTION("""COMPUTED_VALUE"""),"0389366431")</f>
        <v>0389366431</v>
      </c>
      <c r="J17" s="23" t="str">
        <f ca="1">IFERROR(__xludf.DUMMYFUNCTION("""COMPUTED_VALUE"""),"Chuyên đề")</f>
        <v>Chuyên đề</v>
      </c>
      <c r="K17" s="23" t="str">
        <f ca="1">IFERROR(__xludf.DUMMYFUNCTION("""COMPUTED_VALUE"""),"Diamond Sea Hotel")</f>
        <v>Diamond Sea Hotel</v>
      </c>
      <c r="L17" s="23"/>
      <c r="M17" s="23" t="str">
        <f ca="1">IFERROR(__xludf.DUMMYFUNCTION("""COMPUTED_VALUE"""),"232 Võ Nguyên Giáp, Phước Mỹ, Sơn Trà, Đà Nẵng")</f>
        <v>232 Võ Nguyên Giáp, Phước Mỹ, Sơn Trà, Đà Nẵng</v>
      </c>
      <c r="N17" s="23" t="str">
        <f ca="1">IFERROR(__xludf.DUMMYFUNCTION("""COMPUTED_VALUE"""),"Thành phố Đà Nẵng ")</f>
        <v xml:space="preserve">Thành phố Đà Nẵng </v>
      </c>
      <c r="O17" s="23" t="str">
        <f ca="1">IFERROR(__xludf.DUMMYFUNCTION("""COMPUTED_VALUE"""),"Nhà hàng")</f>
        <v>Nhà hàng</v>
      </c>
      <c r="P17" s="23"/>
      <c r="Q17" s="23" t="str">
        <f ca="1">IFERROR(__xludf.DUMMYFUNCTION("""COMPUTED_VALUE"""),"10/02/2025")</f>
        <v>10/02/2025</v>
      </c>
      <c r="R17" s="23" t="str">
        <f ca="1">IFERROR(__xludf.DUMMYFUNCTION("""COMPUTED_VALUE"""),"cam kết")</f>
        <v>cam kết</v>
      </c>
      <c r="S17" s="23" t="str">
        <f ca="1">IFERROR(__xludf.DUMMYFUNCTION("""COMPUTED_VALUE"""),"Chuyên đề")</f>
        <v>Chuyên đề</v>
      </c>
      <c r="T17" s="23"/>
      <c r="U17" s="27">
        <f ca="1">IFERROR(__xludf.DUMMYFUNCTION("""COMPUTED_VALUE"""),45693)</f>
        <v>45693</v>
      </c>
      <c r="V17" s="27">
        <f ca="1">IFERROR(__xludf.DUMMYFUNCTION("""COMPUTED_VALUE"""),45787)</f>
        <v>45787</v>
      </c>
      <c r="W17" s="23">
        <f ca="1">IFERROR(__xludf.DUMMYFUNCTION("""COMPUTED_VALUE"""),16)</f>
        <v>16</v>
      </c>
      <c r="X17" s="28">
        <f ca="1">IFERROR(__xludf.DUMMYFUNCTION("""COMPUTED_VALUE"""),45871)</f>
        <v>45871</v>
      </c>
      <c r="Y17" s="23" t="str">
        <f ca="1">IFERROR(__xludf.DUMMYFUNCTION("""COMPUTED_VALUE"""),"DUYỆT")</f>
        <v>DUYỆT</v>
      </c>
      <c r="Z17" s="28">
        <f ca="1">IFERROR(__xludf.DUMMYFUNCTION("""COMPUTED_VALUE"""),45962)</f>
        <v>45962</v>
      </c>
      <c r="AA17" s="23" t="str">
        <f ca="1">IFERROR(__xludf.DUMMYFUNCTION("""COMPUTED_VALUE"""),"Diamond Sea Hotel")</f>
        <v>Diamond Sea Hotel</v>
      </c>
      <c r="AB17" s="23" t="str">
        <f ca="1">IFERROR(__xludf.DUMMYFUNCTION("""COMPUTED_VALUE"""),"Nhà hàng")</f>
        <v>Nhà hàng</v>
      </c>
      <c r="AC17" s="23"/>
      <c r="AD17" s="23"/>
      <c r="AE17" s="23" t="str">
        <f ca="1">IFERROR(__xludf.DUMMYFUNCTION("""COMPUTED_VALUE"""),"")</f>
        <v/>
      </c>
      <c r="AF17" s="23" t="str">
        <f ca="1">IFERROR(__xludf.DUMMYFUNCTION("""COMPUTED_VALUE"""),"CHUYÊN ĐỀ")</f>
        <v>CHUYÊN ĐỀ</v>
      </c>
      <c r="AG17" s="23" t="str">
        <f ca="1">IFERROR(__xludf.DUMMYFUNCTION("""COMPUTED_VALUE"""),"Phạm Thị Hoàng Dung")</f>
        <v>Phạm Thị Hoàng Dung</v>
      </c>
    </row>
    <row r="18" spans="1:33" ht="15.75" customHeight="1" x14ac:dyDescent="0.2">
      <c r="A18" s="26">
        <f ca="1">IFERROR(__xludf.DUMMYFUNCTION("""COMPUTED_VALUE"""),45666.4987955092)</f>
        <v>45666.4987955092</v>
      </c>
      <c r="B18" s="23" t="str">
        <f ca="1">IFERROR(__xludf.DUMMYFUNCTION("""COMPUTED_VALUE"""),"nguyenthimyduyenn224@gmail.com")</f>
        <v>nguyenthimyduyenn224@gmail.com</v>
      </c>
      <c r="C18" s="23">
        <f ca="1">IFERROR(__xludf.DUMMYFUNCTION("""COMPUTED_VALUE"""),27217145582)</f>
        <v>27217145582</v>
      </c>
      <c r="D18" s="23" t="str">
        <f ca="1">IFERROR(__xludf.DUMMYFUNCTION("""COMPUTED_VALUE"""),"Nguyễn Thị Mỹ Duyên")</f>
        <v>Nguyễn Thị Mỹ Duyên</v>
      </c>
      <c r="E18" s="27">
        <f ca="1">IFERROR(__xludf.DUMMYFUNCTION("""COMPUTED_VALUE"""),37723)</f>
        <v>37723</v>
      </c>
      <c r="F18" s="23" t="str">
        <f ca="1">IFERROR(__xludf.DUMMYFUNCTION("""COMPUTED_VALUE"""),"K27DLK7")</f>
        <v>K27DLK7</v>
      </c>
      <c r="G18" s="23" t="str">
        <f ca="1">IFERROR(__xludf.DUMMYFUNCTION("""COMPUTED_VALUE"""),"Quản trị Du lịch &amp; Khách sạn")</f>
        <v>Quản trị Du lịch &amp; Khách sạn</v>
      </c>
      <c r="H18" s="23">
        <f ca="1">IFERROR(__xludf.DUMMYFUNCTION("""COMPUTED_VALUE"""),27)</f>
        <v>27</v>
      </c>
      <c r="I18" s="23" t="str">
        <f ca="1">IFERROR(__xludf.DUMMYFUNCTION("""COMPUTED_VALUE"""),"0373618004")</f>
        <v>0373618004</v>
      </c>
      <c r="J18" s="23" t="str">
        <f ca="1">IFERROR(__xludf.DUMMYFUNCTION("""COMPUTED_VALUE"""),"Chuyên đề")</f>
        <v>Chuyên đề</v>
      </c>
      <c r="K18" s="23" t="str">
        <f ca="1">IFERROR(__xludf.DUMMYFUNCTION("""COMPUTED_VALUE"""),"Hyatt regency DaNang Resort")</f>
        <v>Hyatt regency DaNang Resort</v>
      </c>
      <c r="L18" s="23"/>
      <c r="M18" s="23" t="str">
        <f ca="1">IFERROR(__xludf.DUMMYFUNCTION("""COMPUTED_VALUE"""),"05 Trường Sa")</f>
        <v>05 Trường Sa</v>
      </c>
      <c r="N18" s="23" t="str">
        <f ca="1">IFERROR(__xludf.DUMMYFUNCTION("""COMPUTED_VALUE"""),"Đà Nẵng")</f>
        <v>Đà Nẵng</v>
      </c>
      <c r="O18" s="23" t="str">
        <f ca="1">IFERROR(__xludf.DUMMYFUNCTION("""COMPUTED_VALUE"""),"Buồng phòng")</f>
        <v>Buồng phòng</v>
      </c>
      <c r="P18" s="23"/>
      <c r="Q18" s="23" t="str">
        <f ca="1">IFERROR(__xludf.DUMMYFUNCTION("""COMPUTED_VALUE"""),"04/02/2024")</f>
        <v>04/02/2024</v>
      </c>
      <c r="R18" s="23" t="str">
        <f ca="1">IFERROR(__xludf.DUMMYFUNCTION("""COMPUTED_VALUE"""),"cam kết")</f>
        <v>cam kết</v>
      </c>
      <c r="S18" s="23" t="str">
        <f ca="1">IFERROR(__xludf.DUMMYFUNCTION("""COMPUTED_VALUE"""),"Chuyên đề")</f>
        <v>Chuyên đề</v>
      </c>
      <c r="T18" s="23"/>
      <c r="U18" s="27">
        <f ca="1">IFERROR(__xludf.DUMMYFUNCTION("""COMPUTED_VALUE"""),45691)</f>
        <v>45691</v>
      </c>
      <c r="V18" s="27">
        <f ca="1">IFERROR(__xludf.DUMMYFUNCTION("""COMPUTED_VALUE"""),45780)</f>
        <v>45780</v>
      </c>
      <c r="W18" s="23">
        <f ca="1">IFERROR(__xludf.DUMMYFUNCTION("""COMPUTED_VALUE"""),17)</f>
        <v>17</v>
      </c>
      <c r="X18" s="28">
        <f ca="1">IFERROR(__xludf.DUMMYFUNCTION("""COMPUTED_VALUE"""),45962)</f>
        <v>45962</v>
      </c>
      <c r="Y18" s="23" t="str">
        <f ca="1">IFERROR(__xludf.DUMMYFUNCTION("""COMPUTED_VALUE"""),"DUYỆT")</f>
        <v>DUYỆT</v>
      </c>
      <c r="Z18" s="28">
        <f ca="1">IFERROR(__xludf.DUMMYFUNCTION("""COMPUTED_VALUE"""),45962)</f>
        <v>45962</v>
      </c>
      <c r="AA18" s="23" t="str">
        <f ca="1">IFERROR(__xludf.DUMMYFUNCTION("""COMPUTED_VALUE"""),"Hyatt regency DaNang Resort")</f>
        <v>Hyatt regency DaNang Resort</v>
      </c>
      <c r="AB18" s="23" t="str">
        <f ca="1">IFERROR(__xludf.DUMMYFUNCTION("""COMPUTED_VALUE"""),"Buồng phòng")</f>
        <v>Buồng phòng</v>
      </c>
      <c r="AC18" s="23"/>
      <c r="AD18" s="23" t="str">
        <f ca="1">IFERROR(__xludf.DUMMYFUNCTION("""COMPUTED_VALUE"""),"chưa có thông tin người hướng dẫn tại ks")</f>
        <v>chưa có thông tin người hướng dẫn tại ks</v>
      </c>
      <c r="AE18" s="23" t="str">
        <f ca="1">IFERROR(__xludf.DUMMYFUNCTION("""COMPUTED_VALUE"""),"")</f>
        <v/>
      </c>
      <c r="AF18" s="23" t="str">
        <f ca="1">IFERROR(__xludf.DUMMYFUNCTION("""COMPUTED_VALUE"""),"CHUYÊN ĐỀ")</f>
        <v>CHUYÊN ĐỀ</v>
      </c>
      <c r="AG18" s="23" t="str">
        <f ca="1">IFERROR(__xludf.DUMMYFUNCTION("""COMPUTED_VALUE"""),"Mai Thị Thương")</f>
        <v>Mai Thị Thương</v>
      </c>
    </row>
    <row r="19" spans="1:33" ht="15.75" customHeight="1" x14ac:dyDescent="0.2">
      <c r="A19" s="26">
        <f ca="1">IFERROR(__xludf.DUMMYFUNCTION("""COMPUTED_VALUE"""),45666.5070651388)</f>
        <v>45666.507065138801</v>
      </c>
      <c r="B19" s="23" t="str">
        <f ca="1">IFERROR(__xludf.DUMMYFUNCTION("""COMPUTED_VALUE"""),"tuyetpham.260200@gmail.com")</f>
        <v>tuyetpham.260200@gmail.com</v>
      </c>
      <c r="C19" s="23">
        <f ca="1">IFERROR(__xludf.DUMMYFUNCTION("""COMPUTED_VALUE"""),27207101459)</f>
        <v>27207101459</v>
      </c>
      <c r="D19" s="23" t="str">
        <f ca="1">IFERROR(__xludf.DUMMYFUNCTION("""COMPUTED_VALUE"""),"Phạm Thị Ánh Tuyết ")</f>
        <v xml:space="preserve">Phạm Thị Ánh Tuyết </v>
      </c>
      <c r="E19" s="27">
        <f ca="1">IFERROR(__xludf.DUMMYFUNCTION("""COMPUTED_VALUE"""),37678)</f>
        <v>37678</v>
      </c>
      <c r="F19" s="23" t="str">
        <f ca="1">IFERROR(__xludf.DUMMYFUNCTION("""COMPUTED_VALUE"""),"K27DLK3 ")</f>
        <v xml:space="preserve">K27DLK3 </v>
      </c>
      <c r="G19" s="23" t="str">
        <f ca="1">IFERROR(__xludf.DUMMYFUNCTION("""COMPUTED_VALUE"""),"Quản trị Du lịch &amp; Khách sạn")</f>
        <v>Quản trị Du lịch &amp; Khách sạn</v>
      </c>
      <c r="H19" s="23">
        <f ca="1">IFERROR(__xludf.DUMMYFUNCTION("""COMPUTED_VALUE"""),27)</f>
        <v>27</v>
      </c>
      <c r="I19" s="23" t="str">
        <f ca="1">IFERROR(__xludf.DUMMYFUNCTION("""COMPUTED_VALUE"""),"0386874255")</f>
        <v>0386874255</v>
      </c>
      <c r="J19" s="23" t="str">
        <f ca="1">IFERROR(__xludf.DUMMYFUNCTION("""COMPUTED_VALUE"""),"Chuyên đề")</f>
        <v>Chuyên đề</v>
      </c>
      <c r="K19" s="23" t="str">
        <f ca="1">IFERROR(__xludf.DUMMYFUNCTION("""COMPUTED_VALUE"""),"Meliá Vinpearl Danang Riverfront")</f>
        <v>Meliá Vinpearl Danang Riverfront</v>
      </c>
      <c r="L19" s="23"/>
      <c r="M19" s="23" t="str">
        <f ca="1">IFERROR(__xludf.DUMMYFUNCTION("""COMPUTED_VALUE"""),"341 Trần Hưng Đạo")</f>
        <v>341 Trần Hưng Đạo</v>
      </c>
      <c r="N19" s="23" t="str">
        <f ca="1">IFERROR(__xludf.DUMMYFUNCTION("""COMPUTED_VALUE"""),"Đà Nẵng ")</f>
        <v xml:space="preserve">Đà Nẵng </v>
      </c>
      <c r="O19" s="23" t="str">
        <f ca="1">IFERROR(__xludf.DUMMYFUNCTION("""COMPUTED_VALUE"""),"Buồng phòng")</f>
        <v>Buồng phòng</v>
      </c>
      <c r="P19" s="23"/>
      <c r="Q19" s="23" t="str">
        <f ca="1">IFERROR(__xludf.DUMMYFUNCTION("""COMPUTED_VALUE"""),"10/02/2025")</f>
        <v>10/02/2025</v>
      </c>
      <c r="R19" s="23" t="str">
        <f ca="1">IFERROR(__xludf.DUMMYFUNCTION("""COMPUTED_VALUE"""),"cam kết")</f>
        <v>cam kết</v>
      </c>
      <c r="S19" s="23" t="str">
        <f ca="1">IFERROR(__xludf.DUMMYFUNCTION("""COMPUTED_VALUE"""),"Chuyên đề")</f>
        <v>Chuyên đề</v>
      </c>
      <c r="T19" s="23"/>
      <c r="U19" s="27">
        <f ca="1">IFERROR(__xludf.DUMMYFUNCTION("""COMPUTED_VALUE"""),45698)</f>
        <v>45698</v>
      </c>
      <c r="V19" s="27">
        <f ca="1">IFERROR(__xludf.DUMMYFUNCTION("""COMPUTED_VALUE"""),45787)</f>
        <v>45787</v>
      </c>
      <c r="W19" s="23">
        <f ca="1">IFERROR(__xludf.DUMMYFUNCTION("""COMPUTED_VALUE"""),18)</f>
        <v>18</v>
      </c>
      <c r="X19" s="28">
        <f ca="1">IFERROR(__xludf.DUMMYFUNCTION("""COMPUTED_VALUE"""),45871)</f>
        <v>45871</v>
      </c>
      <c r="Y19" s="23" t="str">
        <f ca="1">IFERROR(__xludf.DUMMYFUNCTION("""COMPUTED_VALUE"""),"DUYỆT")</f>
        <v>DUYỆT</v>
      </c>
      <c r="Z19" s="28">
        <f ca="1">IFERROR(__xludf.DUMMYFUNCTION("""COMPUTED_VALUE"""),45962)</f>
        <v>45962</v>
      </c>
      <c r="AA19" s="23" t="str">
        <f ca="1">IFERROR(__xludf.DUMMYFUNCTION("""COMPUTED_VALUE"""),"Meliá Vinpearl Danang Riverfront")</f>
        <v>Meliá Vinpearl Danang Riverfront</v>
      </c>
      <c r="AB19" s="23" t="str">
        <f ca="1">IFERROR(__xludf.DUMMYFUNCTION("""COMPUTED_VALUE"""),"Buồng phòng")</f>
        <v>Buồng phòng</v>
      </c>
      <c r="AC19" s="23"/>
      <c r="AD19" s="23" t="str">
        <f ca="1">IFERROR(__xludf.DUMMYFUNCTION("""COMPUTED_VALUE"""),"chưa có thông tin người hướng dẫn tại ks")</f>
        <v>chưa có thông tin người hướng dẫn tại ks</v>
      </c>
      <c r="AE19" s="23" t="str">
        <f ca="1">IFERROR(__xludf.DUMMYFUNCTION("""COMPUTED_VALUE"""),"")</f>
        <v/>
      </c>
      <c r="AF19" s="23" t="str">
        <f ca="1">IFERROR(__xludf.DUMMYFUNCTION("""COMPUTED_VALUE"""),"CHUYÊN ĐỀ")</f>
        <v>CHUYÊN ĐỀ</v>
      </c>
      <c r="AG19" s="23" t="str">
        <f ca="1">IFERROR(__xludf.DUMMYFUNCTION("""COMPUTED_VALUE"""),"Ngô Thị Thanh Nga")</f>
        <v>Ngô Thị Thanh Nga</v>
      </c>
    </row>
    <row r="20" spans="1:33" ht="15.75" customHeight="1" x14ac:dyDescent="0.2">
      <c r="A20" s="26">
        <f ca="1">IFERROR(__xludf.DUMMYFUNCTION("""COMPUTED_VALUE"""),45666.648275868)</f>
        <v>45666.648275867999</v>
      </c>
      <c r="B20" s="23" t="str">
        <f ca="1">IFERROR(__xludf.DUMMYFUNCTION("""COMPUTED_VALUE"""),"nguyenphunglinhchi132003@gmail.com")</f>
        <v>nguyenphunglinhchi132003@gmail.com</v>
      </c>
      <c r="C20" s="23">
        <f ca="1">IFERROR(__xludf.DUMMYFUNCTION("""COMPUTED_VALUE"""),27203801181)</f>
        <v>27203801181</v>
      </c>
      <c r="D20" s="23" t="str">
        <f ca="1">IFERROR(__xludf.DUMMYFUNCTION("""COMPUTED_VALUE"""),"Nguyễn Phùng Linh Chi")</f>
        <v>Nguyễn Phùng Linh Chi</v>
      </c>
      <c r="E20" s="27">
        <f ca="1">IFERROR(__xludf.DUMMYFUNCTION("""COMPUTED_VALUE"""),37899)</f>
        <v>37899</v>
      </c>
      <c r="F20" s="23" t="str">
        <f ca="1">IFERROR(__xludf.DUMMYFUNCTION("""COMPUTED_VALUE"""),"K27DLK7")</f>
        <v>K27DLK7</v>
      </c>
      <c r="G20" s="23" t="str">
        <f ca="1">IFERROR(__xludf.DUMMYFUNCTION("""COMPUTED_VALUE"""),"Quản trị Du lịch &amp; Khách sạn")</f>
        <v>Quản trị Du lịch &amp; Khách sạn</v>
      </c>
      <c r="H20" s="23">
        <f ca="1">IFERROR(__xludf.DUMMYFUNCTION("""COMPUTED_VALUE"""),27)</f>
        <v>27</v>
      </c>
      <c r="I20" s="23" t="str">
        <f ca="1">IFERROR(__xludf.DUMMYFUNCTION("""COMPUTED_VALUE"""),"0394905152")</f>
        <v>0394905152</v>
      </c>
      <c r="J20" s="23" t="str">
        <f ca="1">IFERROR(__xludf.DUMMYFUNCTION("""COMPUTED_VALUE"""),"Chuyên đề")</f>
        <v>Chuyên đề</v>
      </c>
      <c r="K20" s="23" t="str">
        <f ca="1">IFERROR(__xludf.DUMMYFUNCTION("""COMPUTED_VALUE"""),"Hyatt regency DaNang Resort")</f>
        <v>Hyatt regency DaNang Resort</v>
      </c>
      <c r="L20" s="23"/>
      <c r="M20" s="23" t="str">
        <f ca="1">IFERROR(__xludf.DUMMYFUNCTION("""COMPUTED_VALUE"""),"05 Trường Sa, Hoà Hải, Ngũ Hành Sơn")</f>
        <v>05 Trường Sa, Hoà Hải, Ngũ Hành Sơn</v>
      </c>
      <c r="N20" s="23" t="str">
        <f ca="1">IFERROR(__xludf.DUMMYFUNCTION("""COMPUTED_VALUE"""),"Đà Nẵng")</f>
        <v>Đà Nẵng</v>
      </c>
      <c r="O20" s="23" t="str">
        <f ca="1">IFERROR(__xludf.DUMMYFUNCTION("""COMPUTED_VALUE"""),"Buồng phòng")</f>
        <v>Buồng phòng</v>
      </c>
      <c r="P20" s="23"/>
      <c r="Q20" s="23" t="str">
        <f ca="1">IFERROR(__xludf.DUMMYFUNCTION("""COMPUTED_VALUE"""),"09/01/2025")</f>
        <v>09/01/2025</v>
      </c>
      <c r="R20" s="23" t="str">
        <f ca="1">IFERROR(__xludf.DUMMYFUNCTION("""COMPUTED_VALUE"""),"cam kết")</f>
        <v>cam kết</v>
      </c>
      <c r="S20" s="23" t="str">
        <f ca="1">IFERROR(__xludf.DUMMYFUNCTION("""COMPUTED_VALUE"""),"Chuyên đề")</f>
        <v>Chuyên đề</v>
      </c>
      <c r="T20" s="23"/>
      <c r="U20" s="27">
        <f ca="1">IFERROR(__xludf.DUMMYFUNCTION("""COMPUTED_VALUE"""),45691)</f>
        <v>45691</v>
      </c>
      <c r="V20" s="27">
        <f ca="1">IFERROR(__xludf.DUMMYFUNCTION("""COMPUTED_VALUE"""),45780)</f>
        <v>45780</v>
      </c>
      <c r="W20" s="23">
        <f ca="1">IFERROR(__xludf.DUMMYFUNCTION("""COMPUTED_VALUE"""),19)</f>
        <v>19</v>
      </c>
      <c r="X20" s="28">
        <f ca="1">IFERROR(__xludf.DUMMYFUNCTION("""COMPUTED_VALUE"""),45962)</f>
        <v>45962</v>
      </c>
      <c r="Y20" s="23" t="str">
        <f ca="1">IFERROR(__xludf.DUMMYFUNCTION("""COMPUTED_VALUE"""),"DUYỆT")</f>
        <v>DUYỆT</v>
      </c>
      <c r="Z20" s="28">
        <f ca="1">IFERROR(__xludf.DUMMYFUNCTION("""COMPUTED_VALUE"""),45962)</f>
        <v>45962</v>
      </c>
      <c r="AA20" s="23" t="str">
        <f ca="1">IFERROR(__xludf.DUMMYFUNCTION("""COMPUTED_VALUE"""),"Hyatt regency DaNang Resort")</f>
        <v>Hyatt regency DaNang Resort</v>
      </c>
      <c r="AB20" s="23" t="str">
        <f ca="1">IFERROR(__xludf.DUMMYFUNCTION("""COMPUTED_VALUE"""),"Buồng phòng")</f>
        <v>Buồng phòng</v>
      </c>
      <c r="AC20" s="23"/>
      <c r="AD20" s="23"/>
      <c r="AE20" s="23" t="str">
        <f ca="1">IFERROR(__xludf.DUMMYFUNCTION("""COMPUTED_VALUE"""),"")</f>
        <v/>
      </c>
      <c r="AF20" s="23" t="str">
        <f ca="1">IFERROR(__xludf.DUMMYFUNCTION("""COMPUTED_VALUE"""),"CHUYÊN ĐỀ")</f>
        <v>CHUYÊN ĐỀ</v>
      </c>
      <c r="AG20" s="23" t="str">
        <f ca="1">IFERROR(__xludf.DUMMYFUNCTION("""COMPUTED_VALUE"""),"Mai Thị Thương")</f>
        <v>Mai Thị Thương</v>
      </c>
    </row>
    <row r="21" spans="1:33" ht="15.75" customHeight="1" x14ac:dyDescent="0.2">
      <c r="A21" s="26">
        <f ca="1">IFERROR(__xludf.DUMMYFUNCTION("""COMPUTED_VALUE"""),45666.6533926851)</f>
        <v>45666.653392685097</v>
      </c>
      <c r="B21" s="23" t="str">
        <f ca="1">IFERROR(__xludf.DUMMYFUNCTION("""COMPUTED_VALUE"""),"nguyenthithuyhien9630@gmail.com")</f>
        <v>nguyenthithuyhien9630@gmail.com</v>
      </c>
      <c r="C21" s="23">
        <f ca="1">IFERROR(__xludf.DUMMYFUNCTION("""COMPUTED_VALUE"""),27207133735)</f>
        <v>27207133735</v>
      </c>
      <c r="D21" s="23" t="str">
        <f ca="1">IFERROR(__xludf.DUMMYFUNCTION("""COMPUTED_VALUE"""),"Nguyễn Thị Thuý Hiền ")</f>
        <v xml:space="preserve">Nguyễn Thị Thuý Hiền </v>
      </c>
      <c r="E21" s="27">
        <f ca="1">IFERROR(__xludf.DUMMYFUNCTION("""COMPUTED_VALUE"""),37953)</f>
        <v>37953</v>
      </c>
      <c r="F21" s="23" t="str">
        <f ca="1">IFERROR(__xludf.DUMMYFUNCTION("""COMPUTED_VALUE"""),"K27DLK1")</f>
        <v>K27DLK1</v>
      </c>
      <c r="G21" s="23" t="str">
        <f ca="1">IFERROR(__xludf.DUMMYFUNCTION("""COMPUTED_VALUE"""),"Quản trị Du lịch &amp; Khách sạn")</f>
        <v>Quản trị Du lịch &amp; Khách sạn</v>
      </c>
      <c r="H21" s="23">
        <f ca="1">IFERROR(__xludf.DUMMYFUNCTION("""COMPUTED_VALUE"""),27)</f>
        <v>27</v>
      </c>
      <c r="I21" s="23" t="str">
        <f ca="1">IFERROR(__xludf.DUMMYFUNCTION("""COMPUTED_VALUE"""),"0379479630")</f>
        <v>0379479630</v>
      </c>
      <c r="J21" s="23" t="str">
        <f ca="1">IFERROR(__xludf.DUMMYFUNCTION("""COMPUTED_VALUE"""),"Chuyên đề")</f>
        <v>Chuyên đề</v>
      </c>
      <c r="K21" s="23" t="str">
        <f ca="1">IFERROR(__xludf.DUMMYFUNCTION("""COMPUTED_VALUE"""),"Wyndham DaNang Golden Bay")</f>
        <v>Wyndham DaNang Golden Bay</v>
      </c>
      <c r="L21" s="23"/>
      <c r="M21" s="23" t="str">
        <f ca="1">IFERROR(__xludf.DUMMYFUNCTION("""COMPUTED_VALUE"""),"01 Lê Văn Duyệt, Nại Hiên Đông, Sơn Trà, Đà Nẵng")</f>
        <v>01 Lê Văn Duyệt, Nại Hiên Đông, Sơn Trà, Đà Nẵng</v>
      </c>
      <c r="N21" s="23" t="str">
        <f ca="1">IFERROR(__xludf.DUMMYFUNCTION("""COMPUTED_VALUE"""),"TP.Đà Nẵng")</f>
        <v>TP.Đà Nẵng</v>
      </c>
      <c r="O21" s="23" t="str">
        <f ca="1">IFERROR(__xludf.DUMMYFUNCTION("""COMPUTED_VALUE"""),"Tiền sảnh")</f>
        <v>Tiền sảnh</v>
      </c>
      <c r="P21" s="23"/>
      <c r="Q21" s="23" t="str">
        <f ca="1">IFERROR(__xludf.DUMMYFUNCTION("""COMPUTED_VALUE"""),"03/01/2025")</f>
        <v>03/01/2025</v>
      </c>
      <c r="R21" s="23" t="str">
        <f ca="1">IFERROR(__xludf.DUMMYFUNCTION("""COMPUTED_VALUE"""),"cam kết")</f>
        <v>cam kết</v>
      </c>
      <c r="S21" s="23" t="str">
        <f ca="1">IFERROR(__xludf.DUMMYFUNCTION("""COMPUTED_VALUE"""),"Chuyên đề")</f>
        <v>Chuyên đề</v>
      </c>
      <c r="T21" s="23" t="str">
        <f ca="1">IFERROR(__xludf.DUMMYFUNCTION("""COMPUTED_VALUE"""),"Mai Thị Thương")</f>
        <v>Mai Thị Thương</v>
      </c>
      <c r="U21" s="27">
        <f ca="1">IFERROR(__xludf.DUMMYFUNCTION("""COMPUTED_VALUE"""),45660)</f>
        <v>45660</v>
      </c>
      <c r="V21" s="27">
        <f ca="1">IFERROR(__xludf.DUMMYFUNCTION("""COMPUTED_VALUE"""),45750)</f>
        <v>45750</v>
      </c>
      <c r="W21" s="23">
        <f ca="1">IFERROR(__xludf.DUMMYFUNCTION("""COMPUTED_VALUE"""),20)</f>
        <v>20</v>
      </c>
      <c r="X21" s="28">
        <f ca="1">IFERROR(__xludf.DUMMYFUNCTION("""COMPUTED_VALUE"""),45962)</f>
        <v>45962</v>
      </c>
      <c r="Y21" s="23" t="str">
        <f ca="1">IFERROR(__xludf.DUMMYFUNCTION("""COMPUTED_VALUE"""),"DUYỆT")</f>
        <v>DUYỆT</v>
      </c>
      <c r="Z21" s="28">
        <f ca="1">IFERROR(__xludf.DUMMYFUNCTION("""COMPUTED_VALUE"""),45962)</f>
        <v>45962</v>
      </c>
      <c r="AA21" s="23" t="str">
        <f ca="1">IFERROR(__xludf.DUMMYFUNCTION("""COMPUTED_VALUE"""),"Wyndham DaNang Golden Bay")</f>
        <v>Wyndham DaNang Golden Bay</v>
      </c>
      <c r="AB21" s="23" t="str">
        <f ca="1">IFERROR(__xludf.DUMMYFUNCTION("""COMPUTED_VALUE"""),"Tiền sảnh")</f>
        <v>Tiền sảnh</v>
      </c>
      <c r="AC21" s="23"/>
      <c r="AD21" s="23"/>
      <c r="AE21" s="23" t="str">
        <f ca="1">IFERROR(__xludf.DUMMYFUNCTION("""COMPUTED_VALUE"""),"")</f>
        <v/>
      </c>
      <c r="AF21" s="23" t="str">
        <f ca="1">IFERROR(__xludf.DUMMYFUNCTION("""COMPUTED_VALUE"""),"CHUYÊN ĐỀ")</f>
        <v>CHUYÊN ĐỀ</v>
      </c>
      <c r="AG21" s="23" t="str">
        <f ca="1">IFERROR(__xludf.DUMMYFUNCTION("""COMPUTED_VALUE"""),"Bùi Lê Anh Phương")</f>
        <v>Bùi Lê Anh Phương</v>
      </c>
    </row>
    <row r="22" spans="1:33" ht="15.75" customHeight="1" x14ac:dyDescent="0.2">
      <c r="A22" s="26">
        <f ca="1">IFERROR(__xludf.DUMMYFUNCTION("""COMPUTED_VALUE"""),45666.6744115972)</f>
        <v>45666.674411597203</v>
      </c>
      <c r="B22" s="23" t="str">
        <f ca="1">IFERROR(__xludf.DUMMYFUNCTION("""COMPUTED_VALUE"""),"vanhungnguyen1042003@gmail.com")</f>
        <v>vanhungnguyen1042003@gmail.com</v>
      </c>
      <c r="C22" s="23">
        <f ca="1">IFERROR(__xludf.DUMMYFUNCTION("""COMPUTED_VALUE"""),27217126810)</f>
        <v>27217126810</v>
      </c>
      <c r="D22" s="23" t="str">
        <f ca="1">IFERROR(__xludf.DUMMYFUNCTION("""COMPUTED_VALUE"""),"Nguyễn Văn Hưng")</f>
        <v>Nguyễn Văn Hưng</v>
      </c>
      <c r="E22" s="27">
        <f ca="1">IFERROR(__xludf.DUMMYFUNCTION("""COMPUTED_VALUE"""),37721)</f>
        <v>37721</v>
      </c>
      <c r="F22" s="23" t="str">
        <f ca="1">IFERROR(__xludf.DUMMYFUNCTION("""COMPUTED_VALUE"""),"K27DLK 2")</f>
        <v>K27DLK 2</v>
      </c>
      <c r="G22" s="23" t="str">
        <f ca="1">IFERROR(__xludf.DUMMYFUNCTION("""COMPUTED_VALUE"""),"Quản trị Du lịch &amp; Khách sạn")</f>
        <v>Quản trị Du lịch &amp; Khách sạn</v>
      </c>
      <c r="H22" s="23">
        <f ca="1">IFERROR(__xludf.DUMMYFUNCTION("""COMPUTED_VALUE"""),27)</f>
        <v>27</v>
      </c>
      <c r="I22" s="23" t="str">
        <f ca="1">IFERROR(__xludf.DUMMYFUNCTION("""COMPUTED_VALUE"""),"0337166538")</f>
        <v>0337166538</v>
      </c>
      <c r="J22" s="23" t="str">
        <f ca="1">IFERROR(__xludf.DUMMYFUNCTION("""COMPUTED_VALUE"""),"Chuyên đề")</f>
        <v>Chuyên đề</v>
      </c>
      <c r="K22" s="23" t="str">
        <f ca="1">IFERROR(__xludf.DUMMYFUNCTION("""COMPUTED_VALUE"""),"Wyndham DaNang Golden Bay")</f>
        <v>Wyndham DaNang Golden Bay</v>
      </c>
      <c r="L22" s="23"/>
      <c r="M22" s="23" t="str">
        <f ca="1">IFERROR(__xludf.DUMMYFUNCTION("""COMPUTED_VALUE"""),"01 Lê Văn Duyệt, Nại Hiên Đông, Sơn Trà, Đà Nẵng")</f>
        <v>01 Lê Văn Duyệt, Nại Hiên Đông, Sơn Trà, Đà Nẵng</v>
      </c>
      <c r="N22" s="23" t="str">
        <f ca="1">IFERROR(__xludf.DUMMYFUNCTION("""COMPUTED_VALUE"""),"Đà Nẵng")</f>
        <v>Đà Nẵng</v>
      </c>
      <c r="O22" s="23" t="str">
        <f ca="1">IFERROR(__xludf.DUMMYFUNCTION("""COMPUTED_VALUE"""),"Tiền sảnh")</f>
        <v>Tiền sảnh</v>
      </c>
      <c r="P22" s="23"/>
      <c r="Q22" s="23" t="str">
        <f ca="1">IFERROR(__xludf.DUMMYFUNCTION("""COMPUTED_VALUE"""),"Ngày 07/01/2025")</f>
        <v>Ngày 07/01/2025</v>
      </c>
      <c r="R22" s="23" t="str">
        <f ca="1">IFERROR(__xludf.DUMMYFUNCTION("""COMPUTED_VALUE"""),"cam kết")</f>
        <v>cam kết</v>
      </c>
      <c r="S22" s="23" t="str">
        <f ca="1">IFERROR(__xludf.DUMMYFUNCTION("""COMPUTED_VALUE"""),"Chuyên đề")</f>
        <v>Chuyên đề</v>
      </c>
      <c r="T22" s="23" t="str">
        <f ca="1">IFERROR(__xludf.DUMMYFUNCTION("""COMPUTED_VALUE"""),"Mai Thị Thương")</f>
        <v>Mai Thị Thương</v>
      </c>
      <c r="U22" s="27">
        <f ca="1">IFERROR(__xludf.DUMMYFUNCTION("""COMPUTED_VALUE"""),45698)</f>
        <v>45698</v>
      </c>
      <c r="V22" s="27">
        <f ca="1">IFERROR(__xludf.DUMMYFUNCTION("""COMPUTED_VALUE"""),45787)</f>
        <v>45787</v>
      </c>
      <c r="W22" s="23">
        <f ca="1">IFERROR(__xludf.DUMMYFUNCTION("""COMPUTED_VALUE"""),21)</f>
        <v>21</v>
      </c>
      <c r="X22" s="28">
        <f ca="1">IFERROR(__xludf.DUMMYFUNCTION("""COMPUTED_VALUE"""),45962)</f>
        <v>45962</v>
      </c>
      <c r="Y22" s="23" t="str">
        <f ca="1">IFERROR(__xludf.DUMMYFUNCTION("""COMPUTED_VALUE"""),"DUYỆT")</f>
        <v>DUYỆT</v>
      </c>
      <c r="Z22" s="28">
        <f ca="1">IFERROR(__xludf.DUMMYFUNCTION("""COMPUTED_VALUE"""),45962)</f>
        <v>45962</v>
      </c>
      <c r="AA22" s="23" t="str">
        <f ca="1">IFERROR(__xludf.DUMMYFUNCTION("""COMPUTED_VALUE"""),"Wyndham DaNang Golden Bay")</f>
        <v>Wyndham DaNang Golden Bay</v>
      </c>
      <c r="AB22" s="23" t="str">
        <f ca="1">IFERROR(__xludf.DUMMYFUNCTION("""COMPUTED_VALUE"""),"Tiền sảnh")</f>
        <v>Tiền sảnh</v>
      </c>
      <c r="AC22" s="23"/>
      <c r="AD22" s="23"/>
      <c r="AE22" s="23" t="str">
        <f ca="1">IFERROR(__xludf.DUMMYFUNCTION("""COMPUTED_VALUE"""),"")</f>
        <v/>
      </c>
      <c r="AF22" s="23" t="str">
        <f ca="1">IFERROR(__xludf.DUMMYFUNCTION("""COMPUTED_VALUE"""),"CHUYÊN ĐỀ")</f>
        <v>CHUYÊN ĐỀ</v>
      </c>
      <c r="AG22" s="23" t="str">
        <f ca="1">IFERROR(__xludf.DUMMYFUNCTION("""COMPUTED_VALUE"""),"Bùi Lê Anh Phương")</f>
        <v>Bùi Lê Anh Phương</v>
      </c>
    </row>
    <row r="23" spans="1:33" ht="15.75" customHeight="1" x14ac:dyDescent="0.2">
      <c r="A23" s="26">
        <f ca="1">IFERROR(__xludf.DUMMYFUNCTION("""COMPUTED_VALUE"""),45666.7273917245)</f>
        <v>45666.727391724497</v>
      </c>
      <c r="B23" s="23" t="str">
        <f ca="1">IFERROR(__xludf.DUMMYFUNCTION("""COMPUTED_VALUE"""),"nguyenkimlen30012003@gmail.com")</f>
        <v>nguyenkimlen30012003@gmail.com</v>
      </c>
      <c r="C23" s="23">
        <f ca="1">IFERROR(__xludf.DUMMYFUNCTION("""COMPUTED_VALUE"""),27207134467)</f>
        <v>27207134467</v>
      </c>
      <c r="D23" s="23" t="str">
        <f ca="1">IFERROR(__xludf.DUMMYFUNCTION("""COMPUTED_VALUE"""),"Nguyễn Thị Kim Lên")</f>
        <v>Nguyễn Thị Kim Lên</v>
      </c>
      <c r="E23" s="27">
        <f ca="1">IFERROR(__xludf.DUMMYFUNCTION("""COMPUTED_VALUE"""),37651)</f>
        <v>37651</v>
      </c>
      <c r="F23" s="23" t="str">
        <f ca="1">IFERROR(__xludf.DUMMYFUNCTION("""COMPUTED_VALUE"""),"K27DLK3")</f>
        <v>K27DLK3</v>
      </c>
      <c r="G23" s="23" t="str">
        <f ca="1">IFERROR(__xludf.DUMMYFUNCTION("""COMPUTED_VALUE"""),"Quản trị Du lịch &amp; Khách sạn")</f>
        <v>Quản trị Du lịch &amp; Khách sạn</v>
      </c>
      <c r="H23" s="23">
        <f ca="1">IFERROR(__xludf.DUMMYFUNCTION("""COMPUTED_VALUE"""),27)</f>
        <v>27</v>
      </c>
      <c r="I23" s="23" t="str">
        <f ca="1">IFERROR(__xludf.DUMMYFUNCTION("""COMPUTED_VALUE"""),"0969193674")</f>
        <v>0969193674</v>
      </c>
      <c r="J23" s="23" t="str">
        <f ca="1">IFERROR(__xludf.DUMMYFUNCTION("""COMPUTED_VALUE"""),"Chuyên đề")</f>
        <v>Chuyên đề</v>
      </c>
      <c r="K23" s="23" t="str">
        <f ca="1">IFERROR(__xludf.DUMMYFUNCTION("""COMPUTED_VALUE"""),"Khách sạn Đức Long Gia Lai - Dung Quất")</f>
        <v>Khách sạn Đức Long Gia Lai - Dung Quất</v>
      </c>
      <c r="L23" s="23" t="str">
        <f ca="1">IFERROR(__xludf.DUMMYFUNCTION("""COMPUTED_VALUE"""),"Khách sạn Đức Long Gia Lai - Dung Quất")</f>
        <v>Khách sạn Đức Long Gia Lai - Dung Quất</v>
      </c>
      <c r="M23" s="23" t="str">
        <f ca="1">IFERROR(__xludf.DUMMYFUNCTION("""COMPUTED_VALUE"""),"Ngã ba Dốc Sỏi - khu kinh tế Dung Quất xã bình chánh huyện bình sơn tỉnh quảng ngãi")</f>
        <v>Ngã ba Dốc Sỏi - khu kinh tế Dung Quất xã bình chánh huyện bình sơn tỉnh quảng ngãi</v>
      </c>
      <c r="N23" s="23" t="str">
        <f ca="1">IFERROR(__xludf.DUMMYFUNCTION("""COMPUTED_VALUE"""),"Quảng ngãi")</f>
        <v>Quảng ngãi</v>
      </c>
      <c r="O23" s="23" t="str">
        <f ca="1">IFERROR(__xludf.DUMMYFUNCTION("""COMPUTED_VALUE"""),"Lễ tân")</f>
        <v>Lễ tân</v>
      </c>
      <c r="P23" s="23" t="str">
        <f ca="1">IFERROR(__xludf.DUMMYFUNCTION("""COMPUTED_VALUE"""),"Lễ tân")</f>
        <v>Lễ tân</v>
      </c>
      <c r="Q23" s="23" t="str">
        <f ca="1">IFERROR(__xludf.DUMMYFUNCTION("""COMPUTED_VALUE"""),"7/1/2025")</f>
        <v>7/1/2025</v>
      </c>
      <c r="R23" s="23" t="str">
        <f ca="1">IFERROR(__xludf.DUMMYFUNCTION("""COMPUTED_VALUE"""),"cam kết")</f>
        <v>cam kết</v>
      </c>
      <c r="S23" s="23" t="str">
        <f ca="1">IFERROR(__xludf.DUMMYFUNCTION("""COMPUTED_VALUE"""),"Chuyên đề")</f>
        <v>Chuyên đề</v>
      </c>
      <c r="T23" s="23"/>
      <c r="U23" s="27">
        <f ca="1">IFERROR(__xludf.DUMMYFUNCTION("""COMPUTED_VALUE"""),45698)</f>
        <v>45698</v>
      </c>
      <c r="V23" s="27">
        <f ca="1">IFERROR(__xludf.DUMMYFUNCTION("""COMPUTED_VALUE"""),45787)</f>
        <v>45787</v>
      </c>
      <c r="W23" s="23">
        <f ca="1">IFERROR(__xludf.DUMMYFUNCTION("""COMPUTED_VALUE"""),22)</f>
        <v>22</v>
      </c>
      <c r="X23" s="28">
        <f ca="1">IFERROR(__xludf.DUMMYFUNCTION("""COMPUTED_VALUE"""),45962)</f>
        <v>45962</v>
      </c>
      <c r="Y23" s="23" t="str">
        <f ca="1">IFERROR(__xludf.DUMMYFUNCTION("""COMPUTED_VALUE"""),"DUYỆT")</f>
        <v>DUYỆT</v>
      </c>
      <c r="Z23" s="28">
        <f ca="1">IFERROR(__xludf.DUMMYFUNCTION("""COMPUTED_VALUE"""),45962)</f>
        <v>45962</v>
      </c>
      <c r="AA23" s="23" t="str">
        <f ca="1">IFERROR(__xludf.DUMMYFUNCTION("""COMPUTED_VALUE"""),"Khách sạn Đức Long Gia Lai - Dung Quất")</f>
        <v>Khách sạn Đức Long Gia Lai - Dung Quất</v>
      </c>
      <c r="AB23" s="23" t="str">
        <f ca="1">IFERROR(__xludf.DUMMYFUNCTION("""COMPUTED_VALUE"""),"Lễ tân")</f>
        <v>Lễ tân</v>
      </c>
      <c r="AC23" s="23"/>
      <c r="AD23" s="23"/>
      <c r="AE23" s="23" t="str">
        <f ca="1">IFERROR(__xludf.DUMMYFUNCTION("""COMPUTED_VALUE"""),"")</f>
        <v/>
      </c>
      <c r="AF23" s="23" t="str">
        <f ca="1">IFERROR(__xludf.DUMMYFUNCTION("""COMPUTED_VALUE"""),"CHUYÊN ĐỀ")</f>
        <v>CHUYÊN ĐỀ</v>
      </c>
      <c r="AG23" s="23" t="str">
        <f ca="1">IFERROR(__xludf.DUMMYFUNCTION("""COMPUTED_VALUE"""),"Nguyễn Thị Minh Thư")</f>
        <v>Nguyễn Thị Minh Thư</v>
      </c>
    </row>
    <row r="24" spans="1:33" ht="12.75" x14ac:dyDescent="0.2">
      <c r="A24" s="26">
        <f ca="1">IFERROR(__xludf.DUMMYFUNCTION("""COMPUTED_VALUE"""),45666.7308724652)</f>
        <v>45666.730872465203</v>
      </c>
      <c r="B24" s="23" t="str">
        <f ca="1">IFERROR(__xludf.DUMMYFUNCTION("""COMPUTED_VALUE"""),"anhphan.260203@gmail.com")</f>
        <v>anhphan.260203@gmail.com</v>
      </c>
      <c r="C24" s="23">
        <f ca="1">IFERROR(__xludf.DUMMYFUNCTION("""COMPUTED_VALUE"""),27217144395)</f>
        <v>27217144395</v>
      </c>
      <c r="D24" s="23" t="str">
        <f ca="1">IFERROR(__xludf.DUMMYFUNCTION("""COMPUTED_VALUE"""),"Phan Ngọc Nguyên Anh")</f>
        <v>Phan Ngọc Nguyên Anh</v>
      </c>
      <c r="E24" s="27">
        <f ca="1">IFERROR(__xludf.DUMMYFUNCTION("""COMPUTED_VALUE"""),37678)</f>
        <v>37678</v>
      </c>
      <c r="F24" s="23" t="str">
        <f ca="1">IFERROR(__xludf.DUMMYFUNCTION("""COMPUTED_VALUE"""),"K27DLK6")</f>
        <v>K27DLK6</v>
      </c>
      <c r="G24" s="23" t="str">
        <f ca="1">IFERROR(__xludf.DUMMYFUNCTION("""COMPUTED_VALUE"""),"Quản trị Du lịch &amp; Khách sạn")</f>
        <v>Quản trị Du lịch &amp; Khách sạn</v>
      </c>
      <c r="H24" s="23">
        <f ca="1">IFERROR(__xludf.DUMMYFUNCTION("""COMPUTED_VALUE"""),27)</f>
        <v>27</v>
      </c>
      <c r="I24" s="23" t="str">
        <f ca="1">IFERROR(__xludf.DUMMYFUNCTION("""COMPUTED_VALUE"""),"0934947827")</f>
        <v>0934947827</v>
      </c>
      <c r="J24" s="23" t="str">
        <f ca="1">IFERROR(__xludf.DUMMYFUNCTION("""COMPUTED_VALUE"""),"Chuyên đề")</f>
        <v>Chuyên đề</v>
      </c>
      <c r="K24" s="23" t="str">
        <f ca="1">IFERROR(__xludf.DUMMYFUNCTION("""COMPUTED_VALUE"""),"Wyndham DaNang Golden Bay")</f>
        <v>Wyndham DaNang Golden Bay</v>
      </c>
      <c r="L24" s="23"/>
      <c r="M24" s="23" t="str">
        <f ca="1">IFERROR(__xludf.DUMMYFUNCTION("""COMPUTED_VALUE"""),"01 Lê Văn Duyệt, Nại Hiên Đông, Sơn Trà, Đà Nẵng 550000")</f>
        <v>01 Lê Văn Duyệt, Nại Hiên Đông, Sơn Trà, Đà Nẵng 550000</v>
      </c>
      <c r="N24" s="23" t="str">
        <f ca="1">IFERROR(__xludf.DUMMYFUNCTION("""COMPUTED_VALUE"""),"Đà nẵng")</f>
        <v>Đà nẵng</v>
      </c>
      <c r="O24" s="23" t="str">
        <f ca="1">IFERROR(__xludf.DUMMYFUNCTION("""COMPUTED_VALUE"""),"Buồng phòng")</f>
        <v>Buồng phòng</v>
      </c>
      <c r="P24" s="23"/>
      <c r="Q24" s="23" t="str">
        <f ca="1">IFERROR(__xludf.DUMMYFUNCTION("""COMPUTED_VALUE"""),"7/1/2025")</f>
        <v>7/1/2025</v>
      </c>
      <c r="R24" s="23" t="str">
        <f ca="1">IFERROR(__xludf.DUMMYFUNCTION("""COMPUTED_VALUE"""),"cam kết")</f>
        <v>cam kết</v>
      </c>
      <c r="S24" s="23" t="str">
        <f ca="1">IFERROR(__xludf.DUMMYFUNCTION("""COMPUTED_VALUE"""),"Chuyên đề")</f>
        <v>Chuyên đề</v>
      </c>
      <c r="T24" s="23"/>
      <c r="U24" s="27">
        <f ca="1">IFERROR(__xludf.DUMMYFUNCTION("""COMPUTED_VALUE"""),45698)</f>
        <v>45698</v>
      </c>
      <c r="V24" s="27">
        <f ca="1">IFERROR(__xludf.DUMMYFUNCTION("""COMPUTED_VALUE"""),45787)</f>
        <v>45787</v>
      </c>
      <c r="W24" s="23">
        <f ca="1">IFERROR(__xludf.DUMMYFUNCTION("""COMPUTED_VALUE"""),23)</f>
        <v>23</v>
      </c>
      <c r="X24" s="28">
        <f ca="1">IFERROR(__xludf.DUMMYFUNCTION("""COMPUTED_VALUE"""),45962)</f>
        <v>45962</v>
      </c>
      <c r="Y24" s="23" t="str">
        <f ca="1">IFERROR(__xludf.DUMMYFUNCTION("""COMPUTED_VALUE"""),"DUYỆT")</f>
        <v>DUYỆT</v>
      </c>
      <c r="Z24" s="28">
        <f ca="1">IFERROR(__xludf.DUMMYFUNCTION("""COMPUTED_VALUE"""),45962)</f>
        <v>45962</v>
      </c>
      <c r="AA24" s="23" t="str">
        <f ca="1">IFERROR(__xludf.DUMMYFUNCTION("""COMPUTED_VALUE"""),"Wyndham DaNang Golden Bay")</f>
        <v>Wyndham DaNang Golden Bay</v>
      </c>
      <c r="AB24" s="23" t="str">
        <f ca="1">IFERROR(__xludf.DUMMYFUNCTION("""COMPUTED_VALUE"""),"Buồng phòng")</f>
        <v>Buồng phòng</v>
      </c>
      <c r="AC24" s="23"/>
      <c r="AD24" s="23"/>
      <c r="AE24" s="23" t="str">
        <f ca="1">IFERROR(__xludf.DUMMYFUNCTION("""COMPUTED_VALUE"""),"")</f>
        <v/>
      </c>
      <c r="AF24" s="23" t="str">
        <f ca="1">IFERROR(__xludf.DUMMYFUNCTION("""COMPUTED_VALUE"""),"CHUYÊN ĐỀ")</f>
        <v>CHUYÊN ĐỀ</v>
      </c>
      <c r="AG24" s="23" t="str">
        <f ca="1">IFERROR(__xludf.DUMMYFUNCTION("""COMPUTED_VALUE"""),"Phan Thị Hồng Hải")</f>
        <v>Phan Thị Hồng Hải</v>
      </c>
    </row>
    <row r="25" spans="1:33" ht="12.75" x14ac:dyDescent="0.2">
      <c r="A25" s="26">
        <f ca="1">IFERROR(__xludf.DUMMYFUNCTION("""COMPUTED_VALUE"""),45666.8641379398)</f>
        <v>45666.864137939803</v>
      </c>
      <c r="B25" s="23" t="str">
        <f ca="1">IFERROR(__xludf.DUMMYFUNCTION("""COMPUTED_VALUE"""),"lequangson04092003@gmail.com")</f>
        <v>lequangson04092003@gmail.com</v>
      </c>
      <c r="C25" s="23">
        <f ca="1">IFERROR(__xludf.DUMMYFUNCTION("""COMPUTED_VALUE"""),27217137887)</f>
        <v>27217137887</v>
      </c>
      <c r="D25" s="23" t="str">
        <f ca="1">IFERROR(__xludf.DUMMYFUNCTION("""COMPUTED_VALUE"""),"Lê Quang Sơn ")</f>
        <v xml:space="preserve">Lê Quang Sơn </v>
      </c>
      <c r="E25" s="27">
        <f ca="1">IFERROR(__xludf.DUMMYFUNCTION("""COMPUTED_VALUE"""),37868)</f>
        <v>37868</v>
      </c>
      <c r="F25" s="23" t="str">
        <f ca="1">IFERROR(__xludf.DUMMYFUNCTION("""COMPUTED_VALUE"""),"K27DLK3")</f>
        <v>K27DLK3</v>
      </c>
      <c r="G25" s="23" t="str">
        <f ca="1">IFERROR(__xludf.DUMMYFUNCTION("""COMPUTED_VALUE"""),"Quản trị Du lịch &amp; Khách sạn")</f>
        <v>Quản trị Du lịch &amp; Khách sạn</v>
      </c>
      <c r="H25" s="23">
        <f ca="1">IFERROR(__xludf.DUMMYFUNCTION("""COMPUTED_VALUE"""),27)</f>
        <v>27</v>
      </c>
      <c r="I25" s="23" t="str">
        <f ca="1">IFERROR(__xludf.DUMMYFUNCTION("""COMPUTED_VALUE"""),"0339295515")</f>
        <v>0339295515</v>
      </c>
      <c r="J25" s="23" t="str">
        <f ca="1">IFERROR(__xludf.DUMMYFUNCTION("""COMPUTED_VALUE"""),"Chuyên đề")</f>
        <v>Chuyên đề</v>
      </c>
      <c r="K25" s="23" t="str">
        <f ca="1">IFERROR(__xludf.DUMMYFUNCTION("""COMPUTED_VALUE"""),"Khách sạn Avatar Đà Nẵng ")</f>
        <v xml:space="preserve">Khách sạn Avatar Đà Nẵng </v>
      </c>
      <c r="L25" s="23" t="str">
        <f ca="1">IFERROR(__xludf.DUMMYFUNCTION("""COMPUTED_VALUE"""),"Khách sạn Avatar Đà Nẵng ")</f>
        <v xml:space="preserve">Khách sạn Avatar Đà Nẵng </v>
      </c>
      <c r="M25" s="23" t="str">
        <f ca="1">IFERROR(__xludf.DUMMYFUNCTION("""COMPUTED_VALUE"""),"104 Hoàng Kế Viêm, phường Mỹ An,Quận Ngũ Hành Sơn, Thành phố Đà Nẵng")</f>
        <v>104 Hoàng Kế Viêm, phường Mỹ An,Quận Ngũ Hành Sơn, Thành phố Đà Nẵng</v>
      </c>
      <c r="N25" s="23" t="str">
        <f ca="1">IFERROR(__xludf.DUMMYFUNCTION("""COMPUTED_VALUE"""),"Thành phố Đà Nẵng")</f>
        <v>Thành phố Đà Nẵng</v>
      </c>
      <c r="O25" s="23" t="str">
        <f ca="1">IFERROR(__xludf.DUMMYFUNCTION("""COMPUTED_VALUE"""),"Nhà hàng")</f>
        <v>Nhà hàng</v>
      </c>
      <c r="P25" s="23"/>
      <c r="Q25" s="23" t="str">
        <f ca="1">IFERROR(__xludf.DUMMYFUNCTION("""COMPUTED_VALUE"""),"09/01/2025")</f>
        <v>09/01/2025</v>
      </c>
      <c r="R25" s="23" t="str">
        <f ca="1">IFERROR(__xludf.DUMMYFUNCTION("""COMPUTED_VALUE"""),"cam kết")</f>
        <v>cam kết</v>
      </c>
      <c r="S25" s="23" t="str">
        <f ca="1">IFERROR(__xludf.DUMMYFUNCTION("""COMPUTED_VALUE"""),"Chuyên đề")</f>
        <v>Chuyên đề</v>
      </c>
      <c r="T25" s="23"/>
      <c r="U25" s="27">
        <f ca="1">IFERROR(__xludf.DUMMYFUNCTION("""COMPUTED_VALUE"""),45663)</f>
        <v>45663</v>
      </c>
      <c r="V25" s="27">
        <f ca="1">IFERROR(__xludf.DUMMYFUNCTION("""COMPUTED_VALUE"""),45753)</f>
        <v>45753</v>
      </c>
      <c r="W25" s="23">
        <f ca="1">IFERROR(__xludf.DUMMYFUNCTION("""COMPUTED_VALUE"""),24)</f>
        <v>24</v>
      </c>
      <c r="X25" s="28">
        <f ca="1">IFERROR(__xludf.DUMMYFUNCTION("""COMPUTED_VALUE"""),45962)</f>
        <v>45962</v>
      </c>
      <c r="Y25" s="23" t="str">
        <f ca="1">IFERROR(__xludf.DUMMYFUNCTION("""COMPUTED_VALUE"""),"DUYỆT")</f>
        <v>DUYỆT</v>
      </c>
      <c r="Z25" s="28">
        <f ca="1">IFERROR(__xludf.DUMMYFUNCTION("""COMPUTED_VALUE"""),45962)</f>
        <v>45962</v>
      </c>
      <c r="AA25" s="23" t="str">
        <f ca="1">IFERROR(__xludf.DUMMYFUNCTION("""COMPUTED_VALUE"""),"Khách sạn Avatar Đà Nẵng ")</f>
        <v xml:space="preserve">Khách sạn Avatar Đà Nẵng </v>
      </c>
      <c r="AB25" s="23" t="str">
        <f ca="1">IFERROR(__xludf.DUMMYFUNCTION("""COMPUTED_VALUE"""),"Nhà hàng")</f>
        <v>Nhà hàng</v>
      </c>
      <c r="AC25" s="23"/>
      <c r="AD25" s="23"/>
      <c r="AE25" s="23" t="str">
        <f ca="1">IFERROR(__xludf.DUMMYFUNCTION("""COMPUTED_VALUE"""),"")</f>
        <v/>
      </c>
      <c r="AF25" s="23" t="str">
        <f ca="1">IFERROR(__xludf.DUMMYFUNCTION("""COMPUTED_VALUE"""),"không đủ điều kiện")</f>
        <v>không đủ điều kiện</v>
      </c>
      <c r="AG25" s="23"/>
    </row>
    <row r="26" spans="1:33" ht="12.75" x14ac:dyDescent="0.2">
      <c r="A26" s="26">
        <f ca="1">IFERROR(__xludf.DUMMYFUNCTION("""COMPUTED_VALUE"""),45667.6844830902)</f>
        <v>45667.684483090197</v>
      </c>
      <c r="B26" s="23" t="str">
        <f ca="1">IFERROR(__xludf.DUMMYFUNCTION("""COMPUTED_VALUE"""),"hoangngocbaotram0611@gmail.com")</f>
        <v>hoangngocbaotram0611@gmail.com</v>
      </c>
      <c r="C26" s="23">
        <f ca="1">IFERROR(__xludf.DUMMYFUNCTION("""COMPUTED_VALUE"""),27207152184)</f>
        <v>27207152184</v>
      </c>
      <c r="D26" s="23" t="str">
        <f ca="1">IFERROR(__xludf.DUMMYFUNCTION("""COMPUTED_VALUE"""),"Hoàng Ngọc Bảo Trâm ")</f>
        <v xml:space="preserve">Hoàng Ngọc Bảo Trâm </v>
      </c>
      <c r="E26" s="27">
        <f ca="1">IFERROR(__xludf.DUMMYFUNCTION("""COMPUTED_VALUE"""),37931)</f>
        <v>37931</v>
      </c>
      <c r="F26" s="23" t="str">
        <f ca="1">IFERROR(__xludf.DUMMYFUNCTION("""COMPUTED_VALUE"""),"K27DLK7")</f>
        <v>K27DLK7</v>
      </c>
      <c r="G26" s="23" t="str">
        <f ca="1">IFERROR(__xludf.DUMMYFUNCTION("""COMPUTED_VALUE"""),"Quản trị Du lịch &amp; Khách sạn")</f>
        <v>Quản trị Du lịch &amp; Khách sạn</v>
      </c>
      <c r="H26" s="23">
        <f ca="1">IFERROR(__xludf.DUMMYFUNCTION("""COMPUTED_VALUE"""),27)</f>
        <v>27</v>
      </c>
      <c r="I26" s="23" t="str">
        <f ca="1">IFERROR(__xludf.DUMMYFUNCTION("""COMPUTED_VALUE"""),"0913604959")</f>
        <v>0913604959</v>
      </c>
      <c r="J26" s="23" t="str">
        <f ca="1">IFERROR(__xludf.DUMMYFUNCTION("""COMPUTED_VALUE"""),"Chuyên đề")</f>
        <v>Chuyên đề</v>
      </c>
      <c r="K26" s="23" t="str">
        <f ca="1">IFERROR(__xludf.DUMMYFUNCTION("""COMPUTED_VALUE"""),"Hyatt regency DaNang Resort")</f>
        <v>Hyatt regency DaNang Resort</v>
      </c>
      <c r="L26" s="23"/>
      <c r="M26" s="23" t="str">
        <f ca="1">IFERROR(__xludf.DUMMYFUNCTION("""COMPUTED_VALUE"""),"05 Trường Sa, Hoà Hải, Ngũ Hành Sơn, Đà Nẵng")</f>
        <v>05 Trường Sa, Hoà Hải, Ngũ Hành Sơn, Đà Nẵng</v>
      </c>
      <c r="N26" s="23" t="str">
        <f ca="1">IFERROR(__xludf.DUMMYFUNCTION("""COMPUTED_VALUE"""),"Thành phố Đà Nẵng ")</f>
        <v xml:space="preserve">Thành phố Đà Nẵng </v>
      </c>
      <c r="O26" s="23" t="str">
        <f ca="1">IFERROR(__xludf.DUMMYFUNCTION("""COMPUTED_VALUE"""),"Nhà hàng")</f>
        <v>Nhà hàng</v>
      </c>
      <c r="P26" s="23"/>
      <c r="Q26" s="23" t="str">
        <f ca="1">IFERROR(__xludf.DUMMYFUNCTION("""COMPUTED_VALUE"""),"10/01/2025")</f>
        <v>10/01/2025</v>
      </c>
      <c r="R26" s="23" t="str">
        <f ca="1">IFERROR(__xludf.DUMMYFUNCTION("""COMPUTED_VALUE"""),"cam kết")</f>
        <v>cam kết</v>
      </c>
      <c r="S26" s="23" t="str">
        <f ca="1">IFERROR(__xludf.DUMMYFUNCTION("""COMPUTED_VALUE"""),"Chuyên đề")</f>
        <v>Chuyên đề</v>
      </c>
      <c r="T26" s="23"/>
      <c r="U26" s="27">
        <f ca="1">IFERROR(__xludf.DUMMYFUNCTION("""COMPUTED_VALUE"""),45691)</f>
        <v>45691</v>
      </c>
      <c r="V26" s="27">
        <f ca="1">IFERROR(__xludf.DUMMYFUNCTION("""COMPUTED_VALUE"""),45780)</f>
        <v>45780</v>
      </c>
      <c r="W26" s="23">
        <f ca="1">IFERROR(__xludf.DUMMYFUNCTION("""COMPUTED_VALUE"""),25)</f>
        <v>25</v>
      </c>
      <c r="X26" s="28">
        <f ca="1">IFERROR(__xludf.DUMMYFUNCTION("""COMPUTED_VALUE"""),45962)</f>
        <v>45962</v>
      </c>
      <c r="Y26" s="23" t="str">
        <f ca="1">IFERROR(__xludf.DUMMYFUNCTION("""COMPUTED_VALUE"""),"DUYỆT")</f>
        <v>DUYỆT</v>
      </c>
      <c r="Z26" s="28">
        <f ca="1">IFERROR(__xludf.DUMMYFUNCTION("""COMPUTED_VALUE"""),45962)</f>
        <v>45962</v>
      </c>
      <c r="AA26" s="23" t="str">
        <f ca="1">IFERROR(__xludf.DUMMYFUNCTION("""COMPUTED_VALUE"""),"Hyatt regency DaNang Resort")</f>
        <v>Hyatt regency DaNang Resort</v>
      </c>
      <c r="AB26" s="23" t="str">
        <f ca="1">IFERROR(__xludf.DUMMYFUNCTION("""COMPUTED_VALUE"""),"Nhà hàng")</f>
        <v>Nhà hàng</v>
      </c>
      <c r="AC26" s="23"/>
      <c r="AD26" s="23" t="str">
        <f ca="1">IFERROR(__xludf.DUMMYFUNCTION("""COMPUTED_VALUE"""),"SV phải đảm bảo không thực tập quá 5sv/nhà hàng
chưa có thông tin người hướng dẫn tại ks")</f>
        <v>SV phải đảm bảo không thực tập quá 5sv/nhà hàng
chưa có thông tin người hướng dẫn tại ks</v>
      </c>
      <c r="AE26" s="23" t="str">
        <f ca="1">IFERROR(__xludf.DUMMYFUNCTION("""COMPUTED_VALUE"""),"")</f>
        <v/>
      </c>
      <c r="AF26" s="23" t="str">
        <f ca="1">IFERROR(__xludf.DUMMYFUNCTION("""COMPUTED_VALUE"""),"CHUYÊN ĐỀ")</f>
        <v>CHUYÊN ĐỀ</v>
      </c>
      <c r="AG26" s="23" t="str">
        <f ca="1">IFERROR(__xludf.DUMMYFUNCTION("""COMPUTED_VALUE"""),"Trần Hoàng Anh")</f>
        <v>Trần Hoàng Anh</v>
      </c>
    </row>
    <row r="27" spans="1:33" ht="12.75" x14ac:dyDescent="0.2">
      <c r="A27" s="26">
        <f ca="1">IFERROR(__xludf.DUMMYFUNCTION("""COMPUTED_VALUE"""),45667.4125134375)</f>
        <v>45667.412513437499</v>
      </c>
      <c r="B27" s="23" t="str">
        <f ca="1">IFERROR(__xludf.DUMMYFUNCTION("""COMPUTED_VALUE"""),"myduyentrinh32@gmail.com")</f>
        <v>myduyentrinh32@gmail.com</v>
      </c>
      <c r="C27" s="23">
        <f ca="1">IFERROR(__xludf.DUMMYFUNCTION("""COMPUTED_VALUE"""),25207101778)</f>
        <v>25207101778</v>
      </c>
      <c r="D27" s="23" t="str">
        <f ca="1">IFERROR(__xludf.DUMMYFUNCTION("""COMPUTED_VALUE"""),"Trịnh Thị Mỹ Duyên")</f>
        <v>Trịnh Thị Mỹ Duyên</v>
      </c>
      <c r="E27" s="27">
        <f ca="1">IFERROR(__xludf.DUMMYFUNCTION("""COMPUTED_VALUE"""),37188)</f>
        <v>37188</v>
      </c>
      <c r="F27" s="23" t="str">
        <f ca="1">IFERROR(__xludf.DUMMYFUNCTION("""COMPUTED_VALUE"""),"K25DLK14")</f>
        <v>K25DLK14</v>
      </c>
      <c r="G27" s="23" t="str">
        <f ca="1">IFERROR(__xludf.DUMMYFUNCTION("""COMPUTED_VALUE"""),"Quản trị Du lịch &amp; Khách sạn")</f>
        <v>Quản trị Du lịch &amp; Khách sạn</v>
      </c>
      <c r="H27" s="23">
        <f ca="1">IFERROR(__xludf.DUMMYFUNCTION("""COMPUTED_VALUE"""),26)</f>
        <v>26</v>
      </c>
      <c r="I27" s="23" t="str">
        <f ca="1">IFERROR(__xludf.DUMMYFUNCTION("""COMPUTED_VALUE"""),"0826124677")</f>
        <v>0826124677</v>
      </c>
      <c r="J27" s="23" t="str">
        <f ca="1">IFERROR(__xludf.DUMMYFUNCTION("""COMPUTED_VALUE"""),"Chuyên đề")</f>
        <v>Chuyên đề</v>
      </c>
      <c r="K27" s="23" t="str">
        <f ca="1">IFERROR(__xludf.DUMMYFUNCTION("""COMPUTED_VALUE"""),"Grand Mercure Đà Nẵng")</f>
        <v>Grand Mercure Đà Nẵng</v>
      </c>
      <c r="L27" s="23"/>
      <c r="M27" s="23" t="str">
        <f ca="1">IFERROR(__xludf.DUMMYFUNCTION("""COMPUTED_VALUE"""),"Lô A1, Khu biệt thự Đảo Xanh, phường Hòa Cường Bắc, quận Hải Châu, Thành phố Đà Nẵng")</f>
        <v>Lô A1, Khu biệt thự Đảo Xanh, phường Hòa Cường Bắc, quận Hải Châu, Thành phố Đà Nẵng</v>
      </c>
      <c r="N27" s="23" t="str">
        <f ca="1">IFERROR(__xludf.DUMMYFUNCTION("""COMPUTED_VALUE"""),"Đà Nẵng")</f>
        <v>Đà Nẵng</v>
      </c>
      <c r="O27" s="23" t="str">
        <f ca="1">IFERROR(__xludf.DUMMYFUNCTION("""COMPUTED_VALUE"""),"Lễ tân")</f>
        <v>Lễ tân</v>
      </c>
      <c r="P27" s="23"/>
      <c r="Q27" s="23" t="str">
        <f ca="1">IFERROR(__xludf.DUMMYFUNCTION("""COMPUTED_VALUE"""),"25/01/2025")</f>
        <v>25/01/2025</v>
      </c>
      <c r="R27" s="23" t="str">
        <f ca="1">IFERROR(__xludf.DUMMYFUNCTION("""COMPUTED_VALUE"""),"cam kết")</f>
        <v>cam kết</v>
      </c>
      <c r="S27" s="23" t="str">
        <f ca="1">IFERROR(__xludf.DUMMYFUNCTION("""COMPUTED_VALUE"""),"Chuyên đề")</f>
        <v>Chuyên đề</v>
      </c>
      <c r="T27" s="23" t="str">
        <f ca="1">IFERROR(__xludf.DUMMYFUNCTION("""COMPUTED_VALUE"""),"Dương Thị Xuân Diệu")</f>
        <v>Dương Thị Xuân Diệu</v>
      </c>
      <c r="U27" s="27">
        <f ca="1">IFERROR(__xludf.DUMMYFUNCTION("""COMPUTED_VALUE"""),45698)</f>
        <v>45698</v>
      </c>
      <c r="V27" s="27">
        <f ca="1">IFERROR(__xludf.DUMMYFUNCTION("""COMPUTED_VALUE"""),45787)</f>
        <v>45787</v>
      </c>
      <c r="W27" s="23">
        <f ca="1">IFERROR(__xludf.DUMMYFUNCTION("""COMPUTED_VALUE"""),26)</f>
        <v>26</v>
      </c>
      <c r="X27" s="28">
        <f ca="1">IFERROR(__xludf.DUMMYFUNCTION("""COMPUTED_VALUE"""),45840)</f>
        <v>45840</v>
      </c>
      <c r="Y27" s="23" t="str">
        <f ca="1">IFERROR(__xludf.DUMMYFUNCTION("""COMPUTED_VALUE"""),"DUYỆT")</f>
        <v>DUYỆT</v>
      </c>
      <c r="Z27" s="28">
        <f ca="1">IFERROR(__xludf.DUMMYFUNCTION("""COMPUTED_VALUE"""),45962)</f>
        <v>45962</v>
      </c>
      <c r="AA27" s="23" t="str">
        <f ca="1">IFERROR(__xludf.DUMMYFUNCTION("""COMPUTED_VALUE"""),"Grand Mercure Đà Nẵng")</f>
        <v>Grand Mercure Đà Nẵng</v>
      </c>
      <c r="AB27" s="23" t="str">
        <f ca="1">IFERROR(__xludf.DUMMYFUNCTION("""COMPUTED_VALUE"""),"Lễ tân")</f>
        <v>Lễ tân</v>
      </c>
      <c r="AC27" s="23" t="str">
        <f ca="1">IFERROR(__xludf.DUMMYFUNCTION("""COMPUTED_VALUE"""),"ĐÃ NỘP")</f>
        <v>ĐÃ NỘP</v>
      </c>
      <c r="AD27" s="23" t="str">
        <f ca="1">IFERROR(__xludf.DUMMYFUNCTION("""COMPUTED_VALUE"""),"SV điền link bộ phận thực tập là nhà hàng, nhưng phiếu nộp về là Lễ tân")</f>
        <v>SV điền link bộ phận thực tập là nhà hàng, nhưng phiếu nộp về là Lễ tân</v>
      </c>
      <c r="AE27" s="23" t="str">
        <f ca="1">IFERROR(__xludf.DUMMYFUNCTION("""COMPUTED_VALUE"""),"")</f>
        <v/>
      </c>
      <c r="AF27" s="23" t="str">
        <f ca="1">IFERROR(__xludf.DUMMYFUNCTION("""COMPUTED_VALUE"""),"CHUYÊN ĐỀ")</f>
        <v>CHUYÊN ĐỀ</v>
      </c>
      <c r="AG27" s="23" t="str">
        <f ca="1">IFERROR(__xludf.DUMMYFUNCTION("""COMPUTED_VALUE"""),"Bùi Lê Anh Phương")</f>
        <v>Bùi Lê Anh Phương</v>
      </c>
    </row>
    <row r="28" spans="1:33" ht="12.75" x14ac:dyDescent="0.2">
      <c r="A28" s="26">
        <f ca="1">IFERROR(__xludf.DUMMYFUNCTION("""COMPUTED_VALUE"""),45667.4129139004)</f>
        <v>45667.4129139004</v>
      </c>
      <c r="B28" s="23" t="str">
        <f ca="1">IFERROR(__xludf.DUMMYFUNCTION("""COMPUTED_VALUE"""),"vanchunga10daklak@gmail.com")</f>
        <v>vanchunga10daklak@gmail.com</v>
      </c>
      <c r="C28" s="23">
        <f ca="1">IFERROR(__xludf.DUMMYFUNCTION("""COMPUTED_VALUE"""),27217152552)</f>
        <v>27217152552</v>
      </c>
      <c r="D28" s="23" t="str">
        <f ca="1">IFERROR(__xludf.DUMMYFUNCTION("""COMPUTED_VALUE"""),"Nguyễn Văn Chung")</f>
        <v>Nguyễn Văn Chung</v>
      </c>
      <c r="E28" s="27">
        <f ca="1">IFERROR(__xludf.DUMMYFUNCTION("""COMPUTED_VALUE"""),37940)</f>
        <v>37940</v>
      </c>
      <c r="F28" s="23" t="str">
        <f ca="1">IFERROR(__xludf.DUMMYFUNCTION("""COMPUTED_VALUE"""),"K27DLK7")</f>
        <v>K27DLK7</v>
      </c>
      <c r="G28" s="23" t="str">
        <f ca="1">IFERROR(__xludf.DUMMYFUNCTION("""COMPUTED_VALUE"""),"Quản trị Du lịch &amp; Khách sạn")</f>
        <v>Quản trị Du lịch &amp; Khách sạn</v>
      </c>
      <c r="H28" s="23">
        <f ca="1">IFERROR(__xludf.DUMMYFUNCTION("""COMPUTED_VALUE"""),27)</f>
        <v>27</v>
      </c>
      <c r="I28" s="23" t="str">
        <f ca="1">IFERROR(__xludf.DUMMYFUNCTION("""COMPUTED_VALUE"""),"0326597052")</f>
        <v>0326597052</v>
      </c>
      <c r="J28" s="23" t="str">
        <f ca="1">IFERROR(__xludf.DUMMYFUNCTION("""COMPUTED_VALUE"""),"Chuyên đề")</f>
        <v>Chuyên đề</v>
      </c>
      <c r="K28" s="23" t="str">
        <f ca="1">IFERROR(__xludf.DUMMYFUNCTION("""COMPUTED_VALUE"""),"Hyatt regency DaNang Resort")</f>
        <v>Hyatt regency DaNang Resort</v>
      </c>
      <c r="L28" s="23"/>
      <c r="M28" s="23" t="str">
        <f ca="1">IFERROR(__xludf.DUMMYFUNCTION("""COMPUTED_VALUE"""),"05 Trường Sa , Hòa Hải , Ngũ Hành Sơn , Đà Nẵng")</f>
        <v>05 Trường Sa , Hòa Hải , Ngũ Hành Sơn , Đà Nẵng</v>
      </c>
      <c r="N28" s="23" t="str">
        <f ca="1">IFERROR(__xludf.DUMMYFUNCTION("""COMPUTED_VALUE"""),"Đà Nẵng")</f>
        <v>Đà Nẵng</v>
      </c>
      <c r="O28" s="23" t="str">
        <f ca="1">IFERROR(__xludf.DUMMYFUNCTION("""COMPUTED_VALUE"""),"Nhà hàng")</f>
        <v>Nhà hàng</v>
      </c>
      <c r="P28" s="23"/>
      <c r="Q28" s="23" t="str">
        <f ca="1">IFERROR(__xludf.DUMMYFUNCTION("""COMPUTED_VALUE"""),"13/01/2025")</f>
        <v>13/01/2025</v>
      </c>
      <c r="R28" s="23" t="str">
        <f ca="1">IFERROR(__xludf.DUMMYFUNCTION("""COMPUTED_VALUE"""),"cam kết")</f>
        <v>cam kết</v>
      </c>
      <c r="S28" s="23" t="str">
        <f ca="1">IFERROR(__xludf.DUMMYFUNCTION("""COMPUTED_VALUE"""),"Chuyên đề")</f>
        <v>Chuyên đề</v>
      </c>
      <c r="T28" s="23"/>
      <c r="U28" s="27">
        <f ca="1">IFERROR(__xludf.DUMMYFUNCTION("""COMPUTED_VALUE"""),45691)</f>
        <v>45691</v>
      </c>
      <c r="V28" s="27">
        <f ca="1">IFERROR(__xludf.DUMMYFUNCTION("""COMPUTED_VALUE"""),45780)</f>
        <v>45780</v>
      </c>
      <c r="W28" s="23">
        <f ca="1">IFERROR(__xludf.DUMMYFUNCTION("""COMPUTED_VALUE"""),27)</f>
        <v>27</v>
      </c>
      <c r="X28" s="23" t="str">
        <f ca="1">IFERROR(__xludf.DUMMYFUNCTION("""COMPUTED_VALUE"""),"14/01/2025")</f>
        <v>14/01/2025</v>
      </c>
      <c r="Y28" s="23" t="str">
        <f ca="1">IFERROR(__xludf.DUMMYFUNCTION("""COMPUTED_VALUE"""),"DUYỆT")</f>
        <v>DUYỆT</v>
      </c>
      <c r="Z28" s="28">
        <f ca="1">IFERROR(__xludf.DUMMYFUNCTION("""COMPUTED_VALUE"""),45962)</f>
        <v>45962</v>
      </c>
      <c r="AA28" s="23" t="str">
        <f ca="1">IFERROR(__xludf.DUMMYFUNCTION("""COMPUTED_VALUE"""),"Hyatt regency DaNang Resort")</f>
        <v>Hyatt regency DaNang Resort</v>
      </c>
      <c r="AB28" s="23" t="str">
        <f ca="1">IFERROR(__xludf.DUMMYFUNCTION("""COMPUTED_VALUE"""),"Nhà hàng")</f>
        <v>Nhà hàng</v>
      </c>
      <c r="AC28" s="23"/>
      <c r="AD28" s="23" t="str">
        <f ca="1">IFERROR(__xludf.DUMMYFUNCTION("""COMPUTED_VALUE"""),"SV phải đảm bảo không thực tập quá 5sv/nhà hàng
chưa có thông tin người hướng dẫn tại ks")</f>
        <v>SV phải đảm bảo không thực tập quá 5sv/nhà hàng
chưa có thông tin người hướng dẫn tại ks</v>
      </c>
      <c r="AE28" s="23" t="str">
        <f ca="1">IFERROR(__xludf.DUMMYFUNCTION("""COMPUTED_VALUE"""),"")</f>
        <v/>
      </c>
      <c r="AF28" s="23" t="str">
        <f ca="1">IFERROR(__xludf.DUMMYFUNCTION("""COMPUTED_VALUE"""),"CHUYÊN ĐỀ")</f>
        <v>CHUYÊN ĐỀ</v>
      </c>
      <c r="AG28" s="23" t="str">
        <f ca="1">IFERROR(__xludf.DUMMYFUNCTION("""COMPUTED_VALUE"""),"Trần Hoàng Anh")</f>
        <v>Trần Hoàng Anh</v>
      </c>
    </row>
    <row r="29" spans="1:33" ht="12.75" x14ac:dyDescent="0.2">
      <c r="A29" s="26">
        <f ca="1">IFERROR(__xludf.DUMMYFUNCTION("""COMPUTED_VALUE"""),45694.8356315625)</f>
        <v>45694.835631562499</v>
      </c>
      <c r="B29" s="23" t="str">
        <f ca="1">IFERROR(__xludf.DUMMYFUNCTION("""COMPUTED_VALUE"""),"kirapuppy95@gmail.com")</f>
        <v>kirapuppy95@gmail.com</v>
      </c>
      <c r="C29" s="23">
        <f ca="1">IFERROR(__xludf.DUMMYFUNCTION("""COMPUTED_VALUE"""),26217240100)</f>
        <v>26217240100</v>
      </c>
      <c r="D29" s="23" t="str">
        <f ca="1">IFERROR(__xludf.DUMMYFUNCTION("""COMPUTED_VALUE"""),"Đinh Minh Thành ")</f>
        <v xml:space="preserve">Đinh Minh Thành </v>
      </c>
      <c r="E29" s="27">
        <f ca="1">IFERROR(__xludf.DUMMYFUNCTION("""COMPUTED_VALUE"""),36969)</f>
        <v>36969</v>
      </c>
      <c r="F29" s="23" t="str">
        <f ca="1">IFERROR(__xludf.DUMMYFUNCTION("""COMPUTED_VALUE"""),"K26PSUDLK3")</f>
        <v>K26PSUDLK3</v>
      </c>
      <c r="G29" s="23" t="str">
        <f ca="1">IFERROR(__xludf.DUMMYFUNCTION("""COMPUTED_VALUE"""),"Quản trị Du lịch &amp; Khách sạn chuẩn PSU")</f>
        <v>Quản trị Du lịch &amp; Khách sạn chuẩn PSU</v>
      </c>
      <c r="H29" s="23">
        <f ca="1">IFERROR(__xludf.DUMMYFUNCTION("""COMPUTED_VALUE"""),26)</f>
        <v>26</v>
      </c>
      <c r="I29" s="23" t="str">
        <f ca="1">IFERROR(__xludf.DUMMYFUNCTION("""COMPUTED_VALUE"""),"0813585060")</f>
        <v>0813585060</v>
      </c>
      <c r="J29" s="23" t="str">
        <f ca="1">IFERROR(__xludf.DUMMYFUNCTION("""COMPUTED_VALUE"""),"Chuyên đề")</f>
        <v>Chuyên đề</v>
      </c>
      <c r="K29" s="23" t="str">
        <f ca="1">IFERROR(__xludf.DUMMYFUNCTION("""COMPUTED_VALUE"""),"Meliá Danang Beach Resort")</f>
        <v>Meliá Danang Beach Resort</v>
      </c>
      <c r="L29" s="23"/>
      <c r="M29" s="23" t="str">
        <f ca="1">IFERROR(__xludf.DUMMYFUNCTION("""COMPUTED_VALUE"""),"19 Trường Sa")</f>
        <v>19 Trường Sa</v>
      </c>
      <c r="N29" s="23" t="str">
        <f ca="1">IFERROR(__xludf.DUMMYFUNCTION("""COMPUTED_VALUE"""),"Đà Nẵng")</f>
        <v>Đà Nẵng</v>
      </c>
      <c r="O29" s="23" t="str">
        <f ca="1">IFERROR(__xludf.DUMMYFUNCTION("""COMPUTED_VALUE"""),"Buồng phòng")</f>
        <v>Buồng phòng</v>
      </c>
      <c r="P29" s="23"/>
      <c r="Q29" s="23" t="str">
        <f ca="1">IFERROR(__xludf.DUMMYFUNCTION("""COMPUTED_VALUE"""),"6 tháng 2 năm 2025")</f>
        <v>6 tháng 2 năm 2025</v>
      </c>
      <c r="R29" s="23" t="str">
        <f ca="1">IFERROR(__xludf.DUMMYFUNCTION("""COMPUTED_VALUE"""),"cam kết")</f>
        <v>cam kết</v>
      </c>
      <c r="S29" s="23" t="str">
        <f ca="1">IFERROR(__xludf.DUMMYFUNCTION("""COMPUTED_VALUE"""),"Chuyên đề")</f>
        <v>Chuyên đề</v>
      </c>
      <c r="T29" s="23" t="str">
        <f ca="1">IFERROR(__xludf.DUMMYFUNCTION("""COMPUTED_VALUE"""),"Hồ Sử Minh Tài")</f>
        <v>Hồ Sử Minh Tài</v>
      </c>
      <c r="U29" s="27">
        <f ca="1">IFERROR(__xludf.DUMMYFUNCTION("""COMPUTED_VALUE"""),45677)</f>
        <v>45677</v>
      </c>
      <c r="V29" s="27">
        <f ca="1">IFERROR(__xludf.DUMMYFUNCTION("""COMPUTED_VALUE"""),45746)</f>
        <v>45746</v>
      </c>
      <c r="W29" s="23">
        <f ca="1">IFERROR(__xludf.DUMMYFUNCTION("""COMPUTED_VALUE"""),28)</f>
        <v>28</v>
      </c>
      <c r="X29" s="28">
        <f ca="1">IFERROR(__xludf.DUMMYFUNCTION("""COMPUTED_VALUE"""),45840)</f>
        <v>45840</v>
      </c>
      <c r="Y29" s="23" t="str">
        <f ca="1">IFERROR(__xludf.DUMMYFUNCTION("""COMPUTED_VALUE"""),"DUYỆT")</f>
        <v>DUYỆT</v>
      </c>
      <c r="Z29" s="28">
        <f ca="1">IFERROR(__xludf.DUMMYFUNCTION("""COMPUTED_VALUE"""),45962)</f>
        <v>45962</v>
      </c>
      <c r="AA29" s="23" t="str">
        <f ca="1">IFERROR(__xludf.DUMMYFUNCTION("""COMPUTED_VALUE"""),"Meliá Danang Beach Resort")</f>
        <v>Meliá Danang Beach Resort</v>
      </c>
      <c r="AB29" s="23" t="str">
        <f ca="1">IFERROR(__xludf.DUMMYFUNCTION("""COMPUTED_VALUE"""),"Buồng phòng")</f>
        <v>Buồng phòng</v>
      </c>
      <c r="AC29" s="23" t="str">
        <f ca="1">IFERROR(__xludf.DUMMYFUNCTION("""COMPUTED_VALUE"""),"ĐÃ NỘP")</f>
        <v>ĐÃ NỘP</v>
      </c>
      <c r="AD29" s="23"/>
      <c r="AE29" s="23" t="str">
        <f ca="1">IFERROR(__xludf.DUMMYFUNCTION("""COMPUTED_VALUE"""),"")</f>
        <v/>
      </c>
      <c r="AF29" s="23" t="str">
        <f ca="1">IFERROR(__xludf.DUMMYFUNCTION("""COMPUTED_VALUE"""),"CHUYÊN ĐỀ")</f>
        <v>CHUYÊN ĐỀ</v>
      </c>
      <c r="AG29" s="23" t="str">
        <f ca="1">IFERROR(__xludf.DUMMYFUNCTION("""COMPUTED_VALUE"""),"Ngô Thị Thanh Nga")</f>
        <v>Ngô Thị Thanh Nga</v>
      </c>
    </row>
    <row r="30" spans="1:33" ht="12.75" x14ac:dyDescent="0.2">
      <c r="A30" s="26">
        <f ca="1">IFERROR(__xludf.DUMMYFUNCTION("""COMPUTED_VALUE"""),45667.5161090277)</f>
        <v>45667.516109027703</v>
      </c>
      <c r="B30" s="23" t="str">
        <f ca="1">IFERROR(__xludf.DUMMYFUNCTION("""COMPUTED_VALUE"""),"trieuducmanh003@gmail.com")</f>
        <v>trieuducmanh003@gmail.com</v>
      </c>
      <c r="C30" s="23">
        <f ca="1">IFERROR(__xludf.DUMMYFUNCTION("""COMPUTED_VALUE"""),27217136125)</f>
        <v>27217136125</v>
      </c>
      <c r="D30" s="23" t="str">
        <f ca="1">IFERROR(__xludf.DUMMYFUNCTION("""COMPUTED_VALUE"""),"Triệu Đức Mạnh")</f>
        <v>Triệu Đức Mạnh</v>
      </c>
      <c r="E30" s="27">
        <f ca="1">IFERROR(__xludf.DUMMYFUNCTION("""COMPUTED_VALUE"""),37721)</f>
        <v>37721</v>
      </c>
      <c r="F30" s="23" t="str">
        <f ca="1">IFERROR(__xludf.DUMMYFUNCTION("""COMPUTED_VALUE"""),"K27DLK3")</f>
        <v>K27DLK3</v>
      </c>
      <c r="G30" s="23" t="str">
        <f ca="1">IFERROR(__xludf.DUMMYFUNCTION("""COMPUTED_VALUE"""),"Quản trị Du lịch &amp; Khách sạn")</f>
        <v>Quản trị Du lịch &amp; Khách sạn</v>
      </c>
      <c r="H30" s="23">
        <f ca="1">IFERROR(__xludf.DUMMYFUNCTION("""COMPUTED_VALUE"""),27)</f>
        <v>27</v>
      </c>
      <c r="I30" s="23" t="str">
        <f ca="1">IFERROR(__xludf.DUMMYFUNCTION("""COMPUTED_VALUE"""),"0935970825")</f>
        <v>0935970825</v>
      </c>
      <c r="J30" s="23" t="str">
        <f ca="1">IFERROR(__xludf.DUMMYFUNCTION("""COMPUTED_VALUE"""),"Chuyên đề")</f>
        <v>Chuyên đề</v>
      </c>
      <c r="K30" s="23" t="str">
        <f ca="1">IFERROR(__xludf.DUMMYFUNCTION("""COMPUTED_VALUE"""),"DLG Hotel DaNang")</f>
        <v>DLG Hotel DaNang</v>
      </c>
      <c r="L30" s="23"/>
      <c r="M30" s="23" t="str">
        <f ca="1">IFERROR(__xludf.DUMMYFUNCTION("""COMPUTED_VALUE"""),"258 Võ Nguyên Giáp, Phước Mỹ, Sơn Trà, Đà Nẵng")</f>
        <v>258 Võ Nguyên Giáp, Phước Mỹ, Sơn Trà, Đà Nẵng</v>
      </c>
      <c r="N30" s="23" t="str">
        <f ca="1">IFERROR(__xludf.DUMMYFUNCTION("""COMPUTED_VALUE"""),"Đà Nẵng")</f>
        <v>Đà Nẵng</v>
      </c>
      <c r="O30" s="23" t="str">
        <f ca="1">IFERROR(__xludf.DUMMYFUNCTION("""COMPUTED_VALUE"""),"Buồng phòng")</f>
        <v>Buồng phòng</v>
      </c>
      <c r="P30" s="23"/>
      <c r="Q30" s="23" t="str">
        <f ca="1">IFERROR(__xludf.DUMMYFUNCTION("""COMPUTED_VALUE"""),"10/01/2025")</f>
        <v>10/01/2025</v>
      </c>
      <c r="R30" s="23" t="str">
        <f ca="1">IFERROR(__xludf.DUMMYFUNCTION("""COMPUTED_VALUE"""),"cam kết")</f>
        <v>cam kết</v>
      </c>
      <c r="S30" s="23" t="str">
        <f ca="1">IFERROR(__xludf.DUMMYFUNCTION("""COMPUTED_VALUE"""),"Chuyên đề")</f>
        <v>Chuyên đề</v>
      </c>
      <c r="T30" s="23"/>
      <c r="U30" s="27">
        <f ca="1">IFERROR(__xludf.DUMMYFUNCTION("""COMPUTED_VALUE"""),45664)</f>
        <v>45664</v>
      </c>
      <c r="V30" s="27">
        <f ca="1">IFERROR(__xludf.DUMMYFUNCTION("""COMPUTED_VALUE"""),45760)</f>
        <v>45760</v>
      </c>
      <c r="W30" s="23">
        <f ca="1">IFERROR(__xludf.DUMMYFUNCTION("""COMPUTED_VALUE"""),29)</f>
        <v>29</v>
      </c>
      <c r="X30" s="28">
        <f ca="1">IFERROR(__xludf.DUMMYFUNCTION("""COMPUTED_VALUE"""),45962)</f>
        <v>45962</v>
      </c>
      <c r="Y30" s="23" t="str">
        <f ca="1">IFERROR(__xludf.DUMMYFUNCTION("""COMPUTED_VALUE"""),"DUYỆT")</f>
        <v>DUYỆT</v>
      </c>
      <c r="Z30" s="28">
        <f ca="1">IFERROR(__xludf.DUMMYFUNCTION("""COMPUTED_VALUE"""),45962)</f>
        <v>45962</v>
      </c>
      <c r="AA30" s="23" t="str">
        <f ca="1">IFERROR(__xludf.DUMMYFUNCTION("""COMPUTED_VALUE"""),"DLG Hotel DaNang")</f>
        <v>DLG Hotel DaNang</v>
      </c>
      <c r="AB30" s="23" t="str">
        <f ca="1">IFERROR(__xludf.DUMMYFUNCTION("""COMPUTED_VALUE"""),"Buồng phòng")</f>
        <v>Buồng phòng</v>
      </c>
      <c r="AC30" s="23"/>
      <c r="AD30" s="23"/>
      <c r="AE30" s="23" t="str">
        <f ca="1">IFERROR(__xludf.DUMMYFUNCTION("""COMPUTED_VALUE"""),"")</f>
        <v/>
      </c>
      <c r="AF30" s="23" t="str">
        <f ca="1">IFERROR(__xludf.DUMMYFUNCTION("""COMPUTED_VALUE"""),"CHUYÊN ĐỀ")</f>
        <v>CHUYÊN ĐỀ</v>
      </c>
      <c r="AG30" s="23" t="str">
        <f ca="1">IFERROR(__xludf.DUMMYFUNCTION("""COMPUTED_VALUE"""),"Trần Hoàng Anh")</f>
        <v>Trần Hoàng Anh</v>
      </c>
    </row>
    <row r="31" spans="1:33" ht="12.75" x14ac:dyDescent="0.2">
      <c r="A31" s="26">
        <f ca="1">IFERROR(__xludf.DUMMYFUNCTION("""COMPUTED_VALUE"""),45696.7040233912)</f>
        <v>45696.704023391198</v>
      </c>
      <c r="B31" s="23" t="str">
        <f ca="1">IFERROR(__xludf.DUMMYFUNCTION("""COMPUTED_VALUE"""),"ngocbao.dng03@gmail.com")</f>
        <v>ngocbao.dng03@gmail.com</v>
      </c>
      <c r="C31" s="23">
        <f ca="1">IFERROR(__xludf.DUMMYFUNCTION("""COMPUTED_VALUE"""),27207144974)</f>
        <v>27207144974</v>
      </c>
      <c r="D31" s="23" t="str">
        <f ca="1">IFERROR(__xludf.DUMMYFUNCTION("""COMPUTED_VALUE"""),"Nguyễn Thị Bảo Ngọc ")</f>
        <v xml:space="preserve">Nguyễn Thị Bảo Ngọc </v>
      </c>
      <c r="E31" s="27">
        <f ca="1">IFERROR(__xludf.DUMMYFUNCTION("""COMPUTED_VALUE"""),37893)</f>
        <v>37893</v>
      </c>
      <c r="F31" s="23" t="str">
        <f ca="1">IFERROR(__xludf.DUMMYFUNCTION("""COMPUTED_VALUE"""),"K27DLK2")</f>
        <v>K27DLK2</v>
      </c>
      <c r="G31" s="23" t="str">
        <f ca="1">IFERROR(__xludf.DUMMYFUNCTION("""COMPUTED_VALUE"""),"Quản trị Du lịch &amp; Khách sạn")</f>
        <v>Quản trị Du lịch &amp; Khách sạn</v>
      </c>
      <c r="H31" s="23">
        <f ca="1">IFERROR(__xludf.DUMMYFUNCTION("""COMPUTED_VALUE"""),27)</f>
        <v>27</v>
      </c>
      <c r="I31" s="23" t="str">
        <f ca="1">IFERROR(__xludf.DUMMYFUNCTION("""COMPUTED_VALUE"""),"0968468527")</f>
        <v>0968468527</v>
      </c>
      <c r="J31" s="23" t="str">
        <f ca="1">IFERROR(__xludf.DUMMYFUNCTION("""COMPUTED_VALUE"""),"Chuyên đề")</f>
        <v>Chuyên đề</v>
      </c>
      <c r="K31" s="23" t="str">
        <f ca="1">IFERROR(__xludf.DUMMYFUNCTION("""COMPUTED_VALUE"""),"Paris Deli Danang Beach Hotel")</f>
        <v>Paris Deli Danang Beach Hotel</v>
      </c>
      <c r="L31" s="23"/>
      <c r="M31" s="23" t="str">
        <f ca="1">IFERROR(__xludf.DUMMYFUNCTION("""COMPUTED_VALUE"""),"236 Võ Nguyên Giáp, Phước Mỹ, Sơn Trà, Đà Nẵng ")</f>
        <v xml:space="preserve">236 Võ Nguyên Giáp, Phước Mỹ, Sơn Trà, Đà Nẵng </v>
      </c>
      <c r="N31" s="23" t="str">
        <f ca="1">IFERROR(__xludf.DUMMYFUNCTION("""COMPUTED_VALUE"""),"Đà Nẵng ")</f>
        <v xml:space="preserve">Đà Nẵng </v>
      </c>
      <c r="O31" s="23" t="str">
        <f ca="1">IFERROR(__xludf.DUMMYFUNCTION("""COMPUTED_VALUE"""),"Nhà hàng")</f>
        <v>Nhà hàng</v>
      </c>
      <c r="P31" s="23"/>
      <c r="Q31" s="23" t="str">
        <f ca="1">IFERROR(__xludf.DUMMYFUNCTION("""COMPUTED_VALUE"""),"Ngày 08/02/2025")</f>
        <v>Ngày 08/02/2025</v>
      </c>
      <c r="R31" s="23" t="str">
        <f ca="1">IFERROR(__xludf.DUMMYFUNCTION("""COMPUTED_VALUE"""),"cam kết")</f>
        <v>cam kết</v>
      </c>
      <c r="S31" s="23" t="str">
        <f ca="1">IFERROR(__xludf.DUMMYFUNCTION("""COMPUTED_VALUE"""),"Chuyên đề")</f>
        <v>Chuyên đề</v>
      </c>
      <c r="T31" s="23"/>
      <c r="U31" s="27">
        <f ca="1">IFERROR(__xludf.DUMMYFUNCTION("""COMPUTED_VALUE"""),45691)</f>
        <v>45691</v>
      </c>
      <c r="V31" s="27">
        <f ca="1">IFERROR(__xludf.DUMMYFUNCTION("""COMPUTED_VALUE"""),45774)</f>
        <v>45774</v>
      </c>
      <c r="W31" s="23">
        <f ca="1">IFERROR(__xludf.DUMMYFUNCTION("""COMPUTED_VALUE"""),30)</f>
        <v>30</v>
      </c>
      <c r="X31" s="28">
        <f ca="1">IFERROR(__xludf.DUMMYFUNCTION("""COMPUTED_VALUE"""),45963)</f>
        <v>45963</v>
      </c>
      <c r="Y31" s="23" t="str">
        <f ca="1">IFERROR(__xludf.DUMMYFUNCTION("""COMPUTED_VALUE"""),"DUYỆT")</f>
        <v>DUYỆT</v>
      </c>
      <c r="Z31" s="28">
        <f ca="1">IFERROR(__xludf.DUMMYFUNCTION("""COMPUTED_VALUE"""),45962)</f>
        <v>45962</v>
      </c>
      <c r="AA31" s="23" t="str">
        <f ca="1">IFERROR(__xludf.DUMMYFUNCTION("""COMPUTED_VALUE"""),"Paris Deli Danang Beach Hotel")</f>
        <v>Paris Deli Danang Beach Hotel</v>
      </c>
      <c r="AB31" s="23" t="str">
        <f ca="1">IFERROR(__xludf.DUMMYFUNCTION("""COMPUTED_VALUE"""),"Nhà hàng")</f>
        <v>Nhà hàng</v>
      </c>
      <c r="AC31" s="23"/>
      <c r="AD31" s="23" t="str">
        <f ca="1">IFERROR(__xludf.DUMMYFUNCTION("""COMPUTED_VALUE"""),"SV chuyển từ Buồng phòng Mikazuki qua Nhà hàng Paris Deli")</f>
        <v>SV chuyển từ Buồng phòng Mikazuki qua Nhà hàng Paris Deli</v>
      </c>
      <c r="AE31" s="23" t="str">
        <f ca="1">IFERROR(__xludf.DUMMYFUNCTION("""COMPUTED_VALUE"""),"")</f>
        <v/>
      </c>
      <c r="AF31" s="23" t="str">
        <f ca="1">IFERROR(__xludf.DUMMYFUNCTION("""COMPUTED_VALUE"""),"CHUYÊN ĐỀ")</f>
        <v>CHUYÊN ĐỀ</v>
      </c>
      <c r="AG31" s="23" t="str">
        <f ca="1">IFERROR(__xludf.DUMMYFUNCTION("""COMPUTED_VALUE"""),"Trịnh Thị Kim Chung")</f>
        <v>Trịnh Thị Kim Chung</v>
      </c>
    </row>
    <row r="32" spans="1:33" ht="12.75" x14ac:dyDescent="0.2">
      <c r="A32" s="26">
        <f ca="1">IFERROR(__xludf.DUMMYFUNCTION("""COMPUTED_VALUE"""),45667.5362255324)</f>
        <v>45667.5362255324</v>
      </c>
      <c r="B32" s="23" t="str">
        <f ca="1">IFERROR(__xludf.DUMMYFUNCTION("""COMPUTED_VALUE"""),"htrungmlo210902@gmail.com")</f>
        <v>htrungmlo210902@gmail.com</v>
      </c>
      <c r="C32" s="23">
        <f ca="1">IFERROR(__xludf.DUMMYFUNCTION("""COMPUTED_VALUE"""),27217128728)</f>
        <v>27217128728</v>
      </c>
      <c r="D32" s="23" t="str">
        <f ca="1">IFERROR(__xludf.DUMMYFUNCTION("""COMPUTED_VALUE"""),"H'Trùng Mlô")</f>
        <v>H'Trùng Mlô</v>
      </c>
      <c r="E32" s="27">
        <f ca="1">IFERROR(__xludf.DUMMYFUNCTION("""COMPUTED_VALUE"""),37520)</f>
        <v>37520</v>
      </c>
      <c r="F32" s="23" t="str">
        <f ca="1">IFERROR(__xludf.DUMMYFUNCTION("""COMPUTED_VALUE"""),"K27DLK2")</f>
        <v>K27DLK2</v>
      </c>
      <c r="G32" s="23" t="str">
        <f ca="1">IFERROR(__xludf.DUMMYFUNCTION("""COMPUTED_VALUE"""),"Quản trị Du lịch &amp; Khách sạn")</f>
        <v>Quản trị Du lịch &amp; Khách sạn</v>
      </c>
      <c r="H32" s="23">
        <f ca="1">IFERROR(__xludf.DUMMYFUNCTION("""COMPUTED_VALUE"""),27)</f>
        <v>27</v>
      </c>
      <c r="I32" s="23" t="str">
        <f ca="1">IFERROR(__xludf.DUMMYFUNCTION("""COMPUTED_VALUE"""),"0368299408")</f>
        <v>0368299408</v>
      </c>
      <c r="J32" s="23" t="str">
        <f ca="1">IFERROR(__xludf.DUMMYFUNCTION("""COMPUTED_VALUE"""),"Chuyên đề")</f>
        <v>Chuyên đề</v>
      </c>
      <c r="K32" s="23" t="str">
        <f ca="1">IFERROR(__xludf.DUMMYFUNCTION("""COMPUTED_VALUE"""),"Novotel DaNang Premier Han River")</f>
        <v>Novotel DaNang Premier Han River</v>
      </c>
      <c r="L32" s="23"/>
      <c r="M32" s="23" t="str">
        <f ca="1">IFERROR(__xludf.DUMMYFUNCTION("""COMPUTED_VALUE"""),"36 Bạch Đằng, Thạch Thang, Hải Châu, Đà Nẵng")</f>
        <v>36 Bạch Đằng, Thạch Thang, Hải Châu, Đà Nẵng</v>
      </c>
      <c r="N32" s="23" t="str">
        <f ca="1">IFERROR(__xludf.DUMMYFUNCTION("""COMPUTED_VALUE"""),"TP Đà Nẵng")</f>
        <v>TP Đà Nẵng</v>
      </c>
      <c r="O32" s="23" t="str">
        <f ca="1">IFERROR(__xludf.DUMMYFUNCTION("""COMPUTED_VALUE"""),"Tiền sảnh")</f>
        <v>Tiền sảnh</v>
      </c>
      <c r="P32" s="23"/>
      <c r="Q32" s="23" t="str">
        <f ca="1">IFERROR(__xludf.DUMMYFUNCTION("""COMPUTED_VALUE"""),"05/02/2025")</f>
        <v>05/02/2025</v>
      </c>
      <c r="R32" s="23" t="str">
        <f ca="1">IFERROR(__xludf.DUMMYFUNCTION("""COMPUTED_VALUE"""),"cam kết")</f>
        <v>cam kết</v>
      </c>
      <c r="S32" s="23" t="str">
        <f ca="1">IFERROR(__xludf.DUMMYFUNCTION("""COMPUTED_VALUE"""),"Chuyên đề")</f>
        <v>Chuyên đề</v>
      </c>
      <c r="T32" s="23" t="str">
        <f ca="1">IFERROR(__xludf.DUMMYFUNCTION("""COMPUTED_VALUE"""),"Mai Thị Thương")</f>
        <v>Mai Thị Thương</v>
      </c>
      <c r="U32" s="27">
        <f ca="1">IFERROR(__xludf.DUMMYFUNCTION("""COMPUTED_VALUE"""),45672)</f>
        <v>45672</v>
      </c>
      <c r="V32" s="27">
        <f ca="1">IFERROR(__xludf.DUMMYFUNCTION("""COMPUTED_VALUE"""),45762)</f>
        <v>45762</v>
      </c>
      <c r="W32" s="23">
        <f ca="1">IFERROR(__xludf.DUMMYFUNCTION("""COMPUTED_VALUE"""),31)</f>
        <v>31</v>
      </c>
      <c r="X32" s="28">
        <f ca="1">IFERROR(__xludf.DUMMYFUNCTION("""COMPUTED_VALUE"""),45810)</f>
        <v>45810</v>
      </c>
      <c r="Y32" s="23" t="str">
        <f ca="1">IFERROR(__xludf.DUMMYFUNCTION("""COMPUTED_VALUE"""),"DUYỆT")</f>
        <v>DUYỆT</v>
      </c>
      <c r="Z32" s="28">
        <f ca="1">IFERROR(__xludf.DUMMYFUNCTION("""COMPUTED_VALUE"""),45962)</f>
        <v>45962</v>
      </c>
      <c r="AA32" s="23" t="str">
        <f ca="1">IFERROR(__xludf.DUMMYFUNCTION("""COMPUTED_VALUE"""),"Novotel DaNang Premier Han River")</f>
        <v>Novotel DaNang Premier Han River</v>
      </c>
      <c r="AB32" s="23" t="str">
        <f ca="1">IFERROR(__xludf.DUMMYFUNCTION("""COMPUTED_VALUE"""),"Tiền sảnh")</f>
        <v>Tiền sảnh</v>
      </c>
      <c r="AC32" s="23"/>
      <c r="AD32" s="23"/>
      <c r="AE32" s="23" t="str">
        <f ca="1">IFERROR(__xludf.DUMMYFUNCTION("""COMPUTED_VALUE"""),"")</f>
        <v/>
      </c>
      <c r="AF32" s="23" t="str">
        <f ca="1">IFERROR(__xludf.DUMMYFUNCTION("""COMPUTED_VALUE"""),"CHUYÊN ĐỀ")</f>
        <v>CHUYÊN ĐỀ</v>
      </c>
      <c r="AG32" s="23" t="str">
        <f ca="1">IFERROR(__xludf.DUMMYFUNCTION("""COMPUTED_VALUE"""),"Nguyễn Thị Minh Thư")</f>
        <v>Nguyễn Thị Minh Thư</v>
      </c>
    </row>
    <row r="33" spans="1:33" ht="12.75" x14ac:dyDescent="0.2">
      <c r="A33" s="26">
        <f ca="1">IFERROR(__xludf.DUMMYFUNCTION("""COMPUTED_VALUE"""),45670.4456517245)</f>
        <v>45670.445651724498</v>
      </c>
      <c r="B33" s="23" t="str">
        <f ca="1">IFERROR(__xludf.DUMMYFUNCTION("""COMPUTED_VALUE"""),"tuakb881@gmail.com")</f>
        <v>tuakb881@gmail.com</v>
      </c>
      <c r="C33" s="23">
        <f ca="1">IFERROR(__xludf.DUMMYFUNCTION("""COMPUTED_VALUE"""),25217107474)</f>
        <v>25217107474</v>
      </c>
      <c r="D33" s="23" t="str">
        <f ca="1">IFERROR(__xludf.DUMMYFUNCTION("""COMPUTED_VALUE"""),"Lê Anh Tú")</f>
        <v>Lê Anh Tú</v>
      </c>
      <c r="E33" s="27">
        <f ca="1">IFERROR(__xludf.DUMMYFUNCTION("""COMPUTED_VALUE"""),37122)</f>
        <v>37122</v>
      </c>
      <c r="F33" s="23" t="str">
        <f ca="1">IFERROR(__xludf.DUMMYFUNCTION("""COMPUTED_VALUE"""),"K25PSUDLK17")</f>
        <v>K25PSUDLK17</v>
      </c>
      <c r="G33" s="23" t="str">
        <f ca="1">IFERROR(__xludf.DUMMYFUNCTION("""COMPUTED_VALUE"""),"Quản trị Du lịch &amp; Khách sạn chuẩn PSU")</f>
        <v>Quản trị Du lịch &amp; Khách sạn chuẩn PSU</v>
      </c>
      <c r="H33" s="23">
        <f ca="1">IFERROR(__xludf.DUMMYFUNCTION("""COMPUTED_VALUE"""),25)</f>
        <v>25</v>
      </c>
      <c r="I33" s="23" t="str">
        <f ca="1">IFERROR(__xludf.DUMMYFUNCTION("""COMPUTED_VALUE"""),"0399934068")</f>
        <v>0399934068</v>
      </c>
      <c r="J33" s="23" t="str">
        <f ca="1">IFERROR(__xludf.DUMMYFUNCTION("""COMPUTED_VALUE"""),"Chuyên đề")</f>
        <v>Chuyên đề</v>
      </c>
      <c r="K33" s="23" t="str">
        <f ca="1">IFERROR(__xludf.DUMMYFUNCTION("""COMPUTED_VALUE"""),"Mường Thanh Luxury Đà Nẵng Hotel")</f>
        <v>Mường Thanh Luxury Đà Nẵng Hotel</v>
      </c>
      <c r="L33" s="23" t="str">
        <f ca="1">IFERROR(__xludf.DUMMYFUNCTION("""COMPUTED_VALUE"""),"Mường Thanh Luxury Đà Nẵng Hotel")</f>
        <v>Mường Thanh Luxury Đà Nẵng Hotel</v>
      </c>
      <c r="M33" s="23" t="str">
        <f ca="1">IFERROR(__xludf.DUMMYFUNCTION("""COMPUTED_VALUE"""),"270 Võ Nguyên Giáp")</f>
        <v>270 Võ Nguyên Giáp</v>
      </c>
      <c r="N33" s="23" t="str">
        <f ca="1">IFERROR(__xludf.DUMMYFUNCTION("""COMPUTED_VALUE"""),"Đà Nẵng")</f>
        <v>Đà Nẵng</v>
      </c>
      <c r="O33" s="23" t="str">
        <f ca="1">IFERROR(__xludf.DUMMYFUNCTION("""COMPUTED_VALUE"""),"Tiền sảnh")</f>
        <v>Tiền sảnh</v>
      </c>
      <c r="P33" s="23"/>
      <c r="Q33" s="23" t="str">
        <f ca="1">IFERROR(__xludf.DUMMYFUNCTION("""COMPUTED_VALUE"""),"20/01/2025")</f>
        <v>20/01/2025</v>
      </c>
      <c r="R33" s="23" t="str">
        <f ca="1">IFERROR(__xludf.DUMMYFUNCTION("""COMPUTED_VALUE"""),"cam kết")</f>
        <v>cam kết</v>
      </c>
      <c r="S33" s="23" t="str">
        <f ca="1">IFERROR(__xludf.DUMMYFUNCTION("""COMPUTED_VALUE"""),"Chuyên đề")</f>
        <v>Chuyên đề</v>
      </c>
      <c r="T33" s="23" t="str">
        <f ca="1">IFERROR(__xludf.DUMMYFUNCTION("""COMPUTED_VALUE"""),"Phạm Thị Hoàng Dung")</f>
        <v>Phạm Thị Hoàng Dung</v>
      </c>
      <c r="U33" s="27">
        <f ca="1">IFERROR(__xludf.DUMMYFUNCTION("""COMPUTED_VALUE"""),45698)</f>
        <v>45698</v>
      </c>
      <c r="V33" s="27">
        <f ca="1">IFERROR(__xludf.DUMMYFUNCTION("""COMPUTED_VALUE"""),45787)</f>
        <v>45787</v>
      </c>
      <c r="W33" s="23">
        <f ca="1">IFERROR(__xludf.DUMMYFUNCTION("""COMPUTED_VALUE"""),32)</f>
        <v>32</v>
      </c>
      <c r="X33" s="23"/>
      <c r="Y33" s="23" t="str">
        <f ca="1">IFERROR(__xludf.DUMMYFUNCTION("""COMPUTED_VALUE"""),"KHÔNG DUYỆT")</f>
        <v>KHÔNG DUYỆT</v>
      </c>
      <c r="Z33" s="23" t="str">
        <f ca="1">IFERROR(__xludf.DUMMYFUNCTION("""COMPUTED_VALUE"""),"13/02/2025")</f>
        <v>13/02/2025</v>
      </c>
      <c r="AA33" s="23" t="str">
        <f ca="1">IFERROR(__xludf.DUMMYFUNCTION("""COMPUTED_VALUE"""),"Mường Thanh Luxury Đà Nẵng Hotel")</f>
        <v>Mường Thanh Luxury Đà Nẵng Hotel</v>
      </c>
      <c r="AB33" s="23" t="str">
        <f ca="1">IFERROR(__xludf.DUMMYFUNCTION("""COMPUTED_VALUE"""),"Tiền sảnh")</f>
        <v>Tiền sảnh</v>
      </c>
      <c r="AC33" s="23" t="str">
        <f ca="1">IFERROR(__xludf.DUMMYFUNCTION("""COMPUTED_VALUE"""),"ĐÃ NỘP")</f>
        <v>ĐÃ NỘP</v>
      </c>
      <c r="AD33" s="23" t="str">
        <f ca="1">IFERROR(__xludf.DUMMYFUNCTION("""COMPUTED_VALUE"""),"Khoa ko duyệt đơn xin phê duyệt đơn vị thực tập")</f>
        <v>Khoa ko duyệt đơn xin phê duyệt đơn vị thực tập</v>
      </c>
      <c r="AE33" s="23" t="str">
        <f ca="1">IFERROR(__xludf.DUMMYFUNCTION("""COMPUTED_VALUE"""),"")</f>
        <v/>
      </c>
      <c r="AF33" s="23" t="str">
        <f ca="1">IFERROR(__xludf.DUMMYFUNCTION("""COMPUTED_VALUE"""),"CHUYÊN ĐỀ")</f>
        <v>CHUYÊN ĐỀ</v>
      </c>
      <c r="AG33" s="23"/>
    </row>
    <row r="34" spans="1:33" ht="12.75" x14ac:dyDescent="0.2">
      <c r="A34" s="26">
        <f ca="1">IFERROR(__xludf.DUMMYFUNCTION("""COMPUTED_VALUE"""),45667.6665342129)</f>
        <v>45667.666534212898</v>
      </c>
      <c r="B34" s="23" t="str">
        <f ca="1">IFERROR(__xludf.DUMMYFUNCTION("""COMPUTED_VALUE"""),"hongthunguyen811@gmail.com")</f>
        <v>hongthunguyen811@gmail.com</v>
      </c>
      <c r="C34" s="23">
        <f ca="1">IFERROR(__xludf.DUMMYFUNCTION("""COMPUTED_VALUE"""),27207100694)</f>
        <v>27207100694</v>
      </c>
      <c r="D34" s="23" t="str">
        <f ca="1">IFERROR(__xludf.DUMMYFUNCTION("""COMPUTED_VALUE"""),"Nguyễn Thị Hồng Thư ")</f>
        <v xml:space="preserve">Nguyễn Thị Hồng Thư </v>
      </c>
      <c r="E34" s="27">
        <f ca="1">IFERROR(__xludf.DUMMYFUNCTION("""COMPUTED_VALUE"""),37622)</f>
        <v>37622</v>
      </c>
      <c r="F34" s="23" t="str">
        <f ca="1">IFERROR(__xludf.DUMMYFUNCTION("""COMPUTED_VALUE"""),"K27DLK2")</f>
        <v>K27DLK2</v>
      </c>
      <c r="G34" s="23" t="str">
        <f ca="1">IFERROR(__xludf.DUMMYFUNCTION("""COMPUTED_VALUE"""),"Quản trị Du lịch &amp; Khách sạn")</f>
        <v>Quản trị Du lịch &amp; Khách sạn</v>
      </c>
      <c r="H34" s="23">
        <f ca="1">IFERROR(__xludf.DUMMYFUNCTION("""COMPUTED_VALUE"""),27)</f>
        <v>27</v>
      </c>
      <c r="I34" s="23" t="str">
        <f ca="1">IFERROR(__xludf.DUMMYFUNCTION("""COMPUTED_VALUE"""),"0588917757")</f>
        <v>0588917757</v>
      </c>
      <c r="J34" s="23" t="str">
        <f ca="1">IFERROR(__xludf.DUMMYFUNCTION("""COMPUTED_VALUE"""),"Chuyên đề")</f>
        <v>Chuyên đề</v>
      </c>
      <c r="K34" s="23" t="str">
        <f ca="1">IFERROR(__xludf.DUMMYFUNCTION("""COMPUTED_VALUE"""),"Novotel DaNang Premier Han River")</f>
        <v>Novotel DaNang Premier Han River</v>
      </c>
      <c r="L34" s="23"/>
      <c r="M34" s="23" t="str">
        <f ca="1">IFERROR(__xludf.DUMMYFUNCTION("""COMPUTED_VALUE"""),"36 Bạch Đằng, Thạch Thang, Hải Châu, Đà Nẵng")</f>
        <v>36 Bạch Đằng, Thạch Thang, Hải Châu, Đà Nẵng</v>
      </c>
      <c r="N34" s="23" t="str">
        <f ca="1">IFERROR(__xludf.DUMMYFUNCTION("""COMPUTED_VALUE"""),"Đà Nẵng")</f>
        <v>Đà Nẵng</v>
      </c>
      <c r="O34" s="23" t="str">
        <f ca="1">IFERROR(__xludf.DUMMYFUNCTION("""COMPUTED_VALUE"""),"Nhà hàng")</f>
        <v>Nhà hàng</v>
      </c>
      <c r="P34" s="23"/>
      <c r="Q34" s="23" t="str">
        <f ca="1">IFERROR(__xludf.DUMMYFUNCTION("""COMPUTED_VALUE"""),"10/01/2025")</f>
        <v>10/01/2025</v>
      </c>
      <c r="R34" s="23" t="str">
        <f ca="1">IFERROR(__xludf.DUMMYFUNCTION("""COMPUTED_VALUE"""),"cam kết")</f>
        <v>cam kết</v>
      </c>
      <c r="S34" s="23" t="str">
        <f ca="1">IFERROR(__xludf.DUMMYFUNCTION("""COMPUTED_VALUE"""),"Chuyên đề")</f>
        <v>Chuyên đề</v>
      </c>
      <c r="T34" s="23"/>
      <c r="U34" s="27">
        <f ca="1">IFERROR(__xludf.DUMMYFUNCTION("""COMPUTED_VALUE"""),45698)</f>
        <v>45698</v>
      </c>
      <c r="V34" s="27">
        <f ca="1">IFERROR(__xludf.DUMMYFUNCTION("""COMPUTED_VALUE"""),45787)</f>
        <v>45787</v>
      </c>
      <c r="W34" s="23">
        <f ca="1">IFERROR(__xludf.DUMMYFUNCTION("""COMPUTED_VALUE"""),33)</f>
        <v>33</v>
      </c>
      <c r="X34" s="28">
        <f ca="1">IFERROR(__xludf.DUMMYFUNCTION("""COMPUTED_VALUE"""),45962)</f>
        <v>45962</v>
      </c>
      <c r="Y34" s="23" t="str">
        <f ca="1">IFERROR(__xludf.DUMMYFUNCTION("""COMPUTED_VALUE"""),"DUYỆT")</f>
        <v>DUYỆT</v>
      </c>
      <c r="Z34" s="28">
        <f ca="1">IFERROR(__xludf.DUMMYFUNCTION("""COMPUTED_VALUE"""),45962)</f>
        <v>45962</v>
      </c>
      <c r="AA34" s="23" t="str">
        <f ca="1">IFERROR(__xludf.DUMMYFUNCTION("""COMPUTED_VALUE"""),"Novotel DaNang Premier Han River")</f>
        <v>Novotel DaNang Premier Han River</v>
      </c>
      <c r="AB34" s="23" t="str">
        <f ca="1">IFERROR(__xludf.DUMMYFUNCTION("""COMPUTED_VALUE"""),"Nhà hàng")</f>
        <v>Nhà hàng</v>
      </c>
      <c r="AC34" s="23"/>
      <c r="AD34" s="23" t="str">
        <f ca="1">IFERROR(__xludf.DUMMYFUNCTION("""COMPUTED_VALUE"""),"chưa có thông tin người hướng dẫn tại ks")</f>
        <v>chưa có thông tin người hướng dẫn tại ks</v>
      </c>
      <c r="AE34" s="23" t="str">
        <f ca="1">IFERROR(__xludf.DUMMYFUNCTION("""COMPUTED_VALUE"""),"")</f>
        <v/>
      </c>
      <c r="AF34" s="23" t="str">
        <f ca="1">IFERROR(__xludf.DUMMYFUNCTION("""COMPUTED_VALUE"""),"CHUYÊN ĐỀ")</f>
        <v>CHUYÊN ĐỀ</v>
      </c>
      <c r="AG34" s="23" t="str">
        <f ca="1">IFERROR(__xludf.DUMMYFUNCTION("""COMPUTED_VALUE"""),"Nguyễn Thị Minh Thư")</f>
        <v>Nguyễn Thị Minh Thư</v>
      </c>
    </row>
    <row r="35" spans="1:33" ht="12.75" x14ac:dyDescent="0.2">
      <c r="A35" s="26">
        <f ca="1">IFERROR(__xludf.DUMMYFUNCTION("""COMPUTED_VALUE"""),45667.6698275)</f>
        <v>45667.669827500002</v>
      </c>
      <c r="B35" s="23" t="str">
        <f ca="1">IFERROR(__xludf.DUMMYFUNCTION("""COMPUTED_VALUE"""),"phuongyen110703@gmail.com")</f>
        <v>phuongyen110703@gmail.com</v>
      </c>
      <c r="C35" s="23">
        <f ca="1">IFERROR(__xludf.DUMMYFUNCTION("""COMPUTED_VALUE"""),27202139022)</f>
        <v>27202139022</v>
      </c>
      <c r="D35" s="23" t="str">
        <f ca="1">IFERROR(__xludf.DUMMYFUNCTION("""COMPUTED_VALUE"""),"Võ Lương Phương Yến")</f>
        <v>Võ Lương Phương Yến</v>
      </c>
      <c r="E35" s="27">
        <f ca="1">IFERROR(__xludf.DUMMYFUNCTION("""COMPUTED_VALUE"""),37813)</f>
        <v>37813</v>
      </c>
      <c r="F35" s="23" t="str">
        <f ca="1">IFERROR(__xludf.DUMMYFUNCTION("""COMPUTED_VALUE"""),"K27DLK2")</f>
        <v>K27DLK2</v>
      </c>
      <c r="G35" s="23" t="str">
        <f ca="1">IFERROR(__xludf.DUMMYFUNCTION("""COMPUTED_VALUE"""),"Quản trị Du lịch &amp; Khách sạn")</f>
        <v>Quản trị Du lịch &amp; Khách sạn</v>
      </c>
      <c r="H35" s="23">
        <f ca="1">IFERROR(__xludf.DUMMYFUNCTION("""COMPUTED_VALUE"""),27)</f>
        <v>27</v>
      </c>
      <c r="I35" s="23" t="str">
        <f ca="1">IFERROR(__xludf.DUMMYFUNCTION("""COMPUTED_VALUE"""),"0777556109")</f>
        <v>0777556109</v>
      </c>
      <c r="J35" s="23" t="str">
        <f ca="1">IFERROR(__xludf.DUMMYFUNCTION("""COMPUTED_VALUE"""),"Chuyên đề")</f>
        <v>Chuyên đề</v>
      </c>
      <c r="K35" s="23" t="str">
        <f ca="1">IFERROR(__xludf.DUMMYFUNCTION("""COMPUTED_VALUE"""),"Novotel DaNang Premier Han River")</f>
        <v>Novotel DaNang Premier Han River</v>
      </c>
      <c r="L35" s="23"/>
      <c r="M35" s="23" t="str">
        <f ca="1">IFERROR(__xludf.DUMMYFUNCTION("""COMPUTED_VALUE"""),"36 Bạch Đằng , Thạch Thang ,Hải Châu, Đà Nẵng ")</f>
        <v xml:space="preserve">36 Bạch Đằng , Thạch Thang ,Hải Châu, Đà Nẵng </v>
      </c>
      <c r="N35" s="23" t="str">
        <f ca="1">IFERROR(__xludf.DUMMYFUNCTION("""COMPUTED_VALUE"""),"Đà Nẵng ")</f>
        <v xml:space="preserve">Đà Nẵng </v>
      </c>
      <c r="O35" s="23" t="str">
        <f ca="1">IFERROR(__xludf.DUMMYFUNCTION("""COMPUTED_VALUE"""),"Nhà hàng")</f>
        <v>Nhà hàng</v>
      </c>
      <c r="P35" s="23"/>
      <c r="Q35" s="23" t="str">
        <f ca="1">IFERROR(__xludf.DUMMYFUNCTION("""COMPUTED_VALUE"""),"10/01/2025")</f>
        <v>10/01/2025</v>
      </c>
      <c r="R35" s="23" t="str">
        <f ca="1">IFERROR(__xludf.DUMMYFUNCTION("""COMPUTED_VALUE"""),"cam kết")</f>
        <v>cam kết</v>
      </c>
      <c r="S35" s="23" t="str">
        <f ca="1">IFERROR(__xludf.DUMMYFUNCTION("""COMPUTED_VALUE"""),"Chuyên đề")</f>
        <v>Chuyên đề</v>
      </c>
      <c r="T35" s="23"/>
      <c r="U35" s="27">
        <f ca="1">IFERROR(__xludf.DUMMYFUNCTION("""COMPUTED_VALUE"""),45698)</f>
        <v>45698</v>
      </c>
      <c r="V35" s="27">
        <f ca="1">IFERROR(__xludf.DUMMYFUNCTION("""COMPUTED_VALUE"""),45787)</f>
        <v>45787</v>
      </c>
      <c r="W35" s="23">
        <f ca="1">IFERROR(__xludf.DUMMYFUNCTION("""COMPUTED_VALUE"""),34)</f>
        <v>34</v>
      </c>
      <c r="X35" s="28">
        <f ca="1">IFERROR(__xludf.DUMMYFUNCTION("""COMPUTED_VALUE"""),45962)</f>
        <v>45962</v>
      </c>
      <c r="Y35" s="23" t="str">
        <f ca="1">IFERROR(__xludf.DUMMYFUNCTION("""COMPUTED_VALUE"""),"DUYỆT")</f>
        <v>DUYỆT</v>
      </c>
      <c r="Z35" s="28">
        <f ca="1">IFERROR(__xludf.DUMMYFUNCTION("""COMPUTED_VALUE"""),45962)</f>
        <v>45962</v>
      </c>
      <c r="AA35" s="23" t="str">
        <f ca="1">IFERROR(__xludf.DUMMYFUNCTION("""COMPUTED_VALUE"""),"Novotel DaNang Premier Han River")</f>
        <v>Novotel DaNang Premier Han River</v>
      </c>
      <c r="AB35" s="23" t="str">
        <f ca="1">IFERROR(__xludf.DUMMYFUNCTION("""COMPUTED_VALUE"""),"Nhà hàng")</f>
        <v>Nhà hàng</v>
      </c>
      <c r="AC35" s="23"/>
      <c r="AD35" s="23" t="str">
        <f ca="1">IFERROR(__xludf.DUMMYFUNCTION("""COMPUTED_VALUE"""),"chưa có thông tin người hướng dẫn tại ks")</f>
        <v>chưa có thông tin người hướng dẫn tại ks</v>
      </c>
      <c r="AE35" s="23" t="str">
        <f ca="1">IFERROR(__xludf.DUMMYFUNCTION("""COMPUTED_VALUE"""),"")</f>
        <v/>
      </c>
      <c r="AF35" s="23" t="str">
        <f ca="1">IFERROR(__xludf.DUMMYFUNCTION("""COMPUTED_VALUE"""),"CHUYÊN ĐỀ")</f>
        <v>CHUYÊN ĐỀ</v>
      </c>
      <c r="AG35" s="23" t="str">
        <f ca="1">IFERROR(__xludf.DUMMYFUNCTION("""COMPUTED_VALUE"""),"Nguyễn Thị Minh Thư")</f>
        <v>Nguyễn Thị Minh Thư</v>
      </c>
    </row>
    <row r="36" spans="1:33" ht="12.75" x14ac:dyDescent="0.2">
      <c r="A36" s="26">
        <f ca="1">IFERROR(__xludf.DUMMYFUNCTION("""COMPUTED_VALUE"""),45667.8183484722)</f>
        <v>45667.818348472203</v>
      </c>
      <c r="B36" s="23" t="str">
        <f ca="1">IFERROR(__xludf.DUMMYFUNCTION("""COMPUTED_VALUE"""),"manhnguyenhuu@gmail.com")</f>
        <v>manhnguyenhuu@gmail.com</v>
      </c>
      <c r="C36" s="23">
        <f ca="1">IFERROR(__xludf.DUMMYFUNCTION("""COMPUTED_VALUE"""),25217204586)</f>
        <v>25217204586</v>
      </c>
      <c r="D36" s="23" t="str">
        <f ca="1">IFERROR(__xludf.DUMMYFUNCTION("""COMPUTED_VALUE"""),"Nguyễn Hữu Mạnh")</f>
        <v>Nguyễn Hữu Mạnh</v>
      </c>
      <c r="E36" s="27">
        <f ca="1">IFERROR(__xludf.DUMMYFUNCTION("""COMPUTED_VALUE"""),37166)</f>
        <v>37166</v>
      </c>
      <c r="F36" s="23" t="str">
        <f ca="1">IFERROR(__xludf.DUMMYFUNCTION("""COMPUTED_VALUE"""),"K25PSUDLK 12")</f>
        <v>K25PSUDLK 12</v>
      </c>
      <c r="G36" s="23" t="str">
        <f ca="1">IFERROR(__xludf.DUMMYFUNCTION("""COMPUTED_VALUE"""),"Quản trị Du lịch &amp; Khách sạn chuẩn PSU")</f>
        <v>Quản trị Du lịch &amp; Khách sạn chuẩn PSU</v>
      </c>
      <c r="H36" s="23">
        <f ca="1">IFERROR(__xludf.DUMMYFUNCTION("""COMPUTED_VALUE"""),25)</f>
        <v>25</v>
      </c>
      <c r="I36" s="23" t="str">
        <f ca="1">IFERROR(__xludf.DUMMYFUNCTION("""COMPUTED_VALUE"""),"0905676425")</f>
        <v>0905676425</v>
      </c>
      <c r="J36" s="23" t="str">
        <f ca="1">IFERROR(__xludf.DUMMYFUNCTION("""COMPUTED_VALUE"""),"Chuyên đề")</f>
        <v>Chuyên đề</v>
      </c>
      <c r="K36" s="23" t="str">
        <f ca="1">IFERROR(__xludf.DUMMYFUNCTION("""COMPUTED_VALUE"""),"Brilliant Hotel")</f>
        <v>Brilliant Hotel</v>
      </c>
      <c r="L36" s="23"/>
      <c r="M36" s="23" t="str">
        <f ca="1">IFERROR(__xludf.DUMMYFUNCTION("""COMPUTED_VALUE"""),"162 Bạch Đằng , Hải Châu , Đà Nẵng")</f>
        <v>162 Bạch Đằng , Hải Châu , Đà Nẵng</v>
      </c>
      <c r="N36" s="23" t="str">
        <f ca="1">IFERROR(__xludf.DUMMYFUNCTION("""COMPUTED_VALUE"""),"Đà Nẵng")</f>
        <v>Đà Nẵng</v>
      </c>
      <c r="O36" s="23" t="str">
        <f ca="1">IFERROR(__xludf.DUMMYFUNCTION("""COMPUTED_VALUE"""),"Tiền sảnh")</f>
        <v>Tiền sảnh</v>
      </c>
      <c r="P36" s="23"/>
      <c r="Q36" s="23" t="str">
        <f ca="1">IFERROR(__xludf.DUMMYFUNCTION("""COMPUTED_VALUE"""),"10/01/2025")</f>
        <v>10/01/2025</v>
      </c>
      <c r="R36" s="23" t="str">
        <f ca="1">IFERROR(__xludf.DUMMYFUNCTION("""COMPUTED_VALUE"""),"cam kết")</f>
        <v>cam kết</v>
      </c>
      <c r="S36" s="23" t="str">
        <f ca="1">IFERROR(__xludf.DUMMYFUNCTION("""COMPUTED_VALUE"""),"Chuyên đề")</f>
        <v>Chuyên đề</v>
      </c>
      <c r="T36" s="23"/>
      <c r="U36" s="27">
        <f ca="1">IFERROR(__xludf.DUMMYFUNCTION("""COMPUTED_VALUE"""),45332)</f>
        <v>45332</v>
      </c>
      <c r="V36" s="27">
        <f ca="1">IFERROR(__xludf.DUMMYFUNCTION("""COMPUTED_VALUE"""),45787)</f>
        <v>45787</v>
      </c>
      <c r="W36" s="23">
        <f ca="1">IFERROR(__xludf.DUMMYFUNCTION("""COMPUTED_VALUE"""),35)</f>
        <v>35</v>
      </c>
      <c r="X36" s="28">
        <f ca="1">IFERROR(__xludf.DUMMYFUNCTION("""COMPUTED_VALUE"""),45871)</f>
        <v>45871</v>
      </c>
      <c r="Y36" s="23" t="str">
        <f ca="1">IFERROR(__xludf.DUMMYFUNCTION("""COMPUTED_VALUE"""),"DUYỆT")</f>
        <v>DUYỆT</v>
      </c>
      <c r="Z36" s="28">
        <f ca="1">IFERROR(__xludf.DUMMYFUNCTION("""COMPUTED_VALUE"""),45962)</f>
        <v>45962</v>
      </c>
      <c r="AA36" s="23" t="str">
        <f ca="1">IFERROR(__xludf.DUMMYFUNCTION("""COMPUTED_VALUE"""),"Brilliant Hotel")</f>
        <v>Brilliant Hotel</v>
      </c>
      <c r="AB36" s="23" t="str">
        <f ca="1">IFERROR(__xludf.DUMMYFUNCTION("""COMPUTED_VALUE"""),"Tiền sảnh")</f>
        <v>Tiền sảnh</v>
      </c>
      <c r="AC36" s="23" t="str">
        <f ca="1">IFERROR(__xludf.DUMMYFUNCTION("""COMPUTED_VALUE"""),"ĐÃ NỘP")</f>
        <v>ĐÃ NỘP</v>
      </c>
      <c r="AD36" s="23" t="str">
        <f ca="1">IFERROR(__xludf.DUMMYFUNCTION("""COMPUTED_VALUE"""),"trưởng khoa đã duyệt đơn
Chưa có thông tin người hướng dẫn tại ks")</f>
        <v>trưởng khoa đã duyệt đơn
Chưa có thông tin người hướng dẫn tại ks</v>
      </c>
      <c r="AE36" s="23" t="str">
        <f ca="1">IFERROR(__xludf.DUMMYFUNCTION("""COMPUTED_VALUE"""),"")</f>
        <v/>
      </c>
      <c r="AF36" s="23" t="str">
        <f ca="1">IFERROR(__xludf.DUMMYFUNCTION("""COMPUTED_VALUE"""),"CHUYÊN ĐỀ")</f>
        <v>CHUYÊN ĐỀ</v>
      </c>
      <c r="AG36" s="23" t="str">
        <f ca="1">IFERROR(__xludf.DUMMYFUNCTION("""COMPUTED_VALUE"""),"Nguyễn Thị Minh Thư")</f>
        <v>Nguyễn Thị Minh Thư</v>
      </c>
    </row>
    <row r="37" spans="1:33" ht="12.75" x14ac:dyDescent="0.2">
      <c r="A37" s="26">
        <f ca="1">IFERROR(__xludf.DUMMYFUNCTION("""COMPUTED_VALUE"""),45668.3889650925)</f>
        <v>45668.388965092498</v>
      </c>
      <c r="B37" s="23" t="str">
        <f ca="1">IFERROR(__xludf.DUMMYFUNCTION("""COMPUTED_VALUE"""),"minhchauu296@gmail.com")</f>
        <v>minhchauu296@gmail.com</v>
      </c>
      <c r="C37" s="23">
        <f ca="1">IFERROR(__xludf.DUMMYFUNCTION("""COMPUTED_VALUE"""),27207152531)</f>
        <v>27207152531</v>
      </c>
      <c r="D37" s="23" t="str">
        <f ca="1">IFERROR(__xludf.DUMMYFUNCTION("""COMPUTED_VALUE"""),"Cao Nguyễn Minh Châu")</f>
        <v>Cao Nguyễn Minh Châu</v>
      </c>
      <c r="E37" s="27">
        <f ca="1">IFERROR(__xludf.DUMMYFUNCTION("""COMPUTED_VALUE"""),37801)</f>
        <v>37801</v>
      </c>
      <c r="F37" s="23" t="str">
        <f ca="1">IFERROR(__xludf.DUMMYFUNCTION("""COMPUTED_VALUE"""),"K27DLK1")</f>
        <v>K27DLK1</v>
      </c>
      <c r="G37" s="23" t="str">
        <f ca="1">IFERROR(__xludf.DUMMYFUNCTION("""COMPUTED_VALUE"""),"Quản trị Du lịch &amp; Khách sạn")</f>
        <v>Quản trị Du lịch &amp; Khách sạn</v>
      </c>
      <c r="H37" s="23">
        <f ca="1">IFERROR(__xludf.DUMMYFUNCTION("""COMPUTED_VALUE"""),27)</f>
        <v>27</v>
      </c>
      <c r="I37" s="23" t="str">
        <f ca="1">IFERROR(__xludf.DUMMYFUNCTION("""COMPUTED_VALUE"""),"0853840102")</f>
        <v>0853840102</v>
      </c>
      <c r="J37" s="23" t="str">
        <f ca="1">IFERROR(__xludf.DUMMYFUNCTION("""COMPUTED_VALUE"""),"Chuyên đề")</f>
        <v>Chuyên đề</v>
      </c>
      <c r="K37" s="23" t="str">
        <f ca="1">IFERROR(__xludf.DUMMYFUNCTION("""COMPUTED_VALUE"""),"Wyndham DaNang Golden Bay")</f>
        <v>Wyndham DaNang Golden Bay</v>
      </c>
      <c r="L37" s="23"/>
      <c r="M37" s="23" t="str">
        <f ca="1">IFERROR(__xludf.DUMMYFUNCTION("""COMPUTED_VALUE"""),"01 Lê Văn Duyệt, Nại Hiên Đông, Sơn Trà, thành phố Đà Nẵng")</f>
        <v>01 Lê Văn Duyệt, Nại Hiên Đông, Sơn Trà, thành phố Đà Nẵng</v>
      </c>
      <c r="N37" s="23" t="str">
        <f ca="1">IFERROR(__xludf.DUMMYFUNCTION("""COMPUTED_VALUE"""),"Thành phố Đà Nẵng")</f>
        <v>Thành phố Đà Nẵng</v>
      </c>
      <c r="O37" s="23" t="str">
        <f ca="1">IFERROR(__xludf.DUMMYFUNCTION("""COMPUTED_VALUE"""),"Buồng phòng")</f>
        <v>Buồng phòng</v>
      </c>
      <c r="P37" s="23"/>
      <c r="Q37" s="23" t="str">
        <f ca="1">IFERROR(__xludf.DUMMYFUNCTION("""COMPUTED_VALUE"""),"7.1.2025")</f>
        <v>7.1.2025</v>
      </c>
      <c r="R37" s="23" t="str">
        <f ca="1">IFERROR(__xludf.DUMMYFUNCTION("""COMPUTED_VALUE"""),"cam kết")</f>
        <v>cam kết</v>
      </c>
      <c r="S37" s="23" t="str">
        <f ca="1">IFERROR(__xludf.DUMMYFUNCTION("""COMPUTED_VALUE"""),"Chuyên đề")</f>
        <v>Chuyên đề</v>
      </c>
      <c r="T37" s="23"/>
      <c r="U37" s="27">
        <f ca="1">IFERROR(__xludf.DUMMYFUNCTION("""COMPUTED_VALUE"""),45698)</f>
        <v>45698</v>
      </c>
      <c r="V37" s="27">
        <f ca="1">IFERROR(__xludf.DUMMYFUNCTION("""COMPUTED_VALUE"""),45787)</f>
        <v>45787</v>
      </c>
      <c r="W37" s="23">
        <f ca="1">IFERROR(__xludf.DUMMYFUNCTION("""COMPUTED_VALUE"""),36)</f>
        <v>36</v>
      </c>
      <c r="X37" s="23" t="str">
        <f ca="1">IFERROR(__xludf.DUMMYFUNCTION("""COMPUTED_VALUE"""),"14/01/2025")</f>
        <v>14/01/2025</v>
      </c>
      <c r="Y37" s="23" t="str">
        <f ca="1">IFERROR(__xludf.DUMMYFUNCTION("""COMPUTED_VALUE"""),"DUYỆT")</f>
        <v>DUYỆT</v>
      </c>
      <c r="Z37" s="28">
        <f ca="1">IFERROR(__xludf.DUMMYFUNCTION("""COMPUTED_VALUE"""),45962)</f>
        <v>45962</v>
      </c>
      <c r="AA37" s="23" t="str">
        <f ca="1">IFERROR(__xludf.DUMMYFUNCTION("""COMPUTED_VALUE"""),"Wyndham DaNang Golden Bay")</f>
        <v>Wyndham DaNang Golden Bay</v>
      </c>
      <c r="AB37" s="23" t="str">
        <f ca="1">IFERROR(__xludf.DUMMYFUNCTION("""COMPUTED_VALUE"""),"Buồng phòng")</f>
        <v>Buồng phòng</v>
      </c>
      <c r="AC37" s="23"/>
      <c r="AD37" s="23"/>
      <c r="AE37" s="23" t="str">
        <f ca="1">IFERROR(__xludf.DUMMYFUNCTION("""COMPUTED_VALUE"""),"")</f>
        <v/>
      </c>
      <c r="AF37" s="23" t="str">
        <f ca="1">IFERROR(__xludf.DUMMYFUNCTION("""COMPUTED_VALUE"""),"CHUYÊN ĐỀ")</f>
        <v>CHUYÊN ĐỀ</v>
      </c>
      <c r="AG37" s="23" t="str">
        <f ca="1">IFERROR(__xludf.DUMMYFUNCTION("""COMPUTED_VALUE"""),"Trịnh Thị Kim Chung")</f>
        <v>Trịnh Thị Kim Chung</v>
      </c>
    </row>
    <row r="38" spans="1:33" ht="12.75" x14ac:dyDescent="0.2">
      <c r="A38" s="26">
        <f ca="1">IFERROR(__xludf.DUMMYFUNCTION("""COMPUTED_VALUE"""),45668.5620783449)</f>
        <v>45668.562078344898</v>
      </c>
      <c r="B38" s="23" t="str">
        <f ca="1">IFERROR(__xludf.DUMMYFUNCTION("""COMPUTED_VALUE"""),"Tridoan24h@gmai.com")</f>
        <v>Tridoan24h@gmai.com</v>
      </c>
      <c r="C38" s="23">
        <f ca="1">IFERROR(__xludf.DUMMYFUNCTION("""COMPUTED_VALUE"""),27217122799)</f>
        <v>27217122799</v>
      </c>
      <c r="D38" s="23" t="str">
        <f ca="1">IFERROR(__xludf.DUMMYFUNCTION("""COMPUTED_VALUE"""),"Đoàn Minh Trí ")</f>
        <v xml:space="preserve">Đoàn Minh Trí </v>
      </c>
      <c r="E38" s="27">
        <f ca="1">IFERROR(__xludf.DUMMYFUNCTION("""COMPUTED_VALUE"""),37764)</f>
        <v>37764</v>
      </c>
      <c r="F38" s="23" t="str">
        <f ca="1">IFERROR(__xludf.DUMMYFUNCTION("""COMPUTED_VALUE"""),"K27DLK5")</f>
        <v>K27DLK5</v>
      </c>
      <c r="G38" s="23" t="str">
        <f ca="1">IFERROR(__xludf.DUMMYFUNCTION("""COMPUTED_VALUE"""),"Quản trị Du lịch &amp; Khách sạn")</f>
        <v>Quản trị Du lịch &amp; Khách sạn</v>
      </c>
      <c r="H38" s="23">
        <f ca="1">IFERROR(__xludf.DUMMYFUNCTION("""COMPUTED_VALUE"""),27)</f>
        <v>27</v>
      </c>
      <c r="I38" s="23" t="str">
        <f ca="1">IFERROR(__xludf.DUMMYFUNCTION("""COMPUTED_VALUE"""),"0779428858")</f>
        <v>0779428858</v>
      </c>
      <c r="J38" s="23" t="str">
        <f ca="1">IFERROR(__xludf.DUMMYFUNCTION("""COMPUTED_VALUE"""),"Chuyên đề")</f>
        <v>Chuyên đề</v>
      </c>
      <c r="K38" s="23" t="str">
        <f ca="1">IFERROR(__xludf.DUMMYFUNCTION("""COMPUTED_VALUE"""),"Risemount Premier Resort Danang")</f>
        <v>Risemount Premier Resort Danang</v>
      </c>
      <c r="L38" s="23"/>
      <c r="M38" s="23" t="str">
        <f ca="1">IFERROR(__xludf.DUMMYFUNCTION("""COMPUTED_VALUE"""),"120 Nguyễn Văn Thoại , Ngũ Hành Sơn , Đà Nẵng")</f>
        <v>120 Nguyễn Văn Thoại , Ngũ Hành Sơn , Đà Nẵng</v>
      </c>
      <c r="N38" s="23" t="str">
        <f ca="1">IFERROR(__xludf.DUMMYFUNCTION("""COMPUTED_VALUE"""),"Đà Nẵng ")</f>
        <v xml:space="preserve">Đà Nẵng </v>
      </c>
      <c r="O38" s="23" t="str">
        <f ca="1">IFERROR(__xludf.DUMMYFUNCTION("""COMPUTED_VALUE"""),"Buồng phòng")</f>
        <v>Buồng phòng</v>
      </c>
      <c r="P38" s="23"/>
      <c r="Q38" s="23" t="str">
        <f ca="1">IFERROR(__xludf.DUMMYFUNCTION("""COMPUTED_VALUE"""),"13/1/2025")</f>
        <v>13/1/2025</v>
      </c>
      <c r="R38" s="23" t="str">
        <f ca="1">IFERROR(__xludf.DUMMYFUNCTION("""COMPUTED_VALUE"""),"cam kết")</f>
        <v>cam kết</v>
      </c>
      <c r="S38" s="23" t="str">
        <f ca="1">IFERROR(__xludf.DUMMYFUNCTION("""COMPUTED_VALUE"""),"Chuyên đề")</f>
        <v>Chuyên đề</v>
      </c>
      <c r="T38" s="23"/>
      <c r="U38" s="27">
        <f ca="1">IFERROR(__xludf.DUMMYFUNCTION("""COMPUTED_VALUE"""),45692)</f>
        <v>45692</v>
      </c>
      <c r="V38" s="27">
        <f ca="1">IFERROR(__xludf.DUMMYFUNCTION("""COMPUTED_VALUE"""),45781)</f>
        <v>45781</v>
      </c>
      <c r="W38" s="23">
        <f ca="1">IFERROR(__xludf.DUMMYFUNCTION("""COMPUTED_VALUE"""),37)</f>
        <v>37</v>
      </c>
      <c r="X38" s="23" t="str">
        <f ca="1">IFERROR(__xludf.DUMMYFUNCTION("""COMPUTED_VALUE"""),"14/01/2025")</f>
        <v>14/01/2025</v>
      </c>
      <c r="Y38" s="23" t="str">
        <f ca="1">IFERROR(__xludf.DUMMYFUNCTION("""COMPUTED_VALUE"""),"DUYỆT")</f>
        <v>DUYỆT</v>
      </c>
      <c r="Z38" s="28">
        <f ca="1">IFERROR(__xludf.DUMMYFUNCTION("""COMPUTED_VALUE"""),45962)</f>
        <v>45962</v>
      </c>
      <c r="AA38" s="23" t="str">
        <f ca="1">IFERROR(__xludf.DUMMYFUNCTION("""COMPUTED_VALUE"""),"Risemount Premier Resort Danang")</f>
        <v>Risemount Premier Resort Danang</v>
      </c>
      <c r="AB38" s="23" t="str">
        <f ca="1">IFERROR(__xludf.DUMMYFUNCTION("""COMPUTED_VALUE"""),"Buồng phòng")</f>
        <v>Buồng phòng</v>
      </c>
      <c r="AC38" s="23"/>
      <c r="AD38" s="23"/>
      <c r="AE38" s="23" t="str">
        <f ca="1">IFERROR(__xludf.DUMMYFUNCTION("""COMPUTED_VALUE"""),"")</f>
        <v/>
      </c>
      <c r="AF38" s="23" t="str">
        <f ca="1">IFERROR(__xludf.DUMMYFUNCTION("""COMPUTED_VALUE"""),"CHUYÊN ĐỀ")</f>
        <v>CHUYÊN ĐỀ</v>
      </c>
      <c r="AG38" s="23" t="str">
        <f ca="1">IFERROR(__xludf.DUMMYFUNCTION("""COMPUTED_VALUE"""),"Huỳnh Lý Thùy Linh")</f>
        <v>Huỳnh Lý Thùy Linh</v>
      </c>
    </row>
    <row r="39" spans="1:33" ht="12.75" x14ac:dyDescent="0.2">
      <c r="A39" s="26">
        <f ca="1">IFERROR(__xludf.DUMMYFUNCTION("""COMPUTED_VALUE"""),45668.6544167245)</f>
        <v>45668.654416724501</v>
      </c>
      <c r="B39" s="23" t="str">
        <f ca="1">IFERROR(__xludf.DUMMYFUNCTION("""COMPUTED_VALUE"""),"huynhthitho193@gmail.com")</f>
        <v>huynhthitho193@gmail.com</v>
      </c>
      <c r="C39" s="23">
        <f ca="1">IFERROR(__xludf.DUMMYFUNCTION("""COMPUTED_VALUE"""),27217101593)</f>
        <v>27217101593</v>
      </c>
      <c r="D39" s="23" t="str">
        <f ca="1">IFERROR(__xludf.DUMMYFUNCTION("""COMPUTED_VALUE"""),"Nguyễn Huỳnh Thảo Nhi ")</f>
        <v xml:space="preserve">Nguyễn Huỳnh Thảo Nhi </v>
      </c>
      <c r="E39" s="27">
        <f ca="1">IFERROR(__xludf.DUMMYFUNCTION("""COMPUTED_VALUE"""),37699)</f>
        <v>37699</v>
      </c>
      <c r="F39" s="23" t="str">
        <f ca="1">IFERROR(__xludf.DUMMYFUNCTION("""COMPUTED_VALUE"""),"K27DLK1")</f>
        <v>K27DLK1</v>
      </c>
      <c r="G39" s="23" t="str">
        <f ca="1">IFERROR(__xludf.DUMMYFUNCTION("""COMPUTED_VALUE"""),"Quản trị Du lịch &amp; Khách sạn")</f>
        <v>Quản trị Du lịch &amp; Khách sạn</v>
      </c>
      <c r="H39" s="23">
        <f ca="1">IFERROR(__xludf.DUMMYFUNCTION("""COMPUTED_VALUE"""),27)</f>
        <v>27</v>
      </c>
      <c r="I39" s="23" t="str">
        <f ca="1">IFERROR(__xludf.DUMMYFUNCTION("""COMPUTED_VALUE"""),"0905816772")</f>
        <v>0905816772</v>
      </c>
      <c r="J39" s="23" t="str">
        <f ca="1">IFERROR(__xludf.DUMMYFUNCTION("""COMPUTED_VALUE"""),"Chuyên đề")</f>
        <v>Chuyên đề</v>
      </c>
      <c r="K39" s="23" t="str">
        <f ca="1">IFERROR(__xludf.DUMMYFUNCTION("""COMPUTED_VALUE"""),"Wyndham DaNang Golden Bay")</f>
        <v>Wyndham DaNang Golden Bay</v>
      </c>
      <c r="L39" s="23"/>
      <c r="M39" s="23" t="str">
        <f ca="1">IFERROR(__xludf.DUMMYFUNCTION("""COMPUTED_VALUE"""),"01 Lê Văn Duyệt, Nại Hiên Đông, Sơn Trà, Đà Nẵng")</f>
        <v>01 Lê Văn Duyệt, Nại Hiên Đông, Sơn Trà, Đà Nẵng</v>
      </c>
      <c r="N39" s="23" t="str">
        <f ca="1">IFERROR(__xludf.DUMMYFUNCTION("""COMPUTED_VALUE"""),"Đà Nẵng ")</f>
        <v xml:space="preserve">Đà Nẵng </v>
      </c>
      <c r="O39" s="23" t="str">
        <f ca="1">IFERROR(__xludf.DUMMYFUNCTION("""COMPUTED_VALUE"""),"Nhà hàng")</f>
        <v>Nhà hàng</v>
      </c>
      <c r="P39" s="23"/>
      <c r="Q39" s="23" t="str">
        <f ca="1">IFERROR(__xludf.DUMMYFUNCTION("""COMPUTED_VALUE"""),"7/1/2025")</f>
        <v>7/1/2025</v>
      </c>
      <c r="R39" s="23" t="str">
        <f ca="1">IFERROR(__xludf.DUMMYFUNCTION("""COMPUTED_VALUE"""),"cam kết")</f>
        <v>cam kết</v>
      </c>
      <c r="S39" s="23" t="str">
        <f ca="1">IFERROR(__xludf.DUMMYFUNCTION("""COMPUTED_VALUE"""),"Chuyên đề")</f>
        <v>Chuyên đề</v>
      </c>
      <c r="T39" s="23"/>
      <c r="U39" s="27">
        <f ca="1">IFERROR(__xludf.DUMMYFUNCTION("""COMPUTED_VALUE"""),45698)</f>
        <v>45698</v>
      </c>
      <c r="V39" s="27">
        <f ca="1">IFERROR(__xludf.DUMMYFUNCTION("""COMPUTED_VALUE"""),45787)</f>
        <v>45787</v>
      </c>
      <c r="W39" s="23">
        <f ca="1">IFERROR(__xludf.DUMMYFUNCTION("""COMPUTED_VALUE"""),38)</f>
        <v>38</v>
      </c>
      <c r="X39" s="23" t="str">
        <f ca="1">IFERROR(__xludf.DUMMYFUNCTION("""COMPUTED_VALUE"""),"14/01/2025")</f>
        <v>14/01/2025</v>
      </c>
      <c r="Y39" s="23" t="str">
        <f ca="1">IFERROR(__xludf.DUMMYFUNCTION("""COMPUTED_VALUE"""),"DUYỆT")</f>
        <v>DUYỆT</v>
      </c>
      <c r="Z39" s="23" t="str">
        <f ca="1">IFERROR(__xludf.DUMMYFUNCTION("""COMPUTED_VALUE"""),"14/01/2025")</f>
        <v>14/01/2025</v>
      </c>
      <c r="AA39" s="23" t="str">
        <f ca="1">IFERROR(__xludf.DUMMYFUNCTION("""COMPUTED_VALUE"""),"Wyndham DaNang Golden Bay")</f>
        <v>Wyndham DaNang Golden Bay</v>
      </c>
      <c r="AB39" s="23" t="str">
        <f ca="1">IFERROR(__xludf.DUMMYFUNCTION("""COMPUTED_VALUE"""),"Nhà hàng")</f>
        <v>Nhà hàng</v>
      </c>
      <c r="AC39" s="23"/>
      <c r="AD39" s="23" t="str">
        <f ca="1">IFERROR(__xludf.DUMMYFUNCTION("""COMPUTED_VALUE"""),"sv phải đám bảo ko quá 5sv/nhà hàng")</f>
        <v>sv phải đám bảo ko quá 5sv/nhà hàng</v>
      </c>
      <c r="AE39" s="23" t="str">
        <f ca="1">IFERROR(__xludf.DUMMYFUNCTION("""COMPUTED_VALUE"""),"")</f>
        <v/>
      </c>
      <c r="AF39" s="23" t="str">
        <f ca="1">IFERROR(__xludf.DUMMYFUNCTION("""COMPUTED_VALUE"""),"CHUYÊN ĐỀ")</f>
        <v>CHUYÊN ĐỀ</v>
      </c>
      <c r="AG39" s="23" t="str">
        <f ca="1">IFERROR(__xludf.DUMMYFUNCTION("""COMPUTED_VALUE"""),"Trần Thị Mỹ Linh")</f>
        <v>Trần Thị Mỹ Linh</v>
      </c>
    </row>
    <row r="40" spans="1:33" ht="12.75" x14ac:dyDescent="0.2">
      <c r="A40" s="26">
        <f ca="1">IFERROR(__xludf.DUMMYFUNCTION("""COMPUTED_VALUE"""),45668.7976266666)</f>
        <v>45668.797626666601</v>
      </c>
      <c r="B40" s="23" t="str">
        <f ca="1">IFERROR(__xludf.DUMMYFUNCTION("""COMPUTED_VALUE"""),"trantthanhnguyet@dtu.edu.vn")</f>
        <v>trantthanhnguyet@dtu.edu.vn</v>
      </c>
      <c r="C40" s="23">
        <f ca="1">IFERROR(__xludf.DUMMYFUNCTION("""COMPUTED_VALUE"""),27207142484)</f>
        <v>27207142484</v>
      </c>
      <c r="D40" s="23" t="str">
        <f ca="1">IFERROR(__xludf.DUMMYFUNCTION("""COMPUTED_VALUE"""),"Trần Thị Thanh Nguyệt")</f>
        <v>Trần Thị Thanh Nguyệt</v>
      </c>
      <c r="E40" s="27">
        <f ca="1">IFERROR(__xludf.DUMMYFUNCTION("""COMPUTED_VALUE"""),37980)</f>
        <v>37980</v>
      </c>
      <c r="F40" s="23" t="str">
        <f ca="1">IFERROR(__xludf.DUMMYFUNCTION("""COMPUTED_VALUE"""),"K27PSUDLK1")</f>
        <v>K27PSUDLK1</v>
      </c>
      <c r="G40" s="23" t="str">
        <f ca="1">IFERROR(__xludf.DUMMYFUNCTION("""COMPUTED_VALUE"""),"Quản trị Du lịch &amp; Khách sạn chuẩn PSU")</f>
        <v>Quản trị Du lịch &amp; Khách sạn chuẩn PSU</v>
      </c>
      <c r="H40" s="23">
        <f ca="1">IFERROR(__xludf.DUMMYFUNCTION("""COMPUTED_VALUE"""),27)</f>
        <v>27</v>
      </c>
      <c r="I40" s="23" t="str">
        <f ca="1">IFERROR(__xludf.DUMMYFUNCTION("""COMPUTED_VALUE"""),"0768557698")</f>
        <v>0768557698</v>
      </c>
      <c r="J40" s="23" t="str">
        <f ca="1">IFERROR(__xludf.DUMMYFUNCTION("""COMPUTED_VALUE"""),"Khóa luận")</f>
        <v>Khóa luận</v>
      </c>
      <c r="K40" s="23" t="str">
        <f ca="1">IFERROR(__xludf.DUMMYFUNCTION("""COMPUTED_VALUE"""),"Hyatt regency DaNang Resort")</f>
        <v>Hyatt regency DaNang Resort</v>
      </c>
      <c r="L40" s="23"/>
      <c r="M40" s="23" t="str">
        <f ca="1">IFERROR(__xludf.DUMMYFUNCTION("""COMPUTED_VALUE"""),"5 Trường Sa, Hòa Hải, Ngũ Hành Sơn, Đà Nẵng")</f>
        <v>5 Trường Sa, Hòa Hải, Ngũ Hành Sơn, Đà Nẵng</v>
      </c>
      <c r="N40" s="23" t="str">
        <f ca="1">IFERROR(__xludf.DUMMYFUNCTION("""COMPUTED_VALUE"""),"Đà Nẵng")</f>
        <v>Đà Nẵng</v>
      </c>
      <c r="O40" s="23" t="str">
        <f ca="1">IFERROR(__xludf.DUMMYFUNCTION("""COMPUTED_VALUE"""),"Nhà hàng")</f>
        <v>Nhà hàng</v>
      </c>
      <c r="P40" s="23"/>
      <c r="Q40" s="23" t="str">
        <f ca="1">IFERROR(__xludf.DUMMYFUNCTION("""COMPUTED_VALUE"""),"13/01/2025")</f>
        <v>13/01/2025</v>
      </c>
      <c r="R40" s="23" t="str">
        <f ca="1">IFERROR(__xludf.DUMMYFUNCTION("""COMPUTED_VALUE"""),"cam kết")</f>
        <v>cam kết</v>
      </c>
      <c r="S40" s="23" t="str">
        <f ca="1">IFERROR(__xludf.DUMMYFUNCTION("""COMPUTED_VALUE"""),"Khóa luận")</f>
        <v>Khóa luận</v>
      </c>
      <c r="T40" s="23" t="str">
        <f ca="1">IFERROR(__xludf.DUMMYFUNCTION("""COMPUTED_VALUE"""),"Mai Thị Thương")</f>
        <v>Mai Thị Thương</v>
      </c>
      <c r="U40" s="27">
        <f ca="1">IFERROR(__xludf.DUMMYFUNCTION("""COMPUTED_VALUE"""),45677)</f>
        <v>45677</v>
      </c>
      <c r="V40" s="27">
        <f ca="1">IFERROR(__xludf.DUMMYFUNCTION("""COMPUTED_VALUE"""),45767)</f>
        <v>45767</v>
      </c>
      <c r="W40" s="23">
        <f ca="1">IFERROR(__xludf.DUMMYFUNCTION("""COMPUTED_VALUE"""),39)</f>
        <v>39</v>
      </c>
      <c r="X40" s="23" t="str">
        <f ca="1">IFERROR(__xludf.DUMMYFUNCTION("""COMPUTED_VALUE"""),"14/01/2025")</f>
        <v>14/01/2025</v>
      </c>
      <c r="Y40" s="23" t="str">
        <f ca="1">IFERROR(__xludf.DUMMYFUNCTION("""COMPUTED_VALUE"""),"DUYỆT")</f>
        <v>DUYỆT</v>
      </c>
      <c r="Z40" s="23" t="str">
        <f ca="1">IFERROR(__xludf.DUMMYFUNCTION("""COMPUTED_VALUE"""),"14/01/2025")</f>
        <v>14/01/2025</v>
      </c>
      <c r="AA40" s="23" t="str">
        <f ca="1">IFERROR(__xludf.DUMMYFUNCTION("""COMPUTED_VALUE"""),"Hyatt regency DaNang Resort")</f>
        <v>Hyatt regency DaNang Resort</v>
      </c>
      <c r="AB40" s="23" t="str">
        <f ca="1">IFERROR(__xludf.DUMMYFUNCTION("""COMPUTED_VALUE"""),"Nhà hàng")</f>
        <v>Nhà hàng</v>
      </c>
      <c r="AC40" s="23"/>
      <c r="AD40" s="23" t="str">
        <f ca="1">IFERROR(__xludf.DUMMYFUNCTION("""COMPUTED_VALUE"""),"SV phải đảm bảo không thực tập quá 5sv/nhà hàng")</f>
        <v>SV phải đảm bảo không thực tập quá 5sv/nhà hàng</v>
      </c>
      <c r="AE40" s="23" t="str">
        <f ca="1">IFERROR(__xludf.DUMMYFUNCTION("""COMPUTED_VALUE"""),"")</f>
        <v/>
      </c>
      <c r="AF40" s="23" t="str">
        <f ca="1">IFERROR(__xludf.DUMMYFUNCTION("""COMPUTED_VALUE"""),"KHÓA LUẬN")</f>
        <v>KHÓA LUẬN</v>
      </c>
      <c r="AG40" s="23" t="str">
        <f ca="1">IFERROR(__xludf.DUMMYFUNCTION("""COMPUTED_VALUE"""),"Phạm Thị Hoàng Dung")</f>
        <v>Phạm Thị Hoàng Dung</v>
      </c>
    </row>
    <row r="41" spans="1:33" ht="12.75" x14ac:dyDescent="0.2">
      <c r="A41" s="26">
        <f ca="1">IFERROR(__xludf.DUMMYFUNCTION("""COMPUTED_VALUE"""),45668.8069314583)</f>
        <v>45668.806931458297</v>
      </c>
      <c r="B41" s="23" t="str">
        <f ca="1">IFERROR(__xludf.DUMMYFUNCTION("""COMPUTED_VALUE"""),"tramy9a4cva@gmail.com")</f>
        <v>tramy9a4cva@gmail.com</v>
      </c>
      <c r="C41" s="23">
        <f ca="1">IFERROR(__xludf.DUMMYFUNCTION("""COMPUTED_VALUE"""),27207101634)</f>
        <v>27207101634</v>
      </c>
      <c r="D41" s="23" t="str">
        <f ca="1">IFERROR(__xludf.DUMMYFUNCTION("""COMPUTED_VALUE"""),"Lê Thị Trà My")</f>
        <v>Lê Thị Trà My</v>
      </c>
      <c r="E41" s="27">
        <f ca="1">IFERROR(__xludf.DUMMYFUNCTION("""COMPUTED_VALUE"""),37726)</f>
        <v>37726</v>
      </c>
      <c r="F41" s="23" t="str">
        <f ca="1">IFERROR(__xludf.DUMMYFUNCTION("""COMPUTED_VALUE"""),"K27DLK1")</f>
        <v>K27DLK1</v>
      </c>
      <c r="G41" s="23" t="str">
        <f ca="1">IFERROR(__xludf.DUMMYFUNCTION("""COMPUTED_VALUE"""),"Quản trị Du lịch &amp; Khách sạn")</f>
        <v>Quản trị Du lịch &amp; Khách sạn</v>
      </c>
      <c r="H41" s="23">
        <f ca="1">IFERROR(__xludf.DUMMYFUNCTION("""COMPUTED_VALUE"""),27)</f>
        <v>27</v>
      </c>
      <c r="I41" s="23" t="str">
        <f ca="1">IFERROR(__xludf.DUMMYFUNCTION("""COMPUTED_VALUE"""),"0942138349")</f>
        <v>0942138349</v>
      </c>
      <c r="J41" s="23" t="str">
        <f ca="1">IFERROR(__xludf.DUMMYFUNCTION("""COMPUTED_VALUE"""),"Chuyên đề")</f>
        <v>Chuyên đề</v>
      </c>
      <c r="K41" s="23" t="str">
        <f ca="1">IFERROR(__xludf.DUMMYFUNCTION("""COMPUTED_VALUE"""),"Wyndham DaNang Golden Bay")</f>
        <v>Wyndham DaNang Golden Bay</v>
      </c>
      <c r="L41" s="23"/>
      <c r="M41" s="23" t="str">
        <f ca="1">IFERROR(__xludf.DUMMYFUNCTION("""COMPUTED_VALUE"""),"01 Lê Văn Duyệt, Nại Hiên Đông, Sơn Trà")</f>
        <v>01 Lê Văn Duyệt, Nại Hiên Đông, Sơn Trà</v>
      </c>
      <c r="N41" s="23" t="str">
        <f ca="1">IFERROR(__xludf.DUMMYFUNCTION("""COMPUTED_VALUE"""),"Đà Nẵng")</f>
        <v>Đà Nẵng</v>
      </c>
      <c r="O41" s="23" t="str">
        <f ca="1">IFERROR(__xludf.DUMMYFUNCTION("""COMPUTED_VALUE"""),"Nhà hàng")</f>
        <v>Nhà hàng</v>
      </c>
      <c r="P41" s="23"/>
      <c r="Q41" s="23" t="str">
        <f ca="1">IFERROR(__xludf.DUMMYFUNCTION("""COMPUTED_VALUE"""),"07/01/2025")</f>
        <v>07/01/2025</v>
      </c>
      <c r="R41" s="23" t="str">
        <f ca="1">IFERROR(__xludf.DUMMYFUNCTION("""COMPUTED_VALUE"""),"cam kết")</f>
        <v>cam kết</v>
      </c>
      <c r="S41" s="23" t="str">
        <f ca="1">IFERROR(__xludf.DUMMYFUNCTION("""COMPUTED_VALUE"""),"Chuyên đề")</f>
        <v>Chuyên đề</v>
      </c>
      <c r="T41" s="23"/>
      <c r="U41" s="27">
        <f ca="1">IFERROR(__xludf.DUMMYFUNCTION("""COMPUTED_VALUE"""),45698)</f>
        <v>45698</v>
      </c>
      <c r="V41" s="27">
        <f ca="1">IFERROR(__xludf.DUMMYFUNCTION("""COMPUTED_VALUE"""),45787)</f>
        <v>45787</v>
      </c>
      <c r="W41" s="23">
        <f ca="1">IFERROR(__xludf.DUMMYFUNCTION("""COMPUTED_VALUE"""),40)</f>
        <v>40</v>
      </c>
      <c r="X41" s="23" t="str">
        <f ca="1">IFERROR(__xludf.DUMMYFUNCTION("""COMPUTED_VALUE"""),"14/01/2025")</f>
        <v>14/01/2025</v>
      </c>
      <c r="Y41" s="23" t="str">
        <f ca="1">IFERROR(__xludf.DUMMYFUNCTION("""COMPUTED_VALUE"""),"DUYỆT")</f>
        <v>DUYỆT</v>
      </c>
      <c r="Z41" s="23" t="str">
        <f ca="1">IFERROR(__xludf.DUMMYFUNCTION("""COMPUTED_VALUE"""),"14/01/2025")</f>
        <v>14/01/2025</v>
      </c>
      <c r="AA41" s="23" t="str">
        <f ca="1">IFERROR(__xludf.DUMMYFUNCTION("""COMPUTED_VALUE"""),"Wyndham DaNang Golden Bay")</f>
        <v>Wyndham DaNang Golden Bay</v>
      </c>
      <c r="AB41" s="23" t="str">
        <f ca="1">IFERROR(__xludf.DUMMYFUNCTION("""COMPUTED_VALUE"""),"Nhà hàng")</f>
        <v>Nhà hàng</v>
      </c>
      <c r="AC41" s="23"/>
      <c r="AD41" s="23" t="str">
        <f ca="1">IFERROR(__xludf.DUMMYFUNCTION("""COMPUTED_VALUE"""),"sv phải đám bảo ko quá 5sv/nhà hàng")</f>
        <v>sv phải đám bảo ko quá 5sv/nhà hàng</v>
      </c>
      <c r="AE41" s="23" t="str">
        <f ca="1">IFERROR(__xludf.DUMMYFUNCTION("""COMPUTED_VALUE"""),"")</f>
        <v/>
      </c>
      <c r="AF41" s="23" t="str">
        <f ca="1">IFERROR(__xludf.DUMMYFUNCTION("""COMPUTED_VALUE"""),"CHUYÊN ĐỀ")</f>
        <v>CHUYÊN ĐỀ</v>
      </c>
      <c r="AG41" s="23" t="str">
        <f ca="1">IFERROR(__xludf.DUMMYFUNCTION("""COMPUTED_VALUE"""),"Trần Thị Mỹ Linh")</f>
        <v>Trần Thị Mỹ Linh</v>
      </c>
    </row>
    <row r="42" spans="1:33" ht="12.75" x14ac:dyDescent="0.2">
      <c r="A42" s="26">
        <f ca="1">IFERROR(__xludf.DUMMYFUNCTION("""COMPUTED_VALUE"""),45668.839027581)</f>
        <v>45668.839027581002</v>
      </c>
      <c r="B42" s="23" t="str">
        <f ca="1">IFERROR(__xludf.DUMMYFUNCTION("""COMPUTED_VALUE"""),"luongthiminhtam9@gmail.com")</f>
        <v>luongthiminhtam9@gmail.com</v>
      </c>
      <c r="C42" s="23">
        <f ca="1">IFERROR(__xludf.DUMMYFUNCTION("""COMPUTED_VALUE"""),27203449750)</f>
        <v>27203449750</v>
      </c>
      <c r="D42" s="23" t="str">
        <f ca="1">IFERROR(__xludf.DUMMYFUNCTION("""COMPUTED_VALUE"""),"Lương Thị Minh Tâm ")</f>
        <v xml:space="preserve">Lương Thị Minh Tâm </v>
      </c>
      <c r="E42" s="27">
        <f ca="1">IFERROR(__xludf.DUMMYFUNCTION("""COMPUTED_VALUE"""),37856)</f>
        <v>37856</v>
      </c>
      <c r="F42" s="23" t="str">
        <f ca="1">IFERROR(__xludf.DUMMYFUNCTION("""COMPUTED_VALUE"""),"K27DLK7 ")</f>
        <v xml:space="preserve">K27DLK7 </v>
      </c>
      <c r="G42" s="23" t="str">
        <f ca="1">IFERROR(__xludf.DUMMYFUNCTION("""COMPUTED_VALUE"""),"Quản trị Du lịch &amp; Khách sạn")</f>
        <v>Quản trị Du lịch &amp; Khách sạn</v>
      </c>
      <c r="H42" s="23">
        <f ca="1">IFERROR(__xludf.DUMMYFUNCTION("""COMPUTED_VALUE"""),27)</f>
        <v>27</v>
      </c>
      <c r="I42" s="23" t="str">
        <f ca="1">IFERROR(__xludf.DUMMYFUNCTION("""COMPUTED_VALUE"""),"0867775018")</f>
        <v>0867775018</v>
      </c>
      <c r="J42" s="23" t="str">
        <f ca="1">IFERROR(__xludf.DUMMYFUNCTION("""COMPUTED_VALUE"""),"Chuyên đề")</f>
        <v>Chuyên đề</v>
      </c>
      <c r="K42" s="23" t="str">
        <f ca="1">IFERROR(__xludf.DUMMYFUNCTION("""COMPUTED_VALUE"""),"Wyndham DaNang Golden Bay")</f>
        <v>Wyndham DaNang Golden Bay</v>
      </c>
      <c r="L42" s="23"/>
      <c r="M42" s="23" t="str">
        <f ca="1">IFERROR(__xludf.DUMMYFUNCTION("""COMPUTED_VALUE"""),"01 Lê Văn Duyệt, Nại Hiên Đông, Sơn Trà, thành phố Đà Nẵng")</f>
        <v>01 Lê Văn Duyệt, Nại Hiên Đông, Sơn Trà, thành phố Đà Nẵng</v>
      </c>
      <c r="N42" s="23" t="str">
        <f ca="1">IFERROR(__xludf.DUMMYFUNCTION("""COMPUTED_VALUE"""),"Thành phố Đà Nẵng ")</f>
        <v xml:space="preserve">Thành phố Đà Nẵng </v>
      </c>
      <c r="O42" s="23" t="str">
        <f ca="1">IFERROR(__xludf.DUMMYFUNCTION("""COMPUTED_VALUE"""),"Nhà hàng")</f>
        <v>Nhà hàng</v>
      </c>
      <c r="P42" s="23"/>
      <c r="Q42" s="23" t="str">
        <f ca="1">IFERROR(__xludf.DUMMYFUNCTION("""COMPUTED_VALUE"""),"07/01/2025")</f>
        <v>07/01/2025</v>
      </c>
      <c r="R42" s="23" t="str">
        <f ca="1">IFERROR(__xludf.DUMMYFUNCTION("""COMPUTED_VALUE"""),"cam kết")</f>
        <v>cam kết</v>
      </c>
      <c r="S42" s="23" t="str">
        <f ca="1">IFERROR(__xludf.DUMMYFUNCTION("""COMPUTED_VALUE"""),"Chuyên đề")</f>
        <v>Chuyên đề</v>
      </c>
      <c r="T42" s="23"/>
      <c r="U42" s="27">
        <f ca="1">IFERROR(__xludf.DUMMYFUNCTION("""COMPUTED_VALUE"""),45698)</f>
        <v>45698</v>
      </c>
      <c r="V42" s="27">
        <f ca="1">IFERROR(__xludf.DUMMYFUNCTION("""COMPUTED_VALUE"""),45787)</f>
        <v>45787</v>
      </c>
      <c r="W42" s="23">
        <f ca="1">IFERROR(__xludf.DUMMYFUNCTION("""COMPUTED_VALUE"""),41)</f>
        <v>41</v>
      </c>
      <c r="X42" s="23" t="str">
        <f ca="1">IFERROR(__xludf.DUMMYFUNCTION("""COMPUTED_VALUE"""),"14/01/2025")</f>
        <v>14/01/2025</v>
      </c>
      <c r="Y42" s="23" t="str">
        <f ca="1">IFERROR(__xludf.DUMMYFUNCTION("""COMPUTED_VALUE"""),"DUYỆT")</f>
        <v>DUYỆT</v>
      </c>
      <c r="Z42" s="23" t="str">
        <f ca="1">IFERROR(__xludf.DUMMYFUNCTION("""COMPUTED_VALUE"""),"14/01/2025")</f>
        <v>14/01/2025</v>
      </c>
      <c r="AA42" s="23" t="str">
        <f ca="1">IFERROR(__xludf.DUMMYFUNCTION("""COMPUTED_VALUE"""),"Wyndham DaNang Golden Bay")</f>
        <v>Wyndham DaNang Golden Bay</v>
      </c>
      <c r="AB42" s="23" t="str">
        <f ca="1">IFERROR(__xludf.DUMMYFUNCTION("""COMPUTED_VALUE"""),"Nhà hàng")</f>
        <v>Nhà hàng</v>
      </c>
      <c r="AC42" s="23"/>
      <c r="AD42" s="23" t="str">
        <f ca="1">IFERROR(__xludf.DUMMYFUNCTION("""COMPUTED_VALUE"""),"sv phải đám bảo ko quá 5sv/nhà hàng")</f>
        <v>sv phải đám bảo ko quá 5sv/nhà hàng</v>
      </c>
      <c r="AE42" s="23" t="str">
        <f ca="1">IFERROR(__xludf.DUMMYFUNCTION("""COMPUTED_VALUE"""),"")</f>
        <v/>
      </c>
      <c r="AF42" s="23" t="str">
        <f ca="1">IFERROR(__xludf.DUMMYFUNCTION("""COMPUTED_VALUE"""),"CHUYÊN ĐỀ")</f>
        <v>CHUYÊN ĐỀ</v>
      </c>
      <c r="AG42" s="23" t="str">
        <f ca="1">IFERROR(__xludf.DUMMYFUNCTION("""COMPUTED_VALUE"""),"Trần Thị Mỹ Linh")</f>
        <v>Trần Thị Mỹ Linh</v>
      </c>
    </row>
    <row r="43" spans="1:33" ht="12.75" x14ac:dyDescent="0.2">
      <c r="A43" s="26">
        <f ca="1">IFERROR(__xludf.DUMMYFUNCTION("""COMPUTED_VALUE"""),45668.8675076273)</f>
        <v>45668.867507627299</v>
      </c>
      <c r="B43" s="23" t="str">
        <f ca="1">IFERROR(__xludf.DUMMYFUNCTION("""COMPUTED_VALUE"""),"Tranthithanhle2003@gmail.com")</f>
        <v>Tranthithanhle2003@gmail.com</v>
      </c>
      <c r="C43" s="23">
        <f ca="1">IFERROR(__xludf.DUMMYFUNCTION("""COMPUTED_VALUE"""),27207123321)</f>
        <v>27207123321</v>
      </c>
      <c r="D43" s="23" t="str">
        <f ca="1">IFERROR(__xludf.DUMMYFUNCTION("""COMPUTED_VALUE"""),"Trần Thị Thanh Lê")</f>
        <v>Trần Thị Thanh Lê</v>
      </c>
      <c r="E43" s="27">
        <f ca="1">IFERROR(__xludf.DUMMYFUNCTION("""COMPUTED_VALUE"""),37666)</f>
        <v>37666</v>
      </c>
      <c r="F43" s="23" t="str">
        <f ca="1">IFERROR(__xludf.DUMMYFUNCTION("""COMPUTED_VALUE"""),"K27DLK1")</f>
        <v>K27DLK1</v>
      </c>
      <c r="G43" s="23" t="str">
        <f ca="1">IFERROR(__xludf.DUMMYFUNCTION("""COMPUTED_VALUE"""),"Quản trị Du lịch &amp; Khách sạn")</f>
        <v>Quản trị Du lịch &amp; Khách sạn</v>
      </c>
      <c r="H43" s="23">
        <f ca="1">IFERROR(__xludf.DUMMYFUNCTION("""COMPUTED_VALUE"""),27)</f>
        <v>27</v>
      </c>
      <c r="I43" s="23" t="str">
        <f ca="1">IFERROR(__xludf.DUMMYFUNCTION("""COMPUTED_VALUE"""),"0388924829")</f>
        <v>0388924829</v>
      </c>
      <c r="J43" s="23" t="str">
        <f ca="1">IFERROR(__xludf.DUMMYFUNCTION("""COMPUTED_VALUE"""),"Chuyên đề")</f>
        <v>Chuyên đề</v>
      </c>
      <c r="K43" s="23" t="str">
        <f ca="1">IFERROR(__xludf.DUMMYFUNCTION("""COMPUTED_VALUE"""),"Wyndham DaNang Golden Bay")</f>
        <v>Wyndham DaNang Golden Bay</v>
      </c>
      <c r="L43" s="23"/>
      <c r="M43" s="23" t="str">
        <f ca="1">IFERROR(__xludf.DUMMYFUNCTION("""COMPUTED_VALUE"""),"01 Lê Văn Duyệt, Nại Hiên Đông, Sơn Trà ")</f>
        <v xml:space="preserve">01 Lê Văn Duyệt, Nại Hiên Đông, Sơn Trà </v>
      </c>
      <c r="N43" s="23" t="str">
        <f ca="1">IFERROR(__xludf.DUMMYFUNCTION("""COMPUTED_VALUE"""),"Đà Nẵng ")</f>
        <v xml:space="preserve">Đà Nẵng </v>
      </c>
      <c r="O43" s="23" t="str">
        <f ca="1">IFERROR(__xludf.DUMMYFUNCTION("""COMPUTED_VALUE"""),"Buồng phòng")</f>
        <v>Buồng phòng</v>
      </c>
      <c r="P43" s="23"/>
      <c r="Q43" s="23" t="str">
        <f ca="1">IFERROR(__xludf.DUMMYFUNCTION("""COMPUTED_VALUE"""),"07/01/2025")</f>
        <v>07/01/2025</v>
      </c>
      <c r="R43" s="23" t="str">
        <f ca="1">IFERROR(__xludf.DUMMYFUNCTION("""COMPUTED_VALUE"""),"cam kết")</f>
        <v>cam kết</v>
      </c>
      <c r="S43" s="23" t="str">
        <f ca="1">IFERROR(__xludf.DUMMYFUNCTION("""COMPUTED_VALUE"""),"Chuyên đề")</f>
        <v>Chuyên đề</v>
      </c>
      <c r="T43" s="23"/>
      <c r="U43" s="27">
        <f ca="1">IFERROR(__xludf.DUMMYFUNCTION("""COMPUTED_VALUE"""),45698)</f>
        <v>45698</v>
      </c>
      <c r="V43" s="27">
        <f ca="1">IFERROR(__xludf.DUMMYFUNCTION("""COMPUTED_VALUE"""),45787)</f>
        <v>45787</v>
      </c>
      <c r="W43" s="23">
        <f ca="1">IFERROR(__xludf.DUMMYFUNCTION("""COMPUTED_VALUE"""),42)</f>
        <v>42</v>
      </c>
      <c r="X43" s="23" t="str">
        <f ca="1">IFERROR(__xludf.DUMMYFUNCTION("""COMPUTED_VALUE"""),"14/01/2025")</f>
        <v>14/01/2025</v>
      </c>
      <c r="Y43" s="23" t="str">
        <f ca="1">IFERROR(__xludf.DUMMYFUNCTION("""COMPUTED_VALUE"""),"DUYỆT")</f>
        <v>DUYỆT</v>
      </c>
      <c r="Z43" s="23" t="str">
        <f ca="1">IFERROR(__xludf.DUMMYFUNCTION("""COMPUTED_VALUE"""),"14/01/2025")</f>
        <v>14/01/2025</v>
      </c>
      <c r="AA43" s="23" t="str">
        <f ca="1">IFERROR(__xludf.DUMMYFUNCTION("""COMPUTED_VALUE"""),"Wyndham DaNang Golden Bay")</f>
        <v>Wyndham DaNang Golden Bay</v>
      </c>
      <c r="AB43" s="23" t="str">
        <f ca="1">IFERROR(__xludf.DUMMYFUNCTION("""COMPUTED_VALUE"""),"Buồng phòng")</f>
        <v>Buồng phòng</v>
      </c>
      <c r="AC43" s="23"/>
      <c r="AD43" s="23"/>
      <c r="AE43" s="23" t="str">
        <f ca="1">IFERROR(__xludf.DUMMYFUNCTION("""COMPUTED_VALUE"""),"")</f>
        <v/>
      </c>
      <c r="AF43" s="23" t="str">
        <f ca="1">IFERROR(__xludf.DUMMYFUNCTION("""COMPUTED_VALUE"""),"CHUYÊN ĐỀ")</f>
        <v>CHUYÊN ĐỀ</v>
      </c>
      <c r="AG43" s="23" t="str">
        <f ca="1">IFERROR(__xludf.DUMMYFUNCTION("""COMPUTED_VALUE"""),"Trịnh Thị Kim Chung")</f>
        <v>Trịnh Thị Kim Chung</v>
      </c>
    </row>
    <row r="44" spans="1:33" ht="12.75" x14ac:dyDescent="0.2">
      <c r="A44" s="26">
        <f ca="1">IFERROR(__xludf.DUMMYFUNCTION("""COMPUTED_VALUE"""),45672.759032199)</f>
        <v>45672.759032198999</v>
      </c>
      <c r="B44" s="23" t="str">
        <f ca="1">IFERROR(__xludf.DUMMYFUNCTION("""COMPUTED_VALUE"""),"nguyendangkhoa2102@gmail.com")</f>
        <v>nguyendangkhoa2102@gmail.com</v>
      </c>
      <c r="C44" s="23">
        <f ca="1">IFERROR(__xludf.DUMMYFUNCTION("""COMPUTED_VALUE"""),27213445193)</f>
        <v>27213445193</v>
      </c>
      <c r="D44" s="23" t="str">
        <f ca="1">IFERROR(__xludf.DUMMYFUNCTION("""COMPUTED_VALUE"""),"Nguyễn Đăng Khoa")</f>
        <v>Nguyễn Đăng Khoa</v>
      </c>
      <c r="E44" s="27">
        <f ca="1">IFERROR(__xludf.DUMMYFUNCTION("""COMPUTED_VALUE"""),37673)</f>
        <v>37673</v>
      </c>
      <c r="F44" s="23" t="str">
        <f ca="1">IFERROR(__xludf.DUMMYFUNCTION("""COMPUTED_VALUE"""),"K27PSUDLK 1")</f>
        <v>K27PSUDLK 1</v>
      </c>
      <c r="G44" s="23" t="str">
        <f ca="1">IFERROR(__xludf.DUMMYFUNCTION("""COMPUTED_VALUE"""),"Quản trị Du lịch &amp; Khách sạn chuẩn PSU")</f>
        <v>Quản trị Du lịch &amp; Khách sạn chuẩn PSU</v>
      </c>
      <c r="H44" s="23">
        <f ca="1">IFERROR(__xludf.DUMMYFUNCTION("""COMPUTED_VALUE"""),27)</f>
        <v>27</v>
      </c>
      <c r="I44" s="23" t="str">
        <f ca="1">IFERROR(__xludf.DUMMYFUNCTION("""COMPUTED_VALUE"""),"0346822472")</f>
        <v>0346822472</v>
      </c>
      <c r="J44" s="23" t="str">
        <f ca="1">IFERROR(__xludf.DUMMYFUNCTION("""COMPUTED_VALUE"""),"Chuyên đề")</f>
        <v>Chuyên đề</v>
      </c>
      <c r="K44" s="23" t="str">
        <f ca="1">IFERROR(__xludf.DUMMYFUNCTION("""COMPUTED_VALUE"""),"Hyatt regency DaNang Resort")</f>
        <v>Hyatt regency DaNang Resort</v>
      </c>
      <c r="L44" s="23"/>
      <c r="M44" s="23" t="str">
        <f ca="1">IFERROR(__xludf.DUMMYFUNCTION("""COMPUTED_VALUE"""),"05 Trường Sa, Ngũ Hành Sơn, Đà Nẵng")</f>
        <v>05 Trường Sa, Ngũ Hành Sơn, Đà Nẵng</v>
      </c>
      <c r="N44" s="23" t="str">
        <f ca="1">IFERROR(__xludf.DUMMYFUNCTION("""COMPUTED_VALUE"""),"Đà Nẵng")</f>
        <v>Đà Nẵng</v>
      </c>
      <c r="O44" s="23" t="str">
        <f ca="1">IFERROR(__xludf.DUMMYFUNCTION("""COMPUTED_VALUE"""),"Tiền sảnh")</f>
        <v>Tiền sảnh</v>
      </c>
      <c r="P44" s="23"/>
      <c r="Q44" s="23" t="str">
        <f ca="1">IFERROR(__xludf.DUMMYFUNCTION("""COMPUTED_VALUE"""),"16/01/2025")</f>
        <v>16/01/2025</v>
      </c>
      <c r="R44" s="23" t="str">
        <f ca="1">IFERROR(__xludf.DUMMYFUNCTION("""COMPUTED_VALUE"""),"cam kết")</f>
        <v>cam kết</v>
      </c>
      <c r="S44" s="23" t="str">
        <f ca="1">IFERROR(__xludf.DUMMYFUNCTION("""COMPUTED_VALUE"""),"Chuyên đề")</f>
        <v>Chuyên đề</v>
      </c>
      <c r="T44" s="23"/>
      <c r="U44" s="27">
        <f ca="1">IFERROR(__xludf.DUMMYFUNCTION("""COMPUTED_VALUE"""),45691)</f>
        <v>45691</v>
      </c>
      <c r="V44" s="27">
        <f ca="1">IFERROR(__xludf.DUMMYFUNCTION("""COMPUTED_VALUE"""),45780)</f>
        <v>45780</v>
      </c>
      <c r="W44" s="23">
        <f ca="1">IFERROR(__xludf.DUMMYFUNCTION("""COMPUTED_VALUE"""),43)</f>
        <v>43</v>
      </c>
      <c r="X44" s="23" t="str">
        <f ca="1">IFERROR(__xludf.DUMMYFUNCTION("""COMPUTED_VALUE"""),"18/01/2025")</f>
        <v>18/01/2025</v>
      </c>
      <c r="Y44" s="23" t="str">
        <f ca="1">IFERROR(__xludf.DUMMYFUNCTION("""COMPUTED_VALUE"""),"DUYỆT")</f>
        <v>DUYỆT</v>
      </c>
      <c r="Z44" s="23" t="str">
        <f ca="1">IFERROR(__xludf.DUMMYFUNCTION("""COMPUTED_VALUE"""),"14/01/2025")</f>
        <v>14/01/2025</v>
      </c>
      <c r="AA44" s="23" t="str">
        <f ca="1">IFERROR(__xludf.DUMMYFUNCTION("""COMPUTED_VALUE"""),"Hyatt regency DaNang Resort")</f>
        <v>Hyatt regency DaNang Resort</v>
      </c>
      <c r="AB44" s="23" t="str">
        <f ca="1">IFERROR(__xludf.DUMMYFUNCTION("""COMPUTED_VALUE"""),"Tiền sảnh")</f>
        <v>Tiền sảnh</v>
      </c>
      <c r="AC44" s="23"/>
      <c r="AD44" s="23"/>
      <c r="AE44" s="23" t="str">
        <f ca="1">IFERROR(__xludf.DUMMYFUNCTION("""COMPUTED_VALUE"""),"")</f>
        <v/>
      </c>
      <c r="AF44" s="23" t="str">
        <f ca="1">IFERROR(__xludf.DUMMYFUNCTION("""COMPUTED_VALUE"""),"CHUYÊN ĐỀ")</f>
        <v>CHUYÊN ĐỀ</v>
      </c>
      <c r="AG44" s="23" t="str">
        <f ca="1">IFERROR(__xludf.DUMMYFUNCTION("""COMPUTED_VALUE"""),"Mai Thị Thương")</f>
        <v>Mai Thị Thương</v>
      </c>
    </row>
    <row r="45" spans="1:33" ht="12.75" x14ac:dyDescent="0.2">
      <c r="A45" s="26">
        <f ca="1">IFERROR(__xludf.DUMMYFUNCTION("""COMPUTED_VALUE"""),45671.414110081)</f>
        <v>45671.414110081001</v>
      </c>
      <c r="B45" s="23" t="str">
        <f ca="1">IFERROR(__xludf.DUMMYFUNCTION("""COMPUTED_VALUE"""),"htthuyvy179@gmail.com")</f>
        <v>htthuyvy179@gmail.com</v>
      </c>
      <c r="C45" s="23">
        <f ca="1">IFERROR(__xludf.DUMMYFUNCTION("""COMPUTED_VALUE"""),27217133738)</f>
        <v>27217133738</v>
      </c>
      <c r="D45" s="23" t="str">
        <f ca="1">IFERROR(__xludf.DUMMYFUNCTION("""COMPUTED_VALUE"""),"Hoàng Trần Thuý Vy")</f>
        <v>Hoàng Trần Thuý Vy</v>
      </c>
      <c r="E45" s="27">
        <f ca="1">IFERROR(__xludf.DUMMYFUNCTION("""COMPUTED_VALUE"""),37881)</f>
        <v>37881</v>
      </c>
      <c r="F45" s="23" t="str">
        <f ca="1">IFERROR(__xludf.DUMMYFUNCTION("""COMPUTED_VALUE"""),"K27DLK1")</f>
        <v>K27DLK1</v>
      </c>
      <c r="G45" s="23" t="str">
        <f ca="1">IFERROR(__xludf.DUMMYFUNCTION("""COMPUTED_VALUE"""),"Quản trị Du lịch &amp; Khách sạn")</f>
        <v>Quản trị Du lịch &amp; Khách sạn</v>
      </c>
      <c r="H45" s="23">
        <f ca="1">IFERROR(__xludf.DUMMYFUNCTION("""COMPUTED_VALUE"""),27)</f>
        <v>27</v>
      </c>
      <c r="I45" s="23" t="str">
        <f ca="1">IFERROR(__xludf.DUMMYFUNCTION("""COMPUTED_VALUE"""),"0795579551")</f>
        <v>0795579551</v>
      </c>
      <c r="J45" s="23" t="str">
        <f ca="1">IFERROR(__xludf.DUMMYFUNCTION("""COMPUTED_VALUE"""),"Chuyên đề")</f>
        <v>Chuyên đề</v>
      </c>
      <c r="K45" s="23" t="str">
        <f ca="1">IFERROR(__xludf.DUMMYFUNCTION("""COMPUTED_VALUE"""),"Hyatt regency DaNang Resort")</f>
        <v>Hyatt regency DaNang Resort</v>
      </c>
      <c r="L45" s="23"/>
      <c r="M45" s="23" t="str">
        <f ca="1">IFERROR(__xludf.DUMMYFUNCTION("""COMPUTED_VALUE"""),"05 Trường Sa, Hoà Hải, Ngũ Hành Sơn, TP. Đà Nẵng")</f>
        <v>05 Trường Sa, Hoà Hải, Ngũ Hành Sơn, TP. Đà Nẵng</v>
      </c>
      <c r="N45" s="23" t="str">
        <f ca="1">IFERROR(__xludf.DUMMYFUNCTION("""COMPUTED_VALUE"""),"Đà Nẵng")</f>
        <v>Đà Nẵng</v>
      </c>
      <c r="O45" s="23" t="str">
        <f ca="1">IFERROR(__xludf.DUMMYFUNCTION("""COMPUTED_VALUE"""),"Nhà hàng")</f>
        <v>Nhà hàng</v>
      </c>
      <c r="P45" s="23"/>
      <c r="Q45" s="23" t="str">
        <f ca="1">IFERROR(__xludf.DUMMYFUNCTION("""COMPUTED_VALUE"""),"14/1/2025")</f>
        <v>14/1/2025</v>
      </c>
      <c r="R45" s="23" t="str">
        <f ca="1">IFERROR(__xludf.DUMMYFUNCTION("""COMPUTED_VALUE"""),"cam kết")</f>
        <v>cam kết</v>
      </c>
      <c r="S45" s="23" t="str">
        <f ca="1">IFERROR(__xludf.DUMMYFUNCTION("""COMPUTED_VALUE"""),"Chuyên đề")</f>
        <v>Chuyên đề</v>
      </c>
      <c r="T45" s="23" t="str">
        <f ca="1">IFERROR(__xludf.DUMMYFUNCTION("""COMPUTED_VALUE"""),"Phạm Thị Thu Thủy")</f>
        <v>Phạm Thị Thu Thủy</v>
      </c>
      <c r="U45" s="27">
        <f ca="1">IFERROR(__xludf.DUMMYFUNCTION("""COMPUTED_VALUE"""),45325)</f>
        <v>45325</v>
      </c>
      <c r="V45" s="27">
        <f ca="1">IFERROR(__xludf.DUMMYFUNCTION("""COMPUTED_VALUE"""),45780)</f>
        <v>45780</v>
      </c>
      <c r="W45" s="23">
        <f ca="1">IFERROR(__xludf.DUMMYFUNCTION("""COMPUTED_VALUE"""),44)</f>
        <v>44</v>
      </c>
      <c r="X45" s="23" t="str">
        <f ca="1">IFERROR(__xludf.DUMMYFUNCTION("""COMPUTED_VALUE"""),"14/01/2025")</f>
        <v>14/01/2025</v>
      </c>
      <c r="Y45" s="23" t="str">
        <f ca="1">IFERROR(__xludf.DUMMYFUNCTION("""COMPUTED_VALUE"""),"DUYỆT")</f>
        <v>DUYỆT</v>
      </c>
      <c r="Z45" s="23" t="str">
        <f ca="1">IFERROR(__xludf.DUMMYFUNCTION("""COMPUTED_VALUE"""),"14/01/2025")</f>
        <v>14/01/2025</v>
      </c>
      <c r="AA45" s="23" t="str">
        <f ca="1">IFERROR(__xludf.DUMMYFUNCTION("""COMPUTED_VALUE"""),"Hyatt regency DaNang Resort")</f>
        <v>Hyatt regency DaNang Resort</v>
      </c>
      <c r="AB45" s="23" t="str">
        <f ca="1">IFERROR(__xludf.DUMMYFUNCTION("""COMPUTED_VALUE"""),"Nhà hàng")</f>
        <v>Nhà hàng</v>
      </c>
      <c r="AC45" s="23"/>
      <c r="AD45" s="23" t="str">
        <f ca="1">IFERROR(__xludf.DUMMYFUNCTION("""COMPUTED_VALUE"""),"SV phải đảm bảo không thực tập quá 5sv/nhà hàng")</f>
        <v>SV phải đảm bảo không thực tập quá 5sv/nhà hàng</v>
      </c>
      <c r="AE45" s="23" t="str">
        <f ca="1">IFERROR(__xludf.DUMMYFUNCTION("""COMPUTED_VALUE"""),"")</f>
        <v/>
      </c>
      <c r="AF45" s="23" t="str">
        <f ca="1">IFERROR(__xludf.DUMMYFUNCTION("""COMPUTED_VALUE"""),"CHUYÊN ĐỀ")</f>
        <v>CHUYÊN ĐỀ</v>
      </c>
      <c r="AG45" s="23" t="str">
        <f ca="1">IFERROR(__xludf.DUMMYFUNCTION("""COMPUTED_VALUE"""),"Trần Hoàng Anh")</f>
        <v>Trần Hoàng Anh</v>
      </c>
    </row>
    <row r="46" spans="1:33" ht="12.75" x14ac:dyDescent="0.2">
      <c r="A46" s="26">
        <f ca="1">IFERROR(__xludf.DUMMYFUNCTION("""COMPUTED_VALUE"""),45670.5013623842)</f>
        <v>45670.501362384202</v>
      </c>
      <c r="B46" s="23" t="str">
        <f ca="1">IFERROR(__xludf.DUMMYFUNCTION("""COMPUTED_VALUE"""),"thanhngan0705qng@gmail.com")</f>
        <v>thanhngan0705qng@gmail.com</v>
      </c>
      <c r="C46" s="23">
        <f ca="1">IFERROR(__xludf.DUMMYFUNCTION("""COMPUTED_VALUE"""),27207140181)</f>
        <v>27207140181</v>
      </c>
      <c r="D46" s="23" t="str">
        <f ca="1">IFERROR(__xludf.DUMMYFUNCTION("""COMPUTED_VALUE"""),"Bùi Phạm Thanh Ngân")</f>
        <v>Bùi Phạm Thanh Ngân</v>
      </c>
      <c r="E46" s="27">
        <f ca="1">IFERROR(__xludf.DUMMYFUNCTION("""COMPUTED_VALUE"""),37748)</f>
        <v>37748</v>
      </c>
      <c r="F46" s="23" t="str">
        <f ca="1">IFERROR(__xludf.DUMMYFUNCTION("""COMPUTED_VALUE"""),"K27DLK2")</f>
        <v>K27DLK2</v>
      </c>
      <c r="G46" s="23" t="str">
        <f ca="1">IFERROR(__xludf.DUMMYFUNCTION("""COMPUTED_VALUE"""),"Quản trị Du lịch &amp; Khách sạn")</f>
        <v>Quản trị Du lịch &amp; Khách sạn</v>
      </c>
      <c r="H46" s="23">
        <f ca="1">IFERROR(__xludf.DUMMYFUNCTION("""COMPUTED_VALUE"""),27)</f>
        <v>27</v>
      </c>
      <c r="I46" s="23" t="str">
        <f ca="1">IFERROR(__xludf.DUMMYFUNCTION("""COMPUTED_VALUE"""),"0986348276")</f>
        <v>0986348276</v>
      </c>
      <c r="J46" s="23" t="str">
        <f ca="1">IFERROR(__xludf.DUMMYFUNCTION("""COMPUTED_VALUE"""),"Chuyên đề")</f>
        <v>Chuyên đề</v>
      </c>
      <c r="K46" s="23" t="str">
        <f ca="1">IFERROR(__xludf.DUMMYFUNCTION("""COMPUTED_VALUE"""),"Wyndham DaNang Golden Bay")</f>
        <v>Wyndham DaNang Golden Bay</v>
      </c>
      <c r="L46" s="23"/>
      <c r="M46" s="23" t="str">
        <f ca="1">IFERROR(__xludf.DUMMYFUNCTION("""COMPUTED_VALUE"""),"01 Lê Văn Duyệt , Phường Nại Hiên Đông , Quận Sơn Trà , TP Đà Nẵng")</f>
        <v>01 Lê Văn Duyệt , Phường Nại Hiên Đông , Quận Sơn Trà , TP Đà Nẵng</v>
      </c>
      <c r="N46" s="23" t="str">
        <f ca="1">IFERROR(__xludf.DUMMYFUNCTION("""COMPUTED_VALUE"""),"Thành Phố Đà Nẵng")</f>
        <v>Thành Phố Đà Nẵng</v>
      </c>
      <c r="O46" s="23" t="str">
        <f ca="1">IFERROR(__xludf.DUMMYFUNCTION("""COMPUTED_VALUE"""),"Buồng phòng")</f>
        <v>Buồng phòng</v>
      </c>
      <c r="P46" s="23"/>
      <c r="Q46" s="23" t="str">
        <f ca="1">IFERROR(__xludf.DUMMYFUNCTION("""COMPUTED_VALUE"""),"13/01/2025")</f>
        <v>13/01/2025</v>
      </c>
      <c r="R46" s="23" t="str">
        <f ca="1">IFERROR(__xludf.DUMMYFUNCTION("""COMPUTED_VALUE"""),"cam kết")</f>
        <v>cam kết</v>
      </c>
      <c r="S46" s="23" t="str">
        <f ca="1">IFERROR(__xludf.DUMMYFUNCTION("""COMPUTED_VALUE"""),"Chuyên đề")</f>
        <v>Chuyên đề</v>
      </c>
      <c r="T46" s="23"/>
      <c r="U46" s="27">
        <f ca="1">IFERROR(__xludf.DUMMYFUNCTION("""COMPUTED_VALUE"""),45698)</f>
        <v>45698</v>
      </c>
      <c r="V46" s="27">
        <f ca="1">IFERROR(__xludf.DUMMYFUNCTION("""COMPUTED_VALUE"""),45787)</f>
        <v>45787</v>
      </c>
      <c r="W46" s="23">
        <f ca="1">IFERROR(__xludf.DUMMYFUNCTION("""COMPUTED_VALUE"""),45)</f>
        <v>45</v>
      </c>
      <c r="X46" s="23" t="str">
        <f ca="1">IFERROR(__xludf.DUMMYFUNCTION("""COMPUTED_VALUE"""),"14/01/2025")</f>
        <v>14/01/2025</v>
      </c>
      <c r="Y46" s="23" t="str">
        <f ca="1">IFERROR(__xludf.DUMMYFUNCTION("""COMPUTED_VALUE"""),"DUYỆT")</f>
        <v>DUYỆT</v>
      </c>
      <c r="Z46" s="23" t="str">
        <f ca="1">IFERROR(__xludf.DUMMYFUNCTION("""COMPUTED_VALUE"""),"14/01/2025")</f>
        <v>14/01/2025</v>
      </c>
      <c r="AA46" s="23" t="str">
        <f ca="1">IFERROR(__xludf.DUMMYFUNCTION("""COMPUTED_VALUE"""),"Wyndham DaNang Golden Bay")</f>
        <v>Wyndham DaNang Golden Bay</v>
      </c>
      <c r="AB46" s="23" t="str">
        <f ca="1">IFERROR(__xludf.DUMMYFUNCTION("""COMPUTED_VALUE"""),"Buồng phòng")</f>
        <v>Buồng phòng</v>
      </c>
      <c r="AC46" s="23"/>
      <c r="AD46" s="23"/>
      <c r="AE46" s="23" t="str">
        <f ca="1">IFERROR(__xludf.DUMMYFUNCTION("""COMPUTED_VALUE"""),"")</f>
        <v/>
      </c>
      <c r="AF46" s="23" t="str">
        <f ca="1">IFERROR(__xludf.DUMMYFUNCTION("""COMPUTED_VALUE"""),"CHUYÊN ĐỀ")</f>
        <v>CHUYÊN ĐỀ</v>
      </c>
      <c r="AG46" s="23" t="str">
        <f ca="1">IFERROR(__xludf.DUMMYFUNCTION("""COMPUTED_VALUE"""),"Trịnh Thị Kim Chung")</f>
        <v>Trịnh Thị Kim Chung</v>
      </c>
    </row>
    <row r="47" spans="1:33" ht="12.75" x14ac:dyDescent="0.2">
      <c r="A47" s="26">
        <f ca="1">IFERROR(__xludf.DUMMYFUNCTION("""COMPUTED_VALUE"""),45695.8503566435)</f>
        <v>45695.850356643503</v>
      </c>
      <c r="B47" s="23" t="str">
        <f ca="1">IFERROR(__xludf.DUMMYFUNCTION("""COMPUTED_VALUE"""),"vtkhanhlinh1901@gmail.com")</f>
        <v>vtkhanhlinh1901@gmail.com</v>
      </c>
      <c r="C47" s="23">
        <f ca="1">IFERROR(__xludf.DUMMYFUNCTION("""COMPUTED_VALUE"""),27207100571)</f>
        <v>27207100571</v>
      </c>
      <c r="D47" s="23" t="str">
        <f ca="1">IFERROR(__xludf.DUMMYFUNCTION("""COMPUTED_VALUE"""),"Vũ Thị Khánh Linh")</f>
        <v>Vũ Thị Khánh Linh</v>
      </c>
      <c r="E47" s="27">
        <f ca="1">IFERROR(__xludf.DUMMYFUNCTION("""COMPUTED_VALUE"""),37640)</f>
        <v>37640</v>
      </c>
      <c r="F47" s="23" t="str">
        <f ca="1">IFERROR(__xludf.DUMMYFUNCTION("""COMPUTED_VALUE"""),"K27PSU-DLK1")</f>
        <v>K27PSU-DLK1</v>
      </c>
      <c r="G47" s="23" t="str">
        <f ca="1">IFERROR(__xludf.DUMMYFUNCTION("""COMPUTED_VALUE"""),"Quản trị Du lịch &amp; Khách sạn chuẩn PSU")</f>
        <v>Quản trị Du lịch &amp; Khách sạn chuẩn PSU</v>
      </c>
      <c r="H47" s="23">
        <f ca="1">IFERROR(__xludf.DUMMYFUNCTION("""COMPUTED_VALUE"""),27)</f>
        <v>27</v>
      </c>
      <c r="I47" s="23" t="str">
        <f ca="1">IFERROR(__xludf.DUMMYFUNCTION("""COMPUTED_VALUE"""),"0905023211")</f>
        <v>0905023211</v>
      </c>
      <c r="J47" s="23" t="str">
        <f ca="1">IFERROR(__xludf.DUMMYFUNCTION("""COMPUTED_VALUE"""),"Chuyên đề")</f>
        <v>Chuyên đề</v>
      </c>
      <c r="K47" s="23" t="str">
        <f ca="1">IFERROR(__xludf.DUMMYFUNCTION("""COMPUTED_VALUE"""),"khách sạn khác")</f>
        <v>khách sạn khác</v>
      </c>
      <c r="L47" s="23" t="str">
        <f ca="1">IFERROR(__xludf.DUMMYFUNCTION("""COMPUTED_VALUE"""),"Meliá Danang Beach Resort")</f>
        <v>Meliá Danang Beach Resort</v>
      </c>
      <c r="M47" s="23" t="str">
        <f ca="1">IFERROR(__xludf.DUMMYFUNCTION("""COMPUTED_VALUE"""),"19 Trường Sa, Hải Hoà, Ngũ Hành Sơn, Đà Nẵng")</f>
        <v>19 Trường Sa, Hải Hoà, Ngũ Hành Sơn, Đà Nẵng</v>
      </c>
      <c r="N47" s="23" t="str">
        <f ca="1">IFERROR(__xludf.DUMMYFUNCTION("""COMPUTED_VALUE"""),"Đà Nẵng")</f>
        <v>Đà Nẵng</v>
      </c>
      <c r="O47" s="23" t="str">
        <f ca="1">IFERROR(__xludf.DUMMYFUNCTION("""COMPUTED_VALUE"""),"Nhà hàng")</f>
        <v>Nhà hàng</v>
      </c>
      <c r="P47" s="23"/>
      <c r="Q47" s="23" t="str">
        <f ca="1">IFERROR(__xludf.DUMMYFUNCTION("""COMPUTED_VALUE"""),"10/02/2025")</f>
        <v>10/02/2025</v>
      </c>
      <c r="R47" s="23" t="str">
        <f ca="1">IFERROR(__xludf.DUMMYFUNCTION("""COMPUTED_VALUE"""),"cam kết")</f>
        <v>cam kết</v>
      </c>
      <c r="S47" s="23" t="str">
        <f ca="1">IFERROR(__xludf.DUMMYFUNCTION("""COMPUTED_VALUE"""),"Chuyên đề")</f>
        <v>Chuyên đề</v>
      </c>
      <c r="T47" s="23"/>
      <c r="U47" s="27">
        <f ca="1">IFERROR(__xludf.DUMMYFUNCTION("""COMPUTED_VALUE"""),45698)</f>
        <v>45698</v>
      </c>
      <c r="V47" s="27">
        <f ca="1">IFERROR(__xludf.DUMMYFUNCTION("""COMPUTED_VALUE"""),45787)</f>
        <v>45787</v>
      </c>
      <c r="W47" s="23">
        <f ca="1">IFERROR(__xludf.DUMMYFUNCTION("""COMPUTED_VALUE"""),46)</f>
        <v>46</v>
      </c>
      <c r="X47" s="28">
        <f ca="1">IFERROR(__xludf.DUMMYFUNCTION("""COMPUTED_VALUE"""),45963)</f>
        <v>45963</v>
      </c>
      <c r="Y47" s="23" t="str">
        <f ca="1">IFERROR(__xludf.DUMMYFUNCTION("""COMPUTED_VALUE"""),"DUYỆT")</f>
        <v>DUYỆT</v>
      </c>
      <c r="Z47" s="23" t="str">
        <f ca="1">IFERROR(__xludf.DUMMYFUNCTION("""COMPUTED_VALUE"""),"18/01/2025")</f>
        <v>18/01/2025</v>
      </c>
      <c r="AA47" s="23" t="str">
        <f ca="1">IFERROR(__xludf.DUMMYFUNCTION("""COMPUTED_VALUE"""),"Meliá Danang Beach Resort")</f>
        <v>Meliá Danang Beach Resort</v>
      </c>
      <c r="AB47" s="23" t="str">
        <f ca="1">IFERROR(__xludf.DUMMYFUNCTION("""COMPUTED_VALUE"""),"Nhà hàng")</f>
        <v>Nhà hàng</v>
      </c>
      <c r="AC47" s="23"/>
      <c r="AD47" s="23"/>
      <c r="AE47" s="23" t="str">
        <f ca="1">IFERROR(__xludf.DUMMYFUNCTION("""COMPUTED_VALUE"""),"")</f>
        <v/>
      </c>
      <c r="AF47" s="23" t="str">
        <f ca="1">IFERROR(__xludf.DUMMYFUNCTION("""COMPUTED_VALUE"""),"CHUYÊN ĐỀ")</f>
        <v>CHUYÊN ĐỀ</v>
      </c>
      <c r="AG47" s="23" t="str">
        <f ca="1">IFERROR(__xludf.DUMMYFUNCTION("""COMPUTED_VALUE"""),"Ngô Thị Thanh Nga")</f>
        <v>Ngô Thị Thanh Nga</v>
      </c>
    </row>
    <row r="48" spans="1:33" ht="12.75" x14ac:dyDescent="0.2">
      <c r="A48" s="26">
        <f ca="1">IFERROR(__xludf.DUMMYFUNCTION("""COMPUTED_VALUE"""),45670.7619219328)</f>
        <v>45670.761921932797</v>
      </c>
      <c r="B48" s="23" t="str">
        <f ca="1">IFERROR(__xludf.DUMMYFUNCTION("""COMPUTED_VALUE"""),"myduyen420592@gmail.com")</f>
        <v>myduyen420592@gmail.com</v>
      </c>
      <c r="C48" s="23">
        <f ca="1">IFERROR(__xludf.DUMMYFUNCTION("""COMPUTED_VALUE"""),27207102765)</f>
        <v>27207102765</v>
      </c>
      <c r="D48" s="23" t="str">
        <f ca="1">IFERROR(__xludf.DUMMYFUNCTION("""COMPUTED_VALUE"""),"Nguyễn Thị Mỹ Duyên")</f>
        <v>Nguyễn Thị Mỹ Duyên</v>
      </c>
      <c r="E48" s="27">
        <f ca="1">IFERROR(__xludf.DUMMYFUNCTION("""COMPUTED_VALUE"""),37692)</f>
        <v>37692</v>
      </c>
      <c r="F48" s="23" t="str">
        <f ca="1">IFERROR(__xludf.DUMMYFUNCTION("""COMPUTED_VALUE"""),"K27DLK 3")</f>
        <v>K27DLK 3</v>
      </c>
      <c r="G48" s="23" t="str">
        <f ca="1">IFERROR(__xludf.DUMMYFUNCTION("""COMPUTED_VALUE"""),"Quản trị Du lịch &amp; Khách sạn")</f>
        <v>Quản trị Du lịch &amp; Khách sạn</v>
      </c>
      <c r="H48" s="23">
        <f ca="1">IFERROR(__xludf.DUMMYFUNCTION("""COMPUTED_VALUE"""),27)</f>
        <v>27</v>
      </c>
      <c r="I48" s="23" t="str">
        <f ca="1">IFERROR(__xludf.DUMMYFUNCTION("""COMPUTED_VALUE"""),"0702540263")</f>
        <v>0702540263</v>
      </c>
      <c r="J48" s="23" t="str">
        <f ca="1">IFERROR(__xludf.DUMMYFUNCTION("""COMPUTED_VALUE"""),"Chuyên đề")</f>
        <v>Chuyên đề</v>
      </c>
      <c r="K48" s="23" t="str">
        <f ca="1">IFERROR(__xludf.DUMMYFUNCTION("""COMPUTED_VALUE"""),"Hyatt regency DaNang Resort")</f>
        <v>Hyatt regency DaNang Resort</v>
      </c>
      <c r="L48" s="23"/>
      <c r="M48" s="23" t="str">
        <f ca="1">IFERROR(__xludf.DUMMYFUNCTION("""COMPUTED_VALUE"""),"05 Trường Sa, Ngũ Hành Sơn, Đà Nẵng")</f>
        <v>05 Trường Sa, Ngũ Hành Sơn, Đà Nẵng</v>
      </c>
      <c r="N48" s="23" t="str">
        <f ca="1">IFERROR(__xludf.DUMMYFUNCTION("""COMPUTED_VALUE"""),"Đà Nẵng ")</f>
        <v xml:space="preserve">Đà Nẵng </v>
      </c>
      <c r="O48" s="23" t="str">
        <f ca="1">IFERROR(__xludf.DUMMYFUNCTION("""COMPUTED_VALUE"""),"Nhà hàng")</f>
        <v>Nhà hàng</v>
      </c>
      <c r="P48" s="23"/>
      <c r="Q48" s="23" t="str">
        <f ca="1">IFERROR(__xludf.DUMMYFUNCTION("""COMPUTED_VALUE"""),"14/1/2025")</f>
        <v>14/1/2025</v>
      </c>
      <c r="R48" s="23" t="str">
        <f ca="1">IFERROR(__xludf.DUMMYFUNCTION("""COMPUTED_VALUE"""),"cam kết")</f>
        <v>cam kết</v>
      </c>
      <c r="S48" s="23" t="str">
        <f ca="1">IFERROR(__xludf.DUMMYFUNCTION("""COMPUTED_VALUE"""),"Chuyên đề")</f>
        <v>Chuyên đề</v>
      </c>
      <c r="T48" s="23"/>
      <c r="U48" s="27">
        <f ca="1">IFERROR(__xludf.DUMMYFUNCTION("""COMPUTED_VALUE"""),45672)</f>
        <v>45672</v>
      </c>
      <c r="V48" s="27">
        <f ca="1">IFERROR(__xludf.DUMMYFUNCTION("""COMPUTED_VALUE"""),45762)</f>
        <v>45762</v>
      </c>
      <c r="W48" s="23">
        <f ca="1">IFERROR(__xludf.DUMMYFUNCTION("""COMPUTED_VALUE"""),47)</f>
        <v>47</v>
      </c>
      <c r="X48" s="23" t="str">
        <f ca="1">IFERROR(__xludf.DUMMYFUNCTION("""COMPUTED_VALUE"""),"14/01/2025")</f>
        <v>14/01/2025</v>
      </c>
      <c r="Y48" s="23" t="str">
        <f ca="1">IFERROR(__xludf.DUMMYFUNCTION("""COMPUTED_VALUE"""),"DUYỆT")</f>
        <v>DUYỆT</v>
      </c>
      <c r="Z48" s="23" t="str">
        <f ca="1">IFERROR(__xludf.DUMMYFUNCTION("""COMPUTED_VALUE"""),"14/01/2025")</f>
        <v>14/01/2025</v>
      </c>
      <c r="AA48" s="23" t="str">
        <f ca="1">IFERROR(__xludf.DUMMYFUNCTION("""COMPUTED_VALUE"""),"Hyatt regency DaNang Resort")</f>
        <v>Hyatt regency DaNang Resort</v>
      </c>
      <c r="AB48" s="23" t="str">
        <f ca="1">IFERROR(__xludf.DUMMYFUNCTION("""COMPUTED_VALUE"""),"Nhà hàng")</f>
        <v>Nhà hàng</v>
      </c>
      <c r="AC48" s="23"/>
      <c r="AD48" s="23" t="str">
        <f ca="1">IFERROR(__xludf.DUMMYFUNCTION("""COMPUTED_VALUE"""),"SV phải đảm bảo không thực tập quá 5sv/nhà hàng")</f>
        <v>SV phải đảm bảo không thực tập quá 5sv/nhà hàng</v>
      </c>
      <c r="AE48" s="23" t="str">
        <f ca="1">IFERROR(__xludf.DUMMYFUNCTION("""COMPUTED_VALUE"""),"")</f>
        <v/>
      </c>
      <c r="AF48" s="23" t="str">
        <f ca="1">IFERROR(__xludf.DUMMYFUNCTION("""COMPUTED_VALUE"""),"KHÓA LUẬN")</f>
        <v>KHÓA LUẬN</v>
      </c>
      <c r="AG48" s="23" t="str">
        <f ca="1">IFERROR(__xludf.DUMMYFUNCTION("""COMPUTED_VALUE"""),"Phạm Thị Hoàng Dung")</f>
        <v>Phạm Thị Hoàng Dung</v>
      </c>
    </row>
    <row r="49" spans="1:33" ht="12.75" x14ac:dyDescent="0.2">
      <c r="A49" s="26">
        <f ca="1">IFERROR(__xludf.DUMMYFUNCTION("""COMPUTED_VALUE"""),45670.8551604629)</f>
        <v>45670.855160462903</v>
      </c>
      <c r="B49" s="23" t="str">
        <f ca="1">IFERROR(__xludf.DUMMYFUNCTION("""COMPUTED_VALUE"""),"nkanh1909@gmail.com")</f>
        <v>nkanh1909@gmail.com</v>
      </c>
      <c r="C49" s="23">
        <f ca="1">IFERROR(__xludf.DUMMYFUNCTION("""COMPUTED_VALUE"""),27217128739)</f>
        <v>27217128739</v>
      </c>
      <c r="D49" s="23" t="str">
        <f ca="1">IFERROR(__xludf.DUMMYFUNCTION("""COMPUTED_VALUE"""),"Nguyễn Khắc Anh")</f>
        <v>Nguyễn Khắc Anh</v>
      </c>
      <c r="E49" s="27">
        <f ca="1">IFERROR(__xludf.DUMMYFUNCTION("""COMPUTED_VALUE"""),45670)</f>
        <v>45670</v>
      </c>
      <c r="F49" s="23" t="str">
        <f ca="1">IFERROR(__xludf.DUMMYFUNCTION("""COMPUTED_VALUE"""),"K27DLK1")</f>
        <v>K27DLK1</v>
      </c>
      <c r="G49" s="23" t="str">
        <f ca="1">IFERROR(__xludf.DUMMYFUNCTION("""COMPUTED_VALUE"""),"Quản trị Du lịch &amp; Khách sạn")</f>
        <v>Quản trị Du lịch &amp; Khách sạn</v>
      </c>
      <c r="H49" s="23">
        <f ca="1">IFERROR(__xludf.DUMMYFUNCTION("""COMPUTED_VALUE"""),27)</f>
        <v>27</v>
      </c>
      <c r="I49" s="23" t="str">
        <f ca="1">IFERROR(__xludf.DUMMYFUNCTION("""COMPUTED_VALUE"""),"0777062869")</f>
        <v>0777062869</v>
      </c>
      <c r="J49" s="23" t="str">
        <f ca="1">IFERROR(__xludf.DUMMYFUNCTION("""COMPUTED_VALUE"""),"Chuyên đề")</f>
        <v>Chuyên đề</v>
      </c>
      <c r="K49" s="23" t="str">
        <f ca="1">IFERROR(__xludf.DUMMYFUNCTION("""COMPUTED_VALUE"""),"Hyatt regency DaNang Resort")</f>
        <v>Hyatt regency DaNang Resort</v>
      </c>
      <c r="L49" s="23"/>
      <c r="M49" s="23" t="str">
        <f ca="1">IFERROR(__xludf.DUMMYFUNCTION("""COMPUTED_VALUE"""),"05 Trường Sa, Ngũ Hành Sơn, Đà Nẵng")</f>
        <v>05 Trường Sa, Ngũ Hành Sơn, Đà Nẵng</v>
      </c>
      <c r="N49" s="23" t="str">
        <f ca="1">IFERROR(__xludf.DUMMYFUNCTION("""COMPUTED_VALUE"""),"Đà Nẵng")</f>
        <v>Đà Nẵng</v>
      </c>
      <c r="O49" s="23" t="str">
        <f ca="1">IFERROR(__xludf.DUMMYFUNCTION("""COMPUTED_VALUE"""),"Nhà hàng")</f>
        <v>Nhà hàng</v>
      </c>
      <c r="P49" s="23"/>
      <c r="Q49" s="23" t="str">
        <f ca="1">IFERROR(__xludf.DUMMYFUNCTION("""COMPUTED_VALUE"""),"14/01/2025")</f>
        <v>14/01/2025</v>
      </c>
      <c r="R49" s="23" t="str">
        <f ca="1">IFERROR(__xludf.DUMMYFUNCTION("""COMPUTED_VALUE"""),"cam kết")</f>
        <v>cam kết</v>
      </c>
      <c r="S49" s="23" t="str">
        <f ca="1">IFERROR(__xludf.DUMMYFUNCTION("""COMPUTED_VALUE"""),"Chuyên đề")</f>
        <v>Chuyên đề</v>
      </c>
      <c r="T49" s="23"/>
      <c r="U49" s="27">
        <f ca="1">IFERROR(__xludf.DUMMYFUNCTION("""COMPUTED_VALUE"""),45698)</f>
        <v>45698</v>
      </c>
      <c r="V49" s="27">
        <f ca="1">IFERROR(__xludf.DUMMYFUNCTION("""COMPUTED_VALUE"""),45787)</f>
        <v>45787</v>
      </c>
      <c r="W49" s="23">
        <f ca="1">IFERROR(__xludf.DUMMYFUNCTION("""COMPUTED_VALUE"""),48)</f>
        <v>48</v>
      </c>
      <c r="X49" s="23" t="str">
        <f ca="1">IFERROR(__xludf.DUMMYFUNCTION("""COMPUTED_VALUE"""),"14/01/2025")</f>
        <v>14/01/2025</v>
      </c>
      <c r="Y49" s="23" t="str">
        <f ca="1">IFERROR(__xludf.DUMMYFUNCTION("""COMPUTED_VALUE"""),"DUYỆT")</f>
        <v>DUYỆT</v>
      </c>
      <c r="Z49" s="23" t="str">
        <f ca="1">IFERROR(__xludf.DUMMYFUNCTION("""COMPUTED_VALUE"""),"14/01/2025")</f>
        <v>14/01/2025</v>
      </c>
      <c r="AA49" s="23" t="str">
        <f ca="1">IFERROR(__xludf.DUMMYFUNCTION("""COMPUTED_VALUE"""),"Hyatt regency DaNang Resort")</f>
        <v>Hyatt regency DaNang Resort</v>
      </c>
      <c r="AB49" s="23" t="str">
        <f ca="1">IFERROR(__xludf.DUMMYFUNCTION("""COMPUTED_VALUE"""),"Nhà hàng")</f>
        <v>Nhà hàng</v>
      </c>
      <c r="AC49" s="23"/>
      <c r="AD49" s="23" t="str">
        <f ca="1">IFERROR(__xludf.DUMMYFUNCTION("""COMPUTED_VALUE"""),"SV phải đảm bảo không thực tập quá 5sv/nhà hàng")</f>
        <v>SV phải đảm bảo không thực tập quá 5sv/nhà hàng</v>
      </c>
      <c r="AE49" s="23" t="str">
        <f ca="1">IFERROR(__xludf.DUMMYFUNCTION("""COMPUTED_VALUE"""),"")</f>
        <v/>
      </c>
      <c r="AF49" s="23" t="str">
        <f ca="1">IFERROR(__xludf.DUMMYFUNCTION("""COMPUTED_VALUE"""),"CHUYÊN ĐỀ")</f>
        <v>CHUYÊN ĐỀ</v>
      </c>
      <c r="AG49" s="23" t="str">
        <f ca="1">IFERROR(__xludf.DUMMYFUNCTION("""COMPUTED_VALUE"""),"Trần Hoàng Anh")</f>
        <v>Trần Hoàng Anh</v>
      </c>
    </row>
    <row r="50" spans="1:33" ht="12.75" x14ac:dyDescent="0.2">
      <c r="A50" s="26">
        <f ca="1">IFERROR(__xludf.DUMMYFUNCTION("""COMPUTED_VALUE"""),45671.4034342824)</f>
        <v>45671.403434282402</v>
      </c>
      <c r="B50" s="23" t="str">
        <f ca="1">IFERROR(__xludf.DUMMYFUNCTION("""COMPUTED_VALUE"""),"huuthang31102003@gmail.com")</f>
        <v>huuthang31102003@gmail.com</v>
      </c>
      <c r="C50" s="23">
        <f ca="1">IFERROR(__xludf.DUMMYFUNCTION("""COMPUTED_VALUE"""),27217141479)</f>
        <v>27217141479</v>
      </c>
      <c r="D50" s="23" t="str">
        <f ca="1">IFERROR(__xludf.DUMMYFUNCTION("""COMPUTED_VALUE"""),"Nguyễn Hữu Thắng")</f>
        <v>Nguyễn Hữu Thắng</v>
      </c>
      <c r="E50" s="27">
        <f ca="1">IFERROR(__xludf.DUMMYFUNCTION("""COMPUTED_VALUE"""),37925)</f>
        <v>37925</v>
      </c>
      <c r="F50" s="23" t="str">
        <f ca="1">IFERROR(__xludf.DUMMYFUNCTION("""COMPUTED_VALUE"""),"K27 DLK1")</f>
        <v>K27 DLK1</v>
      </c>
      <c r="G50" s="23" t="str">
        <f ca="1">IFERROR(__xludf.DUMMYFUNCTION("""COMPUTED_VALUE"""),"Quản trị Du lịch &amp; Khách sạn")</f>
        <v>Quản trị Du lịch &amp; Khách sạn</v>
      </c>
      <c r="H50" s="23">
        <f ca="1">IFERROR(__xludf.DUMMYFUNCTION("""COMPUTED_VALUE"""),27)</f>
        <v>27</v>
      </c>
      <c r="I50" s="23" t="str">
        <f ca="1">IFERROR(__xludf.DUMMYFUNCTION("""COMPUTED_VALUE"""),"0779493716")</f>
        <v>0779493716</v>
      </c>
      <c r="J50" s="23" t="str">
        <f ca="1">IFERROR(__xludf.DUMMYFUNCTION("""COMPUTED_VALUE"""),"Chuyên đề")</f>
        <v>Chuyên đề</v>
      </c>
      <c r="K50" s="23" t="str">
        <f ca="1">IFERROR(__xludf.DUMMYFUNCTION("""COMPUTED_VALUE"""),"Vanda Hotel")</f>
        <v>Vanda Hotel</v>
      </c>
      <c r="L50" s="23"/>
      <c r="M50" s="23" t="str">
        <f ca="1">IFERROR(__xludf.DUMMYFUNCTION("""COMPUTED_VALUE"""),"03 Nguyễn Văn Linh")</f>
        <v>03 Nguyễn Văn Linh</v>
      </c>
      <c r="N50" s="23" t="str">
        <f ca="1">IFERROR(__xludf.DUMMYFUNCTION("""COMPUTED_VALUE"""),"Thành Phố Đà Nẵng")</f>
        <v>Thành Phố Đà Nẵng</v>
      </c>
      <c r="O50" s="23" t="str">
        <f ca="1">IFERROR(__xludf.DUMMYFUNCTION("""COMPUTED_VALUE"""),"Nhà hàng")</f>
        <v>Nhà hàng</v>
      </c>
      <c r="P50" s="23"/>
      <c r="Q50" s="23" t="str">
        <f ca="1">IFERROR(__xludf.DUMMYFUNCTION("""COMPUTED_VALUE"""),"16/01/2025")</f>
        <v>16/01/2025</v>
      </c>
      <c r="R50" s="23" t="str">
        <f ca="1">IFERROR(__xludf.DUMMYFUNCTION("""COMPUTED_VALUE"""),"cam kết")</f>
        <v>cam kết</v>
      </c>
      <c r="S50" s="23" t="str">
        <f ca="1">IFERROR(__xludf.DUMMYFUNCTION("""COMPUTED_VALUE"""),"Chuyên đề")</f>
        <v>Chuyên đề</v>
      </c>
      <c r="T50" s="23"/>
      <c r="U50" s="27">
        <f ca="1">IFERROR(__xludf.DUMMYFUNCTION("""COMPUTED_VALUE"""),45698)</f>
        <v>45698</v>
      </c>
      <c r="V50" s="27">
        <f ca="1">IFERROR(__xludf.DUMMYFUNCTION("""COMPUTED_VALUE"""),45787)</f>
        <v>45787</v>
      </c>
      <c r="W50" s="23">
        <f ca="1">IFERROR(__xludf.DUMMYFUNCTION("""COMPUTED_VALUE"""),49)</f>
        <v>49</v>
      </c>
      <c r="X50" s="23" t="str">
        <f ca="1">IFERROR(__xludf.DUMMYFUNCTION("""COMPUTED_VALUE"""),"18/01/2025")</f>
        <v>18/01/2025</v>
      </c>
      <c r="Y50" s="23" t="str">
        <f ca="1">IFERROR(__xludf.DUMMYFUNCTION("""COMPUTED_VALUE"""),"DUYỆT")</f>
        <v>DUYỆT</v>
      </c>
      <c r="Z50" s="23" t="str">
        <f ca="1">IFERROR(__xludf.DUMMYFUNCTION("""COMPUTED_VALUE"""),"14/01/2025")</f>
        <v>14/01/2025</v>
      </c>
      <c r="AA50" s="23" t="str">
        <f ca="1">IFERROR(__xludf.DUMMYFUNCTION("""COMPUTED_VALUE"""),"Vanda Hotel")</f>
        <v>Vanda Hotel</v>
      </c>
      <c r="AB50" s="23" t="str">
        <f ca="1">IFERROR(__xludf.DUMMYFUNCTION("""COMPUTED_VALUE"""),"Nhà hàng")</f>
        <v>Nhà hàng</v>
      </c>
      <c r="AC50" s="23"/>
      <c r="AD50" s="23"/>
      <c r="AE50" s="23" t="str">
        <f ca="1">IFERROR(__xludf.DUMMYFUNCTION("""COMPUTED_VALUE"""),"")</f>
        <v/>
      </c>
      <c r="AF50" s="23" t="str">
        <f ca="1">IFERROR(__xludf.DUMMYFUNCTION("""COMPUTED_VALUE"""),"CHUYÊN ĐỀ")</f>
        <v>CHUYÊN ĐỀ</v>
      </c>
      <c r="AG50" s="23" t="str">
        <f ca="1">IFERROR(__xludf.DUMMYFUNCTION("""COMPUTED_VALUE"""),"Phan Thị Hồng Hải")</f>
        <v>Phan Thị Hồng Hải</v>
      </c>
    </row>
    <row r="51" spans="1:33" ht="12.75" x14ac:dyDescent="0.2">
      <c r="A51" s="26">
        <f ca="1">IFERROR(__xludf.DUMMYFUNCTION("""COMPUTED_VALUE"""),45671.4203007523)</f>
        <v>45671.420300752303</v>
      </c>
      <c r="B51" s="23" t="str">
        <f ca="1">IFERROR(__xludf.DUMMYFUNCTION("""COMPUTED_VALUE"""),"thungoc.transuyen1@gmail.com")</f>
        <v>thungoc.transuyen1@gmail.com</v>
      </c>
      <c r="C51" s="23">
        <f ca="1">IFERROR(__xludf.DUMMYFUNCTION("""COMPUTED_VALUE"""),27207101865)</f>
        <v>27207101865</v>
      </c>
      <c r="D51" s="23" t="str">
        <f ca="1">IFERROR(__xludf.DUMMYFUNCTION("""COMPUTED_VALUE"""),"Lê Thị Thu Ngọc ")</f>
        <v xml:space="preserve">Lê Thị Thu Ngọc </v>
      </c>
      <c r="E51" s="27">
        <f ca="1">IFERROR(__xludf.DUMMYFUNCTION("""COMPUTED_VALUE"""),37951)</f>
        <v>37951</v>
      </c>
      <c r="F51" s="23" t="str">
        <f ca="1">IFERROR(__xludf.DUMMYFUNCTION("""COMPUTED_VALUE"""),"K27DLK7 ")</f>
        <v xml:space="preserve">K27DLK7 </v>
      </c>
      <c r="G51" s="23" t="str">
        <f ca="1">IFERROR(__xludf.DUMMYFUNCTION("""COMPUTED_VALUE"""),"Quản trị Du lịch &amp; Khách sạn")</f>
        <v>Quản trị Du lịch &amp; Khách sạn</v>
      </c>
      <c r="H51" s="23">
        <f ca="1">IFERROR(__xludf.DUMMYFUNCTION("""COMPUTED_VALUE"""),27)</f>
        <v>27</v>
      </c>
      <c r="I51" s="23" t="str">
        <f ca="1">IFERROR(__xludf.DUMMYFUNCTION("""COMPUTED_VALUE"""),"0934751273")</f>
        <v>0934751273</v>
      </c>
      <c r="J51" s="23" t="str">
        <f ca="1">IFERROR(__xludf.DUMMYFUNCTION("""COMPUTED_VALUE"""),"Chuyên đề")</f>
        <v>Chuyên đề</v>
      </c>
      <c r="K51" s="23" t="str">
        <f ca="1">IFERROR(__xludf.DUMMYFUNCTION("""COMPUTED_VALUE"""),"Wyndham DaNang Golden Bay")</f>
        <v>Wyndham DaNang Golden Bay</v>
      </c>
      <c r="L51" s="23"/>
      <c r="M51" s="23" t="str">
        <f ca="1">IFERROR(__xludf.DUMMYFUNCTION("""COMPUTED_VALUE"""),"01 Lê Văn Duyệt, Nại Hiện Đông, Sơn Trà, Đà Nẵng ")</f>
        <v xml:space="preserve">01 Lê Văn Duyệt, Nại Hiện Đông, Sơn Trà, Đà Nẵng </v>
      </c>
      <c r="N51" s="23" t="str">
        <f ca="1">IFERROR(__xludf.DUMMYFUNCTION("""COMPUTED_VALUE"""),"Đà Nẵng ")</f>
        <v xml:space="preserve">Đà Nẵng </v>
      </c>
      <c r="O51" s="23" t="str">
        <f ca="1">IFERROR(__xludf.DUMMYFUNCTION("""COMPUTED_VALUE"""),"Nhà hàng")</f>
        <v>Nhà hàng</v>
      </c>
      <c r="P51" s="23"/>
      <c r="Q51" s="23" t="str">
        <f ca="1">IFERROR(__xludf.DUMMYFUNCTION("""COMPUTED_VALUE"""),"14/1/2025")</f>
        <v>14/1/2025</v>
      </c>
      <c r="R51" s="23" t="str">
        <f ca="1">IFERROR(__xludf.DUMMYFUNCTION("""COMPUTED_VALUE"""),"cam kết")</f>
        <v>cam kết</v>
      </c>
      <c r="S51" s="23" t="str">
        <f ca="1">IFERROR(__xludf.DUMMYFUNCTION("""COMPUTED_VALUE"""),"Chuyên đề")</f>
        <v>Chuyên đề</v>
      </c>
      <c r="T51" s="23"/>
      <c r="U51" s="27">
        <f ca="1">IFERROR(__xludf.DUMMYFUNCTION("""COMPUTED_VALUE"""),45698)</f>
        <v>45698</v>
      </c>
      <c r="V51" s="27">
        <f ca="1">IFERROR(__xludf.DUMMYFUNCTION("""COMPUTED_VALUE"""),45787)</f>
        <v>45787</v>
      </c>
      <c r="W51" s="23">
        <f ca="1">IFERROR(__xludf.DUMMYFUNCTION("""COMPUTED_VALUE"""),50)</f>
        <v>50</v>
      </c>
      <c r="X51" s="23" t="str">
        <f ca="1">IFERROR(__xludf.DUMMYFUNCTION("""COMPUTED_VALUE"""),"14/01/2025")</f>
        <v>14/01/2025</v>
      </c>
      <c r="Y51" s="23" t="str">
        <f ca="1">IFERROR(__xludf.DUMMYFUNCTION("""COMPUTED_VALUE"""),"DUYỆT")</f>
        <v>DUYỆT</v>
      </c>
      <c r="Z51" s="23" t="str">
        <f ca="1">IFERROR(__xludf.DUMMYFUNCTION("""COMPUTED_VALUE"""),"14/01/2025")</f>
        <v>14/01/2025</v>
      </c>
      <c r="AA51" s="23" t="str">
        <f ca="1">IFERROR(__xludf.DUMMYFUNCTION("""COMPUTED_VALUE"""),"Wyndham DaNang Golden Bay")</f>
        <v>Wyndham DaNang Golden Bay</v>
      </c>
      <c r="AB51" s="23" t="str">
        <f ca="1">IFERROR(__xludf.DUMMYFUNCTION("""COMPUTED_VALUE"""),"Nhà hàng")</f>
        <v>Nhà hàng</v>
      </c>
      <c r="AC51" s="23"/>
      <c r="AD51" s="23" t="str">
        <f ca="1">IFERROR(__xludf.DUMMYFUNCTION("""COMPUTED_VALUE"""),"sv phải đám bảo ko quá 5sv/nhà hàng")</f>
        <v>sv phải đám bảo ko quá 5sv/nhà hàng</v>
      </c>
      <c r="AE51" s="23" t="str">
        <f ca="1">IFERROR(__xludf.DUMMYFUNCTION("""COMPUTED_VALUE"""),"")</f>
        <v/>
      </c>
      <c r="AF51" s="23" t="str">
        <f ca="1">IFERROR(__xludf.DUMMYFUNCTION("""COMPUTED_VALUE"""),"CHUYÊN ĐỀ")</f>
        <v>CHUYÊN ĐỀ</v>
      </c>
      <c r="AG51" s="23" t="str">
        <f ca="1">IFERROR(__xludf.DUMMYFUNCTION("""COMPUTED_VALUE"""),"Trần Thị Mỹ Linh")</f>
        <v>Trần Thị Mỹ Linh</v>
      </c>
    </row>
    <row r="52" spans="1:33" ht="12.75" x14ac:dyDescent="0.2">
      <c r="A52" s="26">
        <f ca="1">IFERROR(__xludf.DUMMYFUNCTION("""COMPUTED_VALUE"""),45671.4215829166)</f>
        <v>45671.421582916599</v>
      </c>
      <c r="B52" s="23" t="str">
        <f ca="1">IFERROR(__xludf.DUMMYFUNCTION("""COMPUTED_VALUE"""),"vothithanhthao2k3qn@gmail.com")</f>
        <v>vothithanhthao2k3qn@gmail.com</v>
      </c>
      <c r="C52" s="23">
        <f ca="1">IFERROR(__xludf.DUMMYFUNCTION("""COMPUTED_VALUE"""),27207136307)</f>
        <v>27207136307</v>
      </c>
      <c r="D52" s="23" t="str">
        <f ca="1">IFERROR(__xludf.DUMMYFUNCTION("""COMPUTED_VALUE"""),"Võ Thị Thanh Thảo")</f>
        <v>Võ Thị Thanh Thảo</v>
      </c>
      <c r="E52" s="27">
        <f ca="1">IFERROR(__xludf.DUMMYFUNCTION("""COMPUTED_VALUE"""),37754)</f>
        <v>37754</v>
      </c>
      <c r="F52" s="23" t="str">
        <f ca="1">IFERROR(__xludf.DUMMYFUNCTION("""COMPUTED_VALUE"""),"K27-DLK5")</f>
        <v>K27-DLK5</v>
      </c>
      <c r="G52" s="23" t="str">
        <f ca="1">IFERROR(__xludf.DUMMYFUNCTION("""COMPUTED_VALUE"""),"Quản trị Du lịch &amp; Khách sạn")</f>
        <v>Quản trị Du lịch &amp; Khách sạn</v>
      </c>
      <c r="H52" s="23">
        <f ca="1">IFERROR(__xludf.DUMMYFUNCTION("""COMPUTED_VALUE"""),27)</f>
        <v>27</v>
      </c>
      <c r="I52" s="23" t="str">
        <f ca="1">IFERROR(__xludf.DUMMYFUNCTION("""COMPUTED_VALUE"""),"0352061751")</f>
        <v>0352061751</v>
      </c>
      <c r="J52" s="23" t="str">
        <f ca="1">IFERROR(__xludf.DUMMYFUNCTION("""COMPUTED_VALUE"""),"Chuyên đề")</f>
        <v>Chuyên đề</v>
      </c>
      <c r="K52" s="23" t="str">
        <f ca="1">IFERROR(__xludf.DUMMYFUNCTION("""COMPUTED_VALUE"""),"Da Nang Mikazuki Japanese Resorts &amp; Spa")</f>
        <v>Da Nang Mikazuki Japanese Resorts &amp; Spa</v>
      </c>
      <c r="L52" s="23"/>
      <c r="M52" s="23" t="str">
        <f ca="1">IFERROR(__xludf.DUMMYFUNCTION("""COMPUTED_VALUE"""),"Nguyễn Tất Thành, Hòa Hiệp Nam, Liên Chiểu")</f>
        <v>Nguyễn Tất Thành, Hòa Hiệp Nam, Liên Chiểu</v>
      </c>
      <c r="N52" s="23" t="str">
        <f ca="1">IFERROR(__xludf.DUMMYFUNCTION("""COMPUTED_VALUE"""),"Đà Nẵng")</f>
        <v>Đà Nẵng</v>
      </c>
      <c r="O52" s="23" t="str">
        <f ca="1">IFERROR(__xludf.DUMMYFUNCTION("""COMPUTED_VALUE"""),"Buồng phòng")</f>
        <v>Buồng phòng</v>
      </c>
      <c r="P52" s="23"/>
      <c r="Q52" s="23" t="str">
        <f ca="1">IFERROR(__xludf.DUMMYFUNCTION("""COMPUTED_VALUE"""),"14/01/2025")</f>
        <v>14/01/2025</v>
      </c>
      <c r="R52" s="23" t="str">
        <f ca="1">IFERROR(__xludf.DUMMYFUNCTION("""COMPUTED_VALUE"""),"cam kết")</f>
        <v>cam kết</v>
      </c>
      <c r="S52" s="23" t="str">
        <f ca="1">IFERROR(__xludf.DUMMYFUNCTION("""COMPUTED_VALUE"""),"Chuyên đề")</f>
        <v>Chuyên đề</v>
      </c>
      <c r="T52" s="23"/>
      <c r="U52" s="27">
        <f ca="1">IFERROR(__xludf.DUMMYFUNCTION("""COMPUTED_VALUE"""),45698)</f>
        <v>45698</v>
      </c>
      <c r="V52" s="27">
        <f ca="1">IFERROR(__xludf.DUMMYFUNCTION("""COMPUTED_VALUE"""),45787)</f>
        <v>45787</v>
      </c>
      <c r="W52" s="23">
        <f ca="1">IFERROR(__xludf.DUMMYFUNCTION("""COMPUTED_VALUE"""),51)</f>
        <v>51</v>
      </c>
      <c r="X52" s="28" t="str">
        <f ca="1">IFERROR(__xludf.DUMMYFUNCTION("""COMPUTED_VALUE"""),"14/01/2025")</f>
        <v>14/01/2025</v>
      </c>
      <c r="Y52" s="23" t="str">
        <f ca="1">IFERROR(__xludf.DUMMYFUNCTION("""COMPUTED_VALUE"""),"DUYỆT")</f>
        <v>DUYỆT</v>
      </c>
      <c r="Z52" s="28" t="str">
        <f ca="1">IFERROR(__xludf.DUMMYFUNCTION("""COMPUTED_VALUE"""),"14/01/2025")</f>
        <v>14/01/2025</v>
      </c>
      <c r="AA52" s="23" t="str">
        <f ca="1">IFERROR(__xludf.DUMMYFUNCTION("""COMPUTED_VALUE"""),"Da Nang Mikazuki Japanese Resorts &amp; Spa")</f>
        <v>Da Nang Mikazuki Japanese Resorts &amp; Spa</v>
      </c>
      <c r="AB52" s="23" t="str">
        <f ca="1">IFERROR(__xludf.DUMMYFUNCTION("""COMPUTED_VALUE"""),"Buồng phòng")</f>
        <v>Buồng phòng</v>
      </c>
      <c r="AC52" s="23"/>
      <c r="AD52" s="23"/>
      <c r="AE52" s="23" t="str">
        <f ca="1">IFERROR(__xludf.DUMMYFUNCTION("""COMPUTED_VALUE"""),"")</f>
        <v/>
      </c>
      <c r="AF52" s="23" t="str">
        <f ca="1">IFERROR(__xludf.DUMMYFUNCTION("""COMPUTED_VALUE"""),"CHUYÊN ĐỀ")</f>
        <v>CHUYÊN ĐỀ</v>
      </c>
      <c r="AG52" s="23" t="str">
        <f ca="1">IFERROR(__xludf.DUMMYFUNCTION("""COMPUTED_VALUE"""),"Phạm Thị Thu Thủy")</f>
        <v>Phạm Thị Thu Thủy</v>
      </c>
    </row>
    <row r="53" spans="1:33" ht="12.75" x14ac:dyDescent="0.2">
      <c r="A53" s="26">
        <f ca="1">IFERROR(__xludf.DUMMYFUNCTION("""COMPUTED_VALUE"""),45671.4245598032)</f>
        <v>45671.424559803199</v>
      </c>
      <c r="B53" s="23" t="str">
        <f ca="1">IFERROR(__xludf.DUMMYFUNCTION("""COMPUTED_VALUE"""),"ngtha2506@gmail.com")</f>
        <v>ngtha2506@gmail.com</v>
      </c>
      <c r="C53" s="23">
        <f ca="1">IFERROR(__xludf.DUMMYFUNCTION("""COMPUTED_VALUE"""),27207131162)</f>
        <v>27207131162</v>
      </c>
      <c r="D53" s="23" t="str">
        <f ca="1">IFERROR(__xludf.DUMMYFUNCTION("""COMPUTED_VALUE"""),"Nguyễn Thị Hà")</f>
        <v>Nguyễn Thị Hà</v>
      </c>
      <c r="E53" s="27">
        <f ca="1">IFERROR(__xludf.DUMMYFUNCTION("""COMPUTED_VALUE"""),37797)</f>
        <v>37797</v>
      </c>
      <c r="F53" s="23" t="str">
        <f ca="1">IFERROR(__xludf.DUMMYFUNCTION("""COMPUTED_VALUE"""),"K27DLK 6")</f>
        <v>K27DLK 6</v>
      </c>
      <c r="G53" s="23" t="str">
        <f ca="1">IFERROR(__xludf.DUMMYFUNCTION("""COMPUTED_VALUE"""),"Quản trị Du lịch &amp; Khách sạn")</f>
        <v>Quản trị Du lịch &amp; Khách sạn</v>
      </c>
      <c r="H53" s="23">
        <f ca="1">IFERROR(__xludf.DUMMYFUNCTION("""COMPUTED_VALUE"""),27)</f>
        <v>27</v>
      </c>
      <c r="I53" s="23" t="str">
        <f ca="1">IFERROR(__xludf.DUMMYFUNCTION("""COMPUTED_VALUE"""),"0941524143")</f>
        <v>0941524143</v>
      </c>
      <c r="J53" s="23" t="str">
        <f ca="1">IFERROR(__xludf.DUMMYFUNCTION("""COMPUTED_VALUE"""),"Chuyên đề")</f>
        <v>Chuyên đề</v>
      </c>
      <c r="K53" s="23" t="str">
        <f ca="1">IFERROR(__xludf.DUMMYFUNCTION("""COMPUTED_VALUE"""),"Da Nang Mikazuki Japanese Resorts &amp; Spa")</f>
        <v>Da Nang Mikazuki Japanese Resorts &amp; Spa</v>
      </c>
      <c r="L53" s="23"/>
      <c r="M53" s="23" t="str">
        <f ca="1">IFERROR(__xludf.DUMMYFUNCTION("""COMPUTED_VALUE"""),"Nguyễn Tất Thành, Hoà Hiệp Nam, Liên Chiểu")</f>
        <v>Nguyễn Tất Thành, Hoà Hiệp Nam, Liên Chiểu</v>
      </c>
      <c r="N53" s="23" t="str">
        <f ca="1">IFERROR(__xludf.DUMMYFUNCTION("""COMPUTED_VALUE"""),"Đà Nẵng")</f>
        <v>Đà Nẵng</v>
      </c>
      <c r="O53" s="23" t="str">
        <f ca="1">IFERROR(__xludf.DUMMYFUNCTION("""COMPUTED_VALUE"""),"Buồng phòng")</f>
        <v>Buồng phòng</v>
      </c>
      <c r="P53" s="23"/>
      <c r="Q53" s="23" t="str">
        <f ca="1">IFERROR(__xludf.DUMMYFUNCTION("""COMPUTED_VALUE"""),"14/01/2025")</f>
        <v>14/01/2025</v>
      </c>
      <c r="R53" s="23" t="str">
        <f ca="1">IFERROR(__xludf.DUMMYFUNCTION("""COMPUTED_VALUE"""),"cam kết")</f>
        <v>cam kết</v>
      </c>
      <c r="S53" s="23" t="str">
        <f ca="1">IFERROR(__xludf.DUMMYFUNCTION("""COMPUTED_VALUE"""),"Chuyên đề")</f>
        <v>Chuyên đề</v>
      </c>
      <c r="T53" s="23"/>
      <c r="U53" s="27">
        <f ca="1">IFERROR(__xludf.DUMMYFUNCTION("""COMPUTED_VALUE"""),45698)</f>
        <v>45698</v>
      </c>
      <c r="V53" s="27">
        <f ca="1">IFERROR(__xludf.DUMMYFUNCTION("""COMPUTED_VALUE"""),45787)</f>
        <v>45787</v>
      </c>
      <c r="W53" s="23">
        <f ca="1">IFERROR(__xludf.DUMMYFUNCTION("""COMPUTED_VALUE"""),52)</f>
        <v>52</v>
      </c>
      <c r="X53" s="28" t="str">
        <f ca="1">IFERROR(__xludf.DUMMYFUNCTION("""COMPUTED_VALUE"""),"14/01/2025")</f>
        <v>14/01/2025</v>
      </c>
      <c r="Y53" s="23" t="str">
        <f ca="1">IFERROR(__xludf.DUMMYFUNCTION("""COMPUTED_VALUE"""),"DUYỆT")</f>
        <v>DUYỆT</v>
      </c>
      <c r="Z53" s="28" t="str">
        <f ca="1">IFERROR(__xludf.DUMMYFUNCTION("""COMPUTED_VALUE"""),"14/01/2025")</f>
        <v>14/01/2025</v>
      </c>
      <c r="AA53" s="23" t="str">
        <f ca="1">IFERROR(__xludf.DUMMYFUNCTION("""COMPUTED_VALUE"""),"Da Nang Mikazuki Japanese Resorts &amp; Spa")</f>
        <v>Da Nang Mikazuki Japanese Resorts &amp; Spa</v>
      </c>
      <c r="AB53" s="23" t="str">
        <f ca="1">IFERROR(__xludf.DUMMYFUNCTION("""COMPUTED_VALUE"""),"Buồng phòng")</f>
        <v>Buồng phòng</v>
      </c>
      <c r="AC53" s="23"/>
      <c r="AD53" s="23"/>
      <c r="AE53" s="23" t="str">
        <f ca="1">IFERROR(__xludf.DUMMYFUNCTION("""COMPUTED_VALUE"""),"")</f>
        <v/>
      </c>
      <c r="AF53" s="23" t="str">
        <f ca="1">IFERROR(__xludf.DUMMYFUNCTION("""COMPUTED_VALUE"""),"CHUYÊN ĐỀ")</f>
        <v>CHUYÊN ĐỀ</v>
      </c>
      <c r="AG53" s="23" t="str">
        <f ca="1">IFERROR(__xludf.DUMMYFUNCTION("""COMPUTED_VALUE"""),"Phạm Thị Thu Thủy")</f>
        <v>Phạm Thị Thu Thủy</v>
      </c>
    </row>
    <row r="54" spans="1:33" ht="12.75" x14ac:dyDescent="0.2">
      <c r="A54" s="26">
        <f ca="1">IFERROR(__xludf.DUMMYFUNCTION("""COMPUTED_VALUE"""),45671.438070324)</f>
        <v>45671.438070324002</v>
      </c>
      <c r="B54" s="23" t="str">
        <f ca="1">IFERROR(__xludf.DUMMYFUNCTION("""COMPUTED_VALUE"""),"aprianh92@gmail.com")</f>
        <v>aprianh92@gmail.com</v>
      </c>
      <c r="C54" s="23">
        <f ca="1">IFERROR(__xludf.DUMMYFUNCTION("""COMPUTED_VALUE"""),27207128507)</f>
        <v>27207128507</v>
      </c>
      <c r="D54" s="23" t="str">
        <f ca="1">IFERROR(__xludf.DUMMYFUNCTION("""COMPUTED_VALUE"""),"Nguyễn Mai Anh")</f>
        <v>Nguyễn Mai Anh</v>
      </c>
      <c r="E54" s="27">
        <f ca="1">IFERROR(__xludf.DUMMYFUNCTION("""COMPUTED_VALUE"""),37661)</f>
        <v>37661</v>
      </c>
      <c r="F54" s="23" t="str">
        <f ca="1">IFERROR(__xludf.DUMMYFUNCTION("""COMPUTED_VALUE"""),"K27PSUDLH")</f>
        <v>K27PSUDLH</v>
      </c>
      <c r="G54" s="23" t="str">
        <f ca="1">IFERROR(__xludf.DUMMYFUNCTION("""COMPUTED_VALUE"""),"Quản trị Du lịch &amp; Nhà hàng chuẩn PSU")</f>
        <v>Quản trị Du lịch &amp; Nhà hàng chuẩn PSU</v>
      </c>
      <c r="H54" s="23">
        <f ca="1">IFERROR(__xludf.DUMMYFUNCTION("""COMPUTED_VALUE"""),27)</f>
        <v>27</v>
      </c>
      <c r="I54" s="23" t="str">
        <f ca="1">IFERROR(__xludf.DUMMYFUNCTION("""COMPUTED_VALUE"""),"0367788521")</f>
        <v>0367788521</v>
      </c>
      <c r="J54" s="23" t="str">
        <f ca="1">IFERROR(__xludf.DUMMYFUNCTION("""COMPUTED_VALUE"""),"Khóa luận")</f>
        <v>Khóa luận</v>
      </c>
      <c r="K54" s="23" t="str">
        <f ca="1">IFERROR(__xludf.DUMMYFUNCTION("""COMPUTED_VALUE"""),"Hyatt regency DaNang Resort")</f>
        <v>Hyatt regency DaNang Resort</v>
      </c>
      <c r="L54" s="23"/>
      <c r="M54" s="23" t="str">
        <f ca="1">IFERROR(__xludf.DUMMYFUNCTION("""COMPUTED_VALUE"""),"05 Trường Sa, Hoà Hải, Ngủ Hành Sơn, Đà Nẵng")</f>
        <v>05 Trường Sa, Hoà Hải, Ngủ Hành Sơn, Đà Nẵng</v>
      </c>
      <c r="N54" s="23" t="str">
        <f ca="1">IFERROR(__xludf.DUMMYFUNCTION("""COMPUTED_VALUE"""),"Đà Nẵng")</f>
        <v>Đà Nẵng</v>
      </c>
      <c r="O54" s="23" t="str">
        <f ca="1">IFERROR(__xludf.DUMMYFUNCTION("""COMPUTED_VALUE"""),"Nhà hàng")</f>
        <v>Nhà hàng</v>
      </c>
      <c r="P54" s="23"/>
      <c r="Q54" s="23" t="str">
        <f ca="1">IFERROR(__xludf.DUMMYFUNCTION("""COMPUTED_VALUE"""),"13/01/2025")</f>
        <v>13/01/2025</v>
      </c>
      <c r="R54" s="23" t="str">
        <f ca="1">IFERROR(__xludf.DUMMYFUNCTION("""COMPUTED_VALUE"""),"cam kết")</f>
        <v>cam kết</v>
      </c>
      <c r="S54" s="23" t="str">
        <f ca="1">IFERROR(__xludf.DUMMYFUNCTION("""COMPUTED_VALUE"""),"Khóa luận")</f>
        <v>Khóa luận</v>
      </c>
      <c r="T54" s="23" t="str">
        <f ca="1">IFERROR(__xludf.DUMMYFUNCTION("""COMPUTED_VALUE"""),"Mai Thị Thương")</f>
        <v>Mai Thị Thương</v>
      </c>
      <c r="U54" s="27">
        <f ca="1">IFERROR(__xludf.DUMMYFUNCTION("""COMPUTED_VALUE"""),45677)</f>
        <v>45677</v>
      </c>
      <c r="V54" s="27">
        <f ca="1">IFERROR(__xludf.DUMMYFUNCTION("""COMPUTED_VALUE"""),45767)</f>
        <v>45767</v>
      </c>
      <c r="W54" s="23">
        <f ca="1">IFERROR(__xludf.DUMMYFUNCTION("""COMPUTED_VALUE"""),53)</f>
        <v>53</v>
      </c>
      <c r="X54" s="23" t="str">
        <f ca="1">IFERROR(__xludf.DUMMYFUNCTION("""COMPUTED_VALUE"""),"14/01/2025")</f>
        <v>14/01/2025</v>
      </c>
      <c r="Y54" s="23" t="str">
        <f ca="1">IFERROR(__xludf.DUMMYFUNCTION("""COMPUTED_VALUE"""),"DUYỆT")</f>
        <v>DUYỆT</v>
      </c>
      <c r="Z54" s="23" t="str">
        <f ca="1">IFERROR(__xludf.DUMMYFUNCTION("""COMPUTED_VALUE"""),"14/01/2025")</f>
        <v>14/01/2025</v>
      </c>
      <c r="AA54" s="23" t="str">
        <f ca="1">IFERROR(__xludf.DUMMYFUNCTION("""COMPUTED_VALUE"""),"Hyatt regency DaNang Resort")</f>
        <v>Hyatt regency DaNang Resort</v>
      </c>
      <c r="AB54" s="23" t="str">
        <f ca="1">IFERROR(__xludf.DUMMYFUNCTION("""COMPUTED_VALUE"""),"Nhà hàng")</f>
        <v>Nhà hàng</v>
      </c>
      <c r="AC54" s="23"/>
      <c r="AD54" s="23" t="str">
        <f ca="1">IFERROR(__xludf.DUMMYFUNCTION("""COMPUTED_VALUE"""),"SV phải đảm bảo không thực tập quá 5sv/nhà hàng")</f>
        <v>SV phải đảm bảo không thực tập quá 5sv/nhà hàng</v>
      </c>
      <c r="AE54" s="23" t="str">
        <f ca="1">IFERROR(__xludf.DUMMYFUNCTION("""COMPUTED_VALUE"""),"")</f>
        <v/>
      </c>
      <c r="AF54" s="23" t="str">
        <f ca="1">IFERROR(__xludf.DUMMYFUNCTION("""COMPUTED_VALUE"""),"KHÓA LUẬN")</f>
        <v>KHÓA LUẬN</v>
      </c>
      <c r="AG54" s="23" t="str">
        <f ca="1">IFERROR(__xludf.DUMMYFUNCTION("""COMPUTED_VALUE"""),"Phạm Thị Thu Thủy")</f>
        <v>Phạm Thị Thu Thủy</v>
      </c>
    </row>
    <row r="55" spans="1:33" ht="12.75" x14ac:dyDescent="0.2">
      <c r="A55" s="26">
        <f ca="1">IFERROR(__xludf.DUMMYFUNCTION("""COMPUTED_VALUE"""),45671.47331353)</f>
        <v>45671.473313529998</v>
      </c>
      <c r="B55" s="23" t="str">
        <f ca="1">IFERROR(__xludf.DUMMYFUNCTION("""COMPUTED_VALUE"""),"lec410443@gmail.com")</f>
        <v>lec410443@gmail.com</v>
      </c>
      <c r="C55" s="23">
        <f ca="1">IFERROR(__xludf.DUMMYFUNCTION("""COMPUTED_VALUE"""),27217144878)</f>
        <v>27217144878</v>
      </c>
      <c r="D55" s="23" t="str">
        <f ca="1">IFERROR(__xludf.DUMMYFUNCTION("""COMPUTED_VALUE"""),"Lê ngọc chinh")</f>
        <v>Lê ngọc chinh</v>
      </c>
      <c r="E55" s="27">
        <f ca="1">IFERROR(__xludf.DUMMYFUNCTION("""COMPUTED_VALUE"""),37679)</f>
        <v>37679</v>
      </c>
      <c r="F55" s="23" t="str">
        <f ca="1">IFERROR(__xludf.DUMMYFUNCTION("""COMPUTED_VALUE"""),"K27DLK1")</f>
        <v>K27DLK1</v>
      </c>
      <c r="G55" s="23" t="str">
        <f ca="1">IFERROR(__xludf.DUMMYFUNCTION("""COMPUTED_VALUE"""),"Quản trị Du lịch &amp; Khách sạn")</f>
        <v>Quản trị Du lịch &amp; Khách sạn</v>
      </c>
      <c r="H55" s="23">
        <f ca="1">IFERROR(__xludf.DUMMYFUNCTION("""COMPUTED_VALUE"""),27)</f>
        <v>27</v>
      </c>
      <c r="I55" s="23" t="str">
        <f ca="1">IFERROR(__xludf.DUMMYFUNCTION("""COMPUTED_VALUE"""),"0369949927")</f>
        <v>0369949927</v>
      </c>
      <c r="J55" s="23" t="str">
        <f ca="1">IFERROR(__xludf.DUMMYFUNCTION("""COMPUTED_VALUE"""),"Chuyên đề")</f>
        <v>Chuyên đề</v>
      </c>
      <c r="K55" s="23" t="str">
        <f ca="1">IFERROR(__xludf.DUMMYFUNCTION("""COMPUTED_VALUE"""),"Diamond Sea Hotel")</f>
        <v>Diamond Sea Hotel</v>
      </c>
      <c r="L55" s="23"/>
      <c r="M55" s="23" t="str">
        <f ca="1">IFERROR(__xludf.DUMMYFUNCTION("""COMPUTED_VALUE"""),"232 võ nguyên giáp , Quận sơn trà , Đà nẵng")</f>
        <v>232 võ nguyên giáp , Quận sơn trà , Đà nẵng</v>
      </c>
      <c r="N55" s="23" t="str">
        <f ca="1">IFERROR(__xludf.DUMMYFUNCTION("""COMPUTED_VALUE"""),"TP. Đà Nẵng")</f>
        <v>TP. Đà Nẵng</v>
      </c>
      <c r="O55" s="23" t="str">
        <f ca="1">IFERROR(__xludf.DUMMYFUNCTION("""COMPUTED_VALUE"""),"Buồng phòng")</f>
        <v>Buồng phòng</v>
      </c>
      <c r="P55" s="23"/>
      <c r="Q55" s="23" t="str">
        <f ca="1">IFERROR(__xludf.DUMMYFUNCTION("""COMPUTED_VALUE"""),"14/1/2025")</f>
        <v>14/1/2025</v>
      </c>
      <c r="R55" s="23" t="str">
        <f ca="1">IFERROR(__xludf.DUMMYFUNCTION("""COMPUTED_VALUE"""),"cam kết")</f>
        <v>cam kết</v>
      </c>
      <c r="S55" s="23" t="str">
        <f ca="1">IFERROR(__xludf.DUMMYFUNCTION("""COMPUTED_VALUE"""),"Chuyên đề")</f>
        <v>Chuyên đề</v>
      </c>
      <c r="T55" s="23"/>
      <c r="U55" s="27">
        <f ca="1">IFERROR(__xludf.DUMMYFUNCTION("""COMPUTED_VALUE"""),45698)</f>
        <v>45698</v>
      </c>
      <c r="V55" s="27">
        <f ca="1">IFERROR(__xludf.DUMMYFUNCTION("""COMPUTED_VALUE"""),45787)</f>
        <v>45787</v>
      </c>
      <c r="W55" s="23">
        <f ca="1">IFERROR(__xludf.DUMMYFUNCTION("""COMPUTED_VALUE"""),54)</f>
        <v>54</v>
      </c>
      <c r="X55" s="23" t="str">
        <f ca="1">IFERROR(__xludf.DUMMYFUNCTION("""COMPUTED_VALUE"""),"14/01/2025")</f>
        <v>14/01/2025</v>
      </c>
      <c r="Y55" s="23" t="str">
        <f ca="1">IFERROR(__xludf.DUMMYFUNCTION("""COMPUTED_VALUE"""),"DUYỆT")</f>
        <v>DUYỆT</v>
      </c>
      <c r="Z55" s="23" t="str">
        <f ca="1">IFERROR(__xludf.DUMMYFUNCTION("""COMPUTED_VALUE"""),"14/01/2025")</f>
        <v>14/01/2025</v>
      </c>
      <c r="AA55" s="23" t="str">
        <f ca="1">IFERROR(__xludf.DUMMYFUNCTION("""COMPUTED_VALUE"""),"Diamond Sea Hotel")</f>
        <v>Diamond Sea Hotel</v>
      </c>
      <c r="AB55" s="23" t="str">
        <f ca="1">IFERROR(__xludf.DUMMYFUNCTION("""COMPUTED_VALUE"""),"Buồng phòng")</f>
        <v>Buồng phòng</v>
      </c>
      <c r="AC55" s="23"/>
      <c r="AD55" s="23"/>
      <c r="AE55" s="23" t="str">
        <f ca="1">IFERROR(__xludf.DUMMYFUNCTION("""COMPUTED_VALUE"""),"")</f>
        <v/>
      </c>
      <c r="AF55" s="23" t="str">
        <f ca="1">IFERROR(__xludf.DUMMYFUNCTION("""COMPUTED_VALUE"""),"CHUYÊN ĐỀ")</f>
        <v>CHUYÊN ĐỀ</v>
      </c>
      <c r="AG55" s="23" t="str">
        <f ca="1">IFERROR(__xludf.DUMMYFUNCTION("""COMPUTED_VALUE"""),"Dương Thị Xuân Diệu")</f>
        <v>Dương Thị Xuân Diệu</v>
      </c>
    </row>
    <row r="56" spans="1:33" ht="12.75" x14ac:dyDescent="0.2">
      <c r="A56" s="26">
        <f ca="1">IFERROR(__xludf.DUMMYFUNCTION("""COMPUTED_VALUE"""),45671.4746426967)</f>
        <v>45671.474642696703</v>
      </c>
      <c r="B56" s="23" t="str">
        <f ca="1">IFERROR(__xludf.DUMMYFUNCTION("""COMPUTED_VALUE"""),"phamthithanhhuyen60@gmail.com")</f>
        <v>phamthithanhhuyen60@gmail.com</v>
      </c>
      <c r="C56" s="23">
        <f ca="1">IFERROR(__xludf.DUMMYFUNCTION("""COMPUTED_VALUE"""),27207139716)</f>
        <v>27207139716</v>
      </c>
      <c r="D56" s="23" t="str">
        <f ca="1">IFERROR(__xludf.DUMMYFUNCTION("""COMPUTED_VALUE"""),"PHẠM THỊ THANH HUYỀN")</f>
        <v>PHẠM THỊ THANH HUYỀN</v>
      </c>
      <c r="E56" s="27">
        <f ca="1">IFERROR(__xludf.DUMMYFUNCTION("""COMPUTED_VALUE"""),37723)</f>
        <v>37723</v>
      </c>
      <c r="F56" s="23" t="str">
        <f ca="1">IFERROR(__xludf.DUMMYFUNCTION("""COMPUTED_VALUE"""),"K27DLK1")</f>
        <v>K27DLK1</v>
      </c>
      <c r="G56" s="23" t="str">
        <f ca="1">IFERROR(__xludf.DUMMYFUNCTION("""COMPUTED_VALUE"""),"Quản trị Du lịch &amp; Khách sạn")</f>
        <v>Quản trị Du lịch &amp; Khách sạn</v>
      </c>
      <c r="H56" s="23">
        <f ca="1">IFERROR(__xludf.DUMMYFUNCTION("""COMPUTED_VALUE"""),27)</f>
        <v>27</v>
      </c>
      <c r="I56" s="23" t="str">
        <f ca="1">IFERROR(__xludf.DUMMYFUNCTION("""COMPUTED_VALUE"""),"0984796664")</f>
        <v>0984796664</v>
      </c>
      <c r="J56" s="23" t="str">
        <f ca="1">IFERROR(__xludf.DUMMYFUNCTION("""COMPUTED_VALUE"""),"Chuyên đề")</f>
        <v>Chuyên đề</v>
      </c>
      <c r="K56" s="23" t="str">
        <f ca="1">IFERROR(__xludf.DUMMYFUNCTION("""COMPUTED_VALUE"""),"Vanda Hotel")</f>
        <v>Vanda Hotel</v>
      </c>
      <c r="L56" s="23"/>
      <c r="M56" s="23" t="str">
        <f ca="1">IFERROR(__xludf.DUMMYFUNCTION("""COMPUTED_VALUE"""),"03 Đ. Nguyễn Văn Linh, Bình Hiên, Hải Châu, Đà Nẵng 550000")</f>
        <v>03 Đ. Nguyễn Văn Linh, Bình Hiên, Hải Châu, Đà Nẵng 550000</v>
      </c>
      <c r="N56" s="23" t="str">
        <f ca="1">IFERROR(__xludf.DUMMYFUNCTION("""COMPUTED_VALUE"""),"ĐÀ NẴNG")</f>
        <v>ĐÀ NẴNG</v>
      </c>
      <c r="O56" s="23" t="str">
        <f ca="1">IFERROR(__xludf.DUMMYFUNCTION("""COMPUTED_VALUE"""),"Buồng phòng")</f>
        <v>Buồng phòng</v>
      </c>
      <c r="P56" s="23"/>
      <c r="Q56" s="23" t="str">
        <f ca="1">IFERROR(__xludf.DUMMYFUNCTION("""COMPUTED_VALUE"""),"14/01/2025")</f>
        <v>14/01/2025</v>
      </c>
      <c r="R56" s="23" t="str">
        <f ca="1">IFERROR(__xludf.DUMMYFUNCTION("""COMPUTED_VALUE"""),"cam kết")</f>
        <v>cam kết</v>
      </c>
      <c r="S56" s="23" t="str">
        <f ca="1">IFERROR(__xludf.DUMMYFUNCTION("""COMPUTED_VALUE"""),"Chuyên đề")</f>
        <v>Chuyên đề</v>
      </c>
      <c r="T56" s="23"/>
      <c r="U56" s="27">
        <f ca="1">IFERROR(__xludf.DUMMYFUNCTION("""COMPUTED_VALUE"""),45698)</f>
        <v>45698</v>
      </c>
      <c r="V56" s="27">
        <f ca="1">IFERROR(__xludf.DUMMYFUNCTION("""COMPUTED_VALUE"""),45787)</f>
        <v>45787</v>
      </c>
      <c r="W56" s="23">
        <f ca="1">IFERROR(__xludf.DUMMYFUNCTION("""COMPUTED_VALUE"""),55)</f>
        <v>55</v>
      </c>
      <c r="X56" s="23" t="str">
        <f ca="1">IFERROR(__xludf.DUMMYFUNCTION("""COMPUTED_VALUE"""),"14/01/2025")</f>
        <v>14/01/2025</v>
      </c>
      <c r="Y56" s="23" t="str">
        <f ca="1">IFERROR(__xludf.DUMMYFUNCTION("""COMPUTED_VALUE"""),"DUYỆT")</f>
        <v>DUYỆT</v>
      </c>
      <c r="Z56" s="23" t="str">
        <f ca="1">IFERROR(__xludf.DUMMYFUNCTION("""COMPUTED_VALUE"""),"14/01/2025")</f>
        <v>14/01/2025</v>
      </c>
      <c r="AA56" s="23" t="str">
        <f ca="1">IFERROR(__xludf.DUMMYFUNCTION("""COMPUTED_VALUE"""),"Vanda Hotel")</f>
        <v>Vanda Hotel</v>
      </c>
      <c r="AB56" s="23" t="str">
        <f ca="1">IFERROR(__xludf.DUMMYFUNCTION("""COMPUTED_VALUE"""),"Buồng phòng")</f>
        <v>Buồng phòng</v>
      </c>
      <c r="AC56" s="23"/>
      <c r="AD56" s="23"/>
      <c r="AE56" s="23" t="str">
        <f ca="1">IFERROR(__xludf.DUMMYFUNCTION("""COMPUTED_VALUE"""),"")</f>
        <v/>
      </c>
      <c r="AF56" s="23" t="str">
        <f ca="1">IFERROR(__xludf.DUMMYFUNCTION("""COMPUTED_VALUE"""),"CHUYÊN ĐỀ")</f>
        <v>CHUYÊN ĐỀ</v>
      </c>
      <c r="AG56" s="23" t="str">
        <f ca="1">IFERROR(__xludf.DUMMYFUNCTION("""COMPUTED_VALUE"""),"Trịnh Thị Kim Chung")</f>
        <v>Trịnh Thị Kim Chung</v>
      </c>
    </row>
    <row r="57" spans="1:33" ht="12.75" x14ac:dyDescent="0.2">
      <c r="A57" s="26">
        <f ca="1">IFERROR(__xludf.DUMMYFUNCTION("""COMPUTED_VALUE"""),45671.6560662268)</f>
        <v>45671.656066226802</v>
      </c>
      <c r="B57" s="23" t="str">
        <f ca="1">IFERROR(__xludf.DUMMYFUNCTION("""COMPUTED_VALUE"""),"hoanmy2608@gmail.com")</f>
        <v>hoanmy2608@gmail.com</v>
      </c>
      <c r="C57" s="23">
        <f ca="1">IFERROR(__xludf.DUMMYFUNCTION("""COMPUTED_VALUE"""),27203841651)</f>
        <v>27203841651</v>
      </c>
      <c r="D57" s="23" t="str">
        <f ca="1">IFERROR(__xludf.DUMMYFUNCTION("""COMPUTED_VALUE"""),"Trần Thị Hoàn Mỹ ")</f>
        <v xml:space="preserve">Trần Thị Hoàn Mỹ </v>
      </c>
      <c r="E57" s="27">
        <f ca="1">IFERROR(__xludf.DUMMYFUNCTION("""COMPUTED_VALUE"""),37494)</f>
        <v>37494</v>
      </c>
      <c r="F57" s="23" t="str">
        <f ca="1">IFERROR(__xludf.DUMMYFUNCTION("""COMPUTED_VALUE"""),"K27DLK4")</f>
        <v>K27DLK4</v>
      </c>
      <c r="G57" s="23" t="str">
        <f ca="1">IFERROR(__xludf.DUMMYFUNCTION("""COMPUTED_VALUE"""),"Quản trị Du lịch &amp; Khách sạn")</f>
        <v>Quản trị Du lịch &amp; Khách sạn</v>
      </c>
      <c r="H57" s="23">
        <f ca="1">IFERROR(__xludf.DUMMYFUNCTION("""COMPUTED_VALUE"""),27)</f>
        <v>27</v>
      </c>
      <c r="I57" s="23" t="str">
        <f ca="1">IFERROR(__xludf.DUMMYFUNCTION("""COMPUTED_VALUE"""),"0977499424")</f>
        <v>0977499424</v>
      </c>
      <c r="J57" s="23" t="str">
        <f ca="1">IFERROR(__xludf.DUMMYFUNCTION("""COMPUTED_VALUE"""),"Chuyên đề")</f>
        <v>Chuyên đề</v>
      </c>
      <c r="K57" s="23" t="str">
        <f ca="1">IFERROR(__xludf.DUMMYFUNCTION("""COMPUTED_VALUE"""),"Maximilan Danang Beach Hotel")</f>
        <v>Maximilan Danang Beach Hotel</v>
      </c>
      <c r="L57" s="23"/>
      <c r="M57" s="23" t="str">
        <f ca="1">IFERROR(__xludf.DUMMYFUNCTION("""COMPUTED_VALUE"""),"222 Võ Nguyên Giáp, Sơn Trà, Đà Nẵng")</f>
        <v>222 Võ Nguyên Giáp, Sơn Trà, Đà Nẵng</v>
      </c>
      <c r="N57" s="23" t="str">
        <f ca="1">IFERROR(__xludf.DUMMYFUNCTION("""COMPUTED_VALUE"""),"Đà Nẵng")</f>
        <v>Đà Nẵng</v>
      </c>
      <c r="O57" s="23" t="str">
        <f ca="1">IFERROR(__xludf.DUMMYFUNCTION("""COMPUTED_VALUE"""),"Tiền sảnh")</f>
        <v>Tiền sảnh</v>
      </c>
      <c r="P57" s="23"/>
      <c r="Q57" s="23" t="str">
        <f ca="1">IFERROR(__xludf.DUMMYFUNCTION("""COMPUTED_VALUE"""),"14/1/2025")</f>
        <v>14/1/2025</v>
      </c>
      <c r="R57" s="23" t="str">
        <f ca="1">IFERROR(__xludf.DUMMYFUNCTION("""COMPUTED_VALUE"""),"cam kết")</f>
        <v>cam kết</v>
      </c>
      <c r="S57" s="23" t="str">
        <f ca="1">IFERROR(__xludf.DUMMYFUNCTION("""COMPUTED_VALUE"""),"Chuyên đề")</f>
        <v>Chuyên đề</v>
      </c>
      <c r="T57" s="23"/>
      <c r="U57" s="27">
        <f ca="1">IFERROR(__xludf.DUMMYFUNCTION("""COMPUTED_VALUE"""),45663)</f>
        <v>45663</v>
      </c>
      <c r="V57" s="27">
        <f ca="1">IFERROR(__xludf.DUMMYFUNCTION("""COMPUTED_VALUE"""),45746)</f>
        <v>45746</v>
      </c>
      <c r="W57" s="23">
        <f ca="1">IFERROR(__xludf.DUMMYFUNCTION("""COMPUTED_VALUE"""),56)</f>
        <v>56</v>
      </c>
      <c r="X57" s="23"/>
      <c r="Y57" s="23" t="str">
        <f ca="1">IFERROR(__xludf.DUMMYFUNCTION("""COMPUTED_VALUE"""),"DUYỆT")</f>
        <v>DUYỆT</v>
      </c>
      <c r="Z57" s="23" t="str">
        <f ca="1">IFERROR(__xludf.DUMMYFUNCTION("""COMPUTED_VALUE"""),"14/01/2025")</f>
        <v>14/01/2025</v>
      </c>
      <c r="AA57" s="23" t="str">
        <f ca="1">IFERROR(__xludf.DUMMYFUNCTION("""COMPUTED_VALUE"""),"Maximilan Danang Beach Hotel")</f>
        <v>Maximilan Danang Beach Hotel</v>
      </c>
      <c r="AB57" s="23" t="str">
        <f ca="1">IFERROR(__xludf.DUMMYFUNCTION("""COMPUTED_VALUE"""),"Tiền sảnh")</f>
        <v>Tiền sảnh</v>
      </c>
      <c r="AC57" s="23"/>
      <c r="AD57" s="23"/>
      <c r="AE57" s="23" t="str">
        <f ca="1">IFERROR(__xludf.DUMMYFUNCTION("""COMPUTED_VALUE"""),"")</f>
        <v/>
      </c>
      <c r="AF57" s="23" t="str">
        <f ca="1">IFERROR(__xludf.DUMMYFUNCTION("""COMPUTED_VALUE"""),"không đủ điều kiện")</f>
        <v>không đủ điều kiện</v>
      </c>
      <c r="AG57" s="23"/>
    </row>
    <row r="58" spans="1:33" ht="12.75" x14ac:dyDescent="0.2">
      <c r="A58" s="26">
        <f ca="1">IFERROR(__xludf.DUMMYFUNCTION("""COMPUTED_VALUE"""),45671.6793953125)</f>
        <v>45671.679395312502</v>
      </c>
      <c r="B58" s="23" t="str">
        <f ca="1">IFERROR(__xludf.DUMMYFUNCTION("""COMPUTED_VALUE"""),"buivanphongx01@gmail.com")</f>
        <v>buivanphongx01@gmail.com</v>
      </c>
      <c r="C58" s="23">
        <f ca="1">IFERROR(__xludf.DUMMYFUNCTION("""COMPUTED_VALUE"""),27217138091)</f>
        <v>27217138091</v>
      </c>
      <c r="D58" s="23" t="str">
        <f ca="1">IFERROR(__xludf.DUMMYFUNCTION("""COMPUTED_VALUE"""),"Bùi Văn Phong")</f>
        <v>Bùi Văn Phong</v>
      </c>
      <c r="E58" s="27">
        <f ca="1">IFERROR(__xludf.DUMMYFUNCTION("""COMPUTED_VALUE"""),37898)</f>
        <v>37898</v>
      </c>
      <c r="F58" s="23" t="str">
        <f ca="1">IFERROR(__xludf.DUMMYFUNCTION("""COMPUTED_VALUE"""),"K27DLK3")</f>
        <v>K27DLK3</v>
      </c>
      <c r="G58" s="23" t="str">
        <f ca="1">IFERROR(__xludf.DUMMYFUNCTION("""COMPUTED_VALUE"""),"Quản trị Du lịch &amp; Khách sạn")</f>
        <v>Quản trị Du lịch &amp; Khách sạn</v>
      </c>
      <c r="H58" s="23">
        <f ca="1">IFERROR(__xludf.DUMMYFUNCTION("""COMPUTED_VALUE"""),27)</f>
        <v>27</v>
      </c>
      <c r="I58" s="23" t="str">
        <f ca="1">IFERROR(__xludf.DUMMYFUNCTION("""COMPUTED_VALUE"""),"0964704645")</f>
        <v>0964704645</v>
      </c>
      <c r="J58" s="23" t="str">
        <f ca="1">IFERROR(__xludf.DUMMYFUNCTION("""COMPUTED_VALUE"""),"Chuyên đề")</f>
        <v>Chuyên đề</v>
      </c>
      <c r="K58" s="23" t="str">
        <f ca="1">IFERROR(__xludf.DUMMYFUNCTION("""COMPUTED_VALUE"""),"DLG Hotel DaNang")</f>
        <v>DLG Hotel DaNang</v>
      </c>
      <c r="L58" s="23"/>
      <c r="M58" s="23" t="str">
        <f ca="1">IFERROR(__xludf.DUMMYFUNCTION("""COMPUTED_VALUE"""),"258 Võ Nguyên Giáp - Phước Mỹ - Sơn Trà - Đà Nẵng")</f>
        <v>258 Võ Nguyên Giáp - Phước Mỹ - Sơn Trà - Đà Nẵng</v>
      </c>
      <c r="N58" s="23" t="str">
        <f ca="1">IFERROR(__xludf.DUMMYFUNCTION("""COMPUTED_VALUE"""),"Đà Nẵng")</f>
        <v>Đà Nẵng</v>
      </c>
      <c r="O58" s="23" t="str">
        <f ca="1">IFERROR(__xludf.DUMMYFUNCTION("""COMPUTED_VALUE"""),"Buồng phòng")</f>
        <v>Buồng phòng</v>
      </c>
      <c r="P58" s="23"/>
      <c r="Q58" s="23" t="str">
        <f ca="1">IFERROR(__xludf.DUMMYFUNCTION("""COMPUTED_VALUE"""),"13/1/2025")</f>
        <v>13/1/2025</v>
      </c>
      <c r="R58" s="23" t="str">
        <f ca="1">IFERROR(__xludf.DUMMYFUNCTION("""COMPUTED_VALUE"""),"cam kết")</f>
        <v>cam kết</v>
      </c>
      <c r="S58" s="23" t="str">
        <f ca="1">IFERROR(__xludf.DUMMYFUNCTION("""COMPUTED_VALUE"""),"Chuyên đề")</f>
        <v>Chuyên đề</v>
      </c>
      <c r="T58" s="23"/>
      <c r="U58" s="27">
        <f ca="1">IFERROR(__xludf.DUMMYFUNCTION("""COMPUTED_VALUE"""),45698)</f>
        <v>45698</v>
      </c>
      <c r="V58" s="27">
        <f ca="1">IFERROR(__xludf.DUMMYFUNCTION("""COMPUTED_VALUE"""),45787)</f>
        <v>45787</v>
      </c>
      <c r="W58" s="23">
        <f ca="1">IFERROR(__xludf.DUMMYFUNCTION("""COMPUTED_VALUE"""),57)</f>
        <v>57</v>
      </c>
      <c r="X58" s="23" t="str">
        <f ca="1">IFERROR(__xludf.DUMMYFUNCTION("""COMPUTED_VALUE"""),"21/01/2025")</f>
        <v>21/01/2025</v>
      </c>
      <c r="Y58" s="23" t="str">
        <f ca="1">IFERROR(__xludf.DUMMYFUNCTION("""COMPUTED_VALUE"""),"DUYỆT")</f>
        <v>DUYỆT</v>
      </c>
      <c r="Z58" s="23" t="str">
        <f ca="1">IFERROR(__xludf.DUMMYFUNCTION("""COMPUTED_VALUE"""),"14/01/2025")</f>
        <v>14/01/2025</v>
      </c>
      <c r="AA58" s="23" t="str">
        <f ca="1">IFERROR(__xludf.DUMMYFUNCTION("""COMPUTED_VALUE"""),"DLG Hotel DaNang")</f>
        <v>DLG Hotel DaNang</v>
      </c>
      <c r="AB58" s="23" t="str">
        <f ca="1">IFERROR(__xludf.DUMMYFUNCTION("""COMPUTED_VALUE"""),"Buồng phòng")</f>
        <v>Buồng phòng</v>
      </c>
      <c r="AC58" s="23"/>
      <c r="AD58" s="23" t="str">
        <f ca="1">IFERROR(__xludf.DUMMYFUNCTION("""COMPUTED_VALUE"""),"SV ghi sai mssv, đến ngày 20/01/2025 Khoa vẫn chưa gửi giấy giới thiệu")</f>
        <v>SV ghi sai mssv, đến ngày 20/01/2025 Khoa vẫn chưa gửi giấy giới thiệu</v>
      </c>
      <c r="AE58" s="23" t="str">
        <f ca="1">IFERROR(__xludf.DUMMYFUNCTION("""COMPUTED_VALUE"""),"")</f>
        <v/>
      </c>
      <c r="AF58" s="23" t="str">
        <f ca="1">IFERROR(__xludf.DUMMYFUNCTION("""COMPUTED_VALUE"""),"CHUYÊN ĐỀ")</f>
        <v>CHUYÊN ĐỀ</v>
      </c>
      <c r="AG58" s="23" t="str">
        <f ca="1">IFERROR(__xludf.DUMMYFUNCTION("""COMPUTED_VALUE"""),"Trần Hoàng Anh")</f>
        <v>Trần Hoàng Anh</v>
      </c>
    </row>
    <row r="59" spans="1:33" ht="12.75" x14ac:dyDescent="0.2">
      <c r="A59" s="26">
        <f ca="1">IFERROR(__xludf.DUMMYFUNCTION("""COMPUTED_VALUE"""),45671.687512037)</f>
        <v>45671.687512037002</v>
      </c>
      <c r="B59" s="23" t="str">
        <f ca="1">IFERROR(__xludf.DUMMYFUNCTION("""COMPUTED_VALUE"""),"ngocngabao68@gmail.com")</f>
        <v>ngocngabao68@gmail.com</v>
      </c>
      <c r="C59" s="23">
        <f ca="1">IFERROR(__xludf.DUMMYFUNCTION("""COMPUTED_VALUE"""),27217152519)</f>
        <v>27217152519</v>
      </c>
      <c r="D59" s="23" t="str">
        <f ca="1">IFERROR(__xludf.DUMMYFUNCTION("""COMPUTED_VALUE"""),"Nguyễn Xuân Bảo ")</f>
        <v xml:space="preserve">Nguyễn Xuân Bảo </v>
      </c>
      <c r="E59" s="27">
        <f ca="1">IFERROR(__xludf.DUMMYFUNCTION("""COMPUTED_VALUE"""),37700)</f>
        <v>37700</v>
      </c>
      <c r="F59" s="23" t="str">
        <f ca="1">IFERROR(__xludf.DUMMYFUNCTION("""COMPUTED_VALUE"""),"K27DLK7")</f>
        <v>K27DLK7</v>
      </c>
      <c r="G59" s="23" t="str">
        <f ca="1">IFERROR(__xludf.DUMMYFUNCTION("""COMPUTED_VALUE"""),"Quản trị Du lịch &amp; Khách sạn")</f>
        <v>Quản trị Du lịch &amp; Khách sạn</v>
      </c>
      <c r="H59" s="23">
        <f ca="1">IFERROR(__xludf.DUMMYFUNCTION("""COMPUTED_VALUE"""),27)</f>
        <v>27</v>
      </c>
      <c r="I59" s="23" t="str">
        <f ca="1">IFERROR(__xludf.DUMMYFUNCTION("""COMPUTED_VALUE"""),"0358273324")</f>
        <v>0358273324</v>
      </c>
      <c r="J59" s="23" t="str">
        <f ca="1">IFERROR(__xludf.DUMMYFUNCTION("""COMPUTED_VALUE"""),"Chuyên đề")</f>
        <v>Chuyên đề</v>
      </c>
      <c r="K59" s="23" t="str">
        <f ca="1">IFERROR(__xludf.DUMMYFUNCTION("""COMPUTED_VALUE"""),"Satya Danang Hotel")</f>
        <v>Satya Danang Hotel</v>
      </c>
      <c r="L59" s="23"/>
      <c r="M59" s="23" t="str">
        <f ca="1">IFERROR(__xludf.DUMMYFUNCTION("""COMPUTED_VALUE"""),"155 Trần Phú, Quận Hải Châu, Đà Nẵng")</f>
        <v>155 Trần Phú, Quận Hải Châu, Đà Nẵng</v>
      </c>
      <c r="N59" s="23" t="str">
        <f ca="1">IFERROR(__xludf.DUMMYFUNCTION("""COMPUTED_VALUE"""),"Đà Nẵng")</f>
        <v>Đà Nẵng</v>
      </c>
      <c r="O59" s="23" t="str">
        <f ca="1">IFERROR(__xludf.DUMMYFUNCTION("""COMPUTED_VALUE"""),"Nhà hàng")</f>
        <v>Nhà hàng</v>
      </c>
      <c r="P59" s="23"/>
      <c r="Q59" s="23" t="str">
        <f ca="1">IFERROR(__xludf.DUMMYFUNCTION("""COMPUTED_VALUE"""),"14/01/2025")</f>
        <v>14/01/2025</v>
      </c>
      <c r="R59" s="23" t="str">
        <f ca="1">IFERROR(__xludf.DUMMYFUNCTION("""COMPUTED_VALUE"""),"cam kết")</f>
        <v>cam kết</v>
      </c>
      <c r="S59" s="23" t="str">
        <f ca="1">IFERROR(__xludf.DUMMYFUNCTION("""COMPUTED_VALUE"""),"Chuyên đề")</f>
        <v>Chuyên đề</v>
      </c>
      <c r="T59" s="23"/>
      <c r="U59" s="27">
        <f ca="1">IFERROR(__xludf.DUMMYFUNCTION("""COMPUTED_VALUE"""),45698)</f>
        <v>45698</v>
      </c>
      <c r="V59" s="27">
        <f ca="1">IFERROR(__xludf.DUMMYFUNCTION("""COMPUTED_VALUE"""),45787)</f>
        <v>45787</v>
      </c>
      <c r="W59" s="23">
        <f ca="1">IFERROR(__xludf.DUMMYFUNCTION("""COMPUTED_VALUE"""),58)</f>
        <v>58</v>
      </c>
      <c r="X59" s="23" t="str">
        <f ca="1">IFERROR(__xludf.DUMMYFUNCTION("""COMPUTED_VALUE"""),"14/01/2025")</f>
        <v>14/01/2025</v>
      </c>
      <c r="Y59" s="23" t="str">
        <f ca="1">IFERROR(__xludf.DUMMYFUNCTION("""COMPUTED_VALUE"""),"DUYỆT")</f>
        <v>DUYỆT</v>
      </c>
      <c r="Z59" s="23" t="str">
        <f ca="1">IFERROR(__xludf.DUMMYFUNCTION("""COMPUTED_VALUE"""),"14/01/2025")</f>
        <v>14/01/2025</v>
      </c>
      <c r="AA59" s="23" t="str">
        <f ca="1">IFERROR(__xludf.DUMMYFUNCTION("""COMPUTED_VALUE"""),"Satya Danang Hotel")</f>
        <v>Satya Danang Hotel</v>
      </c>
      <c r="AB59" s="23" t="str">
        <f ca="1">IFERROR(__xludf.DUMMYFUNCTION("""COMPUTED_VALUE"""),"Nhà hàng")</f>
        <v>Nhà hàng</v>
      </c>
      <c r="AC59" s="23"/>
      <c r="AD59" s="23" t="str">
        <f ca="1">IFERROR(__xludf.DUMMYFUNCTION("""COMPUTED_VALUE"""),"chưa có thông tin người hướng dẫn tại ks")</f>
        <v>chưa có thông tin người hướng dẫn tại ks</v>
      </c>
      <c r="AE59" s="23" t="str">
        <f ca="1">IFERROR(__xludf.DUMMYFUNCTION("""COMPUTED_VALUE"""),"")</f>
        <v/>
      </c>
      <c r="AF59" s="23" t="str">
        <f ca="1">IFERROR(__xludf.DUMMYFUNCTION("""COMPUTED_VALUE"""),"không đủ điều kiện")</f>
        <v>không đủ điều kiện</v>
      </c>
      <c r="AG59" s="23"/>
    </row>
    <row r="60" spans="1:33" ht="12.75" x14ac:dyDescent="0.2">
      <c r="A60" s="26">
        <f ca="1">IFERROR(__xludf.DUMMYFUNCTION("""COMPUTED_VALUE"""),45671.6961109259)</f>
        <v>45671.696110925899</v>
      </c>
      <c r="B60" s="23" t="str">
        <f ca="1">IFERROR(__xludf.DUMMYFUNCTION("""COMPUTED_VALUE"""),"duyanhcunguyen@gmail.com")</f>
        <v>duyanhcunguyen@gmail.com</v>
      </c>
      <c r="C60" s="23">
        <f ca="1">IFERROR(__xludf.DUMMYFUNCTION("""COMPUTED_VALUE"""),25217104606)</f>
        <v>25217104606</v>
      </c>
      <c r="D60" s="23" t="str">
        <f ca="1">IFERROR(__xludf.DUMMYFUNCTION("""COMPUTED_VALUE"""),"Cù Nguyễn Duy Anh")</f>
        <v>Cù Nguyễn Duy Anh</v>
      </c>
      <c r="E60" s="27">
        <f ca="1">IFERROR(__xludf.DUMMYFUNCTION("""COMPUTED_VALUE"""),37249)</f>
        <v>37249</v>
      </c>
      <c r="F60" s="23" t="str">
        <f ca="1">IFERROR(__xludf.DUMMYFUNCTION("""COMPUTED_VALUE"""),"K25 PSU DLK 11")</f>
        <v>K25 PSU DLK 11</v>
      </c>
      <c r="G60" s="23" t="str">
        <f ca="1">IFERROR(__xludf.DUMMYFUNCTION("""COMPUTED_VALUE"""),"Quản trị Du lịch &amp; Khách sạn chuẩn PSU")</f>
        <v>Quản trị Du lịch &amp; Khách sạn chuẩn PSU</v>
      </c>
      <c r="H60" s="23">
        <f ca="1">IFERROR(__xludf.DUMMYFUNCTION("""COMPUTED_VALUE"""),25)</f>
        <v>25</v>
      </c>
      <c r="I60" s="23" t="str">
        <f ca="1">IFERROR(__xludf.DUMMYFUNCTION("""COMPUTED_VALUE"""),"0707885127")</f>
        <v>0707885127</v>
      </c>
      <c r="J60" s="23" t="str">
        <f ca="1">IFERROR(__xludf.DUMMYFUNCTION("""COMPUTED_VALUE"""),"Chuyên đề")</f>
        <v>Chuyên đề</v>
      </c>
      <c r="K60" s="23" t="str">
        <f ca="1">IFERROR(__xludf.DUMMYFUNCTION("""COMPUTED_VALUE"""),"Brilliant Hotel")</f>
        <v>Brilliant Hotel</v>
      </c>
      <c r="L60" s="23"/>
      <c r="M60" s="23" t="str">
        <f ca="1">IFERROR(__xludf.DUMMYFUNCTION("""COMPUTED_VALUE"""),"162 Bạch Đằng, Hải Châu 1, Hải Châu, Đà Nẵng")</f>
        <v>162 Bạch Đằng, Hải Châu 1, Hải Châu, Đà Nẵng</v>
      </c>
      <c r="N60" s="23" t="str">
        <f ca="1">IFERROR(__xludf.DUMMYFUNCTION("""COMPUTED_VALUE"""),"Tp Đà Nẵng")</f>
        <v>Tp Đà Nẵng</v>
      </c>
      <c r="O60" s="23" t="str">
        <f ca="1">IFERROR(__xludf.DUMMYFUNCTION("""COMPUTED_VALUE"""),"Tiền sảnh")</f>
        <v>Tiền sảnh</v>
      </c>
      <c r="P60" s="23"/>
      <c r="Q60" s="23" t="str">
        <f ca="1">IFERROR(__xludf.DUMMYFUNCTION("""COMPUTED_VALUE"""),"14/01/2025")</f>
        <v>14/01/2025</v>
      </c>
      <c r="R60" s="23" t="str">
        <f ca="1">IFERROR(__xludf.DUMMYFUNCTION("""COMPUTED_VALUE"""),"cam kết")</f>
        <v>cam kết</v>
      </c>
      <c r="S60" s="23" t="str">
        <f ca="1">IFERROR(__xludf.DUMMYFUNCTION("""COMPUTED_VALUE"""),"Chuyên đề")</f>
        <v>Chuyên đề</v>
      </c>
      <c r="T60" s="23" t="str">
        <f ca="1">IFERROR(__xludf.DUMMYFUNCTION("""COMPUTED_VALUE"""),"Hồ Sử Minh Tài")</f>
        <v>Hồ Sử Minh Tài</v>
      </c>
      <c r="U60" s="27">
        <f ca="1">IFERROR(__xludf.DUMMYFUNCTION("""COMPUTED_VALUE"""),45698)</f>
        <v>45698</v>
      </c>
      <c r="V60" s="27">
        <f ca="1">IFERROR(__xludf.DUMMYFUNCTION("""COMPUTED_VALUE"""),45787)</f>
        <v>45787</v>
      </c>
      <c r="W60" s="23">
        <f ca="1">IFERROR(__xludf.DUMMYFUNCTION("""COMPUTED_VALUE"""),59)</f>
        <v>59</v>
      </c>
      <c r="X60" s="28">
        <f ca="1">IFERROR(__xludf.DUMMYFUNCTION("""COMPUTED_VALUE"""),45840)</f>
        <v>45840</v>
      </c>
      <c r="Y60" s="23" t="str">
        <f ca="1">IFERROR(__xludf.DUMMYFUNCTION("""COMPUTED_VALUE"""),"DUYỆT")</f>
        <v>DUYỆT</v>
      </c>
      <c r="Z60" s="23" t="str">
        <f ca="1">IFERROR(__xludf.DUMMYFUNCTION("""COMPUTED_VALUE"""),"14/01/2025")</f>
        <v>14/01/2025</v>
      </c>
      <c r="AA60" s="23" t="str">
        <f ca="1">IFERROR(__xludf.DUMMYFUNCTION("""COMPUTED_VALUE"""),"Brilliant Hotel")</f>
        <v>Brilliant Hotel</v>
      </c>
      <c r="AB60" s="23" t="str">
        <f ca="1">IFERROR(__xludf.DUMMYFUNCTION("""COMPUTED_VALUE"""),"Tiền sảnh")</f>
        <v>Tiền sảnh</v>
      </c>
      <c r="AC60" s="23" t="str">
        <f ca="1">IFERROR(__xludf.DUMMYFUNCTION("""COMPUTED_VALUE"""),"ĐÃ NỘP")</f>
        <v>ĐÃ NỘP</v>
      </c>
      <c r="AD60" s="23" t="str">
        <f ca="1">IFERROR(__xludf.DUMMYFUNCTION("""COMPUTED_VALUE"""),"trưởng khoa đã duyệt đơn, phiếu tiếp nhận chưa có thông tin người trực tiếp hướng dẫn tại DN.
Sinh viên nhận lại nhận xét đánh giá của Doanh nghiệp")</f>
        <v>trưởng khoa đã duyệt đơn, phiếu tiếp nhận chưa có thông tin người trực tiếp hướng dẫn tại DN.
Sinh viên nhận lại nhận xét đánh giá của Doanh nghiệp</v>
      </c>
      <c r="AE60" s="23" t="str">
        <f ca="1">IFERROR(__xludf.DUMMYFUNCTION("""COMPUTED_VALUE"""),"")</f>
        <v/>
      </c>
      <c r="AF60" s="23" t="str">
        <f ca="1">IFERROR(__xludf.DUMMYFUNCTION("""COMPUTED_VALUE"""),"CHUYÊN ĐỀ")</f>
        <v>CHUYÊN ĐỀ</v>
      </c>
      <c r="AG60" s="23" t="str">
        <f ca="1">IFERROR(__xludf.DUMMYFUNCTION("""COMPUTED_VALUE"""),"Nguyễn Thị Minh Thư")</f>
        <v>Nguyễn Thị Minh Thư</v>
      </c>
    </row>
    <row r="61" spans="1:33" ht="12.75" x14ac:dyDescent="0.2">
      <c r="A61" s="26">
        <f ca="1">IFERROR(__xludf.DUMMYFUNCTION("""COMPUTED_VALUE"""),45671.7034943055)</f>
        <v>45671.703494305497</v>
      </c>
      <c r="B61" s="23" t="str">
        <f ca="1">IFERROR(__xludf.DUMMYFUNCTION("""COMPUTED_VALUE"""),"lungocman1234@gmail.com")</f>
        <v>lungocman1234@gmail.com</v>
      </c>
      <c r="C61" s="23">
        <f ca="1">IFERROR(__xludf.DUMMYFUNCTION("""COMPUTED_VALUE"""),24207102344)</f>
        <v>24207102344</v>
      </c>
      <c r="D61" s="23" t="str">
        <f ca="1">IFERROR(__xludf.DUMMYFUNCTION("""COMPUTED_VALUE"""),"Lư Ngọc Mẫn")</f>
        <v>Lư Ngọc Mẫn</v>
      </c>
      <c r="E61" s="27">
        <f ca="1">IFERROR(__xludf.DUMMYFUNCTION("""COMPUTED_VALUE"""),35873)</f>
        <v>35873</v>
      </c>
      <c r="F61" s="23" t="str">
        <f ca="1">IFERROR(__xludf.DUMMYFUNCTION("""COMPUTED_VALUE"""),"K25DLK20")</f>
        <v>K25DLK20</v>
      </c>
      <c r="G61" s="23" t="str">
        <f ca="1">IFERROR(__xludf.DUMMYFUNCTION("""COMPUTED_VALUE"""),"Quản trị Du lịch &amp; Khách sạn")</f>
        <v>Quản trị Du lịch &amp; Khách sạn</v>
      </c>
      <c r="H61" s="23">
        <f ca="1">IFERROR(__xludf.DUMMYFUNCTION("""COMPUTED_VALUE"""),25)</f>
        <v>25</v>
      </c>
      <c r="I61" s="23" t="str">
        <f ca="1">IFERROR(__xludf.DUMMYFUNCTION("""COMPUTED_VALUE"""),"0906757487")</f>
        <v>0906757487</v>
      </c>
      <c r="J61" s="23" t="str">
        <f ca="1">IFERROR(__xludf.DUMMYFUNCTION("""COMPUTED_VALUE"""),"Chuyên đề")</f>
        <v>Chuyên đề</v>
      </c>
      <c r="K61" s="23" t="str">
        <f ca="1">IFERROR(__xludf.DUMMYFUNCTION("""COMPUTED_VALUE"""),"New Orient Hotel Đà Nẵng")</f>
        <v>New Orient Hotel Đà Nẵng</v>
      </c>
      <c r="L61" s="23"/>
      <c r="M61" s="23" t="str">
        <f ca="1">IFERROR(__xludf.DUMMYFUNCTION("""COMPUTED_VALUE"""),"20 Đống Đa, Thuận Phước, Hải Châu, Đà Nẵng")</f>
        <v>20 Đống Đa, Thuận Phước, Hải Châu, Đà Nẵng</v>
      </c>
      <c r="N61" s="23" t="str">
        <f ca="1">IFERROR(__xludf.DUMMYFUNCTION("""COMPUTED_VALUE"""),"Đà Nẵng")</f>
        <v>Đà Nẵng</v>
      </c>
      <c r="O61" s="23" t="str">
        <f ca="1">IFERROR(__xludf.DUMMYFUNCTION("""COMPUTED_VALUE"""),"Tiền sảnh")</f>
        <v>Tiền sảnh</v>
      </c>
      <c r="P61" s="23"/>
      <c r="Q61" s="23" t="str">
        <f ca="1">IFERROR(__xludf.DUMMYFUNCTION("""COMPUTED_VALUE"""),"7/2/2025")</f>
        <v>7/2/2025</v>
      </c>
      <c r="R61" s="23" t="str">
        <f ca="1">IFERROR(__xludf.DUMMYFUNCTION("""COMPUTED_VALUE"""),"cam kết")</f>
        <v>cam kết</v>
      </c>
      <c r="S61" s="23" t="str">
        <f ca="1">IFERROR(__xludf.DUMMYFUNCTION("""COMPUTED_VALUE"""),"Chuyên đề")</f>
        <v>Chuyên đề</v>
      </c>
      <c r="T61" s="23" t="str">
        <f ca="1">IFERROR(__xludf.DUMMYFUNCTION("""COMPUTED_VALUE"""),"Mai Thị Thương")</f>
        <v>Mai Thị Thương</v>
      </c>
      <c r="U61" s="27">
        <f ca="1">IFERROR(__xludf.DUMMYFUNCTION("""COMPUTED_VALUE"""),45698)</f>
        <v>45698</v>
      </c>
      <c r="V61" s="27">
        <f ca="1">IFERROR(__xludf.DUMMYFUNCTION("""COMPUTED_VALUE"""),45787)</f>
        <v>45787</v>
      </c>
      <c r="W61" s="23">
        <f ca="1">IFERROR(__xludf.DUMMYFUNCTION("""COMPUTED_VALUE"""),60)</f>
        <v>60</v>
      </c>
      <c r="X61" s="28">
        <f ca="1">IFERROR(__xludf.DUMMYFUNCTION("""COMPUTED_VALUE"""),45963)</f>
        <v>45963</v>
      </c>
      <c r="Y61" s="23" t="str">
        <f ca="1">IFERROR(__xludf.DUMMYFUNCTION("""COMPUTED_VALUE"""),"DUYỆT")</f>
        <v>DUYỆT</v>
      </c>
      <c r="Z61" s="23" t="str">
        <f ca="1">IFERROR(__xludf.DUMMYFUNCTION("""COMPUTED_VALUE"""),"18/01/2025")</f>
        <v>18/01/2025</v>
      </c>
      <c r="AA61" s="23" t="str">
        <f ca="1">IFERROR(__xludf.DUMMYFUNCTION("""COMPUTED_VALUE"""),"New Orient Hotel Đà Nẵng")</f>
        <v>New Orient Hotel Đà Nẵng</v>
      </c>
      <c r="AB61" s="23" t="str">
        <f ca="1">IFERROR(__xludf.DUMMYFUNCTION("""COMPUTED_VALUE"""),"Tiền sảnh")</f>
        <v>Tiền sảnh</v>
      </c>
      <c r="AC61" s="23" t="str">
        <f ca="1">IFERROR(__xludf.DUMMYFUNCTION("""COMPUTED_VALUE"""),"ĐÃ NỘP")</f>
        <v>ĐÃ NỘP</v>
      </c>
      <c r="AD61" s="23"/>
      <c r="AE61" s="23" t="str">
        <f ca="1">IFERROR(__xludf.DUMMYFUNCTION("""COMPUTED_VALUE"""),"")</f>
        <v/>
      </c>
      <c r="AF61" s="23" t="str">
        <f ca="1">IFERROR(__xludf.DUMMYFUNCTION("""COMPUTED_VALUE"""),"CHUYÊN ĐỀ")</f>
        <v>CHUYÊN ĐỀ</v>
      </c>
      <c r="AG61" s="23" t="str">
        <f ca="1">IFERROR(__xludf.DUMMYFUNCTION("""COMPUTED_VALUE"""),"Ngô Thị Thanh Nga")</f>
        <v>Ngô Thị Thanh Nga</v>
      </c>
    </row>
    <row r="62" spans="1:33" ht="12.75" x14ac:dyDescent="0.2">
      <c r="A62" s="26">
        <f ca="1">IFERROR(__xludf.DUMMYFUNCTION("""COMPUTED_VALUE"""),45671.7063641782)</f>
        <v>45671.706364178201</v>
      </c>
      <c r="B62" s="23" t="str">
        <f ca="1">IFERROR(__xludf.DUMMYFUNCTION("""COMPUTED_VALUE"""),"ngomynuong0403@gmail.com")</f>
        <v>ngomynuong0403@gmail.com</v>
      </c>
      <c r="C62" s="23">
        <f ca="1">IFERROR(__xludf.DUMMYFUNCTION("""COMPUTED_VALUE"""),27207128299)</f>
        <v>27207128299</v>
      </c>
      <c r="D62" s="23" t="str">
        <f ca="1">IFERROR(__xludf.DUMMYFUNCTION("""COMPUTED_VALUE"""),"Ngô Thị Mỹ Nương")</f>
        <v>Ngô Thị Mỹ Nương</v>
      </c>
      <c r="E62" s="27">
        <f ca="1">IFERROR(__xludf.DUMMYFUNCTION("""COMPUTED_VALUE"""),37684)</f>
        <v>37684</v>
      </c>
      <c r="F62" s="23" t="str">
        <f ca="1">IFERROR(__xludf.DUMMYFUNCTION("""COMPUTED_VALUE"""),"K27DLK3")</f>
        <v>K27DLK3</v>
      </c>
      <c r="G62" s="23" t="str">
        <f ca="1">IFERROR(__xludf.DUMMYFUNCTION("""COMPUTED_VALUE"""),"Quản trị Du lịch &amp; Khách sạn")</f>
        <v>Quản trị Du lịch &amp; Khách sạn</v>
      </c>
      <c r="H62" s="23">
        <f ca="1">IFERROR(__xludf.DUMMYFUNCTION("""COMPUTED_VALUE"""),27)</f>
        <v>27</v>
      </c>
      <c r="I62" s="23" t="str">
        <f ca="1">IFERROR(__xludf.DUMMYFUNCTION("""COMPUTED_VALUE"""),"0394556635")</f>
        <v>0394556635</v>
      </c>
      <c r="J62" s="23" t="str">
        <f ca="1">IFERROR(__xludf.DUMMYFUNCTION("""COMPUTED_VALUE"""),"Chuyên đề")</f>
        <v>Chuyên đề</v>
      </c>
      <c r="K62" s="23" t="str">
        <f ca="1">IFERROR(__xludf.DUMMYFUNCTION("""COMPUTED_VALUE"""),"DLG Hotel DaNang")</f>
        <v>DLG Hotel DaNang</v>
      </c>
      <c r="L62" s="23"/>
      <c r="M62" s="23" t="str">
        <f ca="1">IFERROR(__xludf.DUMMYFUNCTION("""COMPUTED_VALUE"""),"258 Võ Nguyên Giáp - Phước Mỹ - Sơn Trà - Đà Nẵng ")</f>
        <v xml:space="preserve">258 Võ Nguyên Giáp - Phước Mỹ - Sơn Trà - Đà Nẵng </v>
      </c>
      <c r="N62" s="23" t="str">
        <f ca="1">IFERROR(__xludf.DUMMYFUNCTION("""COMPUTED_VALUE"""),"Đà Nẵng")</f>
        <v>Đà Nẵng</v>
      </c>
      <c r="O62" s="23" t="str">
        <f ca="1">IFERROR(__xludf.DUMMYFUNCTION("""COMPUTED_VALUE"""),"Buồng phòng")</f>
        <v>Buồng phòng</v>
      </c>
      <c r="P62" s="23"/>
      <c r="Q62" s="23" t="str">
        <f ca="1">IFERROR(__xludf.DUMMYFUNCTION("""COMPUTED_VALUE"""),"14/01/2025")</f>
        <v>14/01/2025</v>
      </c>
      <c r="R62" s="23" t="str">
        <f ca="1">IFERROR(__xludf.DUMMYFUNCTION("""COMPUTED_VALUE"""),"cam kết")</f>
        <v>cam kết</v>
      </c>
      <c r="S62" s="23" t="str">
        <f ca="1">IFERROR(__xludf.DUMMYFUNCTION("""COMPUTED_VALUE"""),"Chuyên đề")</f>
        <v>Chuyên đề</v>
      </c>
      <c r="T62" s="23"/>
      <c r="U62" s="27">
        <f ca="1">IFERROR(__xludf.DUMMYFUNCTION("""COMPUTED_VALUE"""),45670)</f>
        <v>45670</v>
      </c>
      <c r="V62" s="27">
        <f ca="1">IFERROR(__xludf.DUMMYFUNCTION("""COMPUTED_VALUE"""),45771)</f>
        <v>45771</v>
      </c>
      <c r="W62" s="23">
        <f ca="1">IFERROR(__xludf.DUMMYFUNCTION("""COMPUTED_VALUE"""),61)</f>
        <v>61</v>
      </c>
      <c r="X62" s="23" t="str">
        <f ca="1">IFERROR(__xludf.DUMMYFUNCTION("""COMPUTED_VALUE"""),"16/01/2025")</f>
        <v>16/01/2025</v>
      </c>
      <c r="Y62" s="23" t="str">
        <f ca="1">IFERROR(__xludf.DUMMYFUNCTION("""COMPUTED_VALUE"""),"DUYỆT")</f>
        <v>DUYỆT</v>
      </c>
      <c r="Z62" s="23" t="str">
        <f ca="1">IFERROR(__xludf.DUMMYFUNCTION("""COMPUTED_VALUE"""),"16/01/2025")</f>
        <v>16/01/2025</v>
      </c>
      <c r="AA62" s="23" t="str">
        <f ca="1">IFERROR(__xludf.DUMMYFUNCTION("""COMPUTED_VALUE"""),"DLG Hotel DaNang")</f>
        <v>DLG Hotel DaNang</v>
      </c>
      <c r="AB62" s="23" t="str">
        <f ca="1">IFERROR(__xludf.DUMMYFUNCTION("""COMPUTED_VALUE"""),"Buồng phòng")</f>
        <v>Buồng phòng</v>
      </c>
      <c r="AC62" s="23"/>
      <c r="AD62" s="23"/>
      <c r="AE62" s="23" t="str">
        <f ca="1">IFERROR(__xludf.DUMMYFUNCTION("""COMPUTED_VALUE"""),"")</f>
        <v/>
      </c>
      <c r="AF62" s="23" t="str">
        <f ca="1">IFERROR(__xludf.DUMMYFUNCTION("""COMPUTED_VALUE"""),"CHUYÊN ĐỀ")</f>
        <v>CHUYÊN ĐỀ</v>
      </c>
      <c r="AG62" s="23" t="str">
        <f ca="1">IFERROR(__xludf.DUMMYFUNCTION("""COMPUTED_VALUE"""),"Trần Hoàng Anh")</f>
        <v>Trần Hoàng Anh</v>
      </c>
    </row>
    <row r="63" spans="1:33" ht="12.75" x14ac:dyDescent="0.2">
      <c r="A63" s="26">
        <f ca="1">IFERROR(__xludf.DUMMYFUNCTION("""COMPUTED_VALUE"""),45698.6540230671)</f>
        <v>45698.654023067102</v>
      </c>
      <c r="B63" s="23" t="str">
        <f ca="1">IFERROR(__xludf.DUMMYFUNCTION("""COMPUTED_VALUE"""),"tranthithuytien151103@gmail.com")</f>
        <v>tranthithuytien151103@gmail.com</v>
      </c>
      <c r="C63" s="23">
        <f ca="1">IFERROR(__xludf.DUMMYFUNCTION("""COMPUTED_VALUE"""),27207102076)</f>
        <v>27207102076</v>
      </c>
      <c r="D63" s="23" t="str">
        <f ca="1">IFERROR(__xludf.DUMMYFUNCTION("""COMPUTED_VALUE"""),"Trần Thị Thủy Tiên ")</f>
        <v xml:space="preserve">Trần Thị Thủy Tiên </v>
      </c>
      <c r="E63" s="27">
        <f ca="1">IFERROR(__xludf.DUMMYFUNCTION("""COMPUTED_VALUE"""),37940)</f>
        <v>37940</v>
      </c>
      <c r="F63" s="23" t="str">
        <f ca="1">IFERROR(__xludf.DUMMYFUNCTION("""COMPUTED_VALUE"""),"K27DLK6 ")</f>
        <v xml:space="preserve">K27DLK6 </v>
      </c>
      <c r="G63" s="23" t="str">
        <f ca="1">IFERROR(__xludf.DUMMYFUNCTION("""COMPUTED_VALUE"""),"Quản trị Du lịch &amp; Khách sạn")</f>
        <v>Quản trị Du lịch &amp; Khách sạn</v>
      </c>
      <c r="H63" s="23">
        <f ca="1">IFERROR(__xludf.DUMMYFUNCTION("""COMPUTED_VALUE"""),27)</f>
        <v>27</v>
      </c>
      <c r="I63" s="23" t="str">
        <f ca="1">IFERROR(__xludf.DUMMYFUNCTION("""COMPUTED_VALUE"""),"0772557388")</f>
        <v>0772557388</v>
      </c>
      <c r="J63" s="23" t="str">
        <f ca="1">IFERROR(__xludf.DUMMYFUNCTION("""COMPUTED_VALUE"""),"Chuyên đề")</f>
        <v>Chuyên đề</v>
      </c>
      <c r="K63" s="23" t="str">
        <f ca="1">IFERROR(__xludf.DUMMYFUNCTION("""COMPUTED_VALUE"""),"Grand Mercure Đà Nẵng")</f>
        <v>Grand Mercure Đà Nẵng</v>
      </c>
      <c r="L63" s="23"/>
      <c r="M63" s="23" t="str">
        <f ca="1">IFERROR(__xludf.DUMMYFUNCTION("""COMPUTED_VALUE"""),"Lô A1 Khu biệt thự Đảo Xanh, phường Hòa Cường Bắc, quận Hải Châu, Đà Nẵng, Việt Nam")</f>
        <v>Lô A1 Khu biệt thự Đảo Xanh, phường Hòa Cường Bắc, quận Hải Châu, Đà Nẵng, Việt Nam</v>
      </c>
      <c r="N63" s="23" t="str">
        <f ca="1">IFERROR(__xludf.DUMMYFUNCTION("""COMPUTED_VALUE"""),"Đà Nẵng")</f>
        <v>Đà Nẵng</v>
      </c>
      <c r="O63" s="23" t="str">
        <f ca="1">IFERROR(__xludf.DUMMYFUNCTION("""COMPUTED_VALUE"""),"Nhà hàng")</f>
        <v>Nhà hàng</v>
      </c>
      <c r="P63" s="23"/>
      <c r="Q63" s="23" t="str">
        <f ca="1">IFERROR(__xludf.DUMMYFUNCTION("""COMPUTED_VALUE"""),"10/2/2025")</f>
        <v>10/2/2025</v>
      </c>
      <c r="R63" s="23" t="str">
        <f ca="1">IFERROR(__xludf.DUMMYFUNCTION("""COMPUTED_VALUE"""),"cam kết")</f>
        <v>cam kết</v>
      </c>
      <c r="S63" s="23" t="str">
        <f ca="1">IFERROR(__xludf.DUMMYFUNCTION("""COMPUTED_VALUE"""),"Chuyên đề")</f>
        <v>Chuyên đề</v>
      </c>
      <c r="T63" s="23"/>
      <c r="U63" s="27">
        <f ca="1">IFERROR(__xludf.DUMMYFUNCTION("""COMPUTED_VALUE"""),45695)</f>
        <v>45695</v>
      </c>
      <c r="V63" s="27">
        <f ca="1">IFERROR(__xludf.DUMMYFUNCTION("""COMPUTED_VALUE"""),45783)</f>
        <v>45783</v>
      </c>
      <c r="W63" s="23">
        <f ca="1">IFERROR(__xludf.DUMMYFUNCTION("""COMPUTED_VALUE"""),62)</f>
        <v>62</v>
      </c>
      <c r="X63" s="28">
        <f ca="1">IFERROR(__xludf.DUMMYFUNCTION("""COMPUTED_VALUE"""),45963)</f>
        <v>45963</v>
      </c>
      <c r="Y63" s="23" t="str">
        <f ca="1">IFERROR(__xludf.DUMMYFUNCTION("""COMPUTED_VALUE"""),"DUYỆT")</f>
        <v>DUYỆT</v>
      </c>
      <c r="Z63" s="23" t="str">
        <f ca="1">IFERROR(__xludf.DUMMYFUNCTION("""COMPUTED_VALUE"""),"18/01/2025")</f>
        <v>18/01/2025</v>
      </c>
      <c r="AA63" s="23" t="str">
        <f ca="1">IFERROR(__xludf.DUMMYFUNCTION("""COMPUTED_VALUE"""),"Grand Mercure Đà Nẵng")</f>
        <v>Grand Mercure Đà Nẵng</v>
      </c>
      <c r="AB63" s="23" t="str">
        <f ca="1">IFERROR(__xludf.DUMMYFUNCTION("""COMPUTED_VALUE"""),"Nhà hàng")</f>
        <v>Nhà hàng</v>
      </c>
      <c r="AC63" s="23"/>
      <c r="AD63" s="23"/>
      <c r="AE63" s="23" t="str">
        <f ca="1">IFERROR(__xludf.DUMMYFUNCTION("""COMPUTED_VALUE"""),"")</f>
        <v/>
      </c>
      <c r="AF63" s="23" t="str">
        <f ca="1">IFERROR(__xludf.DUMMYFUNCTION("""COMPUTED_VALUE"""),"CHUYÊN ĐỀ")</f>
        <v>CHUYÊN ĐỀ</v>
      </c>
      <c r="AG63" s="23" t="str">
        <f ca="1">IFERROR(__xludf.DUMMYFUNCTION("""COMPUTED_VALUE"""),"Võ Đức Hiếu")</f>
        <v>Võ Đức Hiếu</v>
      </c>
    </row>
    <row r="64" spans="1:33" ht="12.75" x14ac:dyDescent="0.2">
      <c r="A64" s="26">
        <f ca="1">IFERROR(__xludf.DUMMYFUNCTION("""COMPUTED_VALUE"""),45680.8440803703)</f>
        <v>45680.844080370298</v>
      </c>
      <c r="B64" s="23" t="str">
        <f ca="1">IFERROR(__xludf.DUMMYFUNCTION("""COMPUTED_VALUE"""),"tranthamai123@gmail.com")</f>
        <v>tranthamai123@gmail.com</v>
      </c>
      <c r="C64" s="23">
        <f ca="1">IFERROR(__xludf.DUMMYFUNCTION("""COMPUTED_VALUE"""),27207131471)</f>
        <v>27207131471</v>
      </c>
      <c r="D64" s="23" t="str">
        <f ca="1">IFERROR(__xludf.DUMMYFUNCTION("""COMPUTED_VALUE"""),"Nguyễn Yến Nhi")</f>
        <v>Nguyễn Yến Nhi</v>
      </c>
      <c r="E64" s="27">
        <f ca="1">IFERROR(__xludf.DUMMYFUNCTION("""COMPUTED_VALUE"""),37879)</f>
        <v>37879</v>
      </c>
      <c r="F64" s="23" t="str">
        <f ca="1">IFERROR(__xludf.DUMMYFUNCTION("""COMPUTED_VALUE"""),"K27PSUDLK1")</f>
        <v>K27PSUDLK1</v>
      </c>
      <c r="G64" s="23" t="str">
        <f ca="1">IFERROR(__xludf.DUMMYFUNCTION("""COMPUTED_VALUE"""),"Quản trị Du lịch &amp; Khách sạn chuẩn PSU")</f>
        <v>Quản trị Du lịch &amp; Khách sạn chuẩn PSU</v>
      </c>
      <c r="H64" s="23">
        <f ca="1">IFERROR(__xludf.DUMMYFUNCTION("""COMPUTED_VALUE"""),27)</f>
        <v>27</v>
      </c>
      <c r="I64" s="23" t="str">
        <f ca="1">IFERROR(__xludf.DUMMYFUNCTION("""COMPUTED_VALUE"""),"0362069800")</f>
        <v>0362069800</v>
      </c>
      <c r="J64" s="23" t="str">
        <f ca="1">IFERROR(__xludf.DUMMYFUNCTION("""COMPUTED_VALUE"""),"Chuyên đề")</f>
        <v>Chuyên đề</v>
      </c>
      <c r="K64" s="23" t="str">
        <f ca="1">IFERROR(__xludf.DUMMYFUNCTION("""COMPUTED_VALUE"""),"Hyatt regency DaNang Resort")</f>
        <v>Hyatt regency DaNang Resort</v>
      </c>
      <c r="L64" s="23"/>
      <c r="M64" s="23" t="str">
        <f ca="1">IFERROR(__xludf.DUMMYFUNCTION("""COMPUTED_VALUE"""),"120A Nguyễn Văn Thoại, Bắc Phú Mỹ, Ngũ Hành Sơn, Đà Nẵng")</f>
        <v>120A Nguyễn Văn Thoại, Bắc Phú Mỹ, Ngũ Hành Sơn, Đà Nẵng</v>
      </c>
      <c r="N64" s="23" t="str">
        <f ca="1">IFERROR(__xludf.DUMMYFUNCTION("""COMPUTED_VALUE"""),"Thành phố Đà Nẵng")</f>
        <v>Thành phố Đà Nẵng</v>
      </c>
      <c r="O64" s="23" t="str">
        <f ca="1">IFERROR(__xludf.DUMMYFUNCTION("""COMPUTED_VALUE"""),"Tiền sảnh")</f>
        <v>Tiền sảnh</v>
      </c>
      <c r="P64" s="23"/>
      <c r="Q64" s="23" t="str">
        <f ca="1">IFERROR(__xludf.DUMMYFUNCTION("""COMPUTED_VALUE"""),"05/02/2025")</f>
        <v>05/02/2025</v>
      </c>
      <c r="R64" s="23" t="str">
        <f ca="1">IFERROR(__xludf.DUMMYFUNCTION("""COMPUTED_VALUE"""),"cam kết")</f>
        <v>cam kết</v>
      </c>
      <c r="S64" s="23" t="str">
        <f ca="1">IFERROR(__xludf.DUMMYFUNCTION("""COMPUTED_VALUE"""),"Chuyên đề")</f>
        <v>Chuyên đề</v>
      </c>
      <c r="T64" s="23" t="str">
        <f ca="1">IFERROR(__xludf.DUMMYFUNCTION("""COMPUTED_VALUE"""),"Hồ Sử Minh Tài")</f>
        <v>Hồ Sử Minh Tài</v>
      </c>
      <c r="U64" s="27">
        <f ca="1">IFERROR(__xludf.DUMMYFUNCTION("""COMPUTED_VALUE"""),45691)</f>
        <v>45691</v>
      </c>
      <c r="V64" s="27">
        <f ca="1">IFERROR(__xludf.DUMMYFUNCTION("""COMPUTED_VALUE"""),45780)</f>
        <v>45780</v>
      </c>
      <c r="W64" s="23">
        <f ca="1">IFERROR(__xludf.DUMMYFUNCTION("""COMPUTED_VALUE"""),63)</f>
        <v>63</v>
      </c>
      <c r="X64" s="28">
        <f ca="1">IFERROR(__xludf.DUMMYFUNCTION("""COMPUTED_VALUE"""),45810)</f>
        <v>45810</v>
      </c>
      <c r="Y64" s="23" t="str">
        <f ca="1">IFERROR(__xludf.DUMMYFUNCTION("""COMPUTED_VALUE"""),"DUYỆT")</f>
        <v>DUYỆT</v>
      </c>
      <c r="Z64" s="28">
        <f ca="1">IFERROR(__xludf.DUMMYFUNCTION("""COMPUTED_VALUE"""),45779)</f>
        <v>45779</v>
      </c>
      <c r="AA64" s="23" t="str">
        <f ca="1">IFERROR(__xludf.DUMMYFUNCTION("""COMPUTED_VALUE"""),"Hyatt regency DaNang Resort")</f>
        <v>Hyatt regency DaNang Resort</v>
      </c>
      <c r="AB64" s="23" t="str">
        <f ca="1">IFERROR(__xludf.DUMMYFUNCTION("""COMPUTED_VALUE"""),"Tiền sảnh")</f>
        <v>Tiền sảnh</v>
      </c>
      <c r="AC64" s="23"/>
      <c r="AD64" s="23" t="str">
        <f ca="1">IFERROR(__xludf.DUMMYFUNCTION("""COMPUTED_VALUE"""),"chưa có thông tin người hướng dẫn tại ks")</f>
        <v>chưa có thông tin người hướng dẫn tại ks</v>
      </c>
      <c r="AE64" s="23" t="str">
        <f ca="1">IFERROR(__xludf.DUMMYFUNCTION("""COMPUTED_VALUE"""),"")</f>
        <v/>
      </c>
      <c r="AF64" s="23" t="str">
        <f ca="1">IFERROR(__xludf.DUMMYFUNCTION("""COMPUTED_VALUE"""),"CHUYÊN ĐỀ")</f>
        <v>CHUYÊN ĐỀ</v>
      </c>
      <c r="AG64" s="23" t="str">
        <f ca="1">IFERROR(__xludf.DUMMYFUNCTION("""COMPUTED_VALUE"""),"Mai Thị Thương")</f>
        <v>Mai Thị Thương</v>
      </c>
    </row>
    <row r="65" spans="1:33" ht="12.75" x14ac:dyDescent="0.2">
      <c r="A65" s="26">
        <f ca="1">IFERROR(__xludf.DUMMYFUNCTION("""COMPUTED_VALUE"""),45672.4773091203)</f>
        <v>45672.477309120302</v>
      </c>
      <c r="B65" s="23" t="str">
        <f ca="1">IFERROR(__xludf.DUMMYFUNCTION("""COMPUTED_VALUE"""),"nguyenvulananh0502@gmail.com")</f>
        <v>nguyenvulananh0502@gmail.com</v>
      </c>
      <c r="C65" s="23">
        <f ca="1">IFERROR(__xludf.DUMMYFUNCTION("""COMPUTED_VALUE"""),27207128489)</f>
        <v>27207128489</v>
      </c>
      <c r="D65" s="23" t="str">
        <f ca="1">IFERROR(__xludf.DUMMYFUNCTION("""COMPUTED_VALUE"""),"Nguyễn Vũ Lan Anh")</f>
        <v>Nguyễn Vũ Lan Anh</v>
      </c>
      <c r="E65" s="27">
        <f ca="1">IFERROR(__xludf.DUMMYFUNCTION("""COMPUTED_VALUE"""),37865)</f>
        <v>37865</v>
      </c>
      <c r="F65" s="23" t="str">
        <f ca="1">IFERROR(__xludf.DUMMYFUNCTION("""COMPUTED_VALUE"""),"K27PSUDLH")</f>
        <v>K27PSUDLH</v>
      </c>
      <c r="G65" s="23" t="str">
        <f ca="1">IFERROR(__xludf.DUMMYFUNCTION("""COMPUTED_VALUE"""),"Quản trị Du lịch &amp; Nhà hàng chuẩn PSU")</f>
        <v>Quản trị Du lịch &amp; Nhà hàng chuẩn PSU</v>
      </c>
      <c r="H65" s="23">
        <f ca="1">IFERROR(__xludf.DUMMYFUNCTION("""COMPUTED_VALUE"""),27)</f>
        <v>27</v>
      </c>
      <c r="I65" s="23" t="str">
        <f ca="1">IFERROR(__xludf.DUMMYFUNCTION("""COMPUTED_VALUE"""),"0398496791")</f>
        <v>0398496791</v>
      </c>
      <c r="J65" s="23" t="str">
        <f ca="1">IFERROR(__xludf.DUMMYFUNCTION("""COMPUTED_VALUE"""),"Khóa luận")</f>
        <v>Khóa luận</v>
      </c>
      <c r="K65" s="23" t="str">
        <f ca="1">IFERROR(__xludf.DUMMYFUNCTION("""COMPUTED_VALUE"""),"Meliá Danang Beach Resort")</f>
        <v>Meliá Danang Beach Resort</v>
      </c>
      <c r="L65" s="23" t="str">
        <f ca="1">IFERROR(__xludf.DUMMYFUNCTION("""COMPUTED_VALUE"""),"Meliá Danang Beach Resort")</f>
        <v>Meliá Danang Beach Resort</v>
      </c>
      <c r="M65" s="23" t="str">
        <f ca="1">IFERROR(__xludf.DUMMYFUNCTION("""COMPUTED_VALUE"""),"19 Trường Sa, Hoà Hải, Ngũ Hành Sơn, Đà Nẵng")</f>
        <v>19 Trường Sa, Hoà Hải, Ngũ Hành Sơn, Đà Nẵng</v>
      </c>
      <c r="N65" s="23" t="str">
        <f ca="1">IFERROR(__xludf.DUMMYFUNCTION("""COMPUTED_VALUE"""),"Đà Nẵng")</f>
        <v>Đà Nẵng</v>
      </c>
      <c r="O65" s="23" t="str">
        <f ca="1">IFERROR(__xludf.DUMMYFUNCTION("""COMPUTED_VALUE"""),"Nhà hàng")</f>
        <v>Nhà hàng</v>
      </c>
      <c r="P65" s="23"/>
      <c r="Q65" s="23" t="str">
        <f ca="1">IFERROR(__xludf.DUMMYFUNCTION("""COMPUTED_VALUE"""),"08/02/2025")</f>
        <v>08/02/2025</v>
      </c>
      <c r="R65" s="23" t="str">
        <f ca="1">IFERROR(__xludf.DUMMYFUNCTION("""COMPUTED_VALUE"""),"cam kết")</f>
        <v>cam kết</v>
      </c>
      <c r="S65" s="23" t="str">
        <f ca="1">IFERROR(__xludf.DUMMYFUNCTION("""COMPUTED_VALUE"""),"Khóa luận")</f>
        <v>Khóa luận</v>
      </c>
      <c r="T65" s="23" t="str">
        <f ca="1">IFERROR(__xludf.DUMMYFUNCTION("""COMPUTED_VALUE"""),"Mai Thị Thương")</f>
        <v>Mai Thị Thương</v>
      </c>
      <c r="U65" s="27">
        <f ca="1">IFERROR(__xludf.DUMMYFUNCTION("""COMPUTED_VALUE"""),45698)</f>
        <v>45698</v>
      </c>
      <c r="V65" s="27">
        <f ca="1">IFERROR(__xludf.DUMMYFUNCTION("""COMPUTED_VALUE"""),45787)</f>
        <v>45787</v>
      </c>
      <c r="W65" s="23">
        <f ca="1">IFERROR(__xludf.DUMMYFUNCTION("""COMPUTED_VALUE"""),64)</f>
        <v>64</v>
      </c>
      <c r="X65" s="28">
        <f ca="1">IFERROR(__xludf.DUMMYFUNCTION("""COMPUTED_VALUE"""),45810)</f>
        <v>45810</v>
      </c>
      <c r="Y65" s="23" t="str">
        <f ca="1">IFERROR(__xludf.DUMMYFUNCTION("""COMPUTED_VALUE"""),"DUYỆT")</f>
        <v>DUYỆT</v>
      </c>
      <c r="Z65" s="23" t="str">
        <f ca="1">IFERROR(__xludf.DUMMYFUNCTION("""COMPUTED_VALUE"""),"18/01/2025")</f>
        <v>18/01/2025</v>
      </c>
      <c r="AA65" s="23" t="str">
        <f ca="1">IFERROR(__xludf.DUMMYFUNCTION("""COMPUTED_VALUE"""),"Meliá Danang Beach Resort")</f>
        <v>Meliá Danang Beach Resort</v>
      </c>
      <c r="AB65" s="23" t="str">
        <f ca="1">IFERROR(__xludf.DUMMYFUNCTION("""COMPUTED_VALUE"""),"Nhà hàng")</f>
        <v>Nhà hàng</v>
      </c>
      <c r="AC65" s="23"/>
      <c r="AD65" s="23"/>
      <c r="AE65" s="23" t="str">
        <f ca="1">IFERROR(__xludf.DUMMYFUNCTION("""COMPUTED_VALUE"""),"")</f>
        <v/>
      </c>
      <c r="AF65" s="23" t="str">
        <f ca="1">IFERROR(__xludf.DUMMYFUNCTION("""COMPUTED_VALUE"""),"KHÓA LUẬN")</f>
        <v>KHÓA LUẬN</v>
      </c>
      <c r="AG65" s="23" t="str">
        <f ca="1">IFERROR(__xludf.DUMMYFUNCTION("""COMPUTED_VALUE"""),"Mai Thị Thương")</f>
        <v>Mai Thị Thương</v>
      </c>
    </row>
    <row r="66" spans="1:33" ht="12.75" x14ac:dyDescent="0.2">
      <c r="A66" s="26">
        <f ca="1">IFERROR(__xludf.DUMMYFUNCTION("""COMPUTED_VALUE"""),45693.7527734143)</f>
        <v>45693.7527734143</v>
      </c>
      <c r="B66" s="23" t="str">
        <f ca="1">IFERROR(__xludf.DUMMYFUNCTION("""COMPUTED_VALUE"""),"ctu17102003@gmail.com")</f>
        <v>ctu17102003@gmail.com</v>
      </c>
      <c r="C66" s="23">
        <f ca="1">IFERROR(__xludf.DUMMYFUNCTION("""COMPUTED_VALUE"""),27207142712)</f>
        <v>27207142712</v>
      </c>
      <c r="D66" s="23" t="str">
        <f ca="1">IFERROR(__xludf.DUMMYFUNCTION("""COMPUTED_VALUE"""),"Nguyễn Thị Cẩm Tú ")</f>
        <v xml:space="preserve">Nguyễn Thị Cẩm Tú </v>
      </c>
      <c r="E66" s="27">
        <f ca="1">IFERROR(__xludf.DUMMYFUNCTION("""COMPUTED_VALUE"""),37911)</f>
        <v>37911</v>
      </c>
      <c r="F66" s="23" t="str">
        <f ca="1">IFERROR(__xludf.DUMMYFUNCTION("""COMPUTED_VALUE"""),"K27DLK1")</f>
        <v>K27DLK1</v>
      </c>
      <c r="G66" s="23" t="str">
        <f ca="1">IFERROR(__xludf.DUMMYFUNCTION("""COMPUTED_VALUE"""),"Quản trị Du lịch &amp; Khách sạn")</f>
        <v>Quản trị Du lịch &amp; Khách sạn</v>
      </c>
      <c r="H66" s="23">
        <f ca="1">IFERROR(__xludf.DUMMYFUNCTION("""COMPUTED_VALUE"""),27)</f>
        <v>27</v>
      </c>
      <c r="I66" s="23" t="str">
        <f ca="1">IFERROR(__xludf.DUMMYFUNCTION("""COMPUTED_VALUE"""),"0935440401")</f>
        <v>0935440401</v>
      </c>
      <c r="J66" s="23" t="str">
        <f ca="1">IFERROR(__xludf.DUMMYFUNCTION("""COMPUTED_VALUE"""),"Chuyên đề")</f>
        <v>Chuyên đề</v>
      </c>
      <c r="K66" s="23" t="str">
        <f ca="1">IFERROR(__xludf.DUMMYFUNCTION("""COMPUTED_VALUE"""),"Grand Mercure Đà Nẵng")</f>
        <v>Grand Mercure Đà Nẵng</v>
      </c>
      <c r="L66" s="23"/>
      <c r="M66" s="23" t="str">
        <f ca="1">IFERROR(__xludf.DUMMYFUNCTION("""COMPUTED_VALUE""")," A1 Khu biệt thự Đảo Xanh, P. Hòa Cường Bắc, Q. Hải Châu, Đà Nẵng ")</f>
        <v xml:space="preserve"> A1 Khu biệt thự Đảo Xanh, P. Hòa Cường Bắc, Q. Hải Châu, Đà Nẵng </v>
      </c>
      <c r="N66" s="23" t="str">
        <f ca="1">IFERROR(__xludf.DUMMYFUNCTION("""COMPUTED_VALUE"""),"Đà Nẵng")</f>
        <v>Đà Nẵng</v>
      </c>
      <c r="O66" s="23" t="str">
        <f ca="1">IFERROR(__xludf.DUMMYFUNCTION("""COMPUTED_VALUE"""),"Nhà hàng")</f>
        <v>Nhà hàng</v>
      </c>
      <c r="P66" s="23"/>
      <c r="Q66" s="23" t="str">
        <f ca="1">IFERROR(__xludf.DUMMYFUNCTION("""COMPUTED_VALUE"""),"04/02/2025")</f>
        <v>04/02/2025</v>
      </c>
      <c r="R66" s="23" t="str">
        <f ca="1">IFERROR(__xludf.DUMMYFUNCTION("""COMPUTED_VALUE"""),"cam kết")</f>
        <v>cam kết</v>
      </c>
      <c r="S66" s="23" t="str">
        <f ca="1">IFERROR(__xludf.DUMMYFUNCTION("""COMPUTED_VALUE"""),"Chuyên đề")</f>
        <v>Chuyên đề</v>
      </c>
      <c r="T66" s="23" t="str">
        <f ca="1">IFERROR(__xludf.DUMMYFUNCTION("""COMPUTED_VALUE"""),"Dương Thị Xuân Diệu")</f>
        <v>Dương Thị Xuân Diệu</v>
      </c>
      <c r="U66" s="27">
        <f ca="1">IFERROR(__xludf.DUMMYFUNCTION("""COMPUTED_VALUE"""),45691)</f>
        <v>45691</v>
      </c>
      <c r="V66" s="27">
        <f ca="1">IFERROR(__xludf.DUMMYFUNCTION("""COMPUTED_VALUE"""),45779)</f>
        <v>45779</v>
      </c>
      <c r="W66" s="23">
        <f ca="1">IFERROR(__xludf.DUMMYFUNCTION("""COMPUTED_VALUE"""),65)</f>
        <v>65</v>
      </c>
      <c r="X66" s="28">
        <f ca="1">IFERROR(__xludf.DUMMYFUNCTION("""COMPUTED_VALUE"""),45779)</f>
        <v>45779</v>
      </c>
      <c r="Y66" s="23" t="str">
        <f ca="1">IFERROR(__xludf.DUMMYFUNCTION("""COMPUTED_VALUE"""),"DUYỆT")</f>
        <v>DUYỆT</v>
      </c>
      <c r="Z66" s="23" t="str">
        <f ca="1">IFERROR(__xludf.DUMMYFUNCTION("""COMPUTED_VALUE"""),"21/01/2025")</f>
        <v>21/01/2025</v>
      </c>
      <c r="AA66" s="23" t="str">
        <f ca="1">IFERROR(__xludf.DUMMYFUNCTION("""COMPUTED_VALUE"""),"Grand Mercure Đà Nẵng")</f>
        <v>Grand Mercure Đà Nẵng</v>
      </c>
      <c r="AB66" s="23" t="str">
        <f ca="1">IFERROR(__xludf.DUMMYFUNCTION("""COMPUTED_VALUE"""),"Nhà hàng")</f>
        <v>Nhà hàng</v>
      </c>
      <c r="AC66" s="23"/>
      <c r="AD66" s="23"/>
      <c r="AE66" s="23" t="str">
        <f ca="1">IFERROR(__xludf.DUMMYFUNCTION("""COMPUTED_VALUE"""),"")</f>
        <v/>
      </c>
      <c r="AF66" s="23" t="str">
        <f ca="1">IFERROR(__xludf.DUMMYFUNCTION("""COMPUTED_VALUE"""),"CHUYÊN ĐỀ")</f>
        <v>CHUYÊN ĐỀ</v>
      </c>
      <c r="AG66" s="23" t="str">
        <f ca="1">IFERROR(__xludf.DUMMYFUNCTION("""COMPUTED_VALUE"""),"Võ Đức Hiếu")</f>
        <v>Võ Đức Hiếu</v>
      </c>
    </row>
    <row r="67" spans="1:33" ht="12.75" x14ac:dyDescent="0.2">
      <c r="A67" s="26">
        <f ca="1">IFERROR(__xludf.DUMMYFUNCTION("""COMPUTED_VALUE"""),45672.6375893402)</f>
        <v>45672.6375893402</v>
      </c>
      <c r="B67" s="23" t="str">
        <f ca="1">IFERROR(__xludf.DUMMYFUNCTION("""COMPUTED_VALUE"""),"thanhqbcc@gmail.com")</f>
        <v>thanhqbcc@gmail.com</v>
      </c>
      <c r="C67" s="23">
        <f ca="1">IFERROR(__xludf.DUMMYFUNCTION("""COMPUTED_VALUE"""),27217142987)</f>
        <v>27217142987</v>
      </c>
      <c r="D67" s="23" t="str">
        <f ca="1">IFERROR(__xludf.DUMMYFUNCTION("""COMPUTED_VALUE"""),"Trần Văn Thành")</f>
        <v>Trần Văn Thành</v>
      </c>
      <c r="E67" s="27">
        <f ca="1">IFERROR(__xludf.DUMMYFUNCTION("""COMPUTED_VALUE"""),37869)</f>
        <v>37869</v>
      </c>
      <c r="F67" s="23" t="str">
        <f ca="1">IFERROR(__xludf.DUMMYFUNCTION("""COMPUTED_VALUE"""),"K27DLK3")</f>
        <v>K27DLK3</v>
      </c>
      <c r="G67" s="23" t="str">
        <f ca="1">IFERROR(__xludf.DUMMYFUNCTION("""COMPUTED_VALUE"""),"Quản trị Du lịch &amp; Khách sạn")</f>
        <v>Quản trị Du lịch &amp; Khách sạn</v>
      </c>
      <c r="H67" s="23">
        <f ca="1">IFERROR(__xludf.DUMMYFUNCTION("""COMPUTED_VALUE"""),27)</f>
        <v>27</v>
      </c>
      <c r="I67" s="23" t="str">
        <f ca="1">IFERROR(__xludf.DUMMYFUNCTION("""COMPUTED_VALUE"""),"0846033214")</f>
        <v>0846033214</v>
      </c>
      <c r="J67" s="23" t="str">
        <f ca="1">IFERROR(__xludf.DUMMYFUNCTION("""COMPUTED_VALUE"""),"Chuyên đề")</f>
        <v>Chuyên đề</v>
      </c>
      <c r="K67" s="23" t="str">
        <f ca="1">IFERROR(__xludf.DUMMYFUNCTION("""COMPUTED_VALUE"""),"Royal Lotus Hotel Danang")</f>
        <v>Royal Lotus Hotel Danang</v>
      </c>
      <c r="L67" s="23"/>
      <c r="M67" s="23" t="str">
        <f ca="1">IFERROR(__xludf.DUMMYFUNCTION("""COMPUTED_VALUE"""),"120A Nguyễn Văn Thoại")</f>
        <v>120A Nguyễn Văn Thoại</v>
      </c>
      <c r="N67" s="23" t="str">
        <f ca="1">IFERROR(__xludf.DUMMYFUNCTION("""COMPUTED_VALUE"""),"Đà Nẵng ")</f>
        <v xml:space="preserve">Đà Nẵng </v>
      </c>
      <c r="O67" s="23" t="str">
        <f ca="1">IFERROR(__xludf.DUMMYFUNCTION("""COMPUTED_VALUE"""),"Tiền sảnh")</f>
        <v>Tiền sảnh</v>
      </c>
      <c r="P67" s="23"/>
      <c r="Q67" s="23" t="str">
        <f ca="1">IFERROR(__xludf.DUMMYFUNCTION("""COMPUTED_VALUE"""),"15/1/2025")</f>
        <v>15/1/2025</v>
      </c>
      <c r="R67" s="23" t="str">
        <f ca="1">IFERROR(__xludf.DUMMYFUNCTION("""COMPUTED_VALUE"""),"cam kết")</f>
        <v>cam kết</v>
      </c>
      <c r="S67" s="23" t="str">
        <f ca="1">IFERROR(__xludf.DUMMYFUNCTION("""COMPUTED_VALUE"""),"Chuyên đề")</f>
        <v>Chuyên đề</v>
      </c>
      <c r="T67" s="23"/>
      <c r="U67" s="27">
        <f ca="1">IFERROR(__xludf.DUMMYFUNCTION("""COMPUTED_VALUE"""),45671)</f>
        <v>45671</v>
      </c>
      <c r="V67" s="27">
        <f ca="1">IFERROR(__xludf.DUMMYFUNCTION("""COMPUTED_VALUE"""),45761)</f>
        <v>45761</v>
      </c>
      <c r="W67" s="23">
        <f ca="1">IFERROR(__xludf.DUMMYFUNCTION("""COMPUTED_VALUE"""),66)</f>
        <v>66</v>
      </c>
      <c r="X67" s="28">
        <f ca="1">IFERROR(__xludf.DUMMYFUNCTION("""COMPUTED_VALUE"""),45779)</f>
        <v>45779</v>
      </c>
      <c r="Y67" s="23" t="str">
        <f ca="1">IFERROR(__xludf.DUMMYFUNCTION("""COMPUTED_VALUE"""),"DUYỆT")</f>
        <v>DUYỆT</v>
      </c>
      <c r="Z67" s="23" t="str">
        <f ca="1">IFERROR(__xludf.DUMMYFUNCTION("""COMPUTED_VALUE"""),"16/01/2025")</f>
        <v>16/01/2025</v>
      </c>
      <c r="AA67" s="23" t="str">
        <f ca="1">IFERROR(__xludf.DUMMYFUNCTION("""COMPUTED_VALUE"""),"Royal Lotus Hotel Danang")</f>
        <v>Royal Lotus Hotel Danang</v>
      </c>
      <c r="AB67" s="23" t="str">
        <f ca="1">IFERROR(__xludf.DUMMYFUNCTION("""COMPUTED_VALUE"""),"Tiền sảnh")</f>
        <v>Tiền sảnh</v>
      </c>
      <c r="AC67" s="23"/>
      <c r="AD67" s="23"/>
      <c r="AE67" s="23" t="str">
        <f ca="1">IFERROR(__xludf.DUMMYFUNCTION("""COMPUTED_VALUE"""),"")</f>
        <v/>
      </c>
      <c r="AF67" s="23" t="str">
        <f ca="1">IFERROR(__xludf.DUMMYFUNCTION("""COMPUTED_VALUE"""),"CHUYÊN ĐỀ")</f>
        <v>CHUYÊN ĐỀ</v>
      </c>
      <c r="AG67" s="23" t="str">
        <f ca="1">IFERROR(__xludf.DUMMYFUNCTION("""COMPUTED_VALUE"""),"Huỳnh Lý Thùy Linh")</f>
        <v>Huỳnh Lý Thùy Linh</v>
      </c>
    </row>
    <row r="68" spans="1:33" ht="12.75" x14ac:dyDescent="0.2">
      <c r="A68" s="26">
        <f ca="1">IFERROR(__xludf.DUMMYFUNCTION("""COMPUTED_VALUE"""),45672.6605231018)</f>
        <v>45672.660523101797</v>
      </c>
      <c r="B68" s="23" t="str">
        <f ca="1">IFERROR(__xludf.DUMMYFUNCTION("""COMPUTED_VALUE"""),"lehuy7539@gmail.com")</f>
        <v>lehuy7539@gmail.com</v>
      </c>
      <c r="C68" s="23">
        <f ca="1">IFERROR(__xludf.DUMMYFUNCTION("""COMPUTED_VALUE"""),27217145233)</f>
        <v>27217145233</v>
      </c>
      <c r="D68" s="23" t="str">
        <f ca="1">IFERROR(__xludf.DUMMYFUNCTION("""COMPUTED_VALUE"""),"Lê Quốc Huy")</f>
        <v>Lê Quốc Huy</v>
      </c>
      <c r="E68" s="27">
        <f ca="1">IFERROR(__xludf.DUMMYFUNCTION("""COMPUTED_VALUE"""),37779)</f>
        <v>37779</v>
      </c>
      <c r="F68" s="23" t="str">
        <f ca="1">IFERROR(__xludf.DUMMYFUNCTION("""COMPUTED_VALUE"""),"K27DLK 2")</f>
        <v>K27DLK 2</v>
      </c>
      <c r="G68" s="23" t="str">
        <f ca="1">IFERROR(__xludf.DUMMYFUNCTION("""COMPUTED_VALUE"""),"Quản trị Du lịch &amp; Khách sạn")</f>
        <v>Quản trị Du lịch &amp; Khách sạn</v>
      </c>
      <c r="H68" s="23">
        <f ca="1">IFERROR(__xludf.DUMMYFUNCTION("""COMPUTED_VALUE"""),27)</f>
        <v>27</v>
      </c>
      <c r="I68" s="23" t="str">
        <f ca="1">IFERROR(__xludf.DUMMYFUNCTION("""COMPUTED_VALUE"""),"0967453824")</f>
        <v>0967453824</v>
      </c>
      <c r="J68" s="23" t="str">
        <f ca="1">IFERROR(__xludf.DUMMYFUNCTION("""COMPUTED_VALUE"""),"Chuyên đề")</f>
        <v>Chuyên đề</v>
      </c>
      <c r="K68" s="23" t="str">
        <f ca="1">IFERROR(__xludf.DUMMYFUNCTION("""COMPUTED_VALUE"""),"Wyndham DaNang Golden Bay")</f>
        <v>Wyndham DaNang Golden Bay</v>
      </c>
      <c r="L68" s="23"/>
      <c r="M68" s="23" t="str">
        <f ca="1">IFERROR(__xludf.DUMMYFUNCTION("""COMPUTED_VALUE"""),"01 Lê Văn Duyệt, Nại Hiên Đông, Sơn Trà, thành phố Đà Nẵng")</f>
        <v>01 Lê Văn Duyệt, Nại Hiên Đông, Sơn Trà, thành phố Đà Nẵng</v>
      </c>
      <c r="N68" s="23" t="str">
        <f ca="1">IFERROR(__xludf.DUMMYFUNCTION("""COMPUTED_VALUE"""),"Đà Nẵng")</f>
        <v>Đà Nẵng</v>
      </c>
      <c r="O68" s="23" t="str">
        <f ca="1">IFERROR(__xludf.DUMMYFUNCTION("""COMPUTED_VALUE"""),"Nhà hàng")</f>
        <v>Nhà hàng</v>
      </c>
      <c r="P68" s="23"/>
      <c r="Q68" s="23" t="str">
        <f ca="1">IFERROR(__xludf.DUMMYFUNCTION("""COMPUTED_VALUE"""),"10/01/2025")</f>
        <v>10/01/2025</v>
      </c>
      <c r="R68" s="23" t="str">
        <f ca="1">IFERROR(__xludf.DUMMYFUNCTION("""COMPUTED_VALUE"""),"cam kết")</f>
        <v>cam kết</v>
      </c>
      <c r="S68" s="23" t="str">
        <f ca="1">IFERROR(__xludf.DUMMYFUNCTION("""COMPUTED_VALUE"""),"Chuyên đề")</f>
        <v>Chuyên đề</v>
      </c>
      <c r="T68" s="23"/>
      <c r="U68" s="27">
        <f ca="1">IFERROR(__xludf.DUMMYFUNCTION("""COMPUTED_VALUE"""),45698)</f>
        <v>45698</v>
      </c>
      <c r="V68" s="27">
        <f ca="1">IFERROR(__xludf.DUMMYFUNCTION("""COMPUTED_VALUE"""),45787)</f>
        <v>45787</v>
      </c>
      <c r="W68" s="23">
        <f ca="1">IFERROR(__xludf.DUMMYFUNCTION("""COMPUTED_VALUE"""),67)</f>
        <v>67</v>
      </c>
      <c r="X68" s="23" t="str">
        <f ca="1">IFERROR(__xludf.DUMMYFUNCTION("""COMPUTED_VALUE"""),"20/01/2025")</f>
        <v>20/01/2025</v>
      </c>
      <c r="Y68" s="23" t="str">
        <f ca="1">IFERROR(__xludf.DUMMYFUNCTION("""COMPUTED_VALUE"""),"DUYỆT")</f>
        <v>DUYỆT</v>
      </c>
      <c r="Z68" s="23" t="str">
        <f ca="1">IFERROR(__xludf.DUMMYFUNCTION("""COMPUTED_VALUE"""),"18/01/2025")</f>
        <v>18/01/2025</v>
      </c>
      <c r="AA68" s="23" t="str">
        <f ca="1">IFERROR(__xludf.DUMMYFUNCTION("""COMPUTED_VALUE"""),"Wyndham DaNang Golden Bay")</f>
        <v>Wyndham DaNang Golden Bay</v>
      </c>
      <c r="AB68" s="23" t="str">
        <f ca="1">IFERROR(__xludf.DUMMYFUNCTION("""COMPUTED_VALUE"""),"Nhà hàng")</f>
        <v>Nhà hàng</v>
      </c>
      <c r="AC68" s="23"/>
      <c r="AD68" s="23" t="str">
        <f ca="1">IFERROR(__xludf.DUMMYFUNCTION("""COMPUTED_VALUE"""),"sv phải đám bảo ko quá 5sv/nhà hàng")</f>
        <v>sv phải đám bảo ko quá 5sv/nhà hàng</v>
      </c>
      <c r="AE68" s="23" t="str">
        <f ca="1">IFERROR(__xludf.DUMMYFUNCTION("""COMPUTED_VALUE"""),"")</f>
        <v/>
      </c>
      <c r="AF68" s="23" t="str">
        <f ca="1">IFERROR(__xludf.DUMMYFUNCTION("""COMPUTED_VALUE"""),"không đủ điều kiện")</f>
        <v>không đủ điều kiện</v>
      </c>
      <c r="AG68" s="23"/>
    </row>
    <row r="69" spans="1:33" ht="12.75" x14ac:dyDescent="0.2">
      <c r="A69" s="26">
        <f ca="1">IFERROR(__xludf.DUMMYFUNCTION("""COMPUTED_VALUE"""),45677.4385393634)</f>
        <v>45677.4385393634</v>
      </c>
      <c r="B69" s="23" t="str">
        <f ca="1">IFERROR(__xludf.DUMMYFUNCTION("""COMPUTED_VALUE"""),"Thuyduyen251103@gmail.com")</f>
        <v>Thuyduyen251103@gmail.com</v>
      </c>
      <c r="C69" s="23">
        <f ca="1">IFERROR(__xludf.DUMMYFUNCTION("""COMPUTED_VALUE"""),27207125399)</f>
        <v>27207125399</v>
      </c>
      <c r="D69" s="23" t="str">
        <f ca="1">IFERROR(__xludf.DUMMYFUNCTION("""COMPUTED_VALUE"""),"Nguyễn Thị Thuỳ Duyên")</f>
        <v>Nguyễn Thị Thuỳ Duyên</v>
      </c>
      <c r="E69" s="27">
        <f ca="1">IFERROR(__xludf.DUMMYFUNCTION("""COMPUTED_VALUE"""),37950)</f>
        <v>37950</v>
      </c>
      <c r="F69" s="23" t="str">
        <f ca="1">IFERROR(__xludf.DUMMYFUNCTION("""COMPUTED_VALUE"""),"K27DLK 4")</f>
        <v>K27DLK 4</v>
      </c>
      <c r="G69" s="23" t="str">
        <f ca="1">IFERROR(__xludf.DUMMYFUNCTION("""COMPUTED_VALUE"""),"Quản trị Du lịch &amp; Khách sạn")</f>
        <v>Quản trị Du lịch &amp; Khách sạn</v>
      </c>
      <c r="H69" s="23">
        <f ca="1">IFERROR(__xludf.DUMMYFUNCTION("""COMPUTED_VALUE"""),27)</f>
        <v>27</v>
      </c>
      <c r="I69" s="23" t="str">
        <f ca="1">IFERROR(__xludf.DUMMYFUNCTION("""COMPUTED_VALUE"""),"0989004980")</f>
        <v>0989004980</v>
      </c>
      <c r="J69" s="23" t="str">
        <f ca="1">IFERROR(__xludf.DUMMYFUNCTION("""COMPUTED_VALUE"""),"Chuyên đề")</f>
        <v>Chuyên đề</v>
      </c>
      <c r="K69" s="23" t="str">
        <f ca="1">IFERROR(__xludf.DUMMYFUNCTION("""COMPUTED_VALUE"""),"Rosamia Da Nang Hotel")</f>
        <v>Rosamia Da Nang Hotel</v>
      </c>
      <c r="L69" s="23" t="str">
        <f ca="1">IFERROR(__xludf.DUMMYFUNCTION("""COMPUTED_VALUE"""),"Rosamia Da Nang Hotel")</f>
        <v>Rosamia Da Nang Hotel</v>
      </c>
      <c r="M69" s="23" t="str">
        <f ca="1">IFERROR(__xludf.DUMMYFUNCTION("""COMPUTED_VALUE"""),"282 Võ Nguyên Giáp, phường Mỹ An, quận Ngũ Hành Sơn, tp Đà Nẵng")</f>
        <v>282 Võ Nguyên Giáp, phường Mỹ An, quận Ngũ Hành Sơn, tp Đà Nẵng</v>
      </c>
      <c r="N69" s="23" t="str">
        <f ca="1">IFERROR(__xludf.DUMMYFUNCTION("""COMPUTED_VALUE"""),"Thành phố Đà Nẵng")</f>
        <v>Thành phố Đà Nẵng</v>
      </c>
      <c r="O69" s="23" t="str">
        <f ca="1">IFERROR(__xludf.DUMMYFUNCTION("""COMPUTED_VALUE"""),"Buồng phòng")</f>
        <v>Buồng phòng</v>
      </c>
      <c r="P69" s="23"/>
      <c r="Q69" s="23" t="str">
        <f ca="1">IFERROR(__xludf.DUMMYFUNCTION("""COMPUTED_VALUE"""),"21/1/2025")</f>
        <v>21/1/2025</v>
      </c>
      <c r="R69" s="23" t="str">
        <f ca="1">IFERROR(__xludf.DUMMYFUNCTION("""COMPUTED_VALUE"""),"cam kết")</f>
        <v>cam kết</v>
      </c>
      <c r="S69" s="23" t="str">
        <f ca="1">IFERROR(__xludf.DUMMYFUNCTION("""COMPUTED_VALUE"""),"Chuyên đề")</f>
        <v>Chuyên đề</v>
      </c>
      <c r="T69" s="23"/>
      <c r="U69" s="27">
        <f ca="1">IFERROR(__xludf.DUMMYFUNCTION("""COMPUTED_VALUE"""),45698)</f>
        <v>45698</v>
      </c>
      <c r="V69" s="27">
        <f ca="1">IFERROR(__xludf.DUMMYFUNCTION("""COMPUTED_VALUE"""),45787)</f>
        <v>45787</v>
      </c>
      <c r="W69" s="23">
        <f ca="1">IFERROR(__xludf.DUMMYFUNCTION("""COMPUTED_VALUE"""),68)</f>
        <v>68</v>
      </c>
      <c r="X69" s="23" t="str">
        <f ca="1">IFERROR(__xludf.DUMMYFUNCTION("""COMPUTED_VALUE"""),"21/01/2025")</f>
        <v>21/01/2025</v>
      </c>
      <c r="Y69" s="23" t="str">
        <f ca="1">IFERROR(__xludf.DUMMYFUNCTION("""COMPUTED_VALUE"""),"DUYỆT")</f>
        <v>DUYỆT</v>
      </c>
      <c r="Z69" s="23" t="str">
        <f ca="1">IFERROR(__xludf.DUMMYFUNCTION("""COMPUTED_VALUE"""),"21/01/2025")</f>
        <v>21/01/2025</v>
      </c>
      <c r="AA69" s="23" t="str">
        <f ca="1">IFERROR(__xludf.DUMMYFUNCTION("""COMPUTED_VALUE"""),"Rosamia Da Nang Hotel")</f>
        <v>Rosamia Da Nang Hotel</v>
      </c>
      <c r="AB69" s="23" t="str">
        <f ca="1">IFERROR(__xludf.DUMMYFUNCTION("""COMPUTED_VALUE"""),"Buồng phòng")</f>
        <v>Buồng phòng</v>
      </c>
      <c r="AC69" s="23"/>
      <c r="AD69" s="23"/>
      <c r="AE69" s="23" t="str">
        <f ca="1">IFERROR(__xludf.DUMMYFUNCTION("""COMPUTED_VALUE"""),"")</f>
        <v/>
      </c>
      <c r="AF69" s="23" t="str">
        <f ca="1">IFERROR(__xludf.DUMMYFUNCTION("""COMPUTED_VALUE"""),"không đủ điều kiện")</f>
        <v>không đủ điều kiện</v>
      </c>
      <c r="AG69" s="23"/>
    </row>
    <row r="70" spans="1:33" ht="12.75" x14ac:dyDescent="0.2">
      <c r="A70" s="26">
        <f ca="1">IFERROR(__xludf.DUMMYFUNCTION("""COMPUTED_VALUE"""),45672.7814523495)</f>
        <v>45672.781452349504</v>
      </c>
      <c r="B70" s="23" t="str">
        <f ca="1">IFERROR(__xludf.DUMMYFUNCTION("""COMPUTED_VALUE"""),"vothicuc2003@gmail.com")</f>
        <v>vothicuc2003@gmail.com</v>
      </c>
      <c r="C70" s="23">
        <f ca="1">IFERROR(__xludf.DUMMYFUNCTION("""COMPUTED_VALUE"""),27207152556)</f>
        <v>27207152556</v>
      </c>
      <c r="D70" s="23" t="str">
        <f ca="1">IFERROR(__xludf.DUMMYFUNCTION("""COMPUTED_VALUE"""),"Võ Thị Cúc")</f>
        <v>Võ Thị Cúc</v>
      </c>
      <c r="E70" s="27">
        <f ca="1">IFERROR(__xludf.DUMMYFUNCTION("""COMPUTED_VALUE"""),37718)</f>
        <v>37718</v>
      </c>
      <c r="F70" s="23" t="str">
        <f ca="1">IFERROR(__xludf.DUMMYFUNCTION("""COMPUTED_VALUE"""),"K27DLK7")</f>
        <v>K27DLK7</v>
      </c>
      <c r="G70" s="23" t="str">
        <f ca="1">IFERROR(__xludf.DUMMYFUNCTION("""COMPUTED_VALUE"""),"Quản trị Du lịch &amp; Khách sạn")</f>
        <v>Quản trị Du lịch &amp; Khách sạn</v>
      </c>
      <c r="H70" s="23">
        <f ca="1">IFERROR(__xludf.DUMMYFUNCTION("""COMPUTED_VALUE"""),27)</f>
        <v>27</v>
      </c>
      <c r="I70" s="23" t="str">
        <f ca="1">IFERROR(__xludf.DUMMYFUNCTION("""COMPUTED_VALUE"""),"0905234637")</f>
        <v>0905234637</v>
      </c>
      <c r="J70" s="23" t="str">
        <f ca="1">IFERROR(__xludf.DUMMYFUNCTION("""COMPUTED_VALUE"""),"Chuyên đề")</f>
        <v>Chuyên đề</v>
      </c>
      <c r="K70" s="23" t="str">
        <f ca="1">IFERROR(__xludf.DUMMYFUNCTION("""COMPUTED_VALUE"""),"Canvas Danang Beach Hotel")</f>
        <v>Canvas Danang Beach Hotel</v>
      </c>
      <c r="L70" s="23" t="str">
        <f ca="1">IFERROR(__xludf.DUMMYFUNCTION("""COMPUTED_VALUE"""),"Canvas Danang Beach Hotel")</f>
        <v>Canvas Danang Beach Hotel</v>
      </c>
      <c r="M70" s="23" t="str">
        <f ca="1">IFERROR(__xludf.DUMMYFUNCTION("""COMPUTED_VALUE"""),"234 Võ Nguyên Giáp, Sơn Trà, Đà Nẵng")</f>
        <v>234 Võ Nguyên Giáp, Sơn Trà, Đà Nẵng</v>
      </c>
      <c r="N70" s="23" t="str">
        <f ca="1">IFERROR(__xludf.DUMMYFUNCTION("""COMPUTED_VALUE"""),"Đà Nẵng")</f>
        <v>Đà Nẵng</v>
      </c>
      <c r="O70" s="23" t="str">
        <f ca="1">IFERROR(__xludf.DUMMYFUNCTION("""COMPUTED_VALUE"""),"Tiền sảnh")</f>
        <v>Tiền sảnh</v>
      </c>
      <c r="P70" s="23"/>
      <c r="Q70" s="23" t="str">
        <f ca="1">IFERROR(__xludf.DUMMYFUNCTION("""COMPUTED_VALUE"""),"15/01/2025")</f>
        <v>15/01/2025</v>
      </c>
      <c r="R70" s="23" t="str">
        <f ca="1">IFERROR(__xludf.DUMMYFUNCTION("""COMPUTED_VALUE"""),"cam kết")</f>
        <v>cam kết</v>
      </c>
      <c r="S70" s="23" t="str">
        <f ca="1">IFERROR(__xludf.DUMMYFUNCTION("""COMPUTED_VALUE"""),"Chuyên đề")</f>
        <v>Chuyên đề</v>
      </c>
      <c r="T70" s="23"/>
      <c r="U70" s="27">
        <f ca="1">IFERROR(__xludf.DUMMYFUNCTION("""COMPUTED_VALUE"""),45670)</f>
        <v>45670</v>
      </c>
      <c r="V70" s="27">
        <f ca="1">IFERROR(__xludf.DUMMYFUNCTION("""COMPUTED_VALUE"""),45760)</f>
        <v>45760</v>
      </c>
      <c r="W70" s="23">
        <f ca="1">IFERROR(__xludf.DUMMYFUNCTION("""COMPUTED_VALUE"""),69)</f>
        <v>69</v>
      </c>
      <c r="X70" s="23" t="str">
        <f ca="1">IFERROR(__xludf.DUMMYFUNCTION("""COMPUTED_VALUE"""),"17/01/2025")</f>
        <v>17/01/2025</v>
      </c>
      <c r="Y70" s="23" t="str">
        <f ca="1">IFERROR(__xludf.DUMMYFUNCTION("""COMPUTED_VALUE"""),"DUYỆT")</f>
        <v>DUYỆT</v>
      </c>
      <c r="Z70" s="23" t="str">
        <f ca="1">IFERROR(__xludf.DUMMYFUNCTION("""COMPUTED_VALUE"""),"18/01/2025")</f>
        <v>18/01/2025</v>
      </c>
      <c r="AA70" s="23" t="str">
        <f ca="1">IFERROR(__xludf.DUMMYFUNCTION("""COMPUTED_VALUE"""),"Canvas Danang Beach Hotel")</f>
        <v>Canvas Danang Beach Hotel</v>
      </c>
      <c r="AB70" s="23" t="str">
        <f ca="1">IFERROR(__xludf.DUMMYFUNCTION("""COMPUTED_VALUE"""),"Tiền sảnh")</f>
        <v>Tiền sảnh</v>
      </c>
      <c r="AC70" s="23"/>
      <c r="AD70" s="23"/>
      <c r="AE70" s="23" t="str">
        <f ca="1">IFERROR(__xludf.DUMMYFUNCTION("""COMPUTED_VALUE"""),"")</f>
        <v/>
      </c>
      <c r="AF70" s="23" t="str">
        <f ca="1">IFERROR(__xludf.DUMMYFUNCTION("""COMPUTED_VALUE"""),"CHUYÊN ĐỀ")</f>
        <v>CHUYÊN ĐỀ</v>
      </c>
      <c r="AG70" s="23" t="str">
        <f ca="1">IFERROR(__xludf.DUMMYFUNCTION("""COMPUTED_VALUE"""),"Huỳnh Lý Thùy Linh")</f>
        <v>Huỳnh Lý Thùy Linh</v>
      </c>
    </row>
    <row r="71" spans="1:33" ht="12.75" x14ac:dyDescent="0.2">
      <c r="A71" s="26">
        <f ca="1">IFERROR(__xludf.DUMMYFUNCTION("""COMPUTED_VALUE"""),45706.8873987847)</f>
        <v>45706.887398784696</v>
      </c>
      <c r="B71" s="23" t="str">
        <f ca="1">IFERROR(__xludf.DUMMYFUNCTION("""COMPUTED_VALUE"""),"nguyenngocthach0718@gmail.com")</f>
        <v>nguyenngocthach0718@gmail.com</v>
      </c>
      <c r="C71" s="23">
        <f ca="1">IFERROR(__xludf.DUMMYFUNCTION("""COMPUTED_VALUE"""),27217140882)</f>
        <v>27217140882</v>
      </c>
      <c r="D71" s="23" t="str">
        <f ca="1">IFERROR(__xludf.DUMMYFUNCTION("""COMPUTED_VALUE"""),"Nguyễn Ngọc Thạch")</f>
        <v>Nguyễn Ngọc Thạch</v>
      </c>
      <c r="E71" s="27">
        <f ca="1">IFERROR(__xludf.DUMMYFUNCTION("""COMPUTED_VALUE"""),37912)</f>
        <v>37912</v>
      </c>
      <c r="F71" s="23" t="str">
        <f ca="1">IFERROR(__xludf.DUMMYFUNCTION("""COMPUTED_VALUE"""),"K27PSUDLH")</f>
        <v>K27PSUDLH</v>
      </c>
      <c r="G71" s="23" t="str">
        <f ca="1">IFERROR(__xludf.DUMMYFUNCTION("""COMPUTED_VALUE"""),"Quản trị Du lịch &amp; Nhà hàng chuẩn PSU")</f>
        <v>Quản trị Du lịch &amp; Nhà hàng chuẩn PSU</v>
      </c>
      <c r="H71" s="23">
        <f ca="1">IFERROR(__xludf.DUMMYFUNCTION("""COMPUTED_VALUE"""),27)</f>
        <v>27</v>
      </c>
      <c r="I71" s="23" t="str">
        <f ca="1">IFERROR(__xludf.DUMMYFUNCTION("""COMPUTED_VALUE"""),"0345546330")</f>
        <v>0345546330</v>
      </c>
      <c r="J71" s="23" t="str">
        <f ca="1">IFERROR(__xludf.DUMMYFUNCTION("""COMPUTED_VALUE"""),"Khóa luận")</f>
        <v>Khóa luận</v>
      </c>
      <c r="K71" s="23" t="str">
        <f ca="1">IFERROR(__xludf.DUMMYFUNCTION("""COMPUTED_VALUE"""),"khách sạn khác")</f>
        <v>khách sạn khác</v>
      </c>
      <c r="L71" s="23" t="str">
        <f ca="1">IFERROR(__xludf.DUMMYFUNCTION("""COMPUTED_VALUE"""),"Meliá Danang Beach Resort")</f>
        <v>Meliá Danang Beach Resort</v>
      </c>
      <c r="M71" s="23" t="str">
        <f ca="1">IFERROR(__xludf.DUMMYFUNCTION("""COMPUTED_VALUE"""),"19 Trường Sa, Hoà Hải, Ngũ Hành Sơn, Đà Nẵng")</f>
        <v>19 Trường Sa, Hoà Hải, Ngũ Hành Sơn, Đà Nẵng</v>
      </c>
      <c r="N71" s="23" t="str">
        <f ca="1">IFERROR(__xludf.DUMMYFUNCTION("""COMPUTED_VALUE"""),"Đà Nẵng")</f>
        <v>Đà Nẵng</v>
      </c>
      <c r="O71" s="23" t="str">
        <f ca="1">IFERROR(__xludf.DUMMYFUNCTION("""COMPUTED_VALUE"""),"Bếp")</f>
        <v>Bếp</v>
      </c>
      <c r="P71" s="23"/>
      <c r="Q71" s="23" t="str">
        <f ca="1">IFERROR(__xludf.DUMMYFUNCTION("""COMPUTED_VALUE"""),"5/2/2025")</f>
        <v>5/2/2025</v>
      </c>
      <c r="R71" s="23" t="str">
        <f ca="1">IFERROR(__xludf.DUMMYFUNCTION("""COMPUTED_VALUE"""),"cam kết")</f>
        <v>cam kết</v>
      </c>
      <c r="S71" s="23" t="str">
        <f ca="1">IFERROR(__xludf.DUMMYFUNCTION("""COMPUTED_VALUE"""),"Khóa luận")</f>
        <v>Khóa luận</v>
      </c>
      <c r="T71" s="23" t="str">
        <f ca="1">IFERROR(__xludf.DUMMYFUNCTION("""COMPUTED_VALUE"""),"Mai Thị Thương")</f>
        <v>Mai Thị Thương</v>
      </c>
      <c r="U71" s="27">
        <f ca="1">IFERROR(__xludf.DUMMYFUNCTION("""COMPUTED_VALUE"""),45698)</f>
        <v>45698</v>
      </c>
      <c r="V71" s="27">
        <f ca="1">IFERROR(__xludf.DUMMYFUNCTION("""COMPUTED_VALUE"""),45787)</f>
        <v>45787</v>
      </c>
      <c r="W71" s="23">
        <f ca="1">IFERROR(__xludf.DUMMYFUNCTION("""COMPUTED_VALUE"""),70)</f>
        <v>70</v>
      </c>
      <c r="X71" s="23" t="str">
        <f ca="1">IFERROR(__xludf.DUMMYFUNCTION("""COMPUTED_VALUE"""),"18/01/2025")</f>
        <v>18/01/2025</v>
      </c>
      <c r="Y71" s="23" t="str">
        <f ca="1">IFERROR(__xludf.DUMMYFUNCTION("""COMPUTED_VALUE"""),"DUYỆT")</f>
        <v>DUYỆT</v>
      </c>
      <c r="Z71" s="23" t="str">
        <f ca="1">IFERROR(__xludf.DUMMYFUNCTION("""COMPUTED_VALUE"""),"18/01/2025")</f>
        <v>18/01/2025</v>
      </c>
      <c r="AA71" s="23" t="str">
        <f ca="1">IFERROR(__xludf.DUMMYFUNCTION("""COMPUTED_VALUE"""),"Meliá Danang Beach Resort")</f>
        <v>Meliá Danang Beach Resort</v>
      </c>
      <c r="AB71" s="23" t="str">
        <f ca="1">IFERROR(__xludf.DUMMYFUNCTION("""COMPUTED_VALUE"""),"Bếp")</f>
        <v>Bếp</v>
      </c>
      <c r="AC71" s="23"/>
      <c r="AD71" s="23"/>
      <c r="AE71" s="23" t="str">
        <f ca="1">IFERROR(__xludf.DUMMYFUNCTION("""COMPUTED_VALUE"""),"")</f>
        <v/>
      </c>
      <c r="AF71" s="23" t="str">
        <f ca="1">IFERROR(__xludf.DUMMYFUNCTION("""COMPUTED_VALUE"""),"KHÓA LUẬN")</f>
        <v>KHÓA LUẬN</v>
      </c>
      <c r="AG71" s="23" t="str">
        <f ca="1">IFERROR(__xludf.DUMMYFUNCTION("""COMPUTED_VALUE"""),"Mai Thị Thương")</f>
        <v>Mai Thị Thương</v>
      </c>
    </row>
    <row r="72" spans="1:33" ht="12.75" x14ac:dyDescent="0.2">
      <c r="A72" s="26">
        <f ca="1">IFERROR(__xludf.DUMMYFUNCTION("""COMPUTED_VALUE"""),45673.5153389699)</f>
        <v>45673.515338969897</v>
      </c>
      <c r="B72" s="23" t="str">
        <f ca="1">IFERROR(__xludf.DUMMYFUNCTION("""COMPUTED_VALUE"""),"tamthanhh.0510@gmail.com")</f>
        <v>tamthanhh.0510@gmail.com</v>
      </c>
      <c r="C72" s="23">
        <f ca="1">IFERROR(__xludf.DUMMYFUNCTION("""COMPUTED_VALUE"""),27207152986)</f>
        <v>27207152986</v>
      </c>
      <c r="D72" s="23" t="str">
        <f ca="1">IFERROR(__xludf.DUMMYFUNCTION("""COMPUTED_VALUE"""),"Ngô Thị Thanh Tâm")</f>
        <v>Ngô Thị Thanh Tâm</v>
      </c>
      <c r="E72" s="27">
        <f ca="1">IFERROR(__xludf.DUMMYFUNCTION("""COMPUTED_VALUE"""),37899)</f>
        <v>37899</v>
      </c>
      <c r="F72" s="23" t="str">
        <f ca="1">IFERROR(__xludf.DUMMYFUNCTION("""COMPUTED_VALUE"""),"K27DLK 6")</f>
        <v>K27DLK 6</v>
      </c>
      <c r="G72" s="23" t="str">
        <f ca="1">IFERROR(__xludf.DUMMYFUNCTION("""COMPUTED_VALUE"""),"Quản trị Du lịch &amp; Khách sạn")</f>
        <v>Quản trị Du lịch &amp; Khách sạn</v>
      </c>
      <c r="H72" s="23">
        <f ca="1">IFERROR(__xludf.DUMMYFUNCTION("""COMPUTED_VALUE"""),27)</f>
        <v>27</v>
      </c>
      <c r="I72" s="23" t="str">
        <f ca="1">IFERROR(__xludf.DUMMYFUNCTION("""COMPUTED_VALUE"""),"0905120615")</f>
        <v>0905120615</v>
      </c>
      <c r="J72" s="23" t="str">
        <f ca="1">IFERROR(__xludf.DUMMYFUNCTION("""COMPUTED_VALUE"""),"Chuyên đề")</f>
        <v>Chuyên đề</v>
      </c>
      <c r="K72" s="23" t="str">
        <f ca="1">IFERROR(__xludf.DUMMYFUNCTION("""COMPUTED_VALUE"""),"Hilton Garden Inn Danang")</f>
        <v>Hilton Garden Inn Danang</v>
      </c>
      <c r="L72" s="23" t="str">
        <f ca="1">IFERROR(__xludf.DUMMYFUNCTION("""COMPUTED_VALUE"""),"Hilton Garden Inn Đà Nẵng")</f>
        <v>Hilton Garden Inn Đà Nẵng</v>
      </c>
      <c r="M72" s="23" t="str">
        <f ca="1">IFERROR(__xludf.DUMMYFUNCTION("""COMPUTED_VALUE"""),"96 Võ Nguyên Giáp, Phường Mân Thái, Quận Sơn Trà, Đà Nẵng")</f>
        <v>96 Võ Nguyên Giáp, Phường Mân Thái, Quận Sơn Trà, Đà Nẵng</v>
      </c>
      <c r="N72" s="23" t="str">
        <f ca="1">IFERROR(__xludf.DUMMYFUNCTION("""COMPUTED_VALUE"""),"Đà Nẵng")</f>
        <v>Đà Nẵng</v>
      </c>
      <c r="O72" s="23" t="str">
        <f ca="1">IFERROR(__xludf.DUMMYFUNCTION("""COMPUTED_VALUE"""),"Nhà hàng")</f>
        <v>Nhà hàng</v>
      </c>
      <c r="P72" s="23"/>
      <c r="Q72" s="23" t="str">
        <f ca="1">IFERROR(__xludf.DUMMYFUNCTION("""COMPUTED_VALUE"""),"20/1/2025")</f>
        <v>20/1/2025</v>
      </c>
      <c r="R72" s="23" t="str">
        <f ca="1">IFERROR(__xludf.DUMMYFUNCTION("""COMPUTED_VALUE"""),"cam kết")</f>
        <v>cam kết</v>
      </c>
      <c r="S72" s="23" t="str">
        <f ca="1">IFERROR(__xludf.DUMMYFUNCTION("""COMPUTED_VALUE"""),"Chuyên đề")</f>
        <v>Chuyên đề</v>
      </c>
      <c r="T72" s="23"/>
      <c r="U72" s="27">
        <f ca="1">IFERROR(__xludf.DUMMYFUNCTION("""COMPUTED_VALUE"""),45698)</f>
        <v>45698</v>
      </c>
      <c r="V72" s="27">
        <f ca="1">IFERROR(__xludf.DUMMYFUNCTION("""COMPUTED_VALUE"""),45787)</f>
        <v>45787</v>
      </c>
      <c r="W72" s="23">
        <f ca="1">IFERROR(__xludf.DUMMYFUNCTION("""COMPUTED_VALUE"""),71)</f>
        <v>71</v>
      </c>
      <c r="X72" s="23" t="str">
        <f ca="1">IFERROR(__xludf.DUMMYFUNCTION("""COMPUTED_VALUE"""),"21/01/2025")</f>
        <v>21/01/2025</v>
      </c>
      <c r="Y72" s="23" t="str">
        <f ca="1">IFERROR(__xludf.DUMMYFUNCTION("""COMPUTED_VALUE"""),"DUYỆT")</f>
        <v>DUYỆT</v>
      </c>
      <c r="Z72" s="23" t="str">
        <f ca="1">IFERROR(__xludf.DUMMYFUNCTION("""COMPUTED_VALUE"""),"18/01/2025")</f>
        <v>18/01/2025</v>
      </c>
      <c r="AA72" s="23" t="str">
        <f ca="1">IFERROR(__xludf.DUMMYFUNCTION("""COMPUTED_VALUE"""),"Hilton Garden Inn Danang")</f>
        <v>Hilton Garden Inn Danang</v>
      </c>
      <c r="AB72" s="23" t="str">
        <f ca="1">IFERROR(__xludf.DUMMYFUNCTION("""COMPUTED_VALUE"""),"Nhà hàng")</f>
        <v>Nhà hàng</v>
      </c>
      <c r="AC72" s="23"/>
      <c r="AD72" s="23"/>
      <c r="AE72" s="23" t="str">
        <f ca="1">IFERROR(__xludf.DUMMYFUNCTION("""COMPUTED_VALUE"""),"")</f>
        <v/>
      </c>
      <c r="AF72" s="23" t="str">
        <f ca="1">IFERROR(__xludf.DUMMYFUNCTION("""COMPUTED_VALUE"""),"CHUYÊN ĐỀ")</f>
        <v>CHUYÊN ĐỀ</v>
      </c>
      <c r="AG72" s="23" t="str">
        <f ca="1">IFERROR(__xludf.DUMMYFUNCTION("""COMPUTED_VALUE"""),"Trịnh Thị Kim Chung")</f>
        <v>Trịnh Thị Kim Chung</v>
      </c>
    </row>
    <row r="73" spans="1:33" ht="12.75" x14ac:dyDescent="0.2">
      <c r="A73" s="26">
        <f ca="1">IFERROR(__xludf.DUMMYFUNCTION("""COMPUTED_VALUE"""),45673.5574367129)</f>
        <v>45673.557436712901</v>
      </c>
      <c r="B73" s="23" t="str">
        <f ca="1">IFERROR(__xludf.DUMMYFUNCTION("""COMPUTED_VALUE"""),"thaongo4002@gmail.com")</f>
        <v>thaongo4002@gmail.com</v>
      </c>
      <c r="C73" s="23">
        <f ca="1">IFERROR(__xludf.DUMMYFUNCTION("""COMPUTED_VALUE"""),27207152388)</f>
        <v>27207152388</v>
      </c>
      <c r="D73" s="23" t="str">
        <f ca="1">IFERROR(__xludf.DUMMYFUNCTION("""COMPUTED_VALUE"""),"Ngô Thị Phương Thảo")</f>
        <v>Ngô Thị Phương Thảo</v>
      </c>
      <c r="E73" s="27">
        <f ca="1">IFERROR(__xludf.DUMMYFUNCTION("""COMPUTED_VALUE"""),37755)</f>
        <v>37755</v>
      </c>
      <c r="F73" s="23" t="str">
        <f ca="1">IFERROR(__xludf.DUMMYFUNCTION("""COMPUTED_VALUE"""),"K27PSU-DLK1")</f>
        <v>K27PSU-DLK1</v>
      </c>
      <c r="G73" s="23" t="str">
        <f ca="1">IFERROR(__xludf.DUMMYFUNCTION("""COMPUTED_VALUE"""),"Quản trị Du lịch &amp; Khách sạn chuẩn PSU")</f>
        <v>Quản trị Du lịch &amp; Khách sạn chuẩn PSU</v>
      </c>
      <c r="H73" s="23">
        <f ca="1">IFERROR(__xludf.DUMMYFUNCTION("""COMPUTED_VALUE"""),27)</f>
        <v>27</v>
      </c>
      <c r="I73" s="23" t="str">
        <f ca="1">IFERROR(__xludf.DUMMYFUNCTION("""COMPUTED_VALUE"""),"0347764051")</f>
        <v>0347764051</v>
      </c>
      <c r="J73" s="23" t="str">
        <f ca="1">IFERROR(__xludf.DUMMYFUNCTION("""COMPUTED_VALUE"""),"Khóa luận")</f>
        <v>Khóa luận</v>
      </c>
      <c r="K73" s="23" t="str">
        <f ca="1">IFERROR(__xludf.DUMMYFUNCTION("""COMPUTED_VALUE"""),"Hyatt regency DaNang Resort")</f>
        <v>Hyatt regency DaNang Resort</v>
      </c>
      <c r="L73" s="23"/>
      <c r="M73" s="23" t="str">
        <f ca="1">IFERROR(__xludf.DUMMYFUNCTION("""COMPUTED_VALUE"""),"05 Trường Sa, Hòa Hải, Ngũ Hành Sơn, Đà Nẵng")</f>
        <v>05 Trường Sa, Hòa Hải, Ngũ Hành Sơn, Đà Nẵng</v>
      </c>
      <c r="N73" s="23" t="str">
        <f ca="1">IFERROR(__xludf.DUMMYFUNCTION("""COMPUTED_VALUE"""),"Đà Nẵng")</f>
        <v>Đà Nẵng</v>
      </c>
      <c r="O73" s="23" t="str">
        <f ca="1">IFERROR(__xludf.DUMMYFUNCTION("""COMPUTED_VALUE"""),"Nhà hàng")</f>
        <v>Nhà hàng</v>
      </c>
      <c r="P73" s="23"/>
      <c r="Q73" s="23" t="str">
        <f ca="1">IFERROR(__xludf.DUMMYFUNCTION("""COMPUTED_VALUE"""),"16/01/2025")</f>
        <v>16/01/2025</v>
      </c>
      <c r="R73" s="23" t="str">
        <f ca="1">IFERROR(__xludf.DUMMYFUNCTION("""COMPUTED_VALUE"""),"cam kết")</f>
        <v>cam kết</v>
      </c>
      <c r="S73" s="23" t="str">
        <f ca="1">IFERROR(__xludf.DUMMYFUNCTION("""COMPUTED_VALUE"""),"Khóa luận")</f>
        <v>Khóa luận</v>
      </c>
      <c r="T73" s="23" t="str">
        <f ca="1">IFERROR(__xludf.DUMMYFUNCTION("""COMPUTED_VALUE"""),"Hồ Sử Minh Tài")</f>
        <v>Hồ Sử Minh Tài</v>
      </c>
      <c r="U73" s="27">
        <f ca="1">IFERROR(__xludf.DUMMYFUNCTION("""COMPUTED_VALUE"""),45691)</f>
        <v>45691</v>
      </c>
      <c r="V73" s="27">
        <f ca="1">IFERROR(__xludf.DUMMYFUNCTION("""COMPUTED_VALUE"""),45780)</f>
        <v>45780</v>
      </c>
      <c r="W73" s="23">
        <f ca="1">IFERROR(__xludf.DUMMYFUNCTION("""COMPUTED_VALUE"""),72)</f>
        <v>72</v>
      </c>
      <c r="X73" s="23" t="str">
        <f ca="1">IFERROR(__xludf.DUMMYFUNCTION("""COMPUTED_VALUE"""),"18/01/2025")</f>
        <v>18/01/2025</v>
      </c>
      <c r="Y73" s="23" t="str">
        <f ca="1">IFERROR(__xludf.DUMMYFUNCTION("""COMPUTED_VALUE"""),"DUYỆT")</f>
        <v>DUYỆT</v>
      </c>
      <c r="Z73" s="23" t="str">
        <f ca="1">IFERROR(__xludf.DUMMYFUNCTION("""COMPUTED_VALUE"""),"18/01/2025")</f>
        <v>18/01/2025</v>
      </c>
      <c r="AA73" s="23" t="str">
        <f ca="1">IFERROR(__xludf.DUMMYFUNCTION("""COMPUTED_VALUE"""),"Hyatt regency DaNang Resort")</f>
        <v>Hyatt regency DaNang Resort</v>
      </c>
      <c r="AB73" s="23" t="str">
        <f ca="1">IFERROR(__xludf.DUMMYFUNCTION("""COMPUTED_VALUE"""),"Nhà hàng")</f>
        <v>Nhà hàng</v>
      </c>
      <c r="AC73" s="23"/>
      <c r="AD73" s="23" t="str">
        <f ca="1">IFERROR(__xludf.DUMMYFUNCTION("""COMPUTED_VALUE"""),"SV phải đảm bảo không thực tập quá 5sv/nhà hàng")</f>
        <v>SV phải đảm bảo không thực tập quá 5sv/nhà hàng</v>
      </c>
      <c r="AE73" s="23" t="str">
        <f ca="1">IFERROR(__xludf.DUMMYFUNCTION("""COMPUTED_VALUE"""),"")</f>
        <v/>
      </c>
      <c r="AF73" s="23" t="str">
        <f ca="1">IFERROR(__xludf.DUMMYFUNCTION("""COMPUTED_VALUE"""),"KHÓA LUẬN")</f>
        <v>KHÓA LUẬN</v>
      </c>
      <c r="AG73" s="23" t="str">
        <f ca="1">IFERROR(__xludf.DUMMYFUNCTION("""COMPUTED_VALUE"""),"Võ Đức Hiếu")</f>
        <v>Võ Đức Hiếu</v>
      </c>
    </row>
    <row r="74" spans="1:33" ht="12.75" x14ac:dyDescent="0.2">
      <c r="A74" s="26">
        <f ca="1">IFERROR(__xludf.DUMMYFUNCTION("""COMPUTED_VALUE"""),45698.8330425)</f>
        <v>45698.833042500002</v>
      </c>
      <c r="B74" s="23" t="str">
        <f ca="1">IFERROR(__xludf.DUMMYFUNCTION("""COMPUTED_VALUE"""),"leny050703@gmail.com")</f>
        <v>leny050703@gmail.com</v>
      </c>
      <c r="C74" s="23">
        <f ca="1">IFERROR(__xludf.DUMMYFUNCTION("""COMPUTED_VALUE"""),27207130518)</f>
        <v>27207130518</v>
      </c>
      <c r="D74" s="23" t="str">
        <f ca="1">IFERROR(__xludf.DUMMYFUNCTION("""COMPUTED_VALUE"""),"Lê Thị Thu Ny ")</f>
        <v xml:space="preserve">Lê Thị Thu Ny </v>
      </c>
      <c r="E74" s="27">
        <f ca="1">IFERROR(__xludf.DUMMYFUNCTION("""COMPUTED_VALUE"""),37807)</f>
        <v>37807</v>
      </c>
      <c r="F74" s="23" t="str">
        <f ca="1">IFERROR(__xludf.DUMMYFUNCTION("""COMPUTED_VALUE"""),"K27PSU DLK 1 ")</f>
        <v xml:space="preserve">K27PSU DLK 1 </v>
      </c>
      <c r="G74" s="23" t="str">
        <f ca="1">IFERROR(__xludf.DUMMYFUNCTION("""COMPUTED_VALUE"""),"Quản trị Du lịch &amp; Khách sạn chuẩn PSU")</f>
        <v>Quản trị Du lịch &amp; Khách sạn chuẩn PSU</v>
      </c>
      <c r="H74" s="23">
        <f ca="1">IFERROR(__xludf.DUMMYFUNCTION("""COMPUTED_VALUE"""),27)</f>
        <v>27</v>
      </c>
      <c r="I74" s="23" t="str">
        <f ca="1">IFERROR(__xludf.DUMMYFUNCTION("""COMPUTED_VALUE"""),"0967514570")</f>
        <v>0967514570</v>
      </c>
      <c r="J74" s="23" t="str">
        <f ca="1">IFERROR(__xludf.DUMMYFUNCTION("""COMPUTED_VALUE"""),"Khóa luận")</f>
        <v>Khóa luận</v>
      </c>
      <c r="K74" s="23" t="str">
        <f ca="1">IFERROR(__xludf.DUMMYFUNCTION("""COMPUTED_VALUE"""),"Hyatt regency DaNang Resort")</f>
        <v>Hyatt regency DaNang Resort</v>
      </c>
      <c r="L74" s="23"/>
      <c r="M74" s="23" t="str">
        <f ca="1">IFERROR(__xludf.DUMMYFUNCTION("""COMPUTED_VALUE"""),"05 Trường Sa, Hoà Hải, Ngũ Hành Sơn, Đà Nẵng ")</f>
        <v xml:space="preserve">05 Trường Sa, Hoà Hải, Ngũ Hành Sơn, Đà Nẵng </v>
      </c>
      <c r="N74" s="23" t="str">
        <f ca="1">IFERROR(__xludf.DUMMYFUNCTION("""COMPUTED_VALUE"""),"Đà Nẵng ")</f>
        <v xml:space="preserve">Đà Nẵng </v>
      </c>
      <c r="O74" s="23" t="str">
        <f ca="1">IFERROR(__xludf.DUMMYFUNCTION("""COMPUTED_VALUE"""),"Nhà hàng")</f>
        <v>Nhà hàng</v>
      </c>
      <c r="P74" s="23"/>
      <c r="Q74" s="23" t="str">
        <f ca="1">IFERROR(__xludf.DUMMYFUNCTION("""COMPUTED_VALUE"""),"16/01/2025 ")</f>
        <v xml:space="preserve">16/01/2025 </v>
      </c>
      <c r="R74" s="23" t="str">
        <f ca="1">IFERROR(__xludf.DUMMYFUNCTION("""COMPUTED_VALUE"""),"cam kết")</f>
        <v>cam kết</v>
      </c>
      <c r="S74" s="23" t="str">
        <f ca="1">IFERROR(__xludf.DUMMYFUNCTION("""COMPUTED_VALUE"""),"Chuyên đề")</f>
        <v>Chuyên đề</v>
      </c>
      <c r="T74" s="23" t="str">
        <f ca="1">IFERROR(__xludf.DUMMYFUNCTION("""COMPUTED_VALUE"""),"Hồ Sử Minh Tài")</f>
        <v>Hồ Sử Minh Tài</v>
      </c>
      <c r="U74" s="27">
        <f ca="1">IFERROR(__xludf.DUMMYFUNCTION("""COMPUTED_VALUE"""),45677)</f>
        <v>45677</v>
      </c>
      <c r="V74" s="27">
        <f ca="1">IFERROR(__xludf.DUMMYFUNCTION("""COMPUTED_VALUE"""),45767)</f>
        <v>45767</v>
      </c>
      <c r="W74" s="23">
        <f ca="1">IFERROR(__xludf.DUMMYFUNCTION("""COMPUTED_VALUE"""),73)</f>
        <v>73</v>
      </c>
      <c r="X74" s="23" t="str">
        <f ca="1">IFERROR(__xludf.DUMMYFUNCTION("""COMPUTED_VALUE"""),"18/01/2025")</f>
        <v>18/01/2025</v>
      </c>
      <c r="Y74" s="23" t="str">
        <f ca="1">IFERROR(__xludf.DUMMYFUNCTION("""COMPUTED_VALUE"""),"DUYỆT")</f>
        <v>DUYỆT</v>
      </c>
      <c r="Z74" s="23" t="str">
        <f ca="1">IFERROR(__xludf.DUMMYFUNCTION("""COMPUTED_VALUE"""),"18/01/2025")</f>
        <v>18/01/2025</v>
      </c>
      <c r="AA74" s="23" t="str">
        <f ca="1">IFERROR(__xludf.DUMMYFUNCTION("""COMPUTED_VALUE"""),"Hyatt regency DaNang Resort")</f>
        <v>Hyatt regency DaNang Resort</v>
      </c>
      <c r="AB74" s="23" t="str">
        <f ca="1">IFERROR(__xludf.DUMMYFUNCTION("""COMPUTED_VALUE"""),"Nhà hàng")</f>
        <v>Nhà hàng</v>
      </c>
      <c r="AC74" s="23"/>
      <c r="AD74" s="23" t="str">
        <f ca="1">IFERROR(__xludf.DUMMYFUNCTION("""COMPUTED_VALUE"""),"SV phải đảm bảo không thực tập quá 5sv/nhà hàng")</f>
        <v>SV phải đảm bảo không thực tập quá 5sv/nhà hàng</v>
      </c>
      <c r="AE74" s="23" t="str">
        <f ca="1">IFERROR(__xludf.DUMMYFUNCTION("""COMPUTED_VALUE"""),"")</f>
        <v/>
      </c>
      <c r="AF74" s="23" t="str">
        <f ca="1">IFERROR(__xludf.DUMMYFUNCTION("""COMPUTED_VALUE"""),"KHÓA LUẬN")</f>
        <v>KHÓA LUẬN</v>
      </c>
      <c r="AG74" s="23" t="str">
        <f ca="1">IFERROR(__xludf.DUMMYFUNCTION("""COMPUTED_VALUE"""),"Trần Hoàng Anh")</f>
        <v>Trần Hoàng Anh</v>
      </c>
    </row>
    <row r="75" spans="1:33" ht="12.75" x14ac:dyDescent="0.2">
      <c r="A75" s="26">
        <f ca="1">IFERROR(__xludf.DUMMYFUNCTION("""COMPUTED_VALUE"""),45673.6732616088)</f>
        <v>45673.673261608797</v>
      </c>
      <c r="B75" s="23" t="str">
        <f ca="1">IFERROR(__xludf.DUMMYFUNCTION("""COMPUTED_VALUE"""),"tthuphuong444@gmail.com")</f>
        <v>tthuphuong444@gmail.com</v>
      </c>
      <c r="C75" s="23">
        <f ca="1">IFERROR(__xludf.DUMMYFUNCTION("""COMPUTED_VALUE"""),27217142556)</f>
        <v>27217142556</v>
      </c>
      <c r="D75" s="23" t="str">
        <f ca="1">IFERROR(__xludf.DUMMYFUNCTION("""COMPUTED_VALUE"""),"Trần Thu Phương")</f>
        <v>Trần Thu Phương</v>
      </c>
      <c r="E75" s="27">
        <f ca="1">IFERROR(__xludf.DUMMYFUNCTION("""COMPUTED_VALUE"""),37789)</f>
        <v>37789</v>
      </c>
      <c r="F75" s="23" t="str">
        <f ca="1">IFERROR(__xludf.DUMMYFUNCTION("""COMPUTED_VALUE"""),"K27DLK5")</f>
        <v>K27DLK5</v>
      </c>
      <c r="G75" s="23" t="str">
        <f ca="1">IFERROR(__xludf.DUMMYFUNCTION("""COMPUTED_VALUE"""),"Quản trị Du lịch &amp; Khách sạn")</f>
        <v>Quản trị Du lịch &amp; Khách sạn</v>
      </c>
      <c r="H75" s="23">
        <f ca="1">IFERROR(__xludf.DUMMYFUNCTION("""COMPUTED_VALUE"""),27)</f>
        <v>27</v>
      </c>
      <c r="I75" s="23" t="str">
        <f ca="1">IFERROR(__xludf.DUMMYFUNCTION("""COMPUTED_VALUE"""),"0568059779")</f>
        <v>0568059779</v>
      </c>
      <c r="J75" s="23" t="str">
        <f ca="1">IFERROR(__xludf.DUMMYFUNCTION("""COMPUTED_VALUE"""),"Chuyên đề")</f>
        <v>Chuyên đề</v>
      </c>
      <c r="K75" s="23" t="str">
        <f ca="1">IFERROR(__xludf.DUMMYFUNCTION("""COMPUTED_VALUE"""),"Hyatt regency DaNang Resort")</f>
        <v>Hyatt regency DaNang Resort</v>
      </c>
      <c r="L75" s="23"/>
      <c r="M75" s="23" t="str">
        <f ca="1">IFERROR(__xludf.DUMMYFUNCTION("""COMPUTED_VALUE"""),"05 Trường Sa,Hoà Hải, Ngũ Hành Sơn, Đà Nẵng ")</f>
        <v xml:space="preserve">05 Trường Sa,Hoà Hải, Ngũ Hành Sơn, Đà Nẵng </v>
      </c>
      <c r="N75" s="23" t="str">
        <f ca="1">IFERROR(__xludf.DUMMYFUNCTION("""COMPUTED_VALUE"""),"Đà Nẵng")</f>
        <v>Đà Nẵng</v>
      </c>
      <c r="O75" s="23" t="str">
        <f ca="1">IFERROR(__xludf.DUMMYFUNCTION("""COMPUTED_VALUE"""),"Buồng phòng")</f>
        <v>Buồng phòng</v>
      </c>
      <c r="P75" s="23"/>
      <c r="Q75" s="23" t="str">
        <f ca="1">IFERROR(__xludf.DUMMYFUNCTION("""COMPUTED_VALUE"""),"16/01/2025")</f>
        <v>16/01/2025</v>
      </c>
      <c r="R75" s="23" t="str">
        <f ca="1">IFERROR(__xludf.DUMMYFUNCTION("""COMPUTED_VALUE"""),"cam kết")</f>
        <v>cam kết</v>
      </c>
      <c r="S75" s="23" t="str">
        <f ca="1">IFERROR(__xludf.DUMMYFUNCTION("""COMPUTED_VALUE"""),"Chuyên đề")</f>
        <v>Chuyên đề</v>
      </c>
      <c r="T75" s="23"/>
      <c r="U75" s="27">
        <f ca="1">IFERROR(__xludf.DUMMYFUNCTION("""COMPUTED_VALUE"""),45691)</f>
        <v>45691</v>
      </c>
      <c r="V75" s="27">
        <f ca="1">IFERROR(__xludf.DUMMYFUNCTION("""COMPUTED_VALUE"""),45780)</f>
        <v>45780</v>
      </c>
      <c r="W75" s="23">
        <f ca="1">IFERROR(__xludf.DUMMYFUNCTION("""COMPUTED_VALUE"""),74)</f>
        <v>74</v>
      </c>
      <c r="X75" s="23" t="str">
        <f ca="1">IFERROR(__xludf.DUMMYFUNCTION("""COMPUTED_VALUE"""),"18/01/2025")</f>
        <v>18/01/2025</v>
      </c>
      <c r="Y75" s="23" t="str">
        <f ca="1">IFERROR(__xludf.DUMMYFUNCTION("""COMPUTED_VALUE"""),"DUYỆT")</f>
        <v>DUYỆT</v>
      </c>
      <c r="Z75" s="23" t="str">
        <f ca="1">IFERROR(__xludf.DUMMYFUNCTION("""COMPUTED_VALUE"""),"18/01/2025")</f>
        <v>18/01/2025</v>
      </c>
      <c r="AA75" s="23" t="str">
        <f ca="1">IFERROR(__xludf.DUMMYFUNCTION("""COMPUTED_VALUE"""),"Hyatt regency DaNang Resort")</f>
        <v>Hyatt regency DaNang Resort</v>
      </c>
      <c r="AB75" s="23" t="str">
        <f ca="1">IFERROR(__xludf.DUMMYFUNCTION("""COMPUTED_VALUE"""),"Buồng phòng")</f>
        <v>Buồng phòng</v>
      </c>
      <c r="AC75" s="23"/>
      <c r="AD75" s="23"/>
      <c r="AE75" s="23" t="str">
        <f ca="1">IFERROR(__xludf.DUMMYFUNCTION("""COMPUTED_VALUE"""),"")</f>
        <v/>
      </c>
      <c r="AF75" s="23" t="str">
        <f ca="1">IFERROR(__xludf.DUMMYFUNCTION("""COMPUTED_VALUE"""),"CHUYÊN ĐỀ")</f>
        <v>CHUYÊN ĐỀ</v>
      </c>
      <c r="AG75" s="23" t="str">
        <f ca="1">IFERROR(__xludf.DUMMYFUNCTION("""COMPUTED_VALUE"""),"Trần Hoàng Anh")</f>
        <v>Trần Hoàng Anh</v>
      </c>
    </row>
    <row r="76" spans="1:33" ht="12.75" x14ac:dyDescent="0.2">
      <c r="A76" s="26">
        <f ca="1">IFERROR(__xludf.DUMMYFUNCTION("""COMPUTED_VALUE"""),45673.8056083912)</f>
        <v>45673.805608391202</v>
      </c>
      <c r="B76" s="23" t="str">
        <f ca="1">IFERROR(__xludf.DUMMYFUNCTION("""COMPUTED_VALUE"""),"ysuong308@gmail.com")</f>
        <v>ysuong308@gmail.com</v>
      </c>
      <c r="C76" s="23">
        <f ca="1">IFERROR(__xludf.DUMMYFUNCTION("""COMPUTED_VALUE"""),27207122499)</f>
        <v>27207122499</v>
      </c>
      <c r="D76" s="23" t="str">
        <f ca="1">IFERROR(__xludf.DUMMYFUNCTION("""COMPUTED_VALUE"""),"MAI THỊ YẾN SƯƠNG")</f>
        <v>MAI THỊ YẾN SƯƠNG</v>
      </c>
      <c r="E76" s="27">
        <f ca="1">IFERROR(__xludf.DUMMYFUNCTION("""COMPUTED_VALUE"""),37863)</f>
        <v>37863</v>
      </c>
      <c r="F76" s="23" t="str">
        <f ca="1">IFERROR(__xludf.DUMMYFUNCTION("""COMPUTED_VALUE"""),"K27DLK3")</f>
        <v>K27DLK3</v>
      </c>
      <c r="G76" s="23" t="str">
        <f ca="1">IFERROR(__xludf.DUMMYFUNCTION("""COMPUTED_VALUE"""),"Quản trị Du lịch &amp; Khách sạn")</f>
        <v>Quản trị Du lịch &amp; Khách sạn</v>
      </c>
      <c r="H76" s="23">
        <f ca="1">IFERROR(__xludf.DUMMYFUNCTION("""COMPUTED_VALUE"""),27)</f>
        <v>27</v>
      </c>
      <c r="I76" s="23" t="str">
        <f ca="1">IFERROR(__xludf.DUMMYFUNCTION("""COMPUTED_VALUE"""),"0899202920")</f>
        <v>0899202920</v>
      </c>
      <c r="J76" s="23" t="str">
        <f ca="1">IFERROR(__xludf.DUMMYFUNCTION("""COMPUTED_VALUE"""),"Chuyên đề")</f>
        <v>Chuyên đề</v>
      </c>
      <c r="K76" s="23" t="str">
        <f ca="1">IFERROR(__xludf.DUMMYFUNCTION("""COMPUTED_VALUE"""),"Khách sạn Mandila Beach Đà Nẵng")</f>
        <v>Khách sạn Mandila Beach Đà Nẵng</v>
      </c>
      <c r="L76" s="23"/>
      <c r="M76" s="23" t="str">
        <f ca="1">IFERROR(__xludf.DUMMYFUNCTION("""COMPUTED_VALUE"""),"218 Võ Nguyên Giáp, Phước Mỹ, Sơn Trà, Đà Nẵng")</f>
        <v>218 Võ Nguyên Giáp, Phước Mỹ, Sơn Trà, Đà Nẵng</v>
      </c>
      <c r="N76" s="23" t="str">
        <f ca="1">IFERROR(__xludf.DUMMYFUNCTION("""COMPUTED_VALUE"""),"Đà Nẵng")</f>
        <v>Đà Nẵng</v>
      </c>
      <c r="O76" s="23" t="str">
        <f ca="1">IFERROR(__xludf.DUMMYFUNCTION("""COMPUTED_VALUE"""),"Nhà hàng")</f>
        <v>Nhà hàng</v>
      </c>
      <c r="P76" s="23"/>
      <c r="Q76" s="23" t="str">
        <f ca="1">IFERROR(__xludf.DUMMYFUNCTION("""COMPUTED_VALUE"""),"09/02/2025")</f>
        <v>09/02/2025</v>
      </c>
      <c r="R76" s="23" t="str">
        <f ca="1">IFERROR(__xludf.DUMMYFUNCTION("""COMPUTED_VALUE"""),"cam kết")</f>
        <v>cam kết</v>
      </c>
      <c r="S76" s="23" t="str">
        <f ca="1">IFERROR(__xludf.DUMMYFUNCTION("""COMPUTED_VALUE"""),"Chuyên đề")</f>
        <v>Chuyên đề</v>
      </c>
      <c r="T76" s="23"/>
      <c r="U76" s="27">
        <f ca="1">IFERROR(__xludf.DUMMYFUNCTION("""COMPUTED_VALUE"""),45698)</f>
        <v>45698</v>
      </c>
      <c r="V76" s="27">
        <f ca="1">IFERROR(__xludf.DUMMYFUNCTION("""COMPUTED_VALUE"""),45787)</f>
        <v>45787</v>
      </c>
      <c r="W76" s="23">
        <f ca="1">IFERROR(__xludf.DUMMYFUNCTION("""COMPUTED_VALUE"""),75)</f>
        <v>75</v>
      </c>
      <c r="X76" s="23" t="str">
        <f ca="1">IFERROR(__xludf.DUMMYFUNCTION("""COMPUTED_VALUE"""),"21/02/2025")</f>
        <v>21/02/2025</v>
      </c>
      <c r="Y76" s="23" t="str">
        <f ca="1">IFERROR(__xludf.DUMMYFUNCTION("""COMPUTED_VALUE"""),"DUYỆT")</f>
        <v>DUYỆT</v>
      </c>
      <c r="Z76" s="23" t="str">
        <f ca="1">IFERROR(__xludf.DUMMYFUNCTION("""COMPUTED_VALUE"""),"18/01/2025")</f>
        <v>18/01/2025</v>
      </c>
      <c r="AA76" s="23" t="str">
        <f ca="1">IFERROR(__xludf.DUMMYFUNCTION("""COMPUTED_VALUE"""),"Khách sạn Mandila Beach Đà Nẵng")</f>
        <v>Khách sạn Mandila Beach Đà Nẵng</v>
      </c>
      <c r="AB76" s="23" t="str">
        <f ca="1">IFERROR(__xludf.DUMMYFUNCTION("""COMPUTED_VALUE"""),"Nhà hàng")</f>
        <v>Nhà hàng</v>
      </c>
      <c r="AC76" s="23"/>
      <c r="AD76" s="23"/>
      <c r="AE76" s="23" t="str">
        <f ca="1">IFERROR(__xludf.DUMMYFUNCTION("""COMPUTED_VALUE"""),"")</f>
        <v/>
      </c>
      <c r="AF76" s="23" t="str">
        <f ca="1">IFERROR(__xludf.DUMMYFUNCTION("""COMPUTED_VALUE"""),"CHUYÊN ĐỀ")</f>
        <v>CHUYÊN ĐỀ</v>
      </c>
      <c r="AG76" s="23" t="str">
        <f ca="1">IFERROR(__xludf.DUMMYFUNCTION("""COMPUTED_VALUE"""),"Huỳnh Lý Thùy Linh")</f>
        <v>Huỳnh Lý Thùy Linh</v>
      </c>
    </row>
    <row r="77" spans="1:33" ht="12.75" x14ac:dyDescent="0.2">
      <c r="A77" s="26">
        <f ca="1">IFERROR(__xludf.DUMMYFUNCTION("""COMPUTED_VALUE"""),45673.8811988425)</f>
        <v>45673.8811988425</v>
      </c>
      <c r="B77" s="23" t="str">
        <f ca="1">IFERROR(__xludf.DUMMYFUNCTION("""COMPUTED_VALUE"""),"thuhien2042@gmail.com")</f>
        <v>thuhien2042@gmail.com</v>
      </c>
      <c r="C77" s="23">
        <f ca="1">IFERROR(__xludf.DUMMYFUNCTION("""COMPUTED_VALUE"""),27207128512)</f>
        <v>27207128512</v>
      </c>
      <c r="D77" s="23" t="str">
        <f ca="1">IFERROR(__xludf.DUMMYFUNCTION("""COMPUTED_VALUE"""),"Nguyễn Thị Thu Hiền")</f>
        <v>Nguyễn Thị Thu Hiền</v>
      </c>
      <c r="E77" s="27">
        <f ca="1">IFERROR(__xludf.DUMMYFUNCTION("""COMPUTED_VALUE"""),37980)</f>
        <v>37980</v>
      </c>
      <c r="F77" s="23" t="str">
        <f ca="1">IFERROR(__xludf.DUMMYFUNCTION("""COMPUTED_VALUE"""),"K27DLK 1")</f>
        <v>K27DLK 1</v>
      </c>
      <c r="G77" s="23" t="str">
        <f ca="1">IFERROR(__xludf.DUMMYFUNCTION("""COMPUTED_VALUE"""),"Quản trị Du lịch &amp; Khách sạn")</f>
        <v>Quản trị Du lịch &amp; Khách sạn</v>
      </c>
      <c r="H77" s="23">
        <f ca="1">IFERROR(__xludf.DUMMYFUNCTION("""COMPUTED_VALUE"""),27)</f>
        <v>27</v>
      </c>
      <c r="I77" s="23" t="str">
        <f ca="1">IFERROR(__xludf.DUMMYFUNCTION("""COMPUTED_VALUE"""),"0896406241")</f>
        <v>0896406241</v>
      </c>
      <c r="J77" s="23" t="str">
        <f ca="1">IFERROR(__xludf.DUMMYFUNCTION("""COMPUTED_VALUE"""),"Chuyên đề")</f>
        <v>Chuyên đề</v>
      </c>
      <c r="K77" s="23" t="str">
        <f ca="1">IFERROR(__xludf.DUMMYFUNCTION("""COMPUTED_VALUE"""),"Diamond Sea Hotel")</f>
        <v>Diamond Sea Hotel</v>
      </c>
      <c r="L77" s="23"/>
      <c r="M77" s="23" t="str">
        <f ca="1">IFERROR(__xludf.DUMMYFUNCTION("""COMPUTED_VALUE"""),"232 Võ Nguyên Giáp, Sơn Trà, Đà Nẵng")</f>
        <v>232 Võ Nguyên Giáp, Sơn Trà, Đà Nẵng</v>
      </c>
      <c r="N77" s="23" t="str">
        <f ca="1">IFERROR(__xludf.DUMMYFUNCTION("""COMPUTED_VALUE"""),"Đà Nẵng")</f>
        <v>Đà Nẵng</v>
      </c>
      <c r="O77" s="23" t="str">
        <f ca="1">IFERROR(__xludf.DUMMYFUNCTION("""COMPUTED_VALUE"""),"Buồng phòng")</f>
        <v>Buồng phòng</v>
      </c>
      <c r="P77" s="23"/>
      <c r="Q77" s="23" t="str">
        <f ca="1">IFERROR(__xludf.DUMMYFUNCTION("""COMPUTED_VALUE"""),"17/01/2025")</f>
        <v>17/01/2025</v>
      </c>
      <c r="R77" s="23" t="str">
        <f ca="1">IFERROR(__xludf.DUMMYFUNCTION("""COMPUTED_VALUE"""),"cam kết")</f>
        <v>cam kết</v>
      </c>
      <c r="S77" s="23" t="str">
        <f ca="1">IFERROR(__xludf.DUMMYFUNCTION("""COMPUTED_VALUE"""),"Chuyên đề")</f>
        <v>Chuyên đề</v>
      </c>
      <c r="T77" s="23"/>
      <c r="U77" s="27">
        <f ca="1">IFERROR(__xludf.DUMMYFUNCTION("""COMPUTED_VALUE"""),45698)</f>
        <v>45698</v>
      </c>
      <c r="V77" s="27">
        <f ca="1">IFERROR(__xludf.DUMMYFUNCTION("""COMPUTED_VALUE"""),45787)</f>
        <v>45787</v>
      </c>
      <c r="W77" s="23">
        <f ca="1">IFERROR(__xludf.DUMMYFUNCTION("""COMPUTED_VALUE"""),76)</f>
        <v>76</v>
      </c>
      <c r="X77" s="23" t="str">
        <f ca="1">IFERROR(__xludf.DUMMYFUNCTION("""COMPUTED_VALUE"""),"18/01/2025")</f>
        <v>18/01/2025</v>
      </c>
      <c r="Y77" s="23" t="str">
        <f ca="1">IFERROR(__xludf.DUMMYFUNCTION("""COMPUTED_VALUE"""),"DUYỆT")</f>
        <v>DUYỆT</v>
      </c>
      <c r="Z77" s="23" t="str">
        <f ca="1">IFERROR(__xludf.DUMMYFUNCTION("""COMPUTED_VALUE"""),"18/01/2025")</f>
        <v>18/01/2025</v>
      </c>
      <c r="AA77" s="23" t="str">
        <f ca="1">IFERROR(__xludf.DUMMYFUNCTION("""COMPUTED_VALUE"""),"Diamond Sea Hotel")</f>
        <v>Diamond Sea Hotel</v>
      </c>
      <c r="AB77" s="23" t="str">
        <f ca="1">IFERROR(__xludf.DUMMYFUNCTION("""COMPUTED_VALUE"""),"Buồng phòng")</f>
        <v>Buồng phòng</v>
      </c>
      <c r="AC77" s="23"/>
      <c r="AD77" s="23"/>
      <c r="AE77" s="23" t="str">
        <f ca="1">IFERROR(__xludf.DUMMYFUNCTION("""COMPUTED_VALUE"""),"")</f>
        <v/>
      </c>
      <c r="AF77" s="23" t="str">
        <f ca="1">IFERROR(__xludf.DUMMYFUNCTION("""COMPUTED_VALUE"""),"CHUYÊN ĐỀ")</f>
        <v>CHUYÊN ĐỀ</v>
      </c>
      <c r="AG77" s="23" t="str">
        <f ca="1">IFERROR(__xludf.DUMMYFUNCTION("""COMPUTED_VALUE"""),"Dương Thị Xuân Diệu")</f>
        <v>Dương Thị Xuân Diệu</v>
      </c>
    </row>
    <row r="78" spans="1:33" ht="12.75" x14ac:dyDescent="0.2">
      <c r="A78" s="26">
        <f ca="1">IFERROR(__xludf.DUMMYFUNCTION("""COMPUTED_VALUE"""),45673.8876586574)</f>
        <v>45673.887658657397</v>
      </c>
      <c r="B78" s="23" t="str">
        <f ca="1">IFERROR(__xludf.DUMMYFUNCTION("""COMPUTED_VALUE"""),"duongnguyenkhanhgiang@gmail.com")</f>
        <v>duongnguyenkhanhgiang@gmail.com</v>
      </c>
      <c r="C78" s="23">
        <f ca="1">IFERROR(__xludf.DUMMYFUNCTION("""COMPUTED_VALUE"""),27207100850)</f>
        <v>27207100850</v>
      </c>
      <c r="D78" s="23" t="str">
        <f ca="1">IFERROR(__xludf.DUMMYFUNCTION("""COMPUTED_VALUE"""),"Dương Nguyễn Khánh Giang ")</f>
        <v xml:space="preserve">Dương Nguyễn Khánh Giang </v>
      </c>
      <c r="E78" s="27">
        <f ca="1">IFERROR(__xludf.DUMMYFUNCTION("""COMPUTED_VALUE"""),37856)</f>
        <v>37856</v>
      </c>
      <c r="F78" s="23" t="str">
        <f ca="1">IFERROR(__xludf.DUMMYFUNCTION("""COMPUTED_VALUE"""),"K27DLK1")</f>
        <v>K27DLK1</v>
      </c>
      <c r="G78" s="23" t="str">
        <f ca="1">IFERROR(__xludf.DUMMYFUNCTION("""COMPUTED_VALUE"""),"Quản trị Du lịch &amp; Khách sạn")</f>
        <v>Quản trị Du lịch &amp; Khách sạn</v>
      </c>
      <c r="H78" s="23">
        <f ca="1">IFERROR(__xludf.DUMMYFUNCTION("""COMPUTED_VALUE"""),27)</f>
        <v>27</v>
      </c>
      <c r="I78" s="23" t="str">
        <f ca="1">IFERROR(__xludf.DUMMYFUNCTION("""COMPUTED_VALUE"""),"0329659054")</f>
        <v>0329659054</v>
      </c>
      <c r="J78" s="23" t="str">
        <f ca="1">IFERROR(__xludf.DUMMYFUNCTION("""COMPUTED_VALUE"""),"Chuyên đề")</f>
        <v>Chuyên đề</v>
      </c>
      <c r="K78" s="23" t="str">
        <f ca="1">IFERROR(__xludf.DUMMYFUNCTION("""COMPUTED_VALUE"""),"Meliá Vinpearl Danang Riverfront")</f>
        <v>Meliá Vinpearl Danang Riverfront</v>
      </c>
      <c r="L78" s="23"/>
      <c r="M78" s="23" t="str">
        <f ca="1">IFERROR(__xludf.DUMMYFUNCTION("""COMPUTED_VALUE"""),"341 Trần Hưng Đạo - An Hải Bắc - Sơn Trà - Đà Nẵng")</f>
        <v>341 Trần Hưng Đạo - An Hải Bắc - Sơn Trà - Đà Nẵng</v>
      </c>
      <c r="N78" s="23" t="str">
        <f ca="1">IFERROR(__xludf.DUMMYFUNCTION("""COMPUTED_VALUE"""),"Đà Nẵng")</f>
        <v>Đà Nẵng</v>
      </c>
      <c r="O78" s="23" t="str">
        <f ca="1">IFERROR(__xludf.DUMMYFUNCTION("""COMPUTED_VALUE"""),"Buồng phòng")</f>
        <v>Buồng phòng</v>
      </c>
      <c r="P78" s="23"/>
      <c r="Q78" s="23" t="str">
        <f ca="1">IFERROR(__xludf.DUMMYFUNCTION("""COMPUTED_VALUE"""),"18/01/2025")</f>
        <v>18/01/2025</v>
      </c>
      <c r="R78" s="23" t="str">
        <f ca="1">IFERROR(__xludf.DUMMYFUNCTION("""COMPUTED_VALUE"""),"cam kết")</f>
        <v>cam kết</v>
      </c>
      <c r="S78" s="23" t="str">
        <f ca="1">IFERROR(__xludf.DUMMYFUNCTION("""COMPUTED_VALUE"""),"Chuyên đề")</f>
        <v>Chuyên đề</v>
      </c>
      <c r="T78" s="23"/>
      <c r="U78" s="27">
        <f ca="1">IFERROR(__xludf.DUMMYFUNCTION("""COMPUTED_VALUE"""),45698)</f>
        <v>45698</v>
      </c>
      <c r="V78" s="27">
        <f ca="1">IFERROR(__xludf.DUMMYFUNCTION("""COMPUTED_VALUE"""),45787)</f>
        <v>45787</v>
      </c>
      <c r="W78" s="23">
        <f ca="1">IFERROR(__xludf.DUMMYFUNCTION("""COMPUTED_VALUE"""),77)</f>
        <v>77</v>
      </c>
      <c r="X78" s="23" t="str">
        <f ca="1">IFERROR(__xludf.DUMMYFUNCTION("""COMPUTED_VALUE"""),"20/01/2025")</f>
        <v>20/01/2025</v>
      </c>
      <c r="Y78" s="23" t="str">
        <f ca="1">IFERROR(__xludf.DUMMYFUNCTION("""COMPUTED_VALUE"""),"DUYỆT")</f>
        <v>DUYỆT</v>
      </c>
      <c r="Z78" s="23" t="str">
        <f ca="1">IFERROR(__xludf.DUMMYFUNCTION("""COMPUTED_VALUE"""),"18/01/2025")</f>
        <v>18/01/2025</v>
      </c>
      <c r="AA78" s="23" t="str">
        <f ca="1">IFERROR(__xludf.DUMMYFUNCTION("""COMPUTED_VALUE"""),"Meliá Vinpearl Danang Riverfront")</f>
        <v>Meliá Vinpearl Danang Riverfront</v>
      </c>
      <c r="AB78" s="23" t="str">
        <f ca="1">IFERROR(__xludf.DUMMYFUNCTION("""COMPUTED_VALUE"""),"Buồng phòng")</f>
        <v>Buồng phòng</v>
      </c>
      <c r="AC78" s="23"/>
      <c r="AD78" s="23"/>
      <c r="AE78" s="23" t="str">
        <f ca="1">IFERROR(__xludf.DUMMYFUNCTION("""COMPUTED_VALUE"""),"")</f>
        <v/>
      </c>
      <c r="AF78" s="23" t="str">
        <f ca="1">IFERROR(__xludf.DUMMYFUNCTION("""COMPUTED_VALUE"""),"CHUYÊN ĐỀ")</f>
        <v>CHUYÊN ĐỀ</v>
      </c>
      <c r="AG78" s="23" t="str">
        <f ca="1">IFERROR(__xludf.DUMMYFUNCTION("""COMPUTED_VALUE"""),"Ngô Thị Thanh Nga")</f>
        <v>Ngô Thị Thanh Nga</v>
      </c>
    </row>
    <row r="79" spans="1:33" ht="12.75" x14ac:dyDescent="0.2">
      <c r="A79" s="26">
        <f ca="1">IFERROR(__xludf.DUMMYFUNCTION("""COMPUTED_VALUE"""),45674.4243918055)</f>
        <v>45674.4243918055</v>
      </c>
      <c r="B79" s="23" t="str">
        <f ca="1">IFERROR(__xludf.DUMMYFUNCTION("""COMPUTED_VALUE"""),"huynhaily03@gmail.com")</f>
        <v>huynhaily03@gmail.com</v>
      </c>
      <c r="C79" s="23">
        <f ca="1">IFERROR(__xludf.DUMMYFUNCTION("""COMPUTED_VALUE"""),27207140635)</f>
        <v>27207140635</v>
      </c>
      <c r="D79" s="23" t="str">
        <f ca="1">IFERROR(__xludf.DUMMYFUNCTION("""COMPUTED_VALUE"""),"Nguyễn Huỳnh Ái Ly")</f>
        <v>Nguyễn Huỳnh Ái Ly</v>
      </c>
      <c r="E79" s="27">
        <f ca="1">IFERROR(__xludf.DUMMYFUNCTION("""COMPUTED_VALUE"""),37908)</f>
        <v>37908</v>
      </c>
      <c r="F79" s="23" t="str">
        <f ca="1">IFERROR(__xludf.DUMMYFUNCTION("""COMPUTED_VALUE"""),"K27DLK4")</f>
        <v>K27DLK4</v>
      </c>
      <c r="G79" s="23" t="str">
        <f ca="1">IFERROR(__xludf.DUMMYFUNCTION("""COMPUTED_VALUE"""),"Quản trị Du lịch &amp; Khách sạn")</f>
        <v>Quản trị Du lịch &amp; Khách sạn</v>
      </c>
      <c r="H79" s="23">
        <f ca="1">IFERROR(__xludf.DUMMYFUNCTION("""COMPUTED_VALUE"""),27)</f>
        <v>27</v>
      </c>
      <c r="I79" s="23" t="str">
        <f ca="1">IFERROR(__xludf.DUMMYFUNCTION("""COMPUTED_VALUE"""),"0334808343")</f>
        <v>0334808343</v>
      </c>
      <c r="J79" s="23" t="str">
        <f ca="1">IFERROR(__xludf.DUMMYFUNCTION("""COMPUTED_VALUE"""),"Chuyên đề")</f>
        <v>Chuyên đề</v>
      </c>
      <c r="K79" s="23" t="str">
        <f ca="1">IFERROR(__xludf.DUMMYFUNCTION("""COMPUTED_VALUE"""),"Maximilan Danang Beach Hotel")</f>
        <v>Maximilan Danang Beach Hotel</v>
      </c>
      <c r="L79" s="23"/>
      <c r="M79" s="23" t="str">
        <f ca="1">IFERROR(__xludf.DUMMYFUNCTION("""COMPUTED_VALUE"""),"222 Võ Nguyên Giáp - Phước Mỹ - Sơn Trà - Đà Nẵng")</f>
        <v>222 Võ Nguyên Giáp - Phước Mỹ - Sơn Trà - Đà Nẵng</v>
      </c>
      <c r="N79" s="23" t="str">
        <f ca="1">IFERROR(__xludf.DUMMYFUNCTION("""COMPUTED_VALUE"""),"Đà Nẵng")</f>
        <v>Đà Nẵng</v>
      </c>
      <c r="O79" s="23" t="str">
        <f ca="1">IFERROR(__xludf.DUMMYFUNCTION("""COMPUTED_VALUE"""),"Buồng phòng")</f>
        <v>Buồng phòng</v>
      </c>
      <c r="P79" s="23"/>
      <c r="Q79" s="23" t="str">
        <f ca="1">IFERROR(__xludf.DUMMYFUNCTION("""COMPUTED_VALUE"""),"17/01/2025")</f>
        <v>17/01/2025</v>
      </c>
      <c r="R79" s="23" t="str">
        <f ca="1">IFERROR(__xludf.DUMMYFUNCTION("""COMPUTED_VALUE"""),"cam kết")</f>
        <v>cam kết</v>
      </c>
      <c r="S79" s="23" t="str">
        <f ca="1">IFERROR(__xludf.DUMMYFUNCTION("""COMPUTED_VALUE"""),"Chuyên đề")</f>
        <v>Chuyên đề</v>
      </c>
      <c r="T79" s="23"/>
      <c r="U79" s="27">
        <f ca="1">IFERROR(__xludf.DUMMYFUNCTION("""COMPUTED_VALUE"""),45698)</f>
        <v>45698</v>
      </c>
      <c r="V79" s="27">
        <f ca="1">IFERROR(__xludf.DUMMYFUNCTION("""COMPUTED_VALUE"""),45787)</f>
        <v>45787</v>
      </c>
      <c r="W79" s="23">
        <f ca="1">IFERROR(__xludf.DUMMYFUNCTION("""COMPUTED_VALUE"""),78)</f>
        <v>78</v>
      </c>
      <c r="X79" s="23" t="str">
        <f ca="1">IFERROR(__xludf.DUMMYFUNCTION("""COMPUTED_VALUE"""),"18/01/2025")</f>
        <v>18/01/2025</v>
      </c>
      <c r="Y79" s="23" t="str">
        <f ca="1">IFERROR(__xludf.DUMMYFUNCTION("""COMPUTED_VALUE"""),"DUYỆT")</f>
        <v>DUYỆT</v>
      </c>
      <c r="Z79" s="23" t="str">
        <f ca="1">IFERROR(__xludf.DUMMYFUNCTION("""COMPUTED_VALUE"""),"18/01/2025")</f>
        <v>18/01/2025</v>
      </c>
      <c r="AA79" s="23" t="str">
        <f ca="1">IFERROR(__xludf.DUMMYFUNCTION("""COMPUTED_VALUE"""),"Maximilan Danang Beach Hotel")</f>
        <v>Maximilan Danang Beach Hotel</v>
      </c>
      <c r="AB79" s="23" t="str">
        <f ca="1">IFERROR(__xludf.DUMMYFUNCTION("""COMPUTED_VALUE"""),"Buồng phòng")</f>
        <v>Buồng phòng</v>
      </c>
      <c r="AC79" s="23"/>
      <c r="AD79" s="23"/>
      <c r="AE79" s="23" t="str">
        <f ca="1">IFERROR(__xludf.DUMMYFUNCTION("""COMPUTED_VALUE"""),"")</f>
        <v/>
      </c>
      <c r="AF79" s="23" t="str">
        <f ca="1">IFERROR(__xludf.DUMMYFUNCTION("""COMPUTED_VALUE"""),"CHUYÊN ĐỀ")</f>
        <v>CHUYÊN ĐỀ</v>
      </c>
      <c r="AG79" s="23" t="str">
        <f ca="1">IFERROR(__xludf.DUMMYFUNCTION("""COMPUTED_VALUE"""),"Trần Hoàng Anh")</f>
        <v>Trần Hoàng Anh</v>
      </c>
    </row>
    <row r="80" spans="1:33" ht="12.75" x14ac:dyDescent="0.2">
      <c r="A80" s="26">
        <f ca="1">IFERROR(__xludf.DUMMYFUNCTION("""COMPUTED_VALUE"""),45674.6032439814)</f>
        <v>45674.603243981401</v>
      </c>
      <c r="B80" s="23" t="str">
        <f ca="1">IFERROR(__xludf.DUMMYFUNCTION("""COMPUTED_VALUE"""),"huynhtthanhnhan1@dtu.edu.vn")</f>
        <v>huynhtthanhnhan1@dtu.edu.vn</v>
      </c>
      <c r="C80" s="23">
        <f ca="1">IFERROR(__xludf.DUMMYFUNCTION("""COMPUTED_VALUE"""),27207142127)</f>
        <v>27207142127</v>
      </c>
      <c r="D80" s="23" t="str">
        <f ca="1">IFERROR(__xludf.DUMMYFUNCTION("""COMPUTED_VALUE"""),"Huỳnh Thị Thanh Nhàn")</f>
        <v>Huỳnh Thị Thanh Nhàn</v>
      </c>
      <c r="E80" s="27">
        <f ca="1">IFERROR(__xludf.DUMMYFUNCTION("""COMPUTED_VALUE"""),37689)</f>
        <v>37689</v>
      </c>
      <c r="F80" s="23" t="str">
        <f ca="1">IFERROR(__xludf.DUMMYFUNCTION("""COMPUTED_VALUE"""),"K27PSUDLK1")</f>
        <v>K27PSUDLK1</v>
      </c>
      <c r="G80" s="23" t="str">
        <f ca="1">IFERROR(__xludf.DUMMYFUNCTION("""COMPUTED_VALUE"""),"Quản trị Du lịch &amp; Khách sạn chuẩn PSU")</f>
        <v>Quản trị Du lịch &amp; Khách sạn chuẩn PSU</v>
      </c>
      <c r="H80" s="23">
        <f ca="1">IFERROR(__xludf.DUMMYFUNCTION("""COMPUTED_VALUE"""),27)</f>
        <v>27</v>
      </c>
      <c r="I80" s="23" t="str">
        <f ca="1">IFERROR(__xludf.DUMMYFUNCTION("""COMPUTED_VALUE"""),"0347291926")</f>
        <v>0347291926</v>
      </c>
      <c r="J80" s="23" t="str">
        <f ca="1">IFERROR(__xludf.DUMMYFUNCTION("""COMPUTED_VALUE"""),"Chuyên đề")</f>
        <v>Chuyên đề</v>
      </c>
      <c r="K80" s="23" t="str">
        <f ca="1">IFERROR(__xludf.DUMMYFUNCTION("""COMPUTED_VALUE"""),"Hyatt regency DaNang Resort")</f>
        <v>Hyatt regency DaNang Resort</v>
      </c>
      <c r="L80" s="23"/>
      <c r="M80" s="23" t="str">
        <f ca="1">IFERROR(__xludf.DUMMYFUNCTION("""COMPUTED_VALUE"""),"05 Trường Sa, Ngũ Hành Sơn, Đà Nẵng")</f>
        <v>05 Trường Sa, Ngũ Hành Sơn, Đà Nẵng</v>
      </c>
      <c r="N80" s="23" t="str">
        <f ca="1">IFERROR(__xludf.DUMMYFUNCTION("""COMPUTED_VALUE"""),"Đà Nẵng")</f>
        <v>Đà Nẵng</v>
      </c>
      <c r="O80" s="23" t="str">
        <f ca="1">IFERROR(__xludf.DUMMYFUNCTION("""COMPUTED_VALUE"""),"Nhà hàng")</f>
        <v>Nhà hàng</v>
      </c>
      <c r="P80" s="23"/>
      <c r="Q80" s="23" t="str">
        <f ca="1">IFERROR(__xludf.DUMMYFUNCTION("""COMPUTED_VALUE"""),"20/1/2025")</f>
        <v>20/1/2025</v>
      </c>
      <c r="R80" s="23" t="str">
        <f ca="1">IFERROR(__xludf.DUMMYFUNCTION("""COMPUTED_VALUE"""),"cam kết")</f>
        <v>cam kết</v>
      </c>
      <c r="S80" s="23" t="str">
        <f ca="1">IFERROR(__xludf.DUMMYFUNCTION("""COMPUTED_VALUE"""),"Chuyên đề")</f>
        <v>Chuyên đề</v>
      </c>
      <c r="T80" s="23" t="str">
        <f ca="1">IFERROR(__xludf.DUMMYFUNCTION("""COMPUTED_VALUE"""),"Hồ Sử Minh Tài")</f>
        <v>Hồ Sử Minh Tài</v>
      </c>
      <c r="U80" s="27">
        <f ca="1">IFERROR(__xludf.DUMMYFUNCTION("""COMPUTED_VALUE"""),45691)</f>
        <v>45691</v>
      </c>
      <c r="V80" s="27">
        <f ca="1">IFERROR(__xludf.DUMMYFUNCTION("""COMPUTED_VALUE"""),45780)</f>
        <v>45780</v>
      </c>
      <c r="W80" s="23">
        <f ca="1">IFERROR(__xludf.DUMMYFUNCTION("""COMPUTED_VALUE"""),79)</f>
        <v>79</v>
      </c>
      <c r="X80" s="23" t="str">
        <f ca="1">IFERROR(__xludf.DUMMYFUNCTION("""COMPUTED_VALUE"""),"21/01/2025")</f>
        <v>21/01/2025</v>
      </c>
      <c r="Y80" s="23" t="str">
        <f ca="1">IFERROR(__xludf.DUMMYFUNCTION("""COMPUTED_VALUE"""),"DUYỆT")</f>
        <v>DUYỆT</v>
      </c>
      <c r="Z80" s="23" t="str">
        <f ca="1">IFERROR(__xludf.DUMMYFUNCTION("""COMPUTED_VALUE"""),"18/01/2025")</f>
        <v>18/01/2025</v>
      </c>
      <c r="AA80" s="23" t="str">
        <f ca="1">IFERROR(__xludf.DUMMYFUNCTION("""COMPUTED_VALUE"""),"Hyatt regency DaNang Resort")</f>
        <v>Hyatt regency DaNang Resort</v>
      </c>
      <c r="AB80" s="23" t="str">
        <f ca="1">IFERROR(__xludf.DUMMYFUNCTION("""COMPUTED_VALUE"""),"Nhà hàng")</f>
        <v>Nhà hàng</v>
      </c>
      <c r="AC80" s="23"/>
      <c r="AD80" s="23" t="str">
        <f ca="1">IFERROR(__xludf.DUMMYFUNCTION("""COMPUTED_VALUE"""),"SV phải đảm bảo không thực tập quá 5sv/nhà hàng")</f>
        <v>SV phải đảm bảo không thực tập quá 5sv/nhà hàng</v>
      </c>
      <c r="AE80" s="23" t="str">
        <f ca="1">IFERROR(__xludf.DUMMYFUNCTION("""COMPUTED_VALUE"""),"")</f>
        <v/>
      </c>
      <c r="AF80" s="23" t="str">
        <f ca="1">IFERROR(__xludf.DUMMYFUNCTION("""COMPUTED_VALUE"""),"KHÓA LUẬN")</f>
        <v>KHÓA LUẬN</v>
      </c>
      <c r="AG80" s="23" t="str">
        <f ca="1">IFERROR(__xludf.DUMMYFUNCTION("""COMPUTED_VALUE"""),"Trần Hoàng Anh")</f>
        <v>Trần Hoàng Anh</v>
      </c>
    </row>
    <row r="81" spans="1:33" ht="12.75" x14ac:dyDescent="0.2">
      <c r="A81" s="26">
        <f ca="1">IFERROR(__xludf.DUMMYFUNCTION("""COMPUTED_VALUE"""),45674.6347163657)</f>
        <v>45674.634716365697</v>
      </c>
      <c r="B81" s="23" t="str">
        <f ca="1">IFERROR(__xludf.DUMMYFUNCTION("""COMPUTED_VALUE"""),"lethanhhieu012@gmail.com")</f>
        <v>lethanhhieu012@gmail.com</v>
      </c>
      <c r="C81" s="23">
        <f ca="1">IFERROR(__xludf.DUMMYFUNCTION("""COMPUTED_VALUE"""),27217102218)</f>
        <v>27217102218</v>
      </c>
      <c r="D81" s="23" t="str">
        <f ca="1">IFERROR(__xludf.DUMMYFUNCTION("""COMPUTED_VALUE"""),"Lê Thanh Hiếu")</f>
        <v>Lê Thanh Hiếu</v>
      </c>
      <c r="E81" s="27">
        <f ca="1">IFERROR(__xludf.DUMMYFUNCTION("""COMPUTED_VALUE"""),37847)</f>
        <v>37847</v>
      </c>
      <c r="F81" s="23" t="str">
        <f ca="1">IFERROR(__xludf.DUMMYFUNCTION("""COMPUTED_VALUE"""),"K27DLK7")</f>
        <v>K27DLK7</v>
      </c>
      <c r="G81" s="23" t="str">
        <f ca="1">IFERROR(__xludf.DUMMYFUNCTION("""COMPUTED_VALUE"""),"Quản trị Du lịch &amp; Khách sạn")</f>
        <v>Quản trị Du lịch &amp; Khách sạn</v>
      </c>
      <c r="H81" s="23">
        <f ca="1">IFERROR(__xludf.DUMMYFUNCTION("""COMPUTED_VALUE"""),27)</f>
        <v>27</v>
      </c>
      <c r="I81" s="23" t="str">
        <f ca="1">IFERROR(__xludf.DUMMYFUNCTION("""COMPUTED_VALUE"""),"0982299727")</f>
        <v>0982299727</v>
      </c>
      <c r="J81" s="23" t="str">
        <f ca="1">IFERROR(__xludf.DUMMYFUNCTION("""COMPUTED_VALUE"""),"Chuyên đề")</f>
        <v>Chuyên đề</v>
      </c>
      <c r="K81" s="23" t="str">
        <f ca="1">IFERROR(__xludf.DUMMYFUNCTION("""COMPUTED_VALUE"""),"Diamond Sea Hotel")</f>
        <v>Diamond Sea Hotel</v>
      </c>
      <c r="L81" s="23"/>
      <c r="M81" s="23" t="str">
        <f ca="1">IFERROR(__xludf.DUMMYFUNCTION("""COMPUTED_VALUE"""),"232 Võ Nguyên Giáp, Quận Sơn Trà, Đà Nẵng")</f>
        <v>232 Võ Nguyên Giáp, Quận Sơn Trà, Đà Nẵng</v>
      </c>
      <c r="N81" s="23" t="str">
        <f ca="1">IFERROR(__xludf.DUMMYFUNCTION("""COMPUTED_VALUE"""),"Đà Nẵng")</f>
        <v>Đà Nẵng</v>
      </c>
      <c r="O81" s="23" t="str">
        <f ca="1">IFERROR(__xludf.DUMMYFUNCTION("""COMPUTED_VALUE"""),"Buồng phòng")</f>
        <v>Buồng phòng</v>
      </c>
      <c r="P81" s="23"/>
      <c r="Q81" s="23" t="str">
        <f ca="1">IFERROR(__xludf.DUMMYFUNCTION("""COMPUTED_VALUE"""),"17/1/2025")</f>
        <v>17/1/2025</v>
      </c>
      <c r="R81" s="23" t="str">
        <f ca="1">IFERROR(__xludf.DUMMYFUNCTION("""COMPUTED_VALUE"""),"cam kết")</f>
        <v>cam kết</v>
      </c>
      <c r="S81" s="23" t="str">
        <f ca="1">IFERROR(__xludf.DUMMYFUNCTION("""COMPUTED_VALUE"""),"Chuyên đề")</f>
        <v>Chuyên đề</v>
      </c>
      <c r="T81" s="23"/>
      <c r="U81" s="27">
        <f ca="1">IFERROR(__xludf.DUMMYFUNCTION("""COMPUTED_VALUE"""),45698)</f>
        <v>45698</v>
      </c>
      <c r="V81" s="27">
        <f ca="1">IFERROR(__xludf.DUMMYFUNCTION("""COMPUTED_VALUE"""),45787)</f>
        <v>45787</v>
      </c>
      <c r="W81" s="23">
        <f ca="1">IFERROR(__xludf.DUMMYFUNCTION("""COMPUTED_VALUE"""),80)</f>
        <v>80</v>
      </c>
      <c r="X81" s="23" t="str">
        <f ca="1">IFERROR(__xludf.DUMMYFUNCTION("""COMPUTED_VALUE"""),"18/01/2025")</f>
        <v>18/01/2025</v>
      </c>
      <c r="Y81" s="23" t="str">
        <f ca="1">IFERROR(__xludf.DUMMYFUNCTION("""COMPUTED_VALUE"""),"DUYỆT")</f>
        <v>DUYỆT</v>
      </c>
      <c r="Z81" s="23" t="str">
        <f ca="1">IFERROR(__xludf.DUMMYFUNCTION("""COMPUTED_VALUE"""),"18/01/2025")</f>
        <v>18/01/2025</v>
      </c>
      <c r="AA81" s="23" t="str">
        <f ca="1">IFERROR(__xludf.DUMMYFUNCTION("""COMPUTED_VALUE"""),"Diamond Sea Hotel")</f>
        <v>Diamond Sea Hotel</v>
      </c>
      <c r="AB81" s="23" t="str">
        <f ca="1">IFERROR(__xludf.DUMMYFUNCTION("""COMPUTED_VALUE"""),"Buồng phòng")</f>
        <v>Buồng phòng</v>
      </c>
      <c r="AC81" s="23"/>
      <c r="AD81" s="23"/>
      <c r="AE81" s="23" t="str">
        <f ca="1">IFERROR(__xludf.DUMMYFUNCTION("""COMPUTED_VALUE"""),"")</f>
        <v/>
      </c>
      <c r="AF81" s="23" t="str">
        <f ca="1">IFERROR(__xludf.DUMMYFUNCTION("""COMPUTED_VALUE"""),"CHUYÊN ĐỀ")</f>
        <v>CHUYÊN ĐỀ</v>
      </c>
      <c r="AG81" s="23" t="str">
        <f ca="1">IFERROR(__xludf.DUMMYFUNCTION("""COMPUTED_VALUE"""),"Dương Thị Xuân Diệu")</f>
        <v>Dương Thị Xuân Diệu</v>
      </c>
    </row>
    <row r="82" spans="1:33" ht="12.75" x14ac:dyDescent="0.2">
      <c r="A82" s="26">
        <f ca="1">IFERROR(__xludf.DUMMYFUNCTION("""COMPUTED_VALUE"""),45674.6901734837)</f>
        <v>45674.690173483701</v>
      </c>
      <c r="B82" s="23" t="str">
        <f ca="1">IFERROR(__xludf.DUMMYFUNCTION("""COMPUTED_VALUE"""),"trantamphuc2@gmail.com")</f>
        <v>trantamphuc2@gmail.com</v>
      </c>
      <c r="C82" s="23">
        <f ca="1">IFERROR(__xludf.DUMMYFUNCTION("""COMPUTED_VALUE"""),27207102577)</f>
        <v>27207102577</v>
      </c>
      <c r="D82" s="23" t="str">
        <f ca="1">IFERROR(__xludf.DUMMYFUNCTION("""COMPUTED_VALUE"""),"Trần Thị Tâm Phúc")</f>
        <v>Trần Thị Tâm Phúc</v>
      </c>
      <c r="E82" s="27">
        <f ca="1">IFERROR(__xludf.DUMMYFUNCTION("""COMPUTED_VALUE"""),37726)</f>
        <v>37726</v>
      </c>
      <c r="F82" s="23" t="str">
        <f ca="1">IFERROR(__xludf.DUMMYFUNCTION("""COMPUTED_VALUE"""),"K27DLK7")</f>
        <v>K27DLK7</v>
      </c>
      <c r="G82" s="23" t="str">
        <f ca="1">IFERROR(__xludf.DUMMYFUNCTION("""COMPUTED_VALUE"""),"Quản trị Du lịch &amp; Khách sạn")</f>
        <v>Quản trị Du lịch &amp; Khách sạn</v>
      </c>
      <c r="H82" s="23">
        <f ca="1">IFERROR(__xludf.DUMMYFUNCTION("""COMPUTED_VALUE"""),27)</f>
        <v>27</v>
      </c>
      <c r="I82" s="23" t="str">
        <f ca="1">IFERROR(__xludf.DUMMYFUNCTION("""COMPUTED_VALUE"""),"0901133024")</f>
        <v>0901133024</v>
      </c>
      <c r="J82" s="23" t="str">
        <f ca="1">IFERROR(__xludf.DUMMYFUNCTION("""COMPUTED_VALUE"""),"Chuyên đề")</f>
        <v>Chuyên đề</v>
      </c>
      <c r="K82" s="23" t="str">
        <f ca="1">IFERROR(__xludf.DUMMYFUNCTION("""COMPUTED_VALUE"""),"Meliá Vinpearl Danang Riverfront")</f>
        <v>Meliá Vinpearl Danang Riverfront</v>
      </c>
      <c r="L82" s="23"/>
      <c r="M82" s="23" t="str">
        <f ca="1">IFERROR(__xludf.DUMMYFUNCTION("""COMPUTED_VALUE"""),"341 Trần Hưng Đạo, An Hải Bắc, Sơn Trà")</f>
        <v>341 Trần Hưng Đạo, An Hải Bắc, Sơn Trà</v>
      </c>
      <c r="N82" s="23" t="str">
        <f ca="1">IFERROR(__xludf.DUMMYFUNCTION("""COMPUTED_VALUE"""),"Đà Nẵng")</f>
        <v>Đà Nẵng</v>
      </c>
      <c r="O82" s="23" t="str">
        <f ca="1">IFERROR(__xludf.DUMMYFUNCTION("""COMPUTED_VALUE"""),"Tiền sảnh")</f>
        <v>Tiền sảnh</v>
      </c>
      <c r="P82" s="23"/>
      <c r="Q82" s="23" t="str">
        <f ca="1">IFERROR(__xludf.DUMMYFUNCTION("""COMPUTED_VALUE"""),"21/1/2025")</f>
        <v>21/1/2025</v>
      </c>
      <c r="R82" s="23" t="str">
        <f ca="1">IFERROR(__xludf.DUMMYFUNCTION("""COMPUTED_VALUE"""),"cam kết")</f>
        <v>cam kết</v>
      </c>
      <c r="S82" s="23" t="str">
        <f ca="1">IFERROR(__xludf.DUMMYFUNCTION("""COMPUTED_VALUE"""),"Chuyên đề")</f>
        <v>Chuyên đề</v>
      </c>
      <c r="T82" s="23"/>
      <c r="U82" s="27">
        <f ca="1">IFERROR(__xludf.DUMMYFUNCTION("""COMPUTED_VALUE"""),45663)</f>
        <v>45663</v>
      </c>
      <c r="V82" s="27">
        <f ca="1">IFERROR(__xludf.DUMMYFUNCTION("""COMPUTED_VALUE"""),45787)</f>
        <v>45787</v>
      </c>
      <c r="W82" s="23">
        <f ca="1">IFERROR(__xludf.DUMMYFUNCTION("""COMPUTED_VALUE"""),81)</f>
        <v>81</v>
      </c>
      <c r="X82" s="23" t="str">
        <f ca="1">IFERROR(__xludf.DUMMYFUNCTION("""COMPUTED_VALUE"""),"21/01/2025")</f>
        <v>21/01/2025</v>
      </c>
      <c r="Y82" s="23" t="str">
        <f ca="1">IFERROR(__xludf.DUMMYFUNCTION("""COMPUTED_VALUE"""),"DUYỆT")</f>
        <v>DUYỆT</v>
      </c>
      <c r="Z82" s="23" t="str">
        <f ca="1">IFERROR(__xludf.DUMMYFUNCTION("""COMPUTED_VALUE"""),"18/01/2025")</f>
        <v>18/01/2025</v>
      </c>
      <c r="AA82" s="23" t="str">
        <f ca="1">IFERROR(__xludf.DUMMYFUNCTION("""COMPUTED_VALUE"""),"Meliá Vinpearl Danang Riverfront")</f>
        <v>Meliá Vinpearl Danang Riverfront</v>
      </c>
      <c r="AB82" s="23" t="str">
        <f ca="1">IFERROR(__xludf.DUMMYFUNCTION("""COMPUTED_VALUE"""),"Tiền sảnh")</f>
        <v>Tiền sảnh</v>
      </c>
      <c r="AC82" s="23"/>
      <c r="AD82" s="23"/>
      <c r="AE82" s="23" t="str">
        <f ca="1">IFERROR(__xludf.DUMMYFUNCTION("""COMPUTED_VALUE"""),"")</f>
        <v/>
      </c>
      <c r="AF82" s="23" t="str">
        <f ca="1">IFERROR(__xludf.DUMMYFUNCTION("""COMPUTED_VALUE"""),"CHUYÊN ĐỀ")</f>
        <v>CHUYÊN ĐỀ</v>
      </c>
      <c r="AG82" s="23" t="str">
        <f ca="1">IFERROR(__xludf.DUMMYFUNCTION("""COMPUTED_VALUE"""),"Ngô Thị Thanh Nga")</f>
        <v>Ngô Thị Thanh Nga</v>
      </c>
    </row>
    <row r="83" spans="1:33" ht="12.75" x14ac:dyDescent="0.2">
      <c r="A83" s="26">
        <f ca="1">IFERROR(__xludf.DUMMYFUNCTION("""COMPUTED_VALUE"""),45674.7211426736)</f>
        <v>45674.721142673603</v>
      </c>
      <c r="B83" s="23" t="str">
        <f ca="1">IFERROR(__xludf.DUMMYFUNCTION("""COMPUTED_VALUE"""),"hanhi08052003@gmail.com")</f>
        <v>hanhi08052003@gmail.com</v>
      </c>
      <c r="C83" s="23">
        <f ca="1">IFERROR(__xludf.DUMMYFUNCTION("""COMPUTED_VALUE"""),27207120204)</f>
        <v>27207120204</v>
      </c>
      <c r="D83" s="23" t="str">
        <f ca="1">IFERROR(__xludf.DUMMYFUNCTION("""COMPUTED_VALUE"""),"Đậu Thị Hà Nhi")</f>
        <v>Đậu Thị Hà Nhi</v>
      </c>
      <c r="E83" s="27">
        <f ca="1">IFERROR(__xludf.DUMMYFUNCTION("""COMPUTED_VALUE"""),37779)</f>
        <v>37779</v>
      </c>
      <c r="F83" s="23" t="str">
        <f ca="1">IFERROR(__xludf.DUMMYFUNCTION("""COMPUTED_VALUE"""),"K27DLK1")</f>
        <v>K27DLK1</v>
      </c>
      <c r="G83" s="23" t="str">
        <f ca="1">IFERROR(__xludf.DUMMYFUNCTION("""COMPUTED_VALUE"""),"Quản trị Du lịch &amp; Khách sạn")</f>
        <v>Quản trị Du lịch &amp; Khách sạn</v>
      </c>
      <c r="H83" s="23">
        <f ca="1">IFERROR(__xludf.DUMMYFUNCTION("""COMPUTED_VALUE"""),27)</f>
        <v>27</v>
      </c>
      <c r="I83" s="23" t="str">
        <f ca="1">IFERROR(__xludf.DUMMYFUNCTION("""COMPUTED_VALUE"""),"0332999703")</f>
        <v>0332999703</v>
      </c>
      <c r="J83" s="23" t="str">
        <f ca="1">IFERROR(__xludf.DUMMYFUNCTION("""COMPUTED_VALUE"""),"Chuyên đề")</f>
        <v>Chuyên đề</v>
      </c>
      <c r="K83" s="23" t="str">
        <f ca="1">IFERROR(__xludf.DUMMYFUNCTION("""COMPUTED_VALUE"""),"Rosamia Da Nang Hotel")</f>
        <v>Rosamia Da Nang Hotel</v>
      </c>
      <c r="L83" s="23" t="str">
        <f ca="1">IFERROR(__xludf.DUMMYFUNCTION("""COMPUTED_VALUE"""),"Rosamia Da Nang Hotel")</f>
        <v>Rosamia Da Nang Hotel</v>
      </c>
      <c r="M83" s="23" t="str">
        <f ca="1">IFERROR(__xludf.DUMMYFUNCTION("""COMPUTED_VALUE"""),"282 Võ Nguyên Giáp, Ngũ Hành Sơn, Đà Nẵng ")</f>
        <v xml:space="preserve">282 Võ Nguyên Giáp, Ngũ Hành Sơn, Đà Nẵng </v>
      </c>
      <c r="N83" s="23" t="str">
        <f ca="1">IFERROR(__xludf.DUMMYFUNCTION("""COMPUTED_VALUE"""),"Đà Nẵng ")</f>
        <v xml:space="preserve">Đà Nẵng </v>
      </c>
      <c r="O83" s="23" t="str">
        <f ca="1">IFERROR(__xludf.DUMMYFUNCTION("""COMPUTED_VALUE"""),"Lễ tân Spa")</f>
        <v>Lễ tân Spa</v>
      </c>
      <c r="P83" s="23" t="str">
        <f ca="1">IFERROR(__xludf.DUMMYFUNCTION("""COMPUTED_VALUE"""),"Spa")</f>
        <v>Spa</v>
      </c>
      <c r="Q83" s="23" t="str">
        <f ca="1">IFERROR(__xludf.DUMMYFUNCTION("""COMPUTED_VALUE"""),"17/01/2025")</f>
        <v>17/01/2025</v>
      </c>
      <c r="R83" s="23" t="str">
        <f ca="1">IFERROR(__xludf.DUMMYFUNCTION("""COMPUTED_VALUE"""),"cam kết")</f>
        <v>cam kết</v>
      </c>
      <c r="S83" s="23" t="str">
        <f ca="1">IFERROR(__xludf.DUMMYFUNCTION("""COMPUTED_VALUE"""),"Chuyên đề")</f>
        <v>Chuyên đề</v>
      </c>
      <c r="T83" s="23"/>
      <c r="U83" s="27">
        <f ca="1">IFERROR(__xludf.DUMMYFUNCTION("""COMPUTED_VALUE"""),45670)</f>
        <v>45670</v>
      </c>
      <c r="V83" s="27">
        <f ca="1">IFERROR(__xludf.DUMMYFUNCTION("""COMPUTED_VALUE"""),45760)</f>
        <v>45760</v>
      </c>
      <c r="W83" s="23">
        <f ca="1">IFERROR(__xludf.DUMMYFUNCTION("""COMPUTED_VALUE"""),82)</f>
        <v>82</v>
      </c>
      <c r="X83" s="23" t="str">
        <f ca="1">IFERROR(__xludf.DUMMYFUNCTION("""COMPUTED_VALUE"""),"18/01/2025")</f>
        <v>18/01/2025</v>
      </c>
      <c r="Y83" s="23" t="str">
        <f ca="1">IFERROR(__xludf.DUMMYFUNCTION("""COMPUTED_VALUE"""),"DUYỆT")</f>
        <v>DUYỆT</v>
      </c>
      <c r="Z83" s="23" t="str">
        <f ca="1">IFERROR(__xludf.DUMMYFUNCTION("""COMPUTED_VALUE"""),"18/01/2025")</f>
        <v>18/01/2025</v>
      </c>
      <c r="AA83" s="23" t="str">
        <f ca="1">IFERROR(__xludf.DUMMYFUNCTION("""COMPUTED_VALUE"""),"Rosamia Da Nang Hotel")</f>
        <v>Rosamia Da Nang Hotel</v>
      </c>
      <c r="AB83" s="23" t="str">
        <f ca="1">IFERROR(__xludf.DUMMYFUNCTION("""COMPUTED_VALUE"""),"Lễ tân Spa")</f>
        <v>Lễ tân Spa</v>
      </c>
      <c r="AC83" s="23"/>
      <c r="AD83" s="23" t="str">
        <f ca="1">IFERROR(__xludf.DUMMYFUNCTION("""COMPUTED_VALUE"""),"chỉ chấp nhận nếu SV làm lễ tân spa, ko chấp nhận nếu sv làm công việc khác tại bộ phận này")</f>
        <v>chỉ chấp nhận nếu SV làm lễ tân spa, ko chấp nhận nếu sv làm công việc khác tại bộ phận này</v>
      </c>
      <c r="AE83" s="23" t="str">
        <f ca="1">IFERROR(__xludf.DUMMYFUNCTION("""COMPUTED_VALUE"""),"")</f>
        <v/>
      </c>
      <c r="AF83" s="23" t="str">
        <f ca="1">IFERROR(__xludf.DUMMYFUNCTION("""COMPUTED_VALUE"""),"CHUYÊN ĐỀ")</f>
        <v>CHUYÊN ĐỀ</v>
      </c>
      <c r="AG83" s="23" t="str">
        <f ca="1">IFERROR(__xludf.DUMMYFUNCTION("""COMPUTED_VALUE"""),"Huỳnh Lý Thùy Linh")</f>
        <v>Huỳnh Lý Thùy Linh</v>
      </c>
    </row>
    <row r="84" spans="1:33" ht="12.75" x14ac:dyDescent="0.2">
      <c r="A84" s="26">
        <f ca="1">IFERROR(__xludf.DUMMYFUNCTION("""COMPUTED_VALUE"""),45674.8711021064)</f>
        <v>45674.871102106401</v>
      </c>
      <c r="B84" s="23" t="str">
        <f ca="1">IFERROR(__xludf.DUMMYFUNCTION("""COMPUTED_VALUE"""),"phunhannguyen1003@gmail.com")</f>
        <v>phunhannguyen1003@gmail.com</v>
      </c>
      <c r="C84" s="23">
        <f ca="1">IFERROR(__xludf.DUMMYFUNCTION("""COMPUTED_VALUE"""),27217120413)</f>
        <v>27217120413</v>
      </c>
      <c r="D84" s="23" t="str">
        <f ca="1">IFERROR(__xludf.DUMMYFUNCTION("""COMPUTED_VALUE"""),"Nguyễn Phú Nhân")</f>
        <v>Nguyễn Phú Nhân</v>
      </c>
      <c r="E84" s="27">
        <f ca="1">IFERROR(__xludf.DUMMYFUNCTION("""COMPUTED_VALUE"""),37325)</f>
        <v>37325</v>
      </c>
      <c r="F84" s="23" t="str">
        <f ca="1">IFERROR(__xludf.DUMMYFUNCTION("""COMPUTED_VALUE"""),"K27DLK 1")</f>
        <v>K27DLK 1</v>
      </c>
      <c r="G84" s="23" t="str">
        <f ca="1">IFERROR(__xludf.DUMMYFUNCTION("""COMPUTED_VALUE"""),"Quản trị Du lịch &amp; Khách sạn")</f>
        <v>Quản trị Du lịch &amp; Khách sạn</v>
      </c>
      <c r="H84" s="23">
        <f ca="1">IFERROR(__xludf.DUMMYFUNCTION("""COMPUTED_VALUE"""),27)</f>
        <v>27</v>
      </c>
      <c r="I84" s="23" t="str">
        <f ca="1">IFERROR(__xludf.DUMMYFUNCTION("""COMPUTED_VALUE"""),"0905936118")</f>
        <v>0905936118</v>
      </c>
      <c r="J84" s="23" t="str">
        <f ca="1">IFERROR(__xludf.DUMMYFUNCTION("""COMPUTED_VALUE"""),"Chuyên đề")</f>
        <v>Chuyên đề</v>
      </c>
      <c r="K84" s="23" t="str">
        <f ca="1">IFERROR(__xludf.DUMMYFUNCTION("""COMPUTED_VALUE"""),"Wyndham DaNang Golden Bay")</f>
        <v>Wyndham DaNang Golden Bay</v>
      </c>
      <c r="L84" s="23"/>
      <c r="M84" s="23" t="str">
        <f ca="1">IFERROR(__xludf.DUMMYFUNCTION("""COMPUTED_VALUE"""),"1 Lê Văn Duyệt")</f>
        <v>1 Lê Văn Duyệt</v>
      </c>
      <c r="N84" s="23" t="str">
        <f ca="1">IFERROR(__xludf.DUMMYFUNCTION("""COMPUTED_VALUE"""),"Đà Nẵng")</f>
        <v>Đà Nẵng</v>
      </c>
      <c r="O84" s="23" t="str">
        <f ca="1">IFERROR(__xludf.DUMMYFUNCTION("""COMPUTED_VALUE"""),"Nhà hàng")</f>
        <v>Nhà hàng</v>
      </c>
      <c r="P84" s="23"/>
      <c r="Q84" s="23" t="str">
        <f ca="1">IFERROR(__xludf.DUMMYFUNCTION("""COMPUTED_VALUE"""),"7/1/2025")</f>
        <v>7/1/2025</v>
      </c>
      <c r="R84" s="23" t="str">
        <f ca="1">IFERROR(__xludf.DUMMYFUNCTION("""COMPUTED_VALUE"""),"cam kết")</f>
        <v>cam kết</v>
      </c>
      <c r="S84" s="23" t="str">
        <f ca="1">IFERROR(__xludf.DUMMYFUNCTION("""COMPUTED_VALUE"""),"Chuyên đề")</f>
        <v>Chuyên đề</v>
      </c>
      <c r="T84" s="23"/>
      <c r="U84" s="27">
        <f ca="1">IFERROR(__xludf.DUMMYFUNCTION("""COMPUTED_VALUE"""),45698)</f>
        <v>45698</v>
      </c>
      <c r="V84" s="27">
        <f ca="1">IFERROR(__xludf.DUMMYFUNCTION("""COMPUTED_VALUE"""),45787)</f>
        <v>45787</v>
      </c>
      <c r="W84" s="23">
        <f ca="1">IFERROR(__xludf.DUMMYFUNCTION("""COMPUTED_VALUE"""),83)</f>
        <v>83</v>
      </c>
      <c r="X84" s="23" t="str">
        <f ca="1">IFERROR(__xludf.DUMMYFUNCTION("""COMPUTED_VALUE"""),"20/01/2025")</f>
        <v>20/01/2025</v>
      </c>
      <c r="Y84" s="23" t="str">
        <f ca="1">IFERROR(__xludf.DUMMYFUNCTION("""COMPUTED_VALUE"""),"DUYỆT")</f>
        <v>DUYỆT</v>
      </c>
      <c r="Z84" s="23" t="str">
        <f ca="1">IFERROR(__xludf.DUMMYFUNCTION("""COMPUTED_VALUE"""),"18/01/2025")</f>
        <v>18/01/2025</v>
      </c>
      <c r="AA84" s="23" t="str">
        <f ca="1">IFERROR(__xludf.DUMMYFUNCTION("""COMPUTED_VALUE"""),"Wyndham DaNang Golden Bay")</f>
        <v>Wyndham DaNang Golden Bay</v>
      </c>
      <c r="AB84" s="23" t="str">
        <f ca="1">IFERROR(__xludf.DUMMYFUNCTION("""COMPUTED_VALUE"""),"Nhà hàng")</f>
        <v>Nhà hàng</v>
      </c>
      <c r="AC84" s="23"/>
      <c r="AD84" s="23" t="str">
        <f ca="1">IFERROR(__xludf.DUMMYFUNCTION("""COMPUTED_VALUE"""),"sv phải đám bảo ko quá 5sv/nhà hàng")</f>
        <v>sv phải đám bảo ko quá 5sv/nhà hàng</v>
      </c>
      <c r="AE84" s="23" t="str">
        <f ca="1">IFERROR(__xludf.DUMMYFUNCTION("""COMPUTED_VALUE"""),"")</f>
        <v/>
      </c>
      <c r="AF84" s="23" t="str">
        <f ca="1">IFERROR(__xludf.DUMMYFUNCTION("""COMPUTED_VALUE"""),"CHUYÊN ĐỀ")</f>
        <v>CHUYÊN ĐỀ</v>
      </c>
      <c r="AG84" s="23" t="str">
        <f ca="1">IFERROR(__xludf.DUMMYFUNCTION("""COMPUTED_VALUE"""),"Trần Thị Mỹ Linh")</f>
        <v>Trần Thị Mỹ Linh</v>
      </c>
    </row>
    <row r="85" spans="1:33" ht="12.75" x14ac:dyDescent="0.2">
      <c r="A85" s="26">
        <f ca="1">IFERROR(__xludf.DUMMYFUNCTION("""COMPUTED_VALUE"""),45694.4348487268)</f>
        <v>45694.4348487268</v>
      </c>
      <c r="B85" s="23" t="str">
        <f ca="1">IFERROR(__xludf.DUMMYFUNCTION("""COMPUTED_VALUE"""),"dung96702@gmail.com")</f>
        <v>dung96702@gmail.com</v>
      </c>
      <c r="C85" s="23">
        <f ca="1">IFERROR(__xludf.DUMMYFUNCTION("""COMPUTED_VALUE"""),26207100647)</f>
        <v>26207100647</v>
      </c>
      <c r="D85" s="23" t="str">
        <f ca="1">IFERROR(__xludf.DUMMYFUNCTION("""COMPUTED_VALUE"""),"Huỳnh Thị Bích Dung")</f>
        <v>Huỳnh Thị Bích Dung</v>
      </c>
      <c r="E85" s="27">
        <f ca="1">IFERROR(__xludf.DUMMYFUNCTION("""COMPUTED_VALUE"""),37555)</f>
        <v>37555</v>
      </c>
      <c r="F85" s="23" t="str">
        <f ca="1">IFERROR(__xludf.DUMMYFUNCTION("""COMPUTED_VALUE"""),"K27PSU DLK 1")</f>
        <v>K27PSU DLK 1</v>
      </c>
      <c r="G85" s="23" t="str">
        <f ca="1">IFERROR(__xludf.DUMMYFUNCTION("""COMPUTED_VALUE"""),"Quản trị Du lịch &amp; Khách sạn chuẩn PSU")</f>
        <v>Quản trị Du lịch &amp; Khách sạn chuẩn PSU</v>
      </c>
      <c r="H85" s="23">
        <f ca="1">IFERROR(__xludf.DUMMYFUNCTION("""COMPUTED_VALUE"""),27)</f>
        <v>27</v>
      </c>
      <c r="I85" s="23" t="str">
        <f ca="1">IFERROR(__xludf.DUMMYFUNCTION("""COMPUTED_VALUE"""),"0395788872")</f>
        <v>0395788872</v>
      </c>
      <c r="J85" s="23" t="str">
        <f ca="1">IFERROR(__xludf.DUMMYFUNCTION("""COMPUTED_VALUE"""),"Chuyên đề")</f>
        <v>Chuyên đề</v>
      </c>
      <c r="K85" s="23" t="str">
        <f ca="1">IFERROR(__xludf.DUMMYFUNCTION("""COMPUTED_VALUE"""),"Renaissance Hoi An Resort &amp; Spa")</f>
        <v>Renaissance Hoi An Resort &amp; Spa</v>
      </c>
      <c r="L85" s="23" t="str">
        <f ca="1">IFERROR(__xludf.DUMMYFUNCTION("""COMPUTED_VALUE"""),"Renaissance Hoi An Resort &amp; Spa")</f>
        <v>Renaissance Hoi An Resort &amp; Spa</v>
      </c>
      <c r="M85" s="23" t="str">
        <f ca="1">IFERROR(__xludf.DUMMYFUNCTION("""COMPUTED_VALUE"""),"Block 6, Phuoc Hai, Cửa Đại, Hội An, Quảng Nam 51300")</f>
        <v>Block 6, Phuoc Hai, Cửa Đại, Hội An, Quảng Nam 51300</v>
      </c>
      <c r="N85" s="23" t="str">
        <f ca="1">IFERROR(__xludf.DUMMYFUNCTION("""COMPUTED_VALUE"""),"Quảng Nam")</f>
        <v>Quảng Nam</v>
      </c>
      <c r="O85" s="23" t="str">
        <f ca="1">IFERROR(__xludf.DUMMYFUNCTION("""COMPUTED_VALUE"""),"Nhà hàng")</f>
        <v>Nhà hàng</v>
      </c>
      <c r="P85" s="23"/>
      <c r="Q85" s="23" t="str">
        <f ca="1">IFERROR(__xludf.DUMMYFUNCTION("""COMPUTED_VALUE"""),"10/02/2025")</f>
        <v>10/02/2025</v>
      </c>
      <c r="R85" s="23" t="str">
        <f ca="1">IFERROR(__xludf.DUMMYFUNCTION("""COMPUTED_VALUE"""),"cam kết")</f>
        <v>cam kết</v>
      </c>
      <c r="S85" s="23" t="str">
        <f ca="1">IFERROR(__xludf.DUMMYFUNCTION("""COMPUTED_VALUE"""),"Chuyên đề")</f>
        <v>Chuyên đề</v>
      </c>
      <c r="T85" s="23" t="str">
        <f ca="1">IFERROR(__xludf.DUMMYFUNCTION("""COMPUTED_VALUE"""),"Hồ Sử Minh Tài")</f>
        <v>Hồ Sử Minh Tài</v>
      </c>
      <c r="U85" s="27">
        <f ca="1">IFERROR(__xludf.DUMMYFUNCTION("""COMPUTED_VALUE"""),45698)</f>
        <v>45698</v>
      </c>
      <c r="V85" s="27">
        <f ca="1">IFERROR(__xludf.DUMMYFUNCTION("""COMPUTED_VALUE"""),45787)</f>
        <v>45787</v>
      </c>
      <c r="W85" s="23">
        <f ca="1">IFERROR(__xludf.DUMMYFUNCTION("""COMPUTED_VALUE"""),84)</f>
        <v>84</v>
      </c>
      <c r="X85" s="23"/>
      <c r="Y85" s="23" t="str">
        <f ca="1">IFERROR(__xludf.DUMMYFUNCTION("""COMPUTED_VALUE"""),"DUYỆT")</f>
        <v>DUYỆT</v>
      </c>
      <c r="Z85" s="28">
        <f ca="1">IFERROR(__xludf.DUMMYFUNCTION("""COMPUTED_VALUE"""),45810)</f>
        <v>45810</v>
      </c>
      <c r="AA85" s="23" t="str">
        <f ca="1">IFERROR(__xludf.DUMMYFUNCTION("""COMPUTED_VALUE"""),"Renaissance Hoi An Resort &amp; Spa")</f>
        <v>Renaissance Hoi An Resort &amp; Spa</v>
      </c>
      <c r="AB85" s="23" t="str">
        <f ca="1">IFERROR(__xludf.DUMMYFUNCTION("""COMPUTED_VALUE"""),"Nhà hàng")</f>
        <v>Nhà hàng</v>
      </c>
      <c r="AC85" s="23" t="str">
        <f ca="1">IFERROR(__xludf.DUMMYFUNCTION("""COMPUTED_VALUE"""),"ĐÃ NỘP")</f>
        <v>ĐÃ NỘP</v>
      </c>
      <c r="AD85" s="23"/>
      <c r="AE85" s="23" t="str">
        <f ca="1">IFERROR(__xludf.DUMMYFUNCTION("""COMPUTED_VALUE"""),"")</f>
        <v/>
      </c>
      <c r="AF85" s="23" t="str">
        <f ca="1">IFERROR(__xludf.DUMMYFUNCTION("""COMPUTED_VALUE"""),"CHUYÊN ĐỀ")</f>
        <v>CHUYÊN ĐỀ</v>
      </c>
      <c r="AG85" s="23" t="str">
        <f ca="1">IFERROR(__xludf.DUMMYFUNCTION("""COMPUTED_VALUE"""),"Ngô Thị Thanh Nga")</f>
        <v>Ngô Thị Thanh Nga</v>
      </c>
    </row>
    <row r="86" spans="1:33" ht="12.75" x14ac:dyDescent="0.2">
      <c r="A86" s="26">
        <f ca="1">IFERROR(__xludf.DUMMYFUNCTION("""COMPUTED_VALUE"""),45675.0893570601)</f>
        <v>45675.089357060097</v>
      </c>
      <c r="B86" s="23" t="str">
        <f ca="1">IFERROR(__xludf.DUMMYFUNCTION("""COMPUTED_VALUE"""),"tuoiphamcsnt12a5@gmail.com")</f>
        <v>tuoiphamcsnt12a5@gmail.com</v>
      </c>
      <c r="C86" s="23">
        <f ca="1">IFERROR(__xludf.DUMMYFUNCTION("""COMPUTED_VALUE"""),27207130741)</f>
        <v>27207130741</v>
      </c>
      <c r="D86" s="23" t="str">
        <f ca="1">IFERROR(__xludf.DUMMYFUNCTION("""COMPUTED_VALUE"""),"PHẠM NGỌC TƯƠI")</f>
        <v>PHẠM NGỌC TƯƠI</v>
      </c>
      <c r="E86" s="27">
        <f ca="1">IFERROR(__xludf.DUMMYFUNCTION("""COMPUTED_VALUE"""),37931)</f>
        <v>37931</v>
      </c>
      <c r="F86" s="23" t="str">
        <f ca="1">IFERROR(__xludf.DUMMYFUNCTION("""COMPUTED_VALUE"""),"K27DLK3")</f>
        <v>K27DLK3</v>
      </c>
      <c r="G86" s="23" t="str">
        <f ca="1">IFERROR(__xludf.DUMMYFUNCTION("""COMPUTED_VALUE"""),"Quản trị Du lịch &amp; Khách sạn")</f>
        <v>Quản trị Du lịch &amp; Khách sạn</v>
      </c>
      <c r="H86" s="23">
        <f ca="1">IFERROR(__xludf.DUMMYFUNCTION("""COMPUTED_VALUE"""),27)</f>
        <v>27</v>
      </c>
      <c r="I86" s="23" t="str">
        <f ca="1">IFERROR(__xludf.DUMMYFUNCTION("""COMPUTED_VALUE"""),"0818985934")</f>
        <v>0818985934</v>
      </c>
      <c r="J86" s="23" t="str">
        <f ca="1">IFERROR(__xludf.DUMMYFUNCTION("""COMPUTED_VALUE"""),"Khóa luận")</f>
        <v>Khóa luận</v>
      </c>
      <c r="K86" s="23" t="str">
        <f ca="1">IFERROR(__xludf.DUMMYFUNCTION("""COMPUTED_VALUE"""),"Khách sạn Hilton Đà Nẵng")</f>
        <v>Khách sạn Hilton Đà Nẵng</v>
      </c>
      <c r="L86" s="23"/>
      <c r="M86" s="23" t="str">
        <f ca="1">IFERROR(__xludf.DUMMYFUNCTION("""COMPUTED_VALUE"""),"50 Bạch Đằng, Quận Hải Châu, Đà Nẵng , Việt Nam")</f>
        <v>50 Bạch Đằng, Quận Hải Châu, Đà Nẵng , Việt Nam</v>
      </c>
      <c r="N86" s="23" t="str">
        <f ca="1">IFERROR(__xludf.DUMMYFUNCTION("""COMPUTED_VALUE"""),"Đà Nẵng")</f>
        <v>Đà Nẵng</v>
      </c>
      <c r="O86" s="23" t="str">
        <f ca="1">IFERROR(__xludf.DUMMYFUNCTION("""COMPUTED_VALUE"""),"Nhà hàng")</f>
        <v>Nhà hàng</v>
      </c>
      <c r="P86" s="23"/>
      <c r="Q86" s="23" t="str">
        <f ca="1">IFERROR(__xludf.DUMMYFUNCTION("""COMPUTED_VALUE"""),"10/02/2025")</f>
        <v>10/02/2025</v>
      </c>
      <c r="R86" s="23" t="str">
        <f ca="1">IFERROR(__xludf.DUMMYFUNCTION("""COMPUTED_VALUE"""),"cam kết")</f>
        <v>cam kết</v>
      </c>
      <c r="S86" s="23" t="str">
        <f ca="1">IFERROR(__xludf.DUMMYFUNCTION("""COMPUTED_VALUE"""),"Khóa luận")</f>
        <v>Khóa luận</v>
      </c>
      <c r="T86" s="23" t="str">
        <f ca="1">IFERROR(__xludf.DUMMYFUNCTION("""COMPUTED_VALUE"""),"Trần Hoàng Anh")</f>
        <v>Trần Hoàng Anh</v>
      </c>
      <c r="U86" s="27">
        <f ca="1">IFERROR(__xludf.DUMMYFUNCTION("""COMPUTED_VALUE"""),45698)</f>
        <v>45698</v>
      </c>
      <c r="V86" s="27">
        <f ca="1">IFERROR(__xludf.DUMMYFUNCTION("""COMPUTED_VALUE"""),42134)</f>
        <v>42134</v>
      </c>
      <c r="W86" s="23">
        <f ca="1">IFERROR(__xludf.DUMMYFUNCTION("""COMPUTED_VALUE"""),85)</f>
        <v>85</v>
      </c>
      <c r="X86" s="28">
        <f ca="1">IFERROR(__xludf.DUMMYFUNCTION("""COMPUTED_VALUE"""),45963)</f>
        <v>45963</v>
      </c>
      <c r="Y86" s="23" t="str">
        <f ca="1">IFERROR(__xludf.DUMMYFUNCTION("""COMPUTED_VALUE"""),"DUYỆT")</f>
        <v>DUYỆT</v>
      </c>
      <c r="Z86" s="23" t="str">
        <f ca="1">IFERROR(__xludf.DUMMYFUNCTION("""COMPUTED_VALUE"""),"18/01/2025")</f>
        <v>18/01/2025</v>
      </c>
      <c r="AA86" s="23" t="str">
        <f ca="1">IFERROR(__xludf.DUMMYFUNCTION("""COMPUTED_VALUE"""),"Khách sạn Hilton Đà Nẵng")</f>
        <v>Khách sạn Hilton Đà Nẵng</v>
      </c>
      <c r="AB86" s="23" t="str">
        <f ca="1">IFERROR(__xludf.DUMMYFUNCTION("""COMPUTED_VALUE"""),"Nhà hàng")</f>
        <v>Nhà hàng</v>
      </c>
      <c r="AC86" s="23"/>
      <c r="AD86" s="23"/>
      <c r="AE86" s="23" t="str">
        <f ca="1">IFERROR(__xludf.DUMMYFUNCTION("""COMPUTED_VALUE"""),"")</f>
        <v/>
      </c>
      <c r="AF86" s="23" t="str">
        <f ca="1">IFERROR(__xludf.DUMMYFUNCTION("""COMPUTED_VALUE"""),"KHÓA LUẬN")</f>
        <v>KHÓA LUẬN</v>
      </c>
      <c r="AG86" s="23" t="str">
        <f ca="1">IFERROR(__xludf.DUMMYFUNCTION("""COMPUTED_VALUE"""),"Phạm Thị Hoàng Dung")</f>
        <v>Phạm Thị Hoàng Dung</v>
      </c>
    </row>
    <row r="87" spans="1:33" ht="12.75" x14ac:dyDescent="0.2">
      <c r="A87" s="26">
        <f ca="1">IFERROR(__xludf.DUMMYFUNCTION("""COMPUTED_VALUE"""),45675.3282590277)</f>
        <v>45675.328259027701</v>
      </c>
      <c r="B87" s="23" t="str">
        <f ca="1">IFERROR(__xludf.DUMMYFUNCTION("""COMPUTED_VALUE"""),"nguyenphuonganh22003@gmail.com")</f>
        <v>nguyenphuonganh22003@gmail.com</v>
      </c>
      <c r="C87" s="23">
        <f ca="1">IFERROR(__xludf.DUMMYFUNCTION("""COMPUTED_VALUE"""),27217101082)</f>
        <v>27217101082</v>
      </c>
      <c r="D87" s="23" t="str">
        <f ca="1">IFERROR(__xludf.DUMMYFUNCTION("""COMPUTED_VALUE"""),"Nguyễn Phương Anh")</f>
        <v>Nguyễn Phương Anh</v>
      </c>
      <c r="E87" s="27">
        <f ca="1">IFERROR(__xludf.DUMMYFUNCTION("""COMPUTED_VALUE"""),37978)</f>
        <v>37978</v>
      </c>
      <c r="F87" s="23" t="str">
        <f ca="1">IFERROR(__xludf.DUMMYFUNCTION("""COMPUTED_VALUE"""),"DLK5")</f>
        <v>DLK5</v>
      </c>
      <c r="G87" s="23" t="str">
        <f ca="1">IFERROR(__xludf.DUMMYFUNCTION("""COMPUTED_VALUE"""),"Quản trị Du lịch &amp; Khách sạn")</f>
        <v>Quản trị Du lịch &amp; Khách sạn</v>
      </c>
      <c r="H87" s="23">
        <f ca="1">IFERROR(__xludf.DUMMYFUNCTION("""COMPUTED_VALUE"""),27)</f>
        <v>27</v>
      </c>
      <c r="I87" s="23" t="str">
        <f ca="1">IFERROR(__xludf.DUMMYFUNCTION("""COMPUTED_VALUE"""),"0898245540")</f>
        <v>0898245540</v>
      </c>
      <c r="J87" s="23" t="str">
        <f ca="1">IFERROR(__xludf.DUMMYFUNCTION("""COMPUTED_VALUE"""),"Chuyên đề")</f>
        <v>Chuyên đề</v>
      </c>
      <c r="K87" s="23" t="str">
        <f ca="1">IFERROR(__xludf.DUMMYFUNCTION("""COMPUTED_VALUE"""),"Vanda Hotel")</f>
        <v>Vanda Hotel</v>
      </c>
      <c r="L87" s="23"/>
      <c r="M87" s="23" t="str">
        <f ca="1">IFERROR(__xludf.DUMMYFUNCTION("""COMPUTED_VALUE"""),"3 Nguyễn Văn Linh")</f>
        <v>3 Nguyễn Văn Linh</v>
      </c>
      <c r="N87" s="23" t="str">
        <f ca="1">IFERROR(__xludf.DUMMYFUNCTION("""COMPUTED_VALUE"""),"Đà Nẵng")</f>
        <v>Đà Nẵng</v>
      </c>
      <c r="O87" s="23" t="str">
        <f ca="1">IFERROR(__xludf.DUMMYFUNCTION("""COMPUTED_VALUE"""),"Nhà hàng")</f>
        <v>Nhà hàng</v>
      </c>
      <c r="P87" s="23"/>
      <c r="Q87" s="23" t="str">
        <f ca="1">IFERROR(__xludf.DUMMYFUNCTION("""COMPUTED_VALUE"""),"17/01/2025")</f>
        <v>17/01/2025</v>
      </c>
      <c r="R87" s="23" t="str">
        <f ca="1">IFERROR(__xludf.DUMMYFUNCTION("""COMPUTED_VALUE"""),"cam kết")</f>
        <v>cam kết</v>
      </c>
      <c r="S87" s="23" t="str">
        <f ca="1">IFERROR(__xludf.DUMMYFUNCTION("""COMPUTED_VALUE"""),"Chuyên đề")</f>
        <v>Chuyên đề</v>
      </c>
      <c r="T87" s="23"/>
      <c r="U87" s="27">
        <f ca="1">IFERROR(__xludf.DUMMYFUNCTION("""COMPUTED_VALUE"""),45698)</f>
        <v>45698</v>
      </c>
      <c r="V87" s="27">
        <f ca="1">IFERROR(__xludf.DUMMYFUNCTION("""COMPUTED_VALUE"""),45787)</f>
        <v>45787</v>
      </c>
      <c r="W87" s="23">
        <f ca="1">IFERROR(__xludf.DUMMYFUNCTION("""COMPUTED_VALUE"""),86)</f>
        <v>86</v>
      </c>
      <c r="X87" s="23" t="str">
        <f ca="1">IFERROR(__xludf.DUMMYFUNCTION("""COMPUTED_VALUE"""),"20/01/2025")</f>
        <v>20/01/2025</v>
      </c>
      <c r="Y87" s="23" t="str">
        <f ca="1">IFERROR(__xludf.DUMMYFUNCTION("""COMPUTED_VALUE"""),"DUYỆT")</f>
        <v>DUYỆT</v>
      </c>
      <c r="Z87" s="23" t="str">
        <f ca="1">IFERROR(__xludf.DUMMYFUNCTION("""COMPUTED_VALUE"""),"18/01/2025")</f>
        <v>18/01/2025</v>
      </c>
      <c r="AA87" s="23" t="str">
        <f ca="1">IFERROR(__xludf.DUMMYFUNCTION("""COMPUTED_VALUE"""),"Vanda Hotel")</f>
        <v>Vanda Hotel</v>
      </c>
      <c r="AB87" s="23" t="str">
        <f ca="1">IFERROR(__xludf.DUMMYFUNCTION("""COMPUTED_VALUE"""),"Nhà hàng")</f>
        <v>Nhà hàng</v>
      </c>
      <c r="AC87" s="23"/>
      <c r="AD87" s="23"/>
      <c r="AE87" s="23" t="str">
        <f ca="1">IFERROR(__xludf.DUMMYFUNCTION("""COMPUTED_VALUE"""),"")</f>
        <v/>
      </c>
      <c r="AF87" s="23" t="str">
        <f ca="1">IFERROR(__xludf.DUMMYFUNCTION("""COMPUTED_VALUE"""),"CHUYÊN ĐỀ")</f>
        <v>CHUYÊN ĐỀ</v>
      </c>
      <c r="AG87" s="23" t="str">
        <f ca="1">IFERROR(__xludf.DUMMYFUNCTION("""COMPUTED_VALUE"""),"Phan Thị Hồng Hải")</f>
        <v>Phan Thị Hồng Hải</v>
      </c>
    </row>
    <row r="88" spans="1:33" ht="12.75" x14ac:dyDescent="0.2">
      <c r="A88" s="26">
        <f ca="1">IFERROR(__xludf.DUMMYFUNCTION("""COMPUTED_VALUE"""),45675.4027243171)</f>
        <v>45675.4027243171</v>
      </c>
      <c r="B88" s="23" t="str">
        <f ca="1">IFERROR(__xludf.DUMMYFUNCTION("""COMPUTED_VALUE"""),"nhinhi780023@gmail.com")</f>
        <v>nhinhi780023@gmail.com</v>
      </c>
      <c r="C88" s="23">
        <f ca="1">IFERROR(__xludf.DUMMYFUNCTION("""COMPUTED_VALUE"""),27207101221)</f>
        <v>27207101221</v>
      </c>
      <c r="D88" s="23" t="str">
        <f ca="1">IFERROR(__xludf.DUMMYFUNCTION("""COMPUTED_VALUE"""),"Ngô Thị Tuyết Nhi")</f>
        <v>Ngô Thị Tuyết Nhi</v>
      </c>
      <c r="E88" s="27">
        <f ca="1">IFERROR(__xludf.DUMMYFUNCTION("""COMPUTED_VALUE"""),37840)</f>
        <v>37840</v>
      </c>
      <c r="F88" s="23" t="str">
        <f ca="1">IFERROR(__xludf.DUMMYFUNCTION("""COMPUTED_VALUE"""),"K27DLK4")</f>
        <v>K27DLK4</v>
      </c>
      <c r="G88" s="23" t="str">
        <f ca="1">IFERROR(__xludf.DUMMYFUNCTION("""COMPUTED_VALUE"""),"Quản trị Du lịch &amp; Khách sạn")</f>
        <v>Quản trị Du lịch &amp; Khách sạn</v>
      </c>
      <c r="H88" s="23">
        <f ca="1">IFERROR(__xludf.DUMMYFUNCTION("""COMPUTED_VALUE"""),27)</f>
        <v>27</v>
      </c>
      <c r="I88" s="23" t="str">
        <f ca="1">IFERROR(__xludf.DUMMYFUNCTION("""COMPUTED_VALUE"""),"0796584786")</f>
        <v>0796584786</v>
      </c>
      <c r="J88" s="23" t="str">
        <f ca="1">IFERROR(__xludf.DUMMYFUNCTION("""COMPUTED_VALUE"""),"Chuyên đề")</f>
        <v>Chuyên đề</v>
      </c>
      <c r="K88" s="23" t="str">
        <f ca="1">IFERROR(__xludf.DUMMYFUNCTION("""COMPUTED_VALUE"""),"Meliá Vinpearl Danang Riverfront")</f>
        <v>Meliá Vinpearl Danang Riverfront</v>
      </c>
      <c r="L88" s="23"/>
      <c r="M88" s="23" t="str">
        <f ca="1">IFERROR(__xludf.DUMMYFUNCTION("""COMPUTED_VALUE"""),"341 Trần Hưng Đạo")</f>
        <v>341 Trần Hưng Đạo</v>
      </c>
      <c r="N88" s="23" t="str">
        <f ca="1">IFERROR(__xludf.DUMMYFUNCTION("""COMPUTED_VALUE"""),"Thành Phố Đà Nẵng")</f>
        <v>Thành Phố Đà Nẵng</v>
      </c>
      <c r="O88" s="23" t="str">
        <f ca="1">IFERROR(__xludf.DUMMYFUNCTION("""COMPUTED_VALUE"""),"Buồng phòng")</f>
        <v>Buồng phòng</v>
      </c>
      <c r="P88" s="23"/>
      <c r="Q88" s="23" t="str">
        <f ca="1">IFERROR(__xludf.DUMMYFUNCTION("""COMPUTED_VALUE"""),"18/11/2025")</f>
        <v>18/11/2025</v>
      </c>
      <c r="R88" s="23" t="str">
        <f ca="1">IFERROR(__xludf.DUMMYFUNCTION("""COMPUTED_VALUE"""),"cam kết")</f>
        <v>cam kết</v>
      </c>
      <c r="S88" s="23" t="str">
        <f ca="1">IFERROR(__xludf.DUMMYFUNCTION("""COMPUTED_VALUE"""),"Chuyên đề")</f>
        <v>Chuyên đề</v>
      </c>
      <c r="T88" s="23" t="str">
        <f ca="1">IFERROR(__xludf.DUMMYFUNCTION("""COMPUTED_VALUE"""),"Trần Hoàng Anh")</f>
        <v>Trần Hoàng Anh</v>
      </c>
      <c r="U88" s="27">
        <f ca="1">IFERROR(__xludf.DUMMYFUNCTION("""COMPUTED_VALUE"""),45698)</f>
        <v>45698</v>
      </c>
      <c r="V88" s="27">
        <f ca="1">IFERROR(__xludf.DUMMYFUNCTION("""COMPUTED_VALUE"""),45787)</f>
        <v>45787</v>
      </c>
      <c r="W88" s="23">
        <f ca="1">IFERROR(__xludf.DUMMYFUNCTION("""COMPUTED_VALUE"""),87)</f>
        <v>87</v>
      </c>
      <c r="X88" s="23" t="str">
        <f ca="1">IFERROR(__xludf.DUMMYFUNCTION("""COMPUTED_VALUE"""),"20/01/2025")</f>
        <v>20/01/2025</v>
      </c>
      <c r="Y88" s="23" t="str">
        <f ca="1">IFERROR(__xludf.DUMMYFUNCTION("""COMPUTED_VALUE"""),"DUYỆT")</f>
        <v>DUYỆT</v>
      </c>
      <c r="Z88" s="23" t="str">
        <f ca="1">IFERROR(__xludf.DUMMYFUNCTION("""COMPUTED_VALUE"""),"18/01/2025")</f>
        <v>18/01/2025</v>
      </c>
      <c r="AA88" s="23" t="str">
        <f ca="1">IFERROR(__xludf.DUMMYFUNCTION("""COMPUTED_VALUE"""),"Meliá Vinpearl Danang Riverfront")</f>
        <v>Meliá Vinpearl Danang Riverfront</v>
      </c>
      <c r="AB88" s="23" t="str">
        <f ca="1">IFERROR(__xludf.DUMMYFUNCTION("""COMPUTED_VALUE"""),"Buồng phòng")</f>
        <v>Buồng phòng</v>
      </c>
      <c r="AC88" s="23"/>
      <c r="AD88" s="23"/>
      <c r="AE88" s="23" t="str">
        <f ca="1">IFERROR(__xludf.DUMMYFUNCTION("""COMPUTED_VALUE"""),"")</f>
        <v/>
      </c>
      <c r="AF88" s="23" t="str">
        <f ca="1">IFERROR(__xludf.DUMMYFUNCTION("""COMPUTED_VALUE"""),"CHUYÊN ĐỀ")</f>
        <v>CHUYÊN ĐỀ</v>
      </c>
      <c r="AG88" s="23" t="str">
        <f ca="1">IFERROR(__xludf.DUMMYFUNCTION("""COMPUTED_VALUE"""),"Ngô Thị Thanh Nga")</f>
        <v>Ngô Thị Thanh Nga</v>
      </c>
    </row>
    <row r="89" spans="1:33" ht="12.75" x14ac:dyDescent="0.2">
      <c r="A89" s="26">
        <f ca="1">IFERROR(__xludf.DUMMYFUNCTION("""COMPUTED_VALUE"""),45675.4507485995)</f>
        <v>45675.450748599498</v>
      </c>
      <c r="B89" s="23" t="str">
        <f ca="1">IFERROR(__xludf.DUMMYFUNCTION("""COMPUTED_VALUE"""),"phtuongvy23@gmail.com")</f>
        <v>phtuongvy23@gmail.com</v>
      </c>
      <c r="C89" s="23">
        <f ca="1">IFERROR(__xludf.DUMMYFUNCTION("""COMPUTED_VALUE"""),27217135116)</f>
        <v>27217135116</v>
      </c>
      <c r="D89" s="23" t="str">
        <f ca="1">IFERROR(__xludf.DUMMYFUNCTION("""COMPUTED_VALUE"""),"Phạm Huỳnh Tường Vy ")</f>
        <v xml:space="preserve">Phạm Huỳnh Tường Vy </v>
      </c>
      <c r="E89" s="27">
        <f ca="1">IFERROR(__xludf.DUMMYFUNCTION("""COMPUTED_VALUE"""),37705)</f>
        <v>37705</v>
      </c>
      <c r="F89" s="23" t="str">
        <f ca="1">IFERROR(__xludf.DUMMYFUNCTION("""COMPUTED_VALUE"""),"K37DLK3")</f>
        <v>K37DLK3</v>
      </c>
      <c r="G89" s="23" t="str">
        <f ca="1">IFERROR(__xludf.DUMMYFUNCTION("""COMPUTED_VALUE"""),"Quản trị Du lịch &amp; Khách sạn")</f>
        <v>Quản trị Du lịch &amp; Khách sạn</v>
      </c>
      <c r="H89" s="23">
        <f ca="1">IFERROR(__xludf.DUMMYFUNCTION("""COMPUTED_VALUE"""),27)</f>
        <v>27</v>
      </c>
      <c r="I89" s="23" t="str">
        <f ca="1">IFERROR(__xludf.DUMMYFUNCTION("""COMPUTED_VALUE"""),"0708179364")</f>
        <v>0708179364</v>
      </c>
      <c r="J89" s="23" t="str">
        <f ca="1">IFERROR(__xludf.DUMMYFUNCTION("""COMPUTED_VALUE"""),"Chuyên đề")</f>
        <v>Chuyên đề</v>
      </c>
      <c r="K89" s="23" t="str">
        <f ca="1">IFERROR(__xludf.DUMMYFUNCTION("""COMPUTED_VALUE"""),"Risemount Premier Resort Danang")</f>
        <v>Risemount Premier Resort Danang</v>
      </c>
      <c r="L89" s="23"/>
      <c r="M89" s="23" t="str">
        <f ca="1">IFERROR(__xludf.DUMMYFUNCTION("""COMPUTED_VALUE"""),"120 Nguyễn Văn Thoại , Bắc Mỹ Phú, Ngũ Hành Sơn ")</f>
        <v xml:space="preserve">120 Nguyễn Văn Thoại , Bắc Mỹ Phú, Ngũ Hành Sơn </v>
      </c>
      <c r="N89" s="23" t="str">
        <f ca="1">IFERROR(__xludf.DUMMYFUNCTION("""COMPUTED_VALUE"""),"Thành Phố Đà Nẵng ")</f>
        <v xml:space="preserve">Thành Phố Đà Nẵng </v>
      </c>
      <c r="O89" s="23" t="str">
        <f ca="1">IFERROR(__xludf.DUMMYFUNCTION("""COMPUTED_VALUE"""),"Nhà hàng, Buồng phòng")</f>
        <v>Nhà hàng, Buồng phòng</v>
      </c>
      <c r="P89" s="23"/>
      <c r="Q89" s="23" t="str">
        <f ca="1">IFERROR(__xludf.DUMMYFUNCTION("""COMPUTED_VALUE"""),"18/01/2025")</f>
        <v>18/01/2025</v>
      </c>
      <c r="R89" s="23" t="str">
        <f ca="1">IFERROR(__xludf.DUMMYFUNCTION("""COMPUTED_VALUE"""),"cam kết")</f>
        <v>cam kết</v>
      </c>
      <c r="S89" s="23" t="str">
        <f ca="1">IFERROR(__xludf.DUMMYFUNCTION("""COMPUTED_VALUE"""),"Chuyên đề")</f>
        <v>Chuyên đề</v>
      </c>
      <c r="T89" s="23"/>
      <c r="U89" s="27">
        <f ca="1">IFERROR(__xludf.DUMMYFUNCTION("""COMPUTED_VALUE"""),45698)</f>
        <v>45698</v>
      </c>
      <c r="V89" s="27">
        <f ca="1">IFERROR(__xludf.DUMMYFUNCTION("""COMPUTED_VALUE"""),45787)</f>
        <v>45787</v>
      </c>
      <c r="W89" s="23">
        <f ca="1">IFERROR(__xludf.DUMMYFUNCTION("""COMPUTED_VALUE"""),88)</f>
        <v>88</v>
      </c>
      <c r="X89" s="23" t="str">
        <f ca="1">IFERROR(__xludf.DUMMYFUNCTION("""COMPUTED_VALUE"""),"20/01/2025")</f>
        <v>20/01/2025</v>
      </c>
      <c r="Y89" s="23" t="str">
        <f ca="1">IFERROR(__xludf.DUMMYFUNCTION("""COMPUTED_VALUE"""),"DUYỆT")</f>
        <v>DUYỆT</v>
      </c>
      <c r="Z89" s="23" t="str">
        <f ca="1">IFERROR(__xludf.DUMMYFUNCTION("""COMPUTED_VALUE"""),"18/01/2025")</f>
        <v>18/01/2025</v>
      </c>
      <c r="AA89" s="23" t="str">
        <f ca="1">IFERROR(__xludf.DUMMYFUNCTION("""COMPUTED_VALUE"""),"Risemount Premier Resort Danang")</f>
        <v>Risemount Premier Resort Danang</v>
      </c>
      <c r="AB89" s="23" t="str">
        <f ca="1">IFERROR(__xludf.DUMMYFUNCTION("""COMPUTED_VALUE"""),"Nhà hàng, Buồng phòng")</f>
        <v>Nhà hàng, Buồng phòng</v>
      </c>
      <c r="AC89" s="23"/>
      <c r="AD89" s="23"/>
      <c r="AE89" s="23" t="str">
        <f ca="1">IFERROR(__xludf.DUMMYFUNCTION("""COMPUTED_VALUE"""),"")</f>
        <v/>
      </c>
      <c r="AF89" s="23" t="str">
        <f ca="1">IFERROR(__xludf.DUMMYFUNCTION("""COMPUTED_VALUE"""),"không đủ điều kiện")</f>
        <v>không đủ điều kiện</v>
      </c>
      <c r="AG89" s="23"/>
    </row>
    <row r="90" spans="1:33" ht="12.75" x14ac:dyDescent="0.2">
      <c r="A90" s="26">
        <f ca="1">IFERROR(__xludf.DUMMYFUNCTION("""COMPUTED_VALUE"""),45675.455532905)</f>
        <v>45675.455532904998</v>
      </c>
      <c r="B90" s="23" t="str">
        <f ca="1">IFERROR(__xludf.DUMMYFUNCTION("""COMPUTED_VALUE"""),"hoangthuytienlop9a1718@gmail.com")</f>
        <v>hoangthuytienlop9a1718@gmail.com</v>
      </c>
      <c r="C90" s="23">
        <f ca="1">IFERROR(__xludf.DUMMYFUNCTION("""COMPUTED_VALUE"""),27207100134)</f>
        <v>27207100134</v>
      </c>
      <c r="D90" s="23" t="str">
        <f ca="1">IFERROR(__xludf.DUMMYFUNCTION("""COMPUTED_VALUE"""),"Hoàng Thị Thuỷ Tiên")</f>
        <v>Hoàng Thị Thuỷ Tiên</v>
      </c>
      <c r="E90" s="27">
        <f ca="1">IFERROR(__xludf.DUMMYFUNCTION("""COMPUTED_VALUE"""),37961)</f>
        <v>37961</v>
      </c>
      <c r="F90" s="23" t="str">
        <f ca="1">IFERROR(__xludf.DUMMYFUNCTION("""COMPUTED_VALUE"""),"K27DLK3")</f>
        <v>K27DLK3</v>
      </c>
      <c r="G90" s="23" t="str">
        <f ca="1">IFERROR(__xludf.DUMMYFUNCTION("""COMPUTED_VALUE"""),"Quản trị Du lịch &amp; Khách sạn")</f>
        <v>Quản trị Du lịch &amp; Khách sạn</v>
      </c>
      <c r="H90" s="23">
        <f ca="1">IFERROR(__xludf.DUMMYFUNCTION("""COMPUTED_VALUE"""),27)</f>
        <v>27</v>
      </c>
      <c r="I90" s="23" t="str">
        <f ca="1">IFERROR(__xludf.DUMMYFUNCTION("""COMPUTED_VALUE"""),"0702792336")</f>
        <v>0702792336</v>
      </c>
      <c r="J90" s="23" t="str">
        <f ca="1">IFERROR(__xludf.DUMMYFUNCTION("""COMPUTED_VALUE"""),"Chuyên đề")</f>
        <v>Chuyên đề</v>
      </c>
      <c r="K90" s="23" t="str">
        <f ca="1">IFERROR(__xludf.DUMMYFUNCTION("""COMPUTED_VALUE"""),"Risemount Premier Resort Danang")</f>
        <v>Risemount Premier Resort Danang</v>
      </c>
      <c r="L90" s="23"/>
      <c r="M90" s="23" t="str">
        <f ca="1">IFERROR(__xludf.DUMMYFUNCTION("""COMPUTED_VALUE"""),"120 Nguyễn Văn Thoại, Bắc Mỹ Phú, Ngũ Hành Sơn, TP. Đà Nẵng")</f>
        <v>120 Nguyễn Văn Thoại, Bắc Mỹ Phú, Ngũ Hành Sơn, TP. Đà Nẵng</v>
      </c>
      <c r="N90" s="23" t="str">
        <f ca="1">IFERROR(__xludf.DUMMYFUNCTION("""COMPUTED_VALUE"""),"Đà Nẵng")</f>
        <v>Đà Nẵng</v>
      </c>
      <c r="O90" s="23" t="str">
        <f ca="1">IFERROR(__xludf.DUMMYFUNCTION("""COMPUTED_VALUE"""),"Nhà hàng")</f>
        <v>Nhà hàng</v>
      </c>
      <c r="P90" s="23"/>
      <c r="Q90" s="23" t="str">
        <f ca="1">IFERROR(__xludf.DUMMYFUNCTION("""COMPUTED_VALUE"""),"18/01/2025")</f>
        <v>18/01/2025</v>
      </c>
      <c r="R90" s="23" t="str">
        <f ca="1">IFERROR(__xludf.DUMMYFUNCTION("""COMPUTED_VALUE"""),"cam kết")</f>
        <v>cam kết</v>
      </c>
      <c r="S90" s="23" t="str">
        <f ca="1">IFERROR(__xludf.DUMMYFUNCTION("""COMPUTED_VALUE"""),"Chuyên đề")</f>
        <v>Chuyên đề</v>
      </c>
      <c r="T90" s="23"/>
      <c r="U90" s="27">
        <f ca="1">IFERROR(__xludf.DUMMYFUNCTION("""COMPUTED_VALUE"""),45698)</f>
        <v>45698</v>
      </c>
      <c r="V90" s="27">
        <f ca="1">IFERROR(__xludf.DUMMYFUNCTION("""COMPUTED_VALUE"""),45787)</f>
        <v>45787</v>
      </c>
      <c r="W90" s="23">
        <f ca="1">IFERROR(__xludf.DUMMYFUNCTION("""COMPUTED_VALUE"""),89)</f>
        <v>89</v>
      </c>
      <c r="X90" s="23" t="str">
        <f ca="1">IFERROR(__xludf.DUMMYFUNCTION("""COMPUTED_VALUE"""),"20/01/2025")</f>
        <v>20/01/2025</v>
      </c>
      <c r="Y90" s="23" t="str">
        <f ca="1">IFERROR(__xludf.DUMMYFUNCTION("""COMPUTED_VALUE"""),"DUYỆT")</f>
        <v>DUYỆT</v>
      </c>
      <c r="Z90" s="23" t="str">
        <f ca="1">IFERROR(__xludf.DUMMYFUNCTION("""COMPUTED_VALUE"""),"18/01/2025")</f>
        <v>18/01/2025</v>
      </c>
      <c r="AA90" s="23" t="str">
        <f ca="1">IFERROR(__xludf.DUMMYFUNCTION("""COMPUTED_VALUE"""),"Risemount Premier Resort Danang")</f>
        <v>Risemount Premier Resort Danang</v>
      </c>
      <c r="AB90" s="23" t="str">
        <f ca="1">IFERROR(__xludf.DUMMYFUNCTION("""COMPUTED_VALUE"""),"Nhà hàng")</f>
        <v>Nhà hàng</v>
      </c>
      <c r="AC90" s="23"/>
      <c r="AD90" s="23"/>
      <c r="AE90" s="23" t="str">
        <f ca="1">IFERROR(__xludf.DUMMYFUNCTION("""COMPUTED_VALUE"""),"")</f>
        <v/>
      </c>
      <c r="AF90" s="23" t="str">
        <f ca="1">IFERROR(__xludf.DUMMYFUNCTION("""COMPUTED_VALUE"""),"CHUYÊN ĐỀ")</f>
        <v>CHUYÊN ĐỀ</v>
      </c>
      <c r="AG90" s="23" t="str">
        <f ca="1">IFERROR(__xludf.DUMMYFUNCTION("""COMPUTED_VALUE"""),"Huỳnh Lý Thùy Linh")</f>
        <v>Huỳnh Lý Thùy Linh</v>
      </c>
    </row>
    <row r="91" spans="1:33" ht="12.75" x14ac:dyDescent="0.2">
      <c r="A91" s="26">
        <f ca="1">IFERROR(__xludf.DUMMYFUNCTION("""COMPUTED_VALUE"""),45695.5788194675)</f>
        <v>45695.578819467497</v>
      </c>
      <c r="B91" s="23" t="str">
        <f ca="1">IFERROR(__xludf.DUMMYFUNCTION("""COMPUTED_VALUE"""),"trangminhphuc1203@gmail.com")</f>
        <v>trangminhphuc1203@gmail.com</v>
      </c>
      <c r="C91" s="23">
        <f ca="1">IFERROR(__xludf.DUMMYFUNCTION("""COMPUTED_VALUE"""),27217101134)</f>
        <v>27217101134</v>
      </c>
      <c r="D91" s="23" t="str">
        <f ca="1">IFERROR(__xludf.DUMMYFUNCTION("""COMPUTED_VALUE"""),"Trang Minh Phúc")</f>
        <v>Trang Minh Phúc</v>
      </c>
      <c r="E91" s="27">
        <f ca="1">IFERROR(__xludf.DUMMYFUNCTION("""COMPUTED_VALUE"""),37692)</f>
        <v>37692</v>
      </c>
      <c r="F91" s="23" t="str">
        <f ca="1">IFERROR(__xludf.DUMMYFUNCTION("""COMPUTED_VALUE"""),"K27DLK4")</f>
        <v>K27DLK4</v>
      </c>
      <c r="G91" s="23" t="str">
        <f ca="1">IFERROR(__xludf.DUMMYFUNCTION("""COMPUTED_VALUE"""),"Quản trị Du lịch &amp; Khách sạn")</f>
        <v>Quản trị Du lịch &amp; Khách sạn</v>
      </c>
      <c r="H91" s="23">
        <f ca="1">IFERROR(__xludf.DUMMYFUNCTION("""COMPUTED_VALUE"""),27)</f>
        <v>27</v>
      </c>
      <c r="I91" s="23" t="str">
        <f ca="1">IFERROR(__xludf.DUMMYFUNCTION("""COMPUTED_VALUE"""),"0793146370")</f>
        <v>0793146370</v>
      </c>
      <c r="J91" s="23" t="str">
        <f ca="1">IFERROR(__xludf.DUMMYFUNCTION("""COMPUTED_VALUE"""),"Chuyên đề")</f>
        <v>Chuyên đề</v>
      </c>
      <c r="K91" s="23" t="str">
        <f ca="1">IFERROR(__xludf.DUMMYFUNCTION("""COMPUTED_VALUE"""),"Paris Deli Danang Beach Hotel")</f>
        <v>Paris Deli Danang Beach Hotel</v>
      </c>
      <c r="L91" s="23" t="str">
        <f ca="1">IFERROR(__xludf.DUMMYFUNCTION("""COMPUTED_VALUE"""),"Khách Sạn Paris Deli")</f>
        <v>Khách Sạn Paris Deli</v>
      </c>
      <c r="M91" s="23" t="str">
        <f ca="1">IFERROR(__xludf.DUMMYFUNCTION("""COMPUTED_VALUE"""),"236 Võ Nguyên Giáp, Phường Phước Mỹ, Quận Sơn Trà, Thành Phố Đà Nẵng")</f>
        <v>236 Võ Nguyên Giáp, Phường Phước Mỹ, Quận Sơn Trà, Thành Phố Đà Nẵng</v>
      </c>
      <c r="N91" s="23" t="str">
        <f ca="1">IFERROR(__xludf.DUMMYFUNCTION("""COMPUTED_VALUE"""),"Thành Phố Đà Nẵng")</f>
        <v>Thành Phố Đà Nẵng</v>
      </c>
      <c r="O91" s="23" t="str">
        <f ca="1">IFERROR(__xludf.DUMMYFUNCTION("""COMPUTED_VALUE"""),"Tiền sảnh")</f>
        <v>Tiền sảnh</v>
      </c>
      <c r="P91" s="23"/>
      <c r="Q91" s="23" t="str">
        <f ca="1">IFERROR(__xludf.DUMMYFUNCTION("""COMPUTED_VALUE"""),"07/02/2025")</f>
        <v>07/02/2025</v>
      </c>
      <c r="R91" s="23" t="str">
        <f ca="1">IFERROR(__xludf.DUMMYFUNCTION("""COMPUTED_VALUE"""),"cam kết")</f>
        <v>cam kết</v>
      </c>
      <c r="S91" s="23" t="str">
        <f ca="1">IFERROR(__xludf.DUMMYFUNCTION("""COMPUTED_VALUE"""),"Chuyên đề")</f>
        <v>Chuyên đề</v>
      </c>
      <c r="T91" s="23"/>
      <c r="U91" s="27">
        <f ca="1">IFERROR(__xludf.DUMMYFUNCTION("""COMPUTED_VALUE"""),45691)</f>
        <v>45691</v>
      </c>
      <c r="V91" s="27">
        <f ca="1">IFERROR(__xludf.DUMMYFUNCTION("""COMPUTED_VALUE"""),45780)</f>
        <v>45780</v>
      </c>
      <c r="W91" s="23">
        <f ca="1">IFERROR(__xludf.DUMMYFUNCTION("""COMPUTED_VALUE"""),90)</f>
        <v>90</v>
      </c>
      <c r="X91" s="28">
        <f ca="1">IFERROR(__xludf.DUMMYFUNCTION("""COMPUTED_VALUE"""),45932)</f>
        <v>45932</v>
      </c>
      <c r="Y91" s="23" t="str">
        <f ca="1">IFERROR(__xludf.DUMMYFUNCTION("""COMPUTED_VALUE"""),"DUYỆT")</f>
        <v>DUYỆT</v>
      </c>
      <c r="Z91" s="28">
        <f ca="1">IFERROR(__xludf.DUMMYFUNCTION("""COMPUTED_VALUE"""),45932)</f>
        <v>45932</v>
      </c>
      <c r="AA91" s="23" t="str">
        <f ca="1">IFERROR(__xludf.DUMMYFUNCTION("""COMPUTED_VALUE"""),"Paris Deli Danang Beach Hotel")</f>
        <v>Paris Deli Danang Beach Hotel</v>
      </c>
      <c r="AB91" s="23" t="str">
        <f ca="1">IFERROR(__xludf.DUMMYFUNCTION("""COMPUTED_VALUE"""),"Tiền sảnh")</f>
        <v>Tiền sảnh</v>
      </c>
      <c r="AC91" s="23"/>
      <c r="AD91" s="23"/>
      <c r="AE91" s="23" t="str">
        <f ca="1">IFERROR(__xludf.DUMMYFUNCTION("""COMPUTED_VALUE"""),"")</f>
        <v/>
      </c>
      <c r="AF91" s="23" t="str">
        <f ca="1">IFERROR(__xludf.DUMMYFUNCTION("""COMPUTED_VALUE"""),"CHUYÊN ĐỀ")</f>
        <v>CHUYÊN ĐỀ</v>
      </c>
      <c r="AG91" s="23" t="str">
        <f ca="1">IFERROR(__xludf.DUMMYFUNCTION("""COMPUTED_VALUE"""),"Trịnh Thị Kim Chung")</f>
        <v>Trịnh Thị Kim Chung</v>
      </c>
    </row>
    <row r="92" spans="1:33" ht="12.75" x14ac:dyDescent="0.2">
      <c r="A92" s="26">
        <f ca="1">IFERROR(__xludf.DUMMYFUNCTION("""COMPUTED_VALUE"""),45675.4661393749)</f>
        <v>45675.466139374897</v>
      </c>
      <c r="B92" s="23" t="str">
        <f ca="1">IFERROR(__xludf.DUMMYFUNCTION("""COMPUTED_VALUE"""),"vantutran11103@gmail.com")</f>
        <v>vantutran11103@gmail.com</v>
      </c>
      <c r="C92" s="23">
        <f ca="1">IFERROR(__xludf.DUMMYFUNCTION("""COMPUTED_VALUE"""),27217130071)</f>
        <v>27217130071</v>
      </c>
      <c r="D92" s="23" t="str">
        <f ca="1">IFERROR(__xludf.DUMMYFUNCTION("""COMPUTED_VALUE"""),"Trần Văn Tứ ")</f>
        <v xml:space="preserve">Trần Văn Tứ </v>
      </c>
      <c r="E92" s="27">
        <f ca="1">IFERROR(__xludf.DUMMYFUNCTION("""COMPUTED_VALUE"""),37926)</f>
        <v>37926</v>
      </c>
      <c r="F92" s="23" t="str">
        <f ca="1">IFERROR(__xludf.DUMMYFUNCTION("""COMPUTED_VALUE"""),"K27DLK1")</f>
        <v>K27DLK1</v>
      </c>
      <c r="G92" s="23" t="str">
        <f ca="1">IFERROR(__xludf.DUMMYFUNCTION("""COMPUTED_VALUE"""),"Quản trị Du lịch &amp; Khách sạn")</f>
        <v>Quản trị Du lịch &amp; Khách sạn</v>
      </c>
      <c r="H92" s="23">
        <f ca="1">IFERROR(__xludf.DUMMYFUNCTION("""COMPUTED_VALUE"""),27)</f>
        <v>27</v>
      </c>
      <c r="I92" s="23">
        <f ca="1">IFERROR(__xludf.DUMMYFUNCTION("""COMPUTED_VALUE"""),384249205)</f>
        <v>384249205</v>
      </c>
      <c r="J92" s="23" t="str">
        <f ca="1">IFERROR(__xludf.DUMMYFUNCTION("""COMPUTED_VALUE"""),"Chuyên đề")</f>
        <v>Chuyên đề</v>
      </c>
      <c r="K92" s="23" t="str">
        <f ca="1">IFERROR(__xludf.DUMMYFUNCTION("""COMPUTED_VALUE"""),"Meliá Vinpearl Danang Riverfront")</f>
        <v>Meliá Vinpearl Danang Riverfront</v>
      </c>
      <c r="L92" s="23"/>
      <c r="M92" s="23" t="str">
        <f ca="1">IFERROR(__xludf.DUMMYFUNCTION("""COMPUTED_VALUE"""),"341 Trần Hưng Đạo, An Hải Bắc, Sơn Trà, Đà Nẵng")</f>
        <v>341 Trần Hưng Đạo, An Hải Bắc, Sơn Trà, Đà Nẵng</v>
      </c>
      <c r="N92" s="23" t="str">
        <f ca="1">IFERROR(__xludf.DUMMYFUNCTION("""COMPUTED_VALUE"""),"Đà Nẵng")</f>
        <v>Đà Nẵng</v>
      </c>
      <c r="O92" s="23" t="str">
        <f ca="1">IFERROR(__xludf.DUMMYFUNCTION("""COMPUTED_VALUE"""),"Buồng phòng")</f>
        <v>Buồng phòng</v>
      </c>
      <c r="P92" s="23"/>
      <c r="Q92" s="23" t="str">
        <f ca="1">IFERROR(__xludf.DUMMYFUNCTION("""COMPUTED_VALUE"""),"18/01/2025")</f>
        <v>18/01/2025</v>
      </c>
      <c r="R92" s="23" t="str">
        <f ca="1">IFERROR(__xludf.DUMMYFUNCTION("""COMPUTED_VALUE"""),"cam kết")</f>
        <v>cam kết</v>
      </c>
      <c r="S92" s="23" t="str">
        <f ca="1">IFERROR(__xludf.DUMMYFUNCTION("""COMPUTED_VALUE"""),"Chuyên đề")</f>
        <v>Chuyên đề</v>
      </c>
      <c r="T92" s="23" t="str">
        <f ca="1">IFERROR(__xludf.DUMMYFUNCTION("""COMPUTED_VALUE"""),"Trần Hoàng Anh")</f>
        <v>Trần Hoàng Anh</v>
      </c>
      <c r="U92" s="27">
        <f ca="1">IFERROR(__xludf.DUMMYFUNCTION("""COMPUTED_VALUE"""),45698)</f>
        <v>45698</v>
      </c>
      <c r="V92" s="27">
        <f ca="1">IFERROR(__xludf.DUMMYFUNCTION("""COMPUTED_VALUE"""),45787)</f>
        <v>45787</v>
      </c>
      <c r="W92" s="23">
        <f ca="1">IFERROR(__xludf.DUMMYFUNCTION("""COMPUTED_VALUE"""),91)</f>
        <v>91</v>
      </c>
      <c r="X92" s="23" t="str">
        <f ca="1">IFERROR(__xludf.DUMMYFUNCTION("""COMPUTED_VALUE"""),"20/01/2025")</f>
        <v>20/01/2025</v>
      </c>
      <c r="Y92" s="23" t="str">
        <f ca="1">IFERROR(__xludf.DUMMYFUNCTION("""COMPUTED_VALUE"""),"DUYỆT")</f>
        <v>DUYỆT</v>
      </c>
      <c r="Z92" s="23" t="str">
        <f ca="1">IFERROR(__xludf.DUMMYFUNCTION("""COMPUTED_VALUE"""),"18/01/2025")</f>
        <v>18/01/2025</v>
      </c>
      <c r="AA92" s="23" t="str">
        <f ca="1">IFERROR(__xludf.DUMMYFUNCTION("""COMPUTED_VALUE"""),"Meliá Vinpearl Danang Riverfront")</f>
        <v>Meliá Vinpearl Danang Riverfront</v>
      </c>
      <c r="AB92" s="23" t="str">
        <f ca="1">IFERROR(__xludf.DUMMYFUNCTION("""COMPUTED_VALUE"""),"Buồng phòng")</f>
        <v>Buồng phòng</v>
      </c>
      <c r="AC92" s="23"/>
      <c r="AD92" s="23"/>
      <c r="AE92" s="23" t="str">
        <f ca="1">IFERROR(__xludf.DUMMYFUNCTION("""COMPUTED_VALUE"""),"")</f>
        <v/>
      </c>
      <c r="AF92" s="23" t="str">
        <f ca="1">IFERROR(__xludf.DUMMYFUNCTION("""COMPUTED_VALUE"""),"CHUYÊN ĐỀ")</f>
        <v>CHUYÊN ĐỀ</v>
      </c>
      <c r="AG92" s="23" t="str">
        <f ca="1">IFERROR(__xludf.DUMMYFUNCTION("""COMPUTED_VALUE"""),"Ngô Thị Thanh Nga")</f>
        <v>Ngô Thị Thanh Nga</v>
      </c>
    </row>
    <row r="93" spans="1:33" ht="12.75" x14ac:dyDescent="0.2">
      <c r="A93" s="26">
        <f ca="1">IFERROR(__xludf.DUMMYFUNCTION("""COMPUTED_VALUE"""),45675.5751791666)</f>
        <v>45675.575179166597</v>
      </c>
      <c r="B93" s="23" t="str">
        <f ca="1">IFERROR(__xludf.DUMMYFUNCTION("""COMPUTED_VALUE"""),"truongtngoclan@gmail.com")</f>
        <v>truongtngoclan@gmail.com</v>
      </c>
      <c r="C93" s="23">
        <f ca="1">IFERROR(__xludf.DUMMYFUNCTION("""COMPUTED_VALUE"""),27207128591)</f>
        <v>27207128591</v>
      </c>
      <c r="D93" s="23" t="str">
        <f ca="1">IFERROR(__xludf.DUMMYFUNCTION("""COMPUTED_VALUE"""),"Trương Thị Ngọc Lan ")</f>
        <v xml:space="preserve">Trương Thị Ngọc Lan </v>
      </c>
      <c r="E93" s="27">
        <f ca="1">IFERROR(__xludf.DUMMYFUNCTION("""COMPUTED_VALUE"""),37758)</f>
        <v>37758</v>
      </c>
      <c r="F93" s="23" t="str">
        <f ca="1">IFERROR(__xludf.DUMMYFUNCTION("""COMPUTED_VALUE"""),"K27DLK2")</f>
        <v>K27DLK2</v>
      </c>
      <c r="G93" s="23" t="str">
        <f ca="1">IFERROR(__xludf.DUMMYFUNCTION("""COMPUTED_VALUE"""),"Quản trị Du lịch &amp; Khách sạn")</f>
        <v>Quản trị Du lịch &amp; Khách sạn</v>
      </c>
      <c r="H93" s="23">
        <f ca="1">IFERROR(__xludf.DUMMYFUNCTION("""COMPUTED_VALUE"""),27)</f>
        <v>27</v>
      </c>
      <c r="I93" s="23" t="str">
        <f ca="1">IFERROR(__xludf.DUMMYFUNCTION("""COMPUTED_VALUE"""),"0345644312")</f>
        <v>0345644312</v>
      </c>
      <c r="J93" s="23" t="str">
        <f ca="1">IFERROR(__xludf.DUMMYFUNCTION("""COMPUTED_VALUE"""),"Chuyên đề")</f>
        <v>Chuyên đề</v>
      </c>
      <c r="K93" s="23" t="str">
        <f ca="1">IFERROR(__xludf.DUMMYFUNCTION("""COMPUTED_VALUE"""),"Meliá Vinpearl Danang Riverfront")</f>
        <v>Meliá Vinpearl Danang Riverfront</v>
      </c>
      <c r="L93" s="23"/>
      <c r="M93" s="23" t="str">
        <f ca="1">IFERROR(__xludf.DUMMYFUNCTION("""COMPUTED_VALUE""")," 341 Trần Đạo - An Hải Bắc - Sơn Trà - Đà Nẵng")</f>
        <v xml:space="preserve"> 341 Trần Đạo - An Hải Bắc - Sơn Trà - Đà Nẵng</v>
      </c>
      <c r="N93" s="23" t="str">
        <f ca="1">IFERROR(__xludf.DUMMYFUNCTION("""COMPUTED_VALUE"""),"Đà Nẵng ")</f>
        <v xml:space="preserve">Đà Nẵng </v>
      </c>
      <c r="O93" s="23" t="str">
        <f ca="1">IFERROR(__xludf.DUMMYFUNCTION("""COMPUTED_VALUE"""),"Nhà hàng")</f>
        <v>Nhà hàng</v>
      </c>
      <c r="P93" s="23"/>
      <c r="Q93" s="23" t="str">
        <f ca="1">IFERROR(__xludf.DUMMYFUNCTION("""COMPUTED_VALUE"""),"18/01/2025")</f>
        <v>18/01/2025</v>
      </c>
      <c r="R93" s="23" t="str">
        <f ca="1">IFERROR(__xludf.DUMMYFUNCTION("""COMPUTED_VALUE"""),"cam kết")</f>
        <v>cam kết</v>
      </c>
      <c r="S93" s="23" t="str">
        <f ca="1">IFERROR(__xludf.DUMMYFUNCTION("""COMPUTED_VALUE"""),"Chuyên đề")</f>
        <v>Chuyên đề</v>
      </c>
      <c r="T93" s="23"/>
      <c r="U93" s="27">
        <f ca="1">IFERROR(__xludf.DUMMYFUNCTION("""COMPUTED_VALUE"""),45698)</f>
        <v>45698</v>
      </c>
      <c r="V93" s="27">
        <f ca="1">IFERROR(__xludf.DUMMYFUNCTION("""COMPUTED_VALUE"""),45787)</f>
        <v>45787</v>
      </c>
      <c r="W93" s="23">
        <f ca="1">IFERROR(__xludf.DUMMYFUNCTION("""COMPUTED_VALUE"""),92)</f>
        <v>92</v>
      </c>
      <c r="X93" s="23" t="str">
        <f ca="1">IFERROR(__xludf.DUMMYFUNCTION("""COMPUTED_VALUE"""),"20/01/2025")</f>
        <v>20/01/2025</v>
      </c>
      <c r="Y93" s="23" t="str">
        <f ca="1">IFERROR(__xludf.DUMMYFUNCTION("""COMPUTED_VALUE"""),"DUYỆT")</f>
        <v>DUYỆT</v>
      </c>
      <c r="Z93" s="23" t="str">
        <f ca="1">IFERROR(__xludf.DUMMYFUNCTION("""COMPUTED_VALUE"""),"20/01/2025")</f>
        <v>20/01/2025</v>
      </c>
      <c r="AA93" s="23" t="str">
        <f ca="1">IFERROR(__xludf.DUMMYFUNCTION("""COMPUTED_VALUE"""),"Meliá Vinpearl Danang Riverfront")</f>
        <v>Meliá Vinpearl Danang Riverfront</v>
      </c>
      <c r="AB93" s="23" t="str">
        <f ca="1">IFERROR(__xludf.DUMMYFUNCTION("""COMPUTED_VALUE"""),"Nhà hàng")</f>
        <v>Nhà hàng</v>
      </c>
      <c r="AC93" s="23"/>
      <c r="AD93" s="23"/>
      <c r="AE93" s="23" t="str">
        <f ca="1">IFERROR(__xludf.DUMMYFUNCTION("""COMPUTED_VALUE"""),"")</f>
        <v/>
      </c>
      <c r="AF93" s="23" t="str">
        <f ca="1">IFERROR(__xludf.DUMMYFUNCTION("""COMPUTED_VALUE"""),"CHUYÊN ĐỀ")</f>
        <v>CHUYÊN ĐỀ</v>
      </c>
      <c r="AG93" s="23" t="str">
        <f ca="1">IFERROR(__xludf.DUMMYFUNCTION("""COMPUTED_VALUE"""),"Ngô Thị Thanh Nga")</f>
        <v>Ngô Thị Thanh Nga</v>
      </c>
    </row>
    <row r="94" spans="1:33" ht="12.75" x14ac:dyDescent="0.2">
      <c r="A94" s="26">
        <f ca="1">IFERROR(__xludf.DUMMYFUNCTION("""COMPUTED_VALUE"""),45675.602127037)</f>
        <v>45675.602127036997</v>
      </c>
      <c r="B94" s="23" t="str">
        <f ca="1">IFERROR(__xludf.DUMMYFUNCTION("""COMPUTED_VALUE"""),"phuongdang3113@gmail.com")</f>
        <v>phuongdang3113@gmail.com</v>
      </c>
      <c r="C94" s="23">
        <f ca="1">IFERROR(__xludf.DUMMYFUNCTION("""COMPUTED_VALUE"""),27217102556)</f>
        <v>27217102556</v>
      </c>
      <c r="D94" s="23" t="str">
        <f ca="1">IFERROR(__xludf.DUMMYFUNCTION("""COMPUTED_VALUE"""),"Đặng Thu Phương")</f>
        <v>Đặng Thu Phương</v>
      </c>
      <c r="E94" s="27">
        <f ca="1">IFERROR(__xludf.DUMMYFUNCTION("""COMPUTED_VALUE"""),37652)</f>
        <v>37652</v>
      </c>
      <c r="F94" s="23" t="str">
        <f ca="1">IFERROR(__xludf.DUMMYFUNCTION("""COMPUTED_VALUE"""),"K27DLK7")</f>
        <v>K27DLK7</v>
      </c>
      <c r="G94" s="23" t="str">
        <f ca="1">IFERROR(__xludf.DUMMYFUNCTION("""COMPUTED_VALUE"""),"Quản trị Du lịch &amp; Khách sạn")</f>
        <v>Quản trị Du lịch &amp; Khách sạn</v>
      </c>
      <c r="H94" s="23">
        <f ca="1">IFERROR(__xludf.DUMMYFUNCTION("""COMPUTED_VALUE"""),27)</f>
        <v>27</v>
      </c>
      <c r="I94" s="23" t="str">
        <f ca="1">IFERROR(__xludf.DUMMYFUNCTION("""COMPUTED_VALUE"""),"0899850889")</f>
        <v>0899850889</v>
      </c>
      <c r="J94" s="23" t="str">
        <f ca="1">IFERROR(__xludf.DUMMYFUNCTION("""COMPUTED_VALUE"""),"Chuyên đề")</f>
        <v>Chuyên đề</v>
      </c>
      <c r="K94" s="23" t="str">
        <f ca="1">IFERROR(__xludf.DUMMYFUNCTION("""COMPUTED_VALUE"""),"Hyatt regency DaNang Resort")</f>
        <v>Hyatt regency DaNang Resort</v>
      </c>
      <c r="L94" s="23"/>
      <c r="M94" s="23" t="str">
        <f ca="1">IFERROR(__xludf.DUMMYFUNCTION("""COMPUTED_VALUE"""),"5 Trường Sa , Hoà Hải,Ngũ Hành Sơn,Đà Nẵng ")</f>
        <v xml:space="preserve">5 Trường Sa , Hoà Hải,Ngũ Hành Sơn,Đà Nẵng </v>
      </c>
      <c r="N94" s="23" t="str">
        <f ca="1">IFERROR(__xludf.DUMMYFUNCTION("""COMPUTED_VALUE"""),"Đà Nẵng")</f>
        <v>Đà Nẵng</v>
      </c>
      <c r="O94" s="23" t="str">
        <f ca="1">IFERROR(__xludf.DUMMYFUNCTION("""COMPUTED_VALUE"""),"Nhà hàng")</f>
        <v>Nhà hàng</v>
      </c>
      <c r="P94" s="23"/>
      <c r="Q94" s="23" t="str">
        <f ca="1">IFERROR(__xludf.DUMMYFUNCTION("""COMPUTED_VALUE"""),"22/01/2025")</f>
        <v>22/01/2025</v>
      </c>
      <c r="R94" s="23" t="str">
        <f ca="1">IFERROR(__xludf.DUMMYFUNCTION("""COMPUTED_VALUE"""),"cam kết")</f>
        <v>cam kết</v>
      </c>
      <c r="S94" s="23" t="str">
        <f ca="1">IFERROR(__xludf.DUMMYFUNCTION("""COMPUTED_VALUE"""),"Chuyên đề")</f>
        <v>Chuyên đề</v>
      </c>
      <c r="T94" s="23"/>
      <c r="U94" s="27">
        <f ca="1">IFERROR(__xludf.DUMMYFUNCTION("""COMPUTED_VALUE"""),45698)</f>
        <v>45698</v>
      </c>
      <c r="V94" s="27">
        <f ca="1">IFERROR(__xludf.DUMMYFUNCTION("""COMPUTED_VALUE"""),45787)</f>
        <v>45787</v>
      </c>
      <c r="W94" s="23">
        <f ca="1">IFERROR(__xludf.DUMMYFUNCTION("""COMPUTED_VALUE"""),93)</f>
        <v>93</v>
      </c>
      <c r="X94" s="23" t="str">
        <f ca="1">IFERROR(__xludf.DUMMYFUNCTION("""COMPUTED_VALUE"""),"21/01/2025")</f>
        <v>21/01/2025</v>
      </c>
      <c r="Y94" s="23" t="str">
        <f ca="1">IFERROR(__xludf.DUMMYFUNCTION("""COMPUTED_VALUE"""),"DUYỆT")</f>
        <v>DUYỆT</v>
      </c>
      <c r="Z94" s="23" t="str">
        <f ca="1">IFERROR(__xludf.DUMMYFUNCTION("""COMPUTED_VALUE"""),"20/01/2025")</f>
        <v>20/01/2025</v>
      </c>
      <c r="AA94" s="23" t="str">
        <f ca="1">IFERROR(__xludf.DUMMYFUNCTION("""COMPUTED_VALUE"""),"Hyatt regency DaNang Resort")</f>
        <v>Hyatt regency DaNang Resort</v>
      </c>
      <c r="AB94" s="23" t="str">
        <f ca="1">IFERROR(__xludf.DUMMYFUNCTION("""COMPUTED_VALUE"""),"Nhà hàng")</f>
        <v>Nhà hàng</v>
      </c>
      <c r="AC94" s="23"/>
      <c r="AD94" s="23" t="str">
        <f ca="1">IFERROR(__xludf.DUMMYFUNCTION("""COMPUTED_VALUE"""),"SV phải đảm bảo không thực tập quá 5sv/nhà hàng
Sv chưa ghi thông tin người hướng dẫn tại khách sạn")</f>
        <v>SV phải đảm bảo không thực tập quá 5sv/nhà hàng
Sv chưa ghi thông tin người hướng dẫn tại khách sạn</v>
      </c>
      <c r="AE94" s="23" t="str">
        <f ca="1">IFERROR(__xludf.DUMMYFUNCTION("""COMPUTED_VALUE"""),"")</f>
        <v/>
      </c>
      <c r="AF94" s="23" t="str">
        <f ca="1">IFERROR(__xludf.DUMMYFUNCTION("""COMPUTED_VALUE"""),"CHUYÊN ĐỀ")</f>
        <v>CHUYÊN ĐỀ</v>
      </c>
      <c r="AG94" s="23" t="str">
        <f ca="1">IFERROR(__xludf.DUMMYFUNCTION("""COMPUTED_VALUE"""),"Trần Hoàng Anh")</f>
        <v>Trần Hoàng Anh</v>
      </c>
    </row>
    <row r="95" spans="1:33" ht="12.75" x14ac:dyDescent="0.2">
      <c r="A95" s="26">
        <f ca="1">IFERROR(__xludf.DUMMYFUNCTION("""COMPUTED_VALUE"""),45675.9883540162)</f>
        <v>45675.988354016197</v>
      </c>
      <c r="B95" s="23" t="str">
        <f ca="1">IFERROR(__xludf.DUMMYFUNCTION("""COMPUTED_VALUE"""),"ngocmui.0607@gmail.com")</f>
        <v>ngocmui.0607@gmail.com</v>
      </c>
      <c r="C95" s="23">
        <f ca="1">IFERROR(__xludf.DUMMYFUNCTION("""COMPUTED_VALUE"""),27207152647)</f>
        <v>27207152647</v>
      </c>
      <c r="D95" s="23" t="str">
        <f ca="1">IFERROR(__xludf.DUMMYFUNCTION("""COMPUTED_VALUE"""),"Phạm Thị Ngọc Mùi")</f>
        <v>Phạm Thị Ngọc Mùi</v>
      </c>
      <c r="E95" s="27">
        <f ca="1">IFERROR(__xludf.DUMMYFUNCTION("""COMPUTED_VALUE"""),37829)</f>
        <v>37829</v>
      </c>
      <c r="F95" s="23" t="str">
        <f ca="1">IFERROR(__xludf.DUMMYFUNCTION("""COMPUTED_VALUE"""),"K27DLK 2")</f>
        <v>K27DLK 2</v>
      </c>
      <c r="G95" s="23" t="str">
        <f ca="1">IFERROR(__xludf.DUMMYFUNCTION("""COMPUTED_VALUE"""),"Quản trị Du lịch &amp; Khách sạn")</f>
        <v>Quản trị Du lịch &amp; Khách sạn</v>
      </c>
      <c r="H95" s="23">
        <f ca="1">IFERROR(__xludf.DUMMYFUNCTION("""COMPUTED_VALUE"""),27)</f>
        <v>27</v>
      </c>
      <c r="I95" s="23" t="str">
        <f ca="1">IFERROR(__xludf.DUMMYFUNCTION("""COMPUTED_VALUE"""),"0379249336")</f>
        <v>0379249336</v>
      </c>
      <c r="J95" s="23" t="str">
        <f ca="1">IFERROR(__xludf.DUMMYFUNCTION("""COMPUTED_VALUE"""),"Khóa luận")</f>
        <v>Khóa luận</v>
      </c>
      <c r="K95" s="23" t="str">
        <f ca="1">IFERROR(__xludf.DUMMYFUNCTION("""COMPUTED_VALUE"""),"Diamond Sea Hotel")</f>
        <v>Diamond Sea Hotel</v>
      </c>
      <c r="L95" s="23"/>
      <c r="M95" s="23" t="str">
        <f ca="1">IFERROR(__xludf.DUMMYFUNCTION("""COMPUTED_VALUE"""),"232 Võ Nguyên Giáp, Phước Mỹ, Sơn Trà, Đà Nẵng")</f>
        <v>232 Võ Nguyên Giáp, Phước Mỹ, Sơn Trà, Đà Nẵng</v>
      </c>
      <c r="N95" s="23" t="str">
        <f ca="1">IFERROR(__xludf.DUMMYFUNCTION("""COMPUTED_VALUE"""),"Đà Nẵng")</f>
        <v>Đà Nẵng</v>
      </c>
      <c r="O95" s="23" t="str">
        <f ca="1">IFERROR(__xludf.DUMMYFUNCTION("""COMPUTED_VALUE"""),"Buồng phòng")</f>
        <v>Buồng phòng</v>
      </c>
      <c r="P95" s="23"/>
      <c r="Q95" s="23" t="str">
        <f ca="1">IFERROR(__xludf.DUMMYFUNCTION("""COMPUTED_VALUE"""),"17/01/2025")</f>
        <v>17/01/2025</v>
      </c>
      <c r="R95" s="23" t="str">
        <f ca="1">IFERROR(__xludf.DUMMYFUNCTION("""COMPUTED_VALUE"""),"cam kết")</f>
        <v>cam kết</v>
      </c>
      <c r="S95" s="23" t="str">
        <f ca="1">IFERROR(__xludf.DUMMYFUNCTION("""COMPUTED_VALUE"""),"Khóa luận")</f>
        <v>Khóa luận</v>
      </c>
      <c r="T95" s="23"/>
      <c r="U95" s="27">
        <f ca="1">IFERROR(__xludf.DUMMYFUNCTION("""COMPUTED_VALUE"""),45698)</f>
        <v>45698</v>
      </c>
      <c r="V95" s="27">
        <f ca="1">IFERROR(__xludf.DUMMYFUNCTION("""COMPUTED_VALUE"""),45787)</f>
        <v>45787</v>
      </c>
      <c r="W95" s="23">
        <f ca="1">IFERROR(__xludf.DUMMYFUNCTION("""COMPUTED_VALUE"""),94)</f>
        <v>94</v>
      </c>
      <c r="X95" s="23" t="str">
        <f ca="1">IFERROR(__xludf.DUMMYFUNCTION("""COMPUTED_VALUE"""),"20/01/2025")</f>
        <v>20/01/2025</v>
      </c>
      <c r="Y95" s="23" t="str">
        <f ca="1">IFERROR(__xludf.DUMMYFUNCTION("""COMPUTED_VALUE"""),"DUYỆT")</f>
        <v>DUYỆT</v>
      </c>
      <c r="Z95" s="23" t="str">
        <f ca="1">IFERROR(__xludf.DUMMYFUNCTION("""COMPUTED_VALUE"""),"20/01/2025")</f>
        <v>20/01/2025</v>
      </c>
      <c r="AA95" s="23" t="str">
        <f ca="1">IFERROR(__xludf.DUMMYFUNCTION("""COMPUTED_VALUE"""),"Diamond Sea Hotel")</f>
        <v>Diamond Sea Hotel</v>
      </c>
      <c r="AB95" s="23" t="str">
        <f ca="1">IFERROR(__xludf.DUMMYFUNCTION("""COMPUTED_VALUE"""),"Buồng phòng")</f>
        <v>Buồng phòng</v>
      </c>
      <c r="AC95" s="23"/>
      <c r="AD95" s="23"/>
      <c r="AE95" s="23" t="str">
        <f ca="1">IFERROR(__xludf.DUMMYFUNCTION("""COMPUTED_VALUE"""),"")</f>
        <v/>
      </c>
      <c r="AF95" s="23" t="str">
        <f ca="1">IFERROR(__xludf.DUMMYFUNCTION("""COMPUTED_VALUE"""),"CHUYÊN ĐỀ")</f>
        <v>CHUYÊN ĐỀ</v>
      </c>
      <c r="AG95" s="23" t="str">
        <f ca="1">IFERROR(__xludf.DUMMYFUNCTION("""COMPUTED_VALUE"""),"Dương Thị Xuân Diệu")</f>
        <v>Dương Thị Xuân Diệu</v>
      </c>
    </row>
    <row r="96" spans="1:33" ht="12.75" x14ac:dyDescent="0.2">
      <c r="A96" s="26">
        <f ca="1">IFERROR(__xludf.DUMMYFUNCTION("""COMPUTED_VALUE"""),45693.6790262037)</f>
        <v>45693.679026203703</v>
      </c>
      <c r="B96" s="23" t="str">
        <f ca="1">IFERROR(__xludf.DUMMYFUNCTION("""COMPUTED_VALUE"""),"Loibui1606@gmail.com")</f>
        <v>Loibui1606@gmail.com</v>
      </c>
      <c r="C96" s="23">
        <f ca="1">IFERROR(__xludf.DUMMYFUNCTION("""COMPUTED_VALUE"""),27217127461)</f>
        <v>27217127461</v>
      </c>
      <c r="D96" s="23" t="str">
        <f ca="1">IFERROR(__xludf.DUMMYFUNCTION("""COMPUTED_VALUE"""),"Bùi Văn Lợi ")</f>
        <v xml:space="preserve">Bùi Văn Lợi </v>
      </c>
      <c r="E96" s="27">
        <f ca="1">IFERROR(__xludf.DUMMYFUNCTION("""COMPUTED_VALUE"""),37788)</f>
        <v>37788</v>
      </c>
      <c r="F96" s="23" t="str">
        <f ca="1">IFERROR(__xludf.DUMMYFUNCTION("""COMPUTED_VALUE"""),"K27DLK1")</f>
        <v>K27DLK1</v>
      </c>
      <c r="G96" s="23" t="str">
        <f ca="1">IFERROR(__xludf.DUMMYFUNCTION("""COMPUTED_VALUE"""),"Quản trị Du lịch &amp; Khách sạn")</f>
        <v>Quản trị Du lịch &amp; Khách sạn</v>
      </c>
      <c r="H96" s="23">
        <f ca="1">IFERROR(__xludf.DUMMYFUNCTION("""COMPUTED_VALUE"""),27)</f>
        <v>27</v>
      </c>
      <c r="I96" s="23" t="str">
        <f ca="1">IFERROR(__xludf.DUMMYFUNCTION("""COMPUTED_VALUE"""),"0833198242")</f>
        <v>0833198242</v>
      </c>
      <c r="J96" s="23" t="str">
        <f ca="1">IFERROR(__xludf.DUMMYFUNCTION("""COMPUTED_VALUE"""),"Chuyên đề")</f>
        <v>Chuyên đề</v>
      </c>
      <c r="K96" s="23" t="str">
        <f ca="1">IFERROR(__xludf.DUMMYFUNCTION("""COMPUTED_VALUE"""),"Novotel DaNang Premier Han River")</f>
        <v>Novotel DaNang Premier Han River</v>
      </c>
      <c r="L96" s="23"/>
      <c r="M96" s="23" t="str">
        <f ca="1">IFERROR(__xludf.DUMMYFUNCTION("""COMPUTED_VALUE"""),"36 Bạch Đằng, Hải Châu, Đà Nẵng ")</f>
        <v xml:space="preserve">36 Bạch Đằng, Hải Châu, Đà Nẵng </v>
      </c>
      <c r="N96" s="23" t="str">
        <f ca="1">IFERROR(__xludf.DUMMYFUNCTION("""COMPUTED_VALUE"""),"Đà Nẵng ")</f>
        <v xml:space="preserve">Đà Nẵng </v>
      </c>
      <c r="O96" s="23" t="str">
        <f ca="1">IFERROR(__xludf.DUMMYFUNCTION("""COMPUTED_VALUE"""),"Buồng phòng")</f>
        <v>Buồng phòng</v>
      </c>
      <c r="P96" s="23"/>
      <c r="Q96" s="23" t="str">
        <f ca="1">IFERROR(__xludf.DUMMYFUNCTION("""COMPUTED_VALUE"""),"04/02/2025")</f>
        <v>04/02/2025</v>
      </c>
      <c r="R96" s="23" t="str">
        <f ca="1">IFERROR(__xludf.DUMMYFUNCTION("""COMPUTED_VALUE"""),"cam kết")</f>
        <v>cam kết</v>
      </c>
      <c r="S96" s="23" t="str">
        <f ca="1">IFERROR(__xludf.DUMMYFUNCTION("""COMPUTED_VALUE"""),"Chuyên đề")</f>
        <v>Chuyên đề</v>
      </c>
      <c r="T96" s="23"/>
      <c r="U96" s="27">
        <f ca="1">IFERROR(__xludf.DUMMYFUNCTION("""COMPUTED_VALUE"""),45698)</f>
        <v>45698</v>
      </c>
      <c r="V96" s="27">
        <f ca="1">IFERROR(__xludf.DUMMYFUNCTION("""COMPUTED_VALUE"""),45787)</f>
        <v>45787</v>
      </c>
      <c r="W96" s="23">
        <f ca="1">IFERROR(__xludf.DUMMYFUNCTION("""COMPUTED_VALUE"""),95)</f>
        <v>95</v>
      </c>
      <c r="X96" s="28">
        <f ca="1">IFERROR(__xludf.DUMMYFUNCTION("""COMPUTED_VALUE"""),45779)</f>
        <v>45779</v>
      </c>
      <c r="Y96" s="23" t="str">
        <f ca="1">IFERROR(__xludf.DUMMYFUNCTION("""COMPUTED_VALUE"""),"DUYỆT")</f>
        <v>DUYỆT</v>
      </c>
      <c r="Z96" s="23" t="str">
        <f ca="1">IFERROR(__xludf.DUMMYFUNCTION("""COMPUTED_VALUE"""),"20/01/2025")</f>
        <v>20/01/2025</v>
      </c>
      <c r="AA96" s="23" t="str">
        <f ca="1">IFERROR(__xludf.DUMMYFUNCTION("""COMPUTED_VALUE"""),"Novotel DaNang Premier Han River")</f>
        <v>Novotel DaNang Premier Han River</v>
      </c>
      <c r="AB96" s="23" t="str">
        <f ca="1">IFERROR(__xludf.DUMMYFUNCTION("""COMPUTED_VALUE"""),"Buồng phòng")</f>
        <v>Buồng phòng</v>
      </c>
      <c r="AC96" s="23"/>
      <c r="AD96" s="23"/>
      <c r="AE96" s="23" t="str">
        <f ca="1">IFERROR(__xludf.DUMMYFUNCTION("""COMPUTED_VALUE"""),"")</f>
        <v/>
      </c>
      <c r="AF96" s="23" t="str">
        <f ca="1">IFERROR(__xludf.DUMMYFUNCTION("""COMPUTED_VALUE"""),"CHUYÊN ĐỀ")</f>
        <v>CHUYÊN ĐỀ</v>
      </c>
      <c r="AG96" s="23" t="str">
        <f ca="1">IFERROR(__xludf.DUMMYFUNCTION("""COMPUTED_VALUE"""),"Nguyễn Thị Minh Thư")</f>
        <v>Nguyễn Thị Minh Thư</v>
      </c>
    </row>
    <row r="97" spans="1:33" ht="12.75" x14ac:dyDescent="0.2">
      <c r="A97" s="26">
        <f ca="1">IFERROR(__xludf.DUMMYFUNCTION("""COMPUTED_VALUE"""),45676.406696412)</f>
        <v>45676.406696411999</v>
      </c>
      <c r="B97" s="23" t="str">
        <f ca="1">IFERROR(__xludf.DUMMYFUNCTION("""COMPUTED_VALUE"""),"hongvannguyenthi1708@gmail.com")</f>
        <v>hongvannguyenthi1708@gmail.com</v>
      </c>
      <c r="C97" s="23">
        <f ca="1">IFERROR(__xludf.DUMMYFUNCTION("""COMPUTED_VALUE"""),27207120272)</f>
        <v>27207120272</v>
      </c>
      <c r="D97" s="23" t="str">
        <f ca="1">IFERROR(__xludf.DUMMYFUNCTION("""COMPUTED_VALUE"""),"Nguyễn Thị Hồng Vân")</f>
        <v>Nguyễn Thị Hồng Vân</v>
      </c>
      <c r="E97" s="27">
        <f ca="1">IFERROR(__xludf.DUMMYFUNCTION("""COMPUTED_VALUE"""),37939)</f>
        <v>37939</v>
      </c>
      <c r="F97" s="23" t="str">
        <f ca="1">IFERROR(__xludf.DUMMYFUNCTION("""COMPUTED_VALUE"""),"K27DLK1")</f>
        <v>K27DLK1</v>
      </c>
      <c r="G97" s="23" t="str">
        <f ca="1">IFERROR(__xludf.DUMMYFUNCTION("""COMPUTED_VALUE"""),"Quản trị Du lịch &amp; Khách sạn")</f>
        <v>Quản trị Du lịch &amp; Khách sạn</v>
      </c>
      <c r="H97" s="23">
        <f ca="1">IFERROR(__xludf.DUMMYFUNCTION("""COMPUTED_VALUE"""),27)</f>
        <v>27</v>
      </c>
      <c r="I97" s="23" t="str">
        <f ca="1">IFERROR(__xludf.DUMMYFUNCTION("""COMPUTED_VALUE"""),"0822532154")</f>
        <v>0822532154</v>
      </c>
      <c r="J97" s="23" t="str">
        <f ca="1">IFERROR(__xludf.DUMMYFUNCTION("""COMPUTED_VALUE"""),"Khóa luận")</f>
        <v>Khóa luận</v>
      </c>
      <c r="K97" s="23" t="str">
        <f ca="1">IFERROR(__xludf.DUMMYFUNCTION("""COMPUTED_VALUE"""),"Wyndham DaNang Golden Bay")</f>
        <v>Wyndham DaNang Golden Bay</v>
      </c>
      <c r="L97" s="23">
        <f ca="1">IFERROR(__xludf.DUMMYFUNCTION("""COMPUTED_VALUE"""),3.74)</f>
        <v>3.74</v>
      </c>
      <c r="M97" s="23" t="str">
        <f ca="1">IFERROR(__xludf.DUMMYFUNCTION("""COMPUTED_VALUE"""),"01 Lê Văn Duyệt, Nại Hiên Đông, Sơn Trà, thành phố Đà Nẵng")</f>
        <v>01 Lê Văn Duyệt, Nại Hiên Đông, Sơn Trà, thành phố Đà Nẵng</v>
      </c>
      <c r="N97" s="23" t="str">
        <f ca="1">IFERROR(__xludf.DUMMYFUNCTION("""COMPUTED_VALUE"""),"Đà Nẵng")</f>
        <v>Đà Nẵng</v>
      </c>
      <c r="O97" s="23" t="str">
        <f ca="1">IFERROR(__xludf.DUMMYFUNCTION("""COMPUTED_VALUE"""),"Nhà hàng")</f>
        <v>Nhà hàng</v>
      </c>
      <c r="P97" s="23"/>
      <c r="Q97" s="23" t="str">
        <f ca="1">IFERROR(__xludf.DUMMYFUNCTION("""COMPUTED_VALUE"""),"3/1/2025")</f>
        <v>3/1/2025</v>
      </c>
      <c r="R97" s="23" t="str">
        <f ca="1">IFERROR(__xludf.DUMMYFUNCTION("""COMPUTED_VALUE"""),"cam kết")</f>
        <v>cam kết</v>
      </c>
      <c r="S97" s="23" t="str">
        <f ca="1">IFERROR(__xludf.DUMMYFUNCTION("""COMPUTED_VALUE"""),"Khóa luận")</f>
        <v>Khóa luận</v>
      </c>
      <c r="T97" s="23" t="str">
        <f ca="1">IFERROR(__xludf.DUMMYFUNCTION("""COMPUTED_VALUE"""),"Mai Thị Thương")</f>
        <v>Mai Thị Thương</v>
      </c>
      <c r="U97" s="27">
        <f ca="1">IFERROR(__xludf.DUMMYFUNCTION("""COMPUTED_VALUE"""),45698)</f>
        <v>45698</v>
      </c>
      <c r="V97" s="27">
        <f ca="1">IFERROR(__xludf.DUMMYFUNCTION("""COMPUTED_VALUE"""),45787)</f>
        <v>45787</v>
      </c>
      <c r="W97" s="23">
        <f ca="1">IFERROR(__xludf.DUMMYFUNCTION("""COMPUTED_VALUE"""),96)</f>
        <v>96</v>
      </c>
      <c r="X97" s="23" t="str">
        <f ca="1">IFERROR(__xludf.DUMMYFUNCTION("""COMPUTED_VALUE"""),"20/01/2025")</f>
        <v>20/01/2025</v>
      </c>
      <c r="Y97" s="23" t="str">
        <f ca="1">IFERROR(__xludf.DUMMYFUNCTION("""COMPUTED_VALUE"""),"DUYỆT")</f>
        <v>DUYỆT</v>
      </c>
      <c r="Z97" s="23" t="str">
        <f ca="1">IFERROR(__xludf.DUMMYFUNCTION("""COMPUTED_VALUE"""),"20/01/2025")</f>
        <v>20/01/2025</v>
      </c>
      <c r="AA97" s="23" t="str">
        <f ca="1">IFERROR(__xludf.DUMMYFUNCTION("""COMPUTED_VALUE"""),"Wyndham DaNang Golden Bay")</f>
        <v>Wyndham DaNang Golden Bay</v>
      </c>
      <c r="AB97" s="23" t="str">
        <f ca="1">IFERROR(__xludf.DUMMYFUNCTION("""COMPUTED_VALUE"""),"Nhà hàng")</f>
        <v>Nhà hàng</v>
      </c>
      <c r="AC97" s="23"/>
      <c r="AD97" s="23" t="str">
        <f ca="1">IFERROR(__xludf.DUMMYFUNCTION("""COMPUTED_VALUE"""),"sv phải đám bảo ko quá 5sv/nhà hàng")</f>
        <v>sv phải đám bảo ko quá 5sv/nhà hàng</v>
      </c>
      <c r="AE97" s="23" t="str">
        <f ca="1">IFERROR(__xludf.DUMMYFUNCTION("""COMPUTED_VALUE"""),"")</f>
        <v/>
      </c>
      <c r="AF97" s="23" t="str">
        <f ca="1">IFERROR(__xludf.DUMMYFUNCTION("""COMPUTED_VALUE"""),"CHUYÊN ĐỀ")</f>
        <v>CHUYÊN ĐỀ</v>
      </c>
      <c r="AG97" s="23" t="str">
        <f ca="1">IFERROR(__xludf.DUMMYFUNCTION("""COMPUTED_VALUE"""),"Trần Thị Mỹ Linh")</f>
        <v>Trần Thị Mỹ Linh</v>
      </c>
    </row>
    <row r="98" spans="1:33" ht="12.75" x14ac:dyDescent="0.2">
      <c r="A98" s="26">
        <f ca="1">IFERROR(__xludf.DUMMYFUNCTION("""COMPUTED_VALUE"""),45677.3956248379)</f>
        <v>45677.395624837904</v>
      </c>
      <c r="B98" s="23" t="str">
        <f ca="1">IFERROR(__xludf.DUMMYFUNCTION("""COMPUTED_VALUE"""),"lhdt1029@gmail.com")</f>
        <v>lhdt1029@gmail.com</v>
      </c>
      <c r="C98" s="23">
        <f ca="1">IFERROR(__xludf.DUMMYFUNCTION("""COMPUTED_VALUE"""),27207141496)</f>
        <v>27207141496</v>
      </c>
      <c r="D98" s="23" t="str">
        <f ca="1">IFERROR(__xludf.DUMMYFUNCTION("""COMPUTED_VALUE"""),"Lê Hoàng Đoan Trang")</f>
        <v>Lê Hoàng Đoan Trang</v>
      </c>
      <c r="E98" s="27">
        <f ca="1">IFERROR(__xludf.DUMMYFUNCTION("""COMPUTED_VALUE"""),37911)</f>
        <v>37911</v>
      </c>
      <c r="F98" s="23" t="str">
        <f ca="1">IFERROR(__xludf.DUMMYFUNCTION("""COMPUTED_VALUE"""),"K27DLK 4")</f>
        <v>K27DLK 4</v>
      </c>
      <c r="G98" s="23" t="str">
        <f ca="1">IFERROR(__xludf.DUMMYFUNCTION("""COMPUTED_VALUE"""),"Quản trị Du lịch &amp; Khách sạn")</f>
        <v>Quản trị Du lịch &amp; Khách sạn</v>
      </c>
      <c r="H98" s="23">
        <f ca="1">IFERROR(__xludf.DUMMYFUNCTION("""COMPUTED_VALUE"""),27)</f>
        <v>27</v>
      </c>
      <c r="I98" s="23" t="str">
        <f ca="1">IFERROR(__xludf.DUMMYFUNCTION("""COMPUTED_VALUE"""),"0905686328")</f>
        <v>0905686328</v>
      </c>
      <c r="J98" s="23" t="str">
        <f ca="1">IFERROR(__xludf.DUMMYFUNCTION("""COMPUTED_VALUE"""),"Chuyên đề")</f>
        <v>Chuyên đề</v>
      </c>
      <c r="K98" s="23" t="str">
        <f ca="1">IFERROR(__xludf.DUMMYFUNCTION("""COMPUTED_VALUE"""),"Vanda Hotel")</f>
        <v>Vanda Hotel</v>
      </c>
      <c r="L98" s="23"/>
      <c r="M98" s="23" t="str">
        <f ca="1">IFERROR(__xludf.DUMMYFUNCTION("""COMPUTED_VALUE"""),"03 Nguyễn Văn Linh")</f>
        <v>03 Nguyễn Văn Linh</v>
      </c>
      <c r="N98" s="23" t="str">
        <f ca="1">IFERROR(__xludf.DUMMYFUNCTION("""COMPUTED_VALUE"""),"Đà Nẵng")</f>
        <v>Đà Nẵng</v>
      </c>
      <c r="O98" s="23" t="str">
        <f ca="1">IFERROR(__xludf.DUMMYFUNCTION("""COMPUTED_VALUE"""),"Buồng phòng")</f>
        <v>Buồng phòng</v>
      </c>
      <c r="P98" s="23"/>
      <c r="Q98" s="23" t="str">
        <f ca="1">IFERROR(__xludf.DUMMYFUNCTION("""COMPUTED_VALUE"""),"19/1/2025")</f>
        <v>19/1/2025</v>
      </c>
      <c r="R98" s="23" t="str">
        <f ca="1">IFERROR(__xludf.DUMMYFUNCTION("""COMPUTED_VALUE"""),"cam kết")</f>
        <v>cam kết</v>
      </c>
      <c r="S98" s="23" t="str">
        <f ca="1">IFERROR(__xludf.DUMMYFUNCTION("""COMPUTED_VALUE"""),"Chuyên đề")</f>
        <v>Chuyên đề</v>
      </c>
      <c r="T98" s="23"/>
      <c r="U98" s="27">
        <f ca="1">IFERROR(__xludf.DUMMYFUNCTION("""COMPUTED_VALUE"""),45698)</f>
        <v>45698</v>
      </c>
      <c r="V98" s="27">
        <f ca="1">IFERROR(__xludf.DUMMYFUNCTION("""COMPUTED_VALUE"""),45787)</f>
        <v>45787</v>
      </c>
      <c r="W98" s="23">
        <f ca="1">IFERROR(__xludf.DUMMYFUNCTION("""COMPUTED_VALUE"""),97)</f>
        <v>97</v>
      </c>
      <c r="X98" s="23" t="str">
        <f ca="1">IFERROR(__xludf.DUMMYFUNCTION("""COMPUTED_VALUE"""),"20/01/2025")</f>
        <v>20/01/2025</v>
      </c>
      <c r="Y98" s="23" t="str">
        <f ca="1">IFERROR(__xludf.DUMMYFUNCTION("""COMPUTED_VALUE"""),"DUYỆT")</f>
        <v>DUYỆT</v>
      </c>
      <c r="Z98" s="23" t="str">
        <f ca="1">IFERROR(__xludf.DUMMYFUNCTION("""COMPUTED_VALUE"""),"20/01/2025")</f>
        <v>20/01/2025</v>
      </c>
      <c r="AA98" s="23" t="str">
        <f ca="1">IFERROR(__xludf.DUMMYFUNCTION("""COMPUTED_VALUE"""),"Vanda Hotel")</f>
        <v>Vanda Hotel</v>
      </c>
      <c r="AB98" s="23" t="str">
        <f ca="1">IFERROR(__xludf.DUMMYFUNCTION("""COMPUTED_VALUE"""),"Buồng phòng")</f>
        <v>Buồng phòng</v>
      </c>
      <c r="AC98" s="23"/>
      <c r="AD98" s="23"/>
      <c r="AE98" s="23" t="str">
        <f ca="1">IFERROR(__xludf.DUMMYFUNCTION("""COMPUTED_VALUE"""),"")</f>
        <v/>
      </c>
      <c r="AF98" s="23" t="str">
        <f ca="1">IFERROR(__xludf.DUMMYFUNCTION("""COMPUTED_VALUE"""),"không đủ điều kiện")</f>
        <v>không đủ điều kiện</v>
      </c>
      <c r="AG98" s="23"/>
    </row>
    <row r="99" spans="1:33" ht="12.75" x14ac:dyDescent="0.2">
      <c r="A99" s="26">
        <f ca="1">IFERROR(__xludf.DUMMYFUNCTION("""COMPUTED_VALUE"""),45677.3936162384)</f>
        <v>45677.393616238398</v>
      </c>
      <c r="B99" s="23" t="str">
        <f ca="1">IFERROR(__xludf.DUMMYFUNCTION("""COMPUTED_VALUE"""),"nnhuy0609@gmail.com")</f>
        <v>nnhuy0609@gmail.com</v>
      </c>
      <c r="C99" s="23">
        <f ca="1">IFERROR(__xludf.DUMMYFUNCTION("""COMPUTED_VALUE"""),27207141584)</f>
        <v>27207141584</v>
      </c>
      <c r="D99" s="23" t="str">
        <f ca="1">IFERROR(__xludf.DUMMYFUNCTION("""COMPUTED_VALUE"""),"NGUYỄN NHƯ Ý")</f>
        <v>NGUYỄN NHƯ Ý</v>
      </c>
      <c r="E99" s="27">
        <f ca="1">IFERROR(__xludf.DUMMYFUNCTION("""COMPUTED_VALUE"""),37870)</f>
        <v>37870</v>
      </c>
      <c r="F99" s="23" t="str">
        <f ca="1">IFERROR(__xludf.DUMMYFUNCTION("""COMPUTED_VALUE"""),"K27DLK4")</f>
        <v>K27DLK4</v>
      </c>
      <c r="G99" s="23" t="str">
        <f ca="1">IFERROR(__xludf.DUMMYFUNCTION("""COMPUTED_VALUE"""),"Quản trị Du lịch &amp; Khách sạn")</f>
        <v>Quản trị Du lịch &amp; Khách sạn</v>
      </c>
      <c r="H99" s="23">
        <f ca="1">IFERROR(__xludf.DUMMYFUNCTION("""COMPUTED_VALUE"""),27)</f>
        <v>27</v>
      </c>
      <c r="I99" s="23" t="str">
        <f ca="1">IFERROR(__xludf.DUMMYFUNCTION("""COMPUTED_VALUE"""),"0935516604")</f>
        <v>0935516604</v>
      </c>
      <c r="J99" s="23" t="str">
        <f ca="1">IFERROR(__xludf.DUMMYFUNCTION("""COMPUTED_VALUE"""),"Chuyên đề")</f>
        <v>Chuyên đề</v>
      </c>
      <c r="K99" s="23" t="str">
        <f ca="1">IFERROR(__xludf.DUMMYFUNCTION("""COMPUTED_VALUE"""),"Vanda Hotel")</f>
        <v>Vanda Hotel</v>
      </c>
      <c r="L99" s="23"/>
      <c r="M99" s="23" t="str">
        <f ca="1">IFERROR(__xludf.DUMMYFUNCTION("""COMPUTED_VALUE"""),"03 Nguyễn Văn Linh, Đà Nẵng")</f>
        <v>03 Nguyễn Văn Linh, Đà Nẵng</v>
      </c>
      <c r="N99" s="23" t="str">
        <f ca="1">IFERROR(__xludf.DUMMYFUNCTION("""COMPUTED_VALUE"""),"Đà Nẵng")</f>
        <v>Đà Nẵng</v>
      </c>
      <c r="O99" s="23" t="str">
        <f ca="1">IFERROR(__xludf.DUMMYFUNCTION("""COMPUTED_VALUE"""),"Buồng phòng")</f>
        <v>Buồng phòng</v>
      </c>
      <c r="P99" s="23"/>
      <c r="Q99" s="23" t="str">
        <f ca="1">IFERROR(__xludf.DUMMYFUNCTION("""COMPUTED_VALUE"""),"Ngày 19/01/2025")</f>
        <v>Ngày 19/01/2025</v>
      </c>
      <c r="R99" s="23" t="str">
        <f ca="1">IFERROR(__xludf.DUMMYFUNCTION("""COMPUTED_VALUE"""),"cam kết")</f>
        <v>cam kết</v>
      </c>
      <c r="S99" s="23" t="str">
        <f ca="1">IFERROR(__xludf.DUMMYFUNCTION("""COMPUTED_VALUE"""),"Chuyên đề")</f>
        <v>Chuyên đề</v>
      </c>
      <c r="T99" s="23"/>
      <c r="U99" s="27">
        <f ca="1">IFERROR(__xludf.DUMMYFUNCTION("""COMPUTED_VALUE"""),45698)</f>
        <v>45698</v>
      </c>
      <c r="V99" s="27">
        <f ca="1">IFERROR(__xludf.DUMMYFUNCTION("""COMPUTED_VALUE"""),45787)</f>
        <v>45787</v>
      </c>
      <c r="W99" s="23">
        <f ca="1">IFERROR(__xludf.DUMMYFUNCTION("""COMPUTED_VALUE"""),98)</f>
        <v>98</v>
      </c>
      <c r="X99" s="23" t="str">
        <f ca="1">IFERROR(__xludf.DUMMYFUNCTION("""COMPUTED_VALUE"""),"20/01/2025")</f>
        <v>20/01/2025</v>
      </c>
      <c r="Y99" s="23" t="str">
        <f ca="1">IFERROR(__xludf.DUMMYFUNCTION("""COMPUTED_VALUE"""),"DUYỆT")</f>
        <v>DUYỆT</v>
      </c>
      <c r="Z99" s="23" t="str">
        <f ca="1">IFERROR(__xludf.DUMMYFUNCTION("""COMPUTED_VALUE"""),"20/01/2025")</f>
        <v>20/01/2025</v>
      </c>
      <c r="AA99" s="23" t="str">
        <f ca="1">IFERROR(__xludf.DUMMYFUNCTION("""COMPUTED_VALUE"""),"Vanda Hotel")</f>
        <v>Vanda Hotel</v>
      </c>
      <c r="AB99" s="23" t="str">
        <f ca="1">IFERROR(__xludf.DUMMYFUNCTION("""COMPUTED_VALUE"""),"Buồng phòng")</f>
        <v>Buồng phòng</v>
      </c>
      <c r="AC99" s="23"/>
      <c r="AD99" s="23"/>
      <c r="AE99" s="23" t="str">
        <f ca="1">IFERROR(__xludf.DUMMYFUNCTION("""COMPUTED_VALUE"""),"")</f>
        <v/>
      </c>
      <c r="AF99" s="23" t="str">
        <f ca="1">IFERROR(__xludf.DUMMYFUNCTION("""COMPUTED_VALUE"""),"không đủ điều kiện")</f>
        <v>không đủ điều kiện</v>
      </c>
      <c r="AG99" s="23"/>
    </row>
    <row r="100" spans="1:33" ht="12.75" x14ac:dyDescent="0.2">
      <c r="A100" s="26">
        <f ca="1">IFERROR(__xludf.DUMMYFUNCTION("""COMPUTED_VALUE"""),45677.5952216782)</f>
        <v>45677.595221678203</v>
      </c>
      <c r="B100" s="23" t="str">
        <f ca="1">IFERROR(__xludf.DUMMYFUNCTION("""COMPUTED_VALUE"""),"huongtranlelan@gmail.com")</f>
        <v>huongtranlelan@gmail.com</v>
      </c>
      <c r="C100" s="23">
        <f ca="1">IFERROR(__xludf.DUMMYFUNCTION("""COMPUTED_VALUE"""),27207141358)</f>
        <v>27207141358</v>
      </c>
      <c r="D100" s="23" t="str">
        <f ca="1">IFERROR(__xludf.DUMMYFUNCTION("""COMPUTED_VALUE"""),"Trần Lê Lan Hương")</f>
        <v>Trần Lê Lan Hương</v>
      </c>
      <c r="E100" s="27">
        <f ca="1">IFERROR(__xludf.DUMMYFUNCTION("""COMPUTED_VALUE"""),37677)</f>
        <v>37677</v>
      </c>
      <c r="F100" s="23" t="str">
        <f ca="1">IFERROR(__xludf.DUMMYFUNCTION("""COMPUTED_VALUE"""),"K27DLK7")</f>
        <v>K27DLK7</v>
      </c>
      <c r="G100" s="23" t="str">
        <f ca="1">IFERROR(__xludf.DUMMYFUNCTION("""COMPUTED_VALUE"""),"Quản trị Du lịch &amp; Khách sạn")</f>
        <v>Quản trị Du lịch &amp; Khách sạn</v>
      </c>
      <c r="H100" s="23">
        <f ca="1">IFERROR(__xludf.DUMMYFUNCTION("""COMPUTED_VALUE"""),27)</f>
        <v>27</v>
      </c>
      <c r="I100" s="23" t="str">
        <f ca="1">IFERROR(__xludf.DUMMYFUNCTION("""COMPUTED_VALUE"""),"0788439151")</f>
        <v>0788439151</v>
      </c>
      <c r="J100" s="23" t="str">
        <f ca="1">IFERROR(__xludf.DUMMYFUNCTION("""COMPUTED_VALUE"""),"Chuyên đề")</f>
        <v>Chuyên đề</v>
      </c>
      <c r="K100" s="23" t="str">
        <f ca="1">IFERROR(__xludf.DUMMYFUNCTION("""COMPUTED_VALUE"""),"Grand Mercure Đà Nẵng")</f>
        <v>Grand Mercure Đà Nẵng</v>
      </c>
      <c r="L100" s="23"/>
      <c r="M100" s="23" t="str">
        <f ca="1">IFERROR(__xludf.DUMMYFUNCTION("""COMPUTED_VALUE"""),"Lô A1 Khu biệt thự Đảo Xanh, phường Hoà Cường Bắc, quận Hải Châu, Đà Nẵng")</f>
        <v>Lô A1 Khu biệt thự Đảo Xanh, phường Hoà Cường Bắc, quận Hải Châu, Đà Nẵng</v>
      </c>
      <c r="N100" s="23" t="str">
        <f ca="1">IFERROR(__xludf.DUMMYFUNCTION("""COMPUTED_VALUE"""),"Đà Nẵng")</f>
        <v>Đà Nẵng</v>
      </c>
      <c r="O100" s="23" t="str">
        <f ca="1">IFERROR(__xludf.DUMMYFUNCTION("""COMPUTED_VALUE"""),"Bộ phận Sales")</f>
        <v>Bộ phận Sales</v>
      </c>
      <c r="P100" s="23" t="str">
        <f ca="1">IFERROR(__xludf.DUMMYFUNCTION("""COMPUTED_VALUE"""),"Bộ phận Sales")</f>
        <v>Bộ phận Sales</v>
      </c>
      <c r="Q100" s="23" t="str">
        <f ca="1">IFERROR(__xludf.DUMMYFUNCTION("""COMPUTED_VALUE"""),"04/02/2025")</f>
        <v>04/02/2025</v>
      </c>
      <c r="R100" s="23" t="str">
        <f ca="1">IFERROR(__xludf.DUMMYFUNCTION("""COMPUTED_VALUE"""),"cam kết")</f>
        <v>cam kết</v>
      </c>
      <c r="S100" s="23" t="str">
        <f ca="1">IFERROR(__xludf.DUMMYFUNCTION("""COMPUTED_VALUE"""),"Chuyên đề")</f>
        <v>Chuyên đề</v>
      </c>
      <c r="T100" s="23"/>
      <c r="U100" s="27">
        <f ca="1">IFERROR(__xludf.DUMMYFUNCTION("""COMPUTED_VALUE"""),45691)</f>
        <v>45691</v>
      </c>
      <c r="V100" s="27">
        <f ca="1">IFERROR(__xludf.DUMMYFUNCTION("""COMPUTED_VALUE"""),45780)</f>
        <v>45780</v>
      </c>
      <c r="W100" s="23">
        <f ca="1">IFERROR(__xludf.DUMMYFUNCTION("""COMPUTED_VALUE"""),99)</f>
        <v>99</v>
      </c>
      <c r="X100" s="28">
        <f ca="1">IFERROR(__xludf.DUMMYFUNCTION("""COMPUTED_VALUE"""),45779)</f>
        <v>45779</v>
      </c>
      <c r="Y100" s="23" t="str">
        <f ca="1">IFERROR(__xludf.DUMMYFUNCTION("""COMPUTED_VALUE"""),"DUYỆT")</f>
        <v>DUYỆT</v>
      </c>
      <c r="Z100" s="23" t="str">
        <f ca="1">IFERROR(__xludf.DUMMYFUNCTION("""COMPUTED_VALUE"""),"20/01/2025")</f>
        <v>20/01/2025</v>
      </c>
      <c r="AA100" s="23" t="str">
        <f ca="1">IFERROR(__xludf.DUMMYFUNCTION("""COMPUTED_VALUE"""),"Grand Mercure Đà Nẵng")</f>
        <v>Grand Mercure Đà Nẵng</v>
      </c>
      <c r="AB100" s="23" t="str">
        <f ca="1">IFERROR(__xludf.DUMMYFUNCTION("""COMPUTED_VALUE"""),"Bộ phận Sales")</f>
        <v>Bộ phận Sales</v>
      </c>
      <c r="AC100" s="23"/>
      <c r="AD100" s="23"/>
      <c r="AE100" s="23" t="str">
        <f ca="1">IFERROR(__xludf.DUMMYFUNCTION("""COMPUTED_VALUE"""),"")</f>
        <v/>
      </c>
      <c r="AF100" s="23" t="str">
        <f ca="1">IFERROR(__xludf.DUMMYFUNCTION("""COMPUTED_VALUE"""),"CHUYÊN ĐỀ")</f>
        <v>CHUYÊN ĐỀ</v>
      </c>
      <c r="AG100" s="23" t="str">
        <f ca="1">IFERROR(__xludf.DUMMYFUNCTION("""COMPUTED_VALUE"""),"Võ Đức Hiếu")</f>
        <v>Võ Đức Hiếu</v>
      </c>
    </row>
    <row r="101" spans="1:33" ht="12.75" x14ac:dyDescent="0.2">
      <c r="A101" s="26">
        <f ca="1">IFERROR(__xludf.DUMMYFUNCTION("""COMPUTED_VALUE"""),45677.6055887615)</f>
        <v>45677.6055887615</v>
      </c>
      <c r="B101" s="23" t="str">
        <f ca="1">IFERROR(__xludf.DUMMYFUNCTION("""COMPUTED_VALUE"""),"hoangmaitam16022003@gmail.com")</f>
        <v>hoangmaitam16022003@gmail.com</v>
      </c>
      <c r="C101" s="23">
        <f ca="1">IFERROR(__xludf.DUMMYFUNCTION("""COMPUTED_VALUE"""),27217143521)</f>
        <v>27217143521</v>
      </c>
      <c r="D101" s="23" t="str">
        <f ca="1">IFERROR(__xludf.DUMMYFUNCTION("""COMPUTED_VALUE"""),"Hoàng Mai Tâm")</f>
        <v>Hoàng Mai Tâm</v>
      </c>
      <c r="E101" s="27">
        <f ca="1">IFERROR(__xludf.DUMMYFUNCTION("""COMPUTED_VALUE"""),37668)</f>
        <v>37668</v>
      </c>
      <c r="F101" s="23" t="str">
        <f ca="1">IFERROR(__xludf.DUMMYFUNCTION("""COMPUTED_VALUE"""),"K27DLk2")</f>
        <v>K27DLk2</v>
      </c>
      <c r="G101" s="23" t="str">
        <f ca="1">IFERROR(__xludf.DUMMYFUNCTION("""COMPUTED_VALUE"""),"Quản trị Du lịch &amp; Khách sạn")</f>
        <v>Quản trị Du lịch &amp; Khách sạn</v>
      </c>
      <c r="H101" s="23">
        <f ca="1">IFERROR(__xludf.DUMMYFUNCTION("""COMPUTED_VALUE"""),27)</f>
        <v>27</v>
      </c>
      <c r="I101" s="23" t="str">
        <f ca="1">IFERROR(__xludf.DUMMYFUNCTION("""COMPUTED_VALUE"""),"0357121028")</f>
        <v>0357121028</v>
      </c>
      <c r="J101" s="23" t="str">
        <f ca="1">IFERROR(__xludf.DUMMYFUNCTION("""COMPUTED_VALUE"""),"Chuyên đề")</f>
        <v>Chuyên đề</v>
      </c>
      <c r="K101" s="23" t="str">
        <f ca="1">IFERROR(__xludf.DUMMYFUNCTION("""COMPUTED_VALUE"""),"Hilton Garden Inn Danang")</f>
        <v>Hilton Garden Inn Danang</v>
      </c>
      <c r="L101" s="23" t="str">
        <f ca="1">IFERROR(__xludf.DUMMYFUNCTION("""COMPUTED_VALUE"""),"Hilton Garden Inn Danang")</f>
        <v>Hilton Garden Inn Danang</v>
      </c>
      <c r="M101" s="23" t="str">
        <f ca="1">IFERROR(__xludf.DUMMYFUNCTION("""COMPUTED_VALUE"""),"96Võ Nguyên Giáp, Mân Thái, Sơn Trà, Đà Nẵng")</f>
        <v>96Võ Nguyên Giáp, Mân Thái, Sơn Trà, Đà Nẵng</v>
      </c>
      <c r="N101" s="23" t="str">
        <f ca="1">IFERROR(__xludf.DUMMYFUNCTION("""COMPUTED_VALUE"""),"Đà Nẵng")</f>
        <v>Đà Nẵng</v>
      </c>
      <c r="O101" s="23" t="str">
        <f ca="1">IFERROR(__xludf.DUMMYFUNCTION("""COMPUTED_VALUE"""),"Nhà hàng")</f>
        <v>Nhà hàng</v>
      </c>
      <c r="P101" s="23"/>
      <c r="Q101" s="23" t="str">
        <f ca="1">IFERROR(__xludf.DUMMYFUNCTION("""COMPUTED_VALUE"""),"20/1/2025")</f>
        <v>20/1/2025</v>
      </c>
      <c r="R101" s="23" t="str">
        <f ca="1">IFERROR(__xludf.DUMMYFUNCTION("""COMPUTED_VALUE"""),"cam kết")</f>
        <v>cam kết</v>
      </c>
      <c r="S101" s="23" t="str">
        <f ca="1">IFERROR(__xludf.DUMMYFUNCTION("""COMPUTED_VALUE"""),"Chuyên đề")</f>
        <v>Chuyên đề</v>
      </c>
      <c r="T101" s="23"/>
      <c r="U101" s="27">
        <f ca="1">IFERROR(__xludf.DUMMYFUNCTION("""COMPUTED_VALUE"""),45698)</f>
        <v>45698</v>
      </c>
      <c r="V101" s="27">
        <f ca="1">IFERROR(__xludf.DUMMYFUNCTION("""COMPUTED_VALUE"""),45787)</f>
        <v>45787</v>
      </c>
      <c r="W101" s="23">
        <f ca="1">IFERROR(__xludf.DUMMYFUNCTION("""COMPUTED_VALUE"""),100)</f>
        <v>100</v>
      </c>
      <c r="X101" s="23" t="str">
        <f ca="1">IFERROR(__xludf.DUMMYFUNCTION("""COMPUTED_VALUE"""),"20/01/2025")</f>
        <v>20/01/2025</v>
      </c>
      <c r="Y101" s="23" t="str">
        <f ca="1">IFERROR(__xludf.DUMMYFUNCTION("""COMPUTED_VALUE"""),"DUYỆT")</f>
        <v>DUYỆT</v>
      </c>
      <c r="Z101" s="23" t="str">
        <f ca="1">IFERROR(__xludf.DUMMYFUNCTION("""COMPUTED_VALUE"""),"20/01/2025")</f>
        <v>20/01/2025</v>
      </c>
      <c r="AA101" s="23" t="str">
        <f ca="1">IFERROR(__xludf.DUMMYFUNCTION("""COMPUTED_VALUE"""),"Hilton Garden Inn Danang")</f>
        <v>Hilton Garden Inn Danang</v>
      </c>
      <c r="AB101" s="23" t="str">
        <f ca="1">IFERROR(__xludf.DUMMYFUNCTION("""COMPUTED_VALUE"""),"Nhà hàng")</f>
        <v>Nhà hàng</v>
      </c>
      <c r="AC101" s="23"/>
      <c r="AD101" s="23" t="str">
        <f ca="1">IFERROR(__xludf.DUMMYFUNCTION("""COMPUTED_VALUE"""),"Sv chưa ghi thông tin người hướng dẫn tại khách sạn")</f>
        <v>Sv chưa ghi thông tin người hướng dẫn tại khách sạn</v>
      </c>
      <c r="AE101" s="23" t="str">
        <f ca="1">IFERROR(__xludf.DUMMYFUNCTION("""COMPUTED_VALUE"""),"")</f>
        <v/>
      </c>
      <c r="AF101" s="23" t="str">
        <f ca="1">IFERROR(__xludf.DUMMYFUNCTION("""COMPUTED_VALUE"""),"CHUYÊN ĐỀ")</f>
        <v>CHUYÊN ĐỀ</v>
      </c>
      <c r="AG101" s="23" t="str">
        <f ca="1">IFERROR(__xludf.DUMMYFUNCTION("""COMPUTED_VALUE"""),"Trịnh Thị Kim Chung")</f>
        <v>Trịnh Thị Kim Chung</v>
      </c>
    </row>
    <row r="102" spans="1:33" ht="12.75" x14ac:dyDescent="0.2">
      <c r="A102" s="26">
        <f ca="1">IFERROR(__xludf.DUMMYFUNCTION("""COMPUTED_VALUE"""),45696.5906187963)</f>
        <v>45696.590618796297</v>
      </c>
      <c r="B102" s="23" t="str">
        <f ca="1">IFERROR(__xludf.DUMMYFUNCTION("""COMPUTED_VALUE"""),"ng.congquoc@gmail.com")</f>
        <v>ng.congquoc@gmail.com</v>
      </c>
      <c r="C102" s="23">
        <f ca="1">IFERROR(__xludf.DUMMYFUNCTION("""COMPUTED_VALUE"""),2321713977)</f>
        <v>2321713977</v>
      </c>
      <c r="D102" s="23" t="str">
        <f ca="1">IFERROR(__xludf.DUMMYFUNCTION("""COMPUTED_VALUE"""),"Nguyễn Công Quốc")</f>
        <v>Nguyễn Công Quốc</v>
      </c>
      <c r="E102" s="27">
        <f ca="1">IFERROR(__xludf.DUMMYFUNCTION("""COMPUTED_VALUE"""),36263)</f>
        <v>36263</v>
      </c>
      <c r="F102" s="23" t="str">
        <f ca="1">IFERROR(__xludf.DUMMYFUNCTION("""COMPUTED_VALUE"""),"K23DLK9")</f>
        <v>K23DLK9</v>
      </c>
      <c r="G102" s="23" t="str">
        <f ca="1">IFERROR(__xludf.DUMMYFUNCTION("""COMPUTED_VALUE"""),"Quản trị Du lịch &amp; Khách sạn")</f>
        <v>Quản trị Du lịch &amp; Khách sạn</v>
      </c>
      <c r="H102" s="23">
        <f ca="1">IFERROR(__xludf.DUMMYFUNCTION("""COMPUTED_VALUE"""),26)</f>
        <v>26</v>
      </c>
      <c r="I102" s="23" t="str">
        <f ca="1">IFERROR(__xludf.DUMMYFUNCTION("""COMPUTED_VALUE"""),"0392245257")</f>
        <v>0392245257</v>
      </c>
      <c r="J102" s="23" t="str">
        <f ca="1">IFERROR(__xludf.DUMMYFUNCTION("""COMPUTED_VALUE"""),"Chuyên đề")</f>
        <v>Chuyên đề</v>
      </c>
      <c r="K102" s="23" t="str">
        <f ca="1">IFERROR(__xludf.DUMMYFUNCTION("""COMPUTED_VALUE"""),"khách sạn khác")</f>
        <v>khách sạn khác</v>
      </c>
      <c r="L102" s="23" t="str">
        <f ca="1">IFERROR(__xludf.DUMMYFUNCTION("""COMPUTED_VALUE"""),"Grand Tourane Hotel")</f>
        <v>Grand Tourane Hotel</v>
      </c>
      <c r="M102" s="23" t="str">
        <f ca="1">IFERROR(__xludf.DUMMYFUNCTION("""COMPUTED_VALUE"""),"252 Võ Nguyên Giáp, Phước Mỹ, Sơn Trà, Đà Nẵng ")</f>
        <v xml:space="preserve">252 Võ Nguyên Giáp, Phước Mỹ, Sơn Trà, Đà Nẵng </v>
      </c>
      <c r="N102" s="23" t="str">
        <f ca="1">IFERROR(__xludf.DUMMYFUNCTION("""COMPUTED_VALUE"""),"Đà Nẵng")</f>
        <v>Đà Nẵng</v>
      </c>
      <c r="O102" s="23" t="str">
        <f ca="1">IFERROR(__xludf.DUMMYFUNCTION("""COMPUTED_VALUE"""),"Nhà hàng")</f>
        <v>Nhà hàng</v>
      </c>
      <c r="P102" s="23"/>
      <c r="Q102" s="23" t="str">
        <f ca="1">IFERROR(__xludf.DUMMYFUNCTION("""COMPUTED_VALUE"""),"08/02/2025")</f>
        <v>08/02/2025</v>
      </c>
      <c r="R102" s="23" t="str">
        <f ca="1">IFERROR(__xludf.DUMMYFUNCTION("""COMPUTED_VALUE"""),"cam kết")</f>
        <v>cam kết</v>
      </c>
      <c r="S102" s="23" t="str">
        <f ca="1">IFERROR(__xludf.DUMMYFUNCTION("""COMPUTED_VALUE"""),"Chuyên đề")</f>
        <v>Chuyên đề</v>
      </c>
      <c r="T102" s="23" t="str">
        <f ca="1">IFERROR(__xludf.DUMMYFUNCTION("""COMPUTED_VALUE"""),"Trần Hoàng Anh")</f>
        <v>Trần Hoàng Anh</v>
      </c>
      <c r="U102" s="27">
        <f ca="1">IFERROR(__xludf.DUMMYFUNCTION("""COMPUTED_VALUE"""),45693)</f>
        <v>45693</v>
      </c>
      <c r="V102" s="27">
        <f ca="1">IFERROR(__xludf.DUMMYFUNCTION("""COMPUTED_VALUE"""),45782)</f>
        <v>45782</v>
      </c>
      <c r="W102" s="23">
        <f ca="1">IFERROR(__xludf.DUMMYFUNCTION("""COMPUTED_VALUE"""),101)</f>
        <v>101</v>
      </c>
      <c r="X102" s="28">
        <f ca="1">IFERROR(__xludf.DUMMYFUNCTION("""COMPUTED_VALUE"""),45963)</f>
        <v>45963</v>
      </c>
      <c r="Y102" s="23" t="str">
        <f ca="1">IFERROR(__xludf.DUMMYFUNCTION("""COMPUTED_VALUE"""),"DUYỆT")</f>
        <v>DUYỆT</v>
      </c>
      <c r="Z102" s="23" t="str">
        <f ca="1">IFERROR(__xludf.DUMMYFUNCTION("""COMPUTED_VALUE"""),"20/01/2025")</f>
        <v>20/01/2025</v>
      </c>
      <c r="AA102" s="23" t="str">
        <f ca="1">IFERROR(__xludf.DUMMYFUNCTION("""COMPUTED_VALUE"""),"Grand Tourane Hotel")</f>
        <v>Grand Tourane Hotel</v>
      </c>
      <c r="AB102" s="23" t="str">
        <f ca="1">IFERROR(__xludf.DUMMYFUNCTION("""COMPUTED_VALUE"""),"Nhà hàng")</f>
        <v>Nhà hàng</v>
      </c>
      <c r="AC102" s="23" t="str">
        <f ca="1">IFERROR(__xludf.DUMMYFUNCTION("""COMPUTED_VALUE"""),"ĐÃ NỘP")</f>
        <v>ĐÃ NỘP</v>
      </c>
      <c r="AD102" s="23"/>
      <c r="AE102" s="23" t="str">
        <f ca="1">IFERROR(__xludf.DUMMYFUNCTION("""COMPUTED_VALUE"""),"")</f>
        <v/>
      </c>
      <c r="AF102" s="23" t="str">
        <f ca="1">IFERROR(__xludf.DUMMYFUNCTION("""COMPUTED_VALUE"""),"không đủ điều kiện")</f>
        <v>không đủ điều kiện</v>
      </c>
      <c r="AG102" s="23"/>
    </row>
    <row r="103" spans="1:33" ht="12.75" x14ac:dyDescent="0.2">
      <c r="A103" s="26">
        <f ca="1">IFERROR(__xludf.DUMMYFUNCTION("""COMPUTED_VALUE"""),45677.6372175925)</f>
        <v>45677.637217592499</v>
      </c>
      <c r="B103" s="23" t="str">
        <f ca="1">IFERROR(__xludf.DUMMYFUNCTION("""COMPUTED_VALUE"""),"quan29092003@gmail.com")</f>
        <v>quan29092003@gmail.com</v>
      </c>
      <c r="C103" s="23">
        <f ca="1">IFERROR(__xludf.DUMMYFUNCTION("""COMPUTED_VALUE"""),27217139845)</f>
        <v>27217139845</v>
      </c>
      <c r="D103" s="23" t="str">
        <f ca="1">IFERROR(__xludf.DUMMYFUNCTION("""COMPUTED_VALUE"""),"Đặng Trần Minh Quân ")</f>
        <v xml:space="preserve">Đặng Trần Minh Quân </v>
      </c>
      <c r="E103" s="27">
        <f ca="1">IFERROR(__xludf.DUMMYFUNCTION("""COMPUTED_VALUE"""),37893)</f>
        <v>37893</v>
      </c>
      <c r="F103" s="23" t="str">
        <f ca="1">IFERROR(__xludf.DUMMYFUNCTION("""COMPUTED_VALUE"""),"K27DLK6")</f>
        <v>K27DLK6</v>
      </c>
      <c r="G103" s="23" t="str">
        <f ca="1">IFERROR(__xludf.DUMMYFUNCTION("""COMPUTED_VALUE"""),"Quản trị Du lịch &amp; Khách sạn")</f>
        <v>Quản trị Du lịch &amp; Khách sạn</v>
      </c>
      <c r="H103" s="23">
        <f ca="1">IFERROR(__xludf.DUMMYFUNCTION("""COMPUTED_VALUE"""),27)</f>
        <v>27</v>
      </c>
      <c r="I103" s="23" t="str">
        <f ca="1">IFERROR(__xludf.DUMMYFUNCTION("""COMPUTED_VALUE"""),"0926328637")</f>
        <v>0926328637</v>
      </c>
      <c r="J103" s="23" t="str">
        <f ca="1">IFERROR(__xludf.DUMMYFUNCTION("""COMPUTED_VALUE"""),"Chuyên đề")</f>
        <v>Chuyên đề</v>
      </c>
      <c r="K103" s="23" t="str">
        <f ca="1">IFERROR(__xludf.DUMMYFUNCTION("""COMPUTED_VALUE"""),"Grand Mercure Đà Nẵng")</f>
        <v>Grand Mercure Đà Nẵng</v>
      </c>
      <c r="L103" s="23"/>
      <c r="M103" s="23" t="str">
        <f ca="1">IFERROR(__xludf.DUMMYFUNCTION("""COMPUTED_VALUE"""),"Lô 1A Khu Biệt Thự Đảo Xanh ")</f>
        <v xml:space="preserve">Lô 1A Khu Biệt Thự Đảo Xanh </v>
      </c>
      <c r="N103" s="23" t="str">
        <f ca="1">IFERROR(__xludf.DUMMYFUNCTION("""COMPUTED_VALUE"""),"Thành Phố Đà Nẵng")</f>
        <v>Thành Phố Đà Nẵng</v>
      </c>
      <c r="O103" s="23" t="str">
        <f ca="1">IFERROR(__xludf.DUMMYFUNCTION("""COMPUTED_VALUE"""),"Nhà hàng")</f>
        <v>Nhà hàng</v>
      </c>
      <c r="P103" s="23"/>
      <c r="Q103" s="23" t="str">
        <f ca="1">IFERROR(__xludf.DUMMYFUNCTION("""COMPUTED_VALUE"""),"4/2/2025")</f>
        <v>4/2/2025</v>
      </c>
      <c r="R103" s="23" t="str">
        <f ca="1">IFERROR(__xludf.DUMMYFUNCTION("""COMPUTED_VALUE"""),"cam kết")</f>
        <v>cam kết</v>
      </c>
      <c r="S103" s="23" t="str">
        <f ca="1">IFERROR(__xludf.DUMMYFUNCTION("""COMPUTED_VALUE"""),"Chuyên đề")</f>
        <v>Chuyên đề</v>
      </c>
      <c r="T103" s="23" t="str">
        <f ca="1">IFERROR(__xludf.DUMMYFUNCTION("""COMPUTED_VALUE"""),"Phạm Thị Hoàng Dung")</f>
        <v>Phạm Thị Hoàng Dung</v>
      </c>
      <c r="U103" s="27">
        <f ca="1">IFERROR(__xludf.DUMMYFUNCTION("""COMPUTED_VALUE"""),45698)</f>
        <v>45698</v>
      </c>
      <c r="V103" s="27">
        <f ca="1">IFERROR(__xludf.DUMMYFUNCTION("""COMPUTED_VALUE"""),45787)</f>
        <v>45787</v>
      </c>
      <c r="W103" s="23">
        <f ca="1">IFERROR(__xludf.DUMMYFUNCTION("""COMPUTED_VALUE"""),102)</f>
        <v>102</v>
      </c>
      <c r="X103" s="28">
        <f ca="1">IFERROR(__xludf.DUMMYFUNCTION("""COMPUTED_VALUE"""),45779)</f>
        <v>45779</v>
      </c>
      <c r="Y103" s="23" t="str">
        <f ca="1">IFERROR(__xludf.DUMMYFUNCTION("""COMPUTED_VALUE"""),"DUYỆT")</f>
        <v>DUYỆT</v>
      </c>
      <c r="Z103" s="23" t="str">
        <f ca="1">IFERROR(__xludf.DUMMYFUNCTION("""COMPUTED_VALUE"""),"20/01/2025")</f>
        <v>20/01/2025</v>
      </c>
      <c r="AA103" s="23" t="str">
        <f ca="1">IFERROR(__xludf.DUMMYFUNCTION("""COMPUTED_VALUE"""),"Grand Mercure Đà Nẵng")</f>
        <v>Grand Mercure Đà Nẵng</v>
      </c>
      <c r="AB103" s="23" t="str">
        <f ca="1">IFERROR(__xludf.DUMMYFUNCTION("""COMPUTED_VALUE"""),"Nhà hàng")</f>
        <v>Nhà hàng</v>
      </c>
      <c r="AC103" s="23"/>
      <c r="AD103" s="23"/>
      <c r="AE103" s="23" t="str">
        <f ca="1">IFERROR(__xludf.DUMMYFUNCTION("""COMPUTED_VALUE"""),"")</f>
        <v/>
      </c>
      <c r="AF103" s="23" t="str">
        <f ca="1">IFERROR(__xludf.DUMMYFUNCTION("""COMPUTED_VALUE"""),"CHUYÊN ĐỀ")</f>
        <v>CHUYÊN ĐỀ</v>
      </c>
      <c r="AG103" s="23" t="str">
        <f ca="1">IFERROR(__xludf.DUMMYFUNCTION("""COMPUTED_VALUE"""),"Võ Đức Hiếu")</f>
        <v>Võ Đức Hiếu</v>
      </c>
    </row>
    <row r="104" spans="1:33" ht="12.75" x14ac:dyDescent="0.2">
      <c r="A104" s="26">
        <f ca="1">IFERROR(__xludf.DUMMYFUNCTION("""COMPUTED_VALUE"""),45677.7037345486)</f>
        <v>45677.703734548602</v>
      </c>
      <c r="B104" s="23" t="str">
        <f ca="1">IFERROR(__xludf.DUMMYFUNCTION("""COMPUTED_VALUE"""),"thaithuyvi0207@gmail.com")</f>
        <v>thaithuyvi0207@gmail.com</v>
      </c>
      <c r="C104" s="23">
        <f ca="1">IFERROR(__xludf.DUMMYFUNCTION("""COMPUTED_VALUE"""),27207140948)</f>
        <v>27207140948</v>
      </c>
      <c r="D104" s="23" t="str">
        <f ca="1">IFERROR(__xludf.DUMMYFUNCTION("""COMPUTED_VALUE"""),"Thái Thị Thuý Vi")</f>
        <v>Thái Thị Thuý Vi</v>
      </c>
      <c r="E104" s="27">
        <f ca="1">IFERROR(__xludf.DUMMYFUNCTION("""COMPUTED_VALUE"""),37930)</f>
        <v>37930</v>
      </c>
      <c r="F104" s="23" t="str">
        <f ca="1">IFERROR(__xludf.DUMMYFUNCTION("""COMPUTED_VALUE"""),"K27PSU-DLK2")</f>
        <v>K27PSU-DLK2</v>
      </c>
      <c r="G104" s="23" t="str">
        <f ca="1">IFERROR(__xludf.DUMMYFUNCTION("""COMPUTED_VALUE"""),"Quản trị Du lịch &amp; Khách sạn chuẩn PSU")</f>
        <v>Quản trị Du lịch &amp; Khách sạn chuẩn PSU</v>
      </c>
      <c r="H104" s="23">
        <f ca="1">IFERROR(__xludf.DUMMYFUNCTION("""COMPUTED_VALUE"""),27)</f>
        <v>27</v>
      </c>
      <c r="I104" s="23" t="str">
        <f ca="1">IFERROR(__xludf.DUMMYFUNCTION("""COMPUTED_VALUE"""),"0847660126")</f>
        <v>0847660126</v>
      </c>
      <c r="J104" s="23" t="str">
        <f ca="1">IFERROR(__xludf.DUMMYFUNCTION("""COMPUTED_VALUE"""),"Chuyên đề")</f>
        <v>Chuyên đề</v>
      </c>
      <c r="K104" s="23" t="str">
        <f ca="1">IFERROR(__xludf.DUMMYFUNCTION("""COMPUTED_VALUE"""),"Meliá Danang Beach Resort")</f>
        <v>Meliá Danang Beach Resort</v>
      </c>
      <c r="L104" s="23" t="str">
        <f ca="1">IFERROR(__xludf.DUMMYFUNCTION("""COMPUTED_VALUE"""),"Meliá Danang beach resort")</f>
        <v>Meliá Danang beach resort</v>
      </c>
      <c r="M104" s="23" t="str">
        <f ca="1">IFERROR(__xludf.DUMMYFUNCTION("""COMPUTED_VALUE"""),"19 Trường Sa, Hoà Hải, Ngũ Hành Sơn, Đà Nẵng")</f>
        <v>19 Trường Sa, Hoà Hải, Ngũ Hành Sơn, Đà Nẵng</v>
      </c>
      <c r="N104" s="23" t="str">
        <f ca="1">IFERROR(__xludf.DUMMYFUNCTION("""COMPUTED_VALUE"""),"Đà Nẵng")</f>
        <v>Đà Nẵng</v>
      </c>
      <c r="O104" s="23" t="str">
        <f ca="1">IFERROR(__xludf.DUMMYFUNCTION("""COMPUTED_VALUE"""),"Buồng phòng")</f>
        <v>Buồng phòng</v>
      </c>
      <c r="P104" s="23"/>
      <c r="Q104" s="23" t="str">
        <f ca="1">IFERROR(__xludf.DUMMYFUNCTION("""COMPUTED_VALUE"""),"20/01/2025")</f>
        <v>20/01/2025</v>
      </c>
      <c r="R104" s="23" t="str">
        <f ca="1">IFERROR(__xludf.DUMMYFUNCTION("""COMPUTED_VALUE"""),"cam kết")</f>
        <v>cam kết</v>
      </c>
      <c r="S104" s="23" t="str">
        <f ca="1">IFERROR(__xludf.DUMMYFUNCTION("""COMPUTED_VALUE"""),"Chuyên đề")</f>
        <v>Chuyên đề</v>
      </c>
      <c r="T104" s="23" t="str">
        <f ca="1">IFERROR(__xludf.DUMMYFUNCTION("""COMPUTED_VALUE"""),"Hồ Sử Minh Tài")</f>
        <v>Hồ Sử Minh Tài</v>
      </c>
      <c r="U104" s="27">
        <f ca="1">IFERROR(__xludf.DUMMYFUNCTION("""COMPUTED_VALUE"""),45699)</f>
        <v>45699</v>
      </c>
      <c r="V104" s="27">
        <f ca="1">IFERROR(__xludf.DUMMYFUNCTION("""COMPUTED_VALUE"""),45788)</f>
        <v>45788</v>
      </c>
      <c r="W104" s="23">
        <f ca="1">IFERROR(__xludf.DUMMYFUNCTION("""COMPUTED_VALUE"""),103)</f>
        <v>103</v>
      </c>
      <c r="X104" s="23" t="str">
        <f ca="1">IFERROR(__xludf.DUMMYFUNCTION("""COMPUTED_VALUE"""),"21/01/2025")</f>
        <v>21/01/2025</v>
      </c>
      <c r="Y104" s="23" t="str">
        <f ca="1">IFERROR(__xludf.DUMMYFUNCTION("""COMPUTED_VALUE"""),"DUYỆT")</f>
        <v>DUYỆT</v>
      </c>
      <c r="Z104" s="23" t="str">
        <f ca="1">IFERROR(__xludf.DUMMYFUNCTION("""COMPUTED_VALUE"""),"21/01/2025")</f>
        <v>21/01/2025</v>
      </c>
      <c r="AA104" s="23" t="str">
        <f ca="1">IFERROR(__xludf.DUMMYFUNCTION("""COMPUTED_VALUE"""),"Meliá Danang Beach Resort")</f>
        <v>Meliá Danang Beach Resort</v>
      </c>
      <c r="AB104" s="23" t="str">
        <f ca="1">IFERROR(__xludf.DUMMYFUNCTION("""COMPUTED_VALUE"""),"Buồng phòng")</f>
        <v>Buồng phòng</v>
      </c>
      <c r="AC104" s="23"/>
      <c r="AD104" s="23"/>
      <c r="AE104" s="23" t="str">
        <f ca="1">IFERROR(__xludf.DUMMYFUNCTION("""COMPUTED_VALUE"""),"")</f>
        <v/>
      </c>
      <c r="AF104" s="23" t="str">
        <f ca="1">IFERROR(__xludf.DUMMYFUNCTION("""COMPUTED_VALUE"""),"CHUYÊN ĐỀ")</f>
        <v>CHUYÊN ĐỀ</v>
      </c>
      <c r="AG104" s="23" t="str">
        <f ca="1">IFERROR(__xludf.DUMMYFUNCTION("""COMPUTED_VALUE"""),"Ngô Thị Thanh Nga")</f>
        <v>Ngô Thị Thanh Nga</v>
      </c>
    </row>
    <row r="105" spans="1:33" ht="12.75" x14ac:dyDescent="0.2">
      <c r="A105" s="26">
        <f ca="1">IFERROR(__xludf.DUMMYFUNCTION("""COMPUTED_VALUE"""),45677.7070126736)</f>
        <v>45677.7070126736</v>
      </c>
      <c r="B105" s="23" t="str">
        <f ca="1">IFERROR(__xludf.DUMMYFUNCTION("""COMPUTED_VALUE"""),"thuongthuong1682003@gmail.com")</f>
        <v>thuongthuong1682003@gmail.com</v>
      </c>
      <c r="C105" s="23">
        <f ca="1">IFERROR(__xludf.DUMMYFUNCTION("""COMPUTED_VALUE"""),27207128839)</f>
        <v>27207128839</v>
      </c>
      <c r="D105" s="23" t="str">
        <f ca="1">IFERROR(__xludf.DUMMYFUNCTION("""COMPUTED_VALUE"""),"Nguyễn Thị Thu Thương")</f>
        <v>Nguyễn Thị Thu Thương</v>
      </c>
      <c r="E105" s="27">
        <f ca="1">IFERROR(__xludf.DUMMYFUNCTION("""COMPUTED_VALUE"""),37849)</f>
        <v>37849</v>
      </c>
      <c r="F105" s="23" t="str">
        <f ca="1">IFERROR(__xludf.DUMMYFUNCTION("""COMPUTED_VALUE"""),"K27DLK 4")</f>
        <v>K27DLK 4</v>
      </c>
      <c r="G105" s="23" t="str">
        <f ca="1">IFERROR(__xludf.DUMMYFUNCTION("""COMPUTED_VALUE"""),"Quản trị Du lịch &amp; Khách sạn")</f>
        <v>Quản trị Du lịch &amp; Khách sạn</v>
      </c>
      <c r="H105" s="23">
        <f ca="1">IFERROR(__xludf.DUMMYFUNCTION("""COMPUTED_VALUE"""),27)</f>
        <v>27</v>
      </c>
      <c r="I105" s="23" t="str">
        <f ca="1">IFERROR(__xludf.DUMMYFUNCTION("""COMPUTED_VALUE"""),"0795598551")</f>
        <v>0795598551</v>
      </c>
      <c r="J105" s="23" t="str">
        <f ca="1">IFERROR(__xludf.DUMMYFUNCTION("""COMPUTED_VALUE"""),"Chuyên đề")</f>
        <v>Chuyên đề</v>
      </c>
      <c r="K105" s="23" t="str">
        <f ca="1">IFERROR(__xludf.DUMMYFUNCTION("""COMPUTED_VALUE"""),"Vanda Hotel")</f>
        <v>Vanda Hotel</v>
      </c>
      <c r="L105" s="23"/>
      <c r="M105" s="23" t="str">
        <f ca="1">IFERROR(__xludf.DUMMYFUNCTION("""COMPUTED_VALUE"""),"03 Nguyễn Văn Linh")</f>
        <v>03 Nguyễn Văn Linh</v>
      </c>
      <c r="N105" s="23" t="str">
        <f ca="1">IFERROR(__xludf.DUMMYFUNCTION("""COMPUTED_VALUE"""),"Đà Nẵng")</f>
        <v>Đà Nẵng</v>
      </c>
      <c r="O105" s="23" t="str">
        <f ca="1">IFERROR(__xludf.DUMMYFUNCTION("""COMPUTED_VALUE"""),"Nhà hàng")</f>
        <v>Nhà hàng</v>
      </c>
      <c r="P105" s="23"/>
      <c r="Q105" s="23" t="str">
        <f ca="1">IFERROR(__xludf.DUMMYFUNCTION("""COMPUTED_VALUE"""),"20/01/2025")</f>
        <v>20/01/2025</v>
      </c>
      <c r="R105" s="23" t="str">
        <f ca="1">IFERROR(__xludf.DUMMYFUNCTION("""COMPUTED_VALUE"""),"cam kết")</f>
        <v>cam kết</v>
      </c>
      <c r="S105" s="23" t="str">
        <f ca="1">IFERROR(__xludf.DUMMYFUNCTION("""COMPUTED_VALUE"""),"Chuyên đề")</f>
        <v>Chuyên đề</v>
      </c>
      <c r="T105" s="23"/>
      <c r="U105" s="27">
        <f ca="1">IFERROR(__xludf.DUMMYFUNCTION("""COMPUTED_VALUE"""),45698)</f>
        <v>45698</v>
      </c>
      <c r="V105" s="27">
        <f ca="1">IFERROR(__xludf.DUMMYFUNCTION("""COMPUTED_VALUE"""),45787)</f>
        <v>45787</v>
      </c>
      <c r="W105" s="23">
        <f ca="1">IFERROR(__xludf.DUMMYFUNCTION("""COMPUTED_VALUE"""),104)</f>
        <v>104</v>
      </c>
      <c r="X105" s="23" t="str">
        <f ca="1">IFERROR(__xludf.DUMMYFUNCTION("""COMPUTED_VALUE"""),"21/01/2025")</f>
        <v>21/01/2025</v>
      </c>
      <c r="Y105" s="23" t="str">
        <f ca="1">IFERROR(__xludf.DUMMYFUNCTION("""COMPUTED_VALUE"""),"DUYỆT")</f>
        <v>DUYỆT</v>
      </c>
      <c r="Z105" s="23" t="str">
        <f ca="1">IFERROR(__xludf.DUMMYFUNCTION("""COMPUTED_VALUE"""),"21/01/2025")</f>
        <v>21/01/2025</v>
      </c>
      <c r="AA105" s="23" t="str">
        <f ca="1">IFERROR(__xludf.DUMMYFUNCTION("""COMPUTED_VALUE"""),"Vanda Hotel")</f>
        <v>Vanda Hotel</v>
      </c>
      <c r="AB105" s="23" t="str">
        <f ca="1">IFERROR(__xludf.DUMMYFUNCTION("""COMPUTED_VALUE"""),"Nhà hàng")</f>
        <v>Nhà hàng</v>
      </c>
      <c r="AC105" s="23"/>
      <c r="AD105" s="23"/>
      <c r="AE105" s="23" t="str">
        <f ca="1">IFERROR(__xludf.DUMMYFUNCTION("""COMPUTED_VALUE"""),"")</f>
        <v/>
      </c>
      <c r="AF105" s="23" t="str">
        <f ca="1">IFERROR(__xludf.DUMMYFUNCTION("""COMPUTED_VALUE"""),"CHUYÊN ĐỀ")</f>
        <v>CHUYÊN ĐỀ</v>
      </c>
      <c r="AG105" s="23" t="str">
        <f ca="1">IFERROR(__xludf.DUMMYFUNCTION("""COMPUTED_VALUE"""),"Phan Thị Hồng Hải")</f>
        <v>Phan Thị Hồng Hải</v>
      </c>
    </row>
    <row r="106" spans="1:33" ht="12.75" x14ac:dyDescent="0.2">
      <c r="A106" s="26">
        <f ca="1">IFERROR(__xludf.DUMMYFUNCTION("""COMPUTED_VALUE"""),45677.9309643171)</f>
        <v>45677.9309643171</v>
      </c>
      <c r="B106" s="23" t="str">
        <f ca="1">IFERROR(__xludf.DUMMYFUNCTION("""COMPUTED_VALUE"""),"linhnguyentruc2424@gmail.com")</f>
        <v>linhnguyentruc2424@gmail.com</v>
      </c>
      <c r="C106" s="23">
        <f ca="1">IFERROR(__xludf.DUMMYFUNCTION("""COMPUTED_VALUE"""),26207133639)</f>
        <v>26207133639</v>
      </c>
      <c r="D106" s="23" t="str">
        <f ca="1">IFERROR(__xludf.DUMMYFUNCTION("""COMPUTED_VALUE"""),"Nguyễn Trúc Linh")</f>
        <v>Nguyễn Trúc Linh</v>
      </c>
      <c r="E106" s="27">
        <f ca="1">IFERROR(__xludf.DUMMYFUNCTION("""COMPUTED_VALUE"""),37400)</f>
        <v>37400</v>
      </c>
      <c r="F106" s="23" t="str">
        <f ca="1">IFERROR(__xludf.DUMMYFUNCTION("""COMPUTED_VALUE"""),"K26DLK13")</f>
        <v>K26DLK13</v>
      </c>
      <c r="G106" s="23" t="str">
        <f ca="1">IFERROR(__xludf.DUMMYFUNCTION("""COMPUTED_VALUE"""),"Quản trị Du lịch &amp; Khách sạn")</f>
        <v>Quản trị Du lịch &amp; Khách sạn</v>
      </c>
      <c r="H106" s="23">
        <f ca="1">IFERROR(__xludf.DUMMYFUNCTION("""COMPUTED_VALUE"""),26)</f>
        <v>26</v>
      </c>
      <c r="I106" s="23" t="str">
        <f ca="1">IFERROR(__xludf.DUMMYFUNCTION("""COMPUTED_VALUE"""),"0378634540")</f>
        <v>0378634540</v>
      </c>
      <c r="J106" s="23" t="str">
        <f ca="1">IFERROR(__xludf.DUMMYFUNCTION("""COMPUTED_VALUE"""),"Chuyên đề")</f>
        <v>Chuyên đề</v>
      </c>
      <c r="K106" s="23" t="str">
        <f ca="1">IFERROR(__xludf.DUMMYFUNCTION("""COMPUTED_VALUE"""),"New Orient Hotel Đà Nẵng")</f>
        <v>New Orient Hotel Đà Nẵng</v>
      </c>
      <c r="L106" s="23"/>
      <c r="M106" s="23" t="str">
        <f ca="1">IFERROR(__xludf.DUMMYFUNCTION("""COMPUTED_VALUE"""),"20 Đống Đa, Thuận Phước, Hải Châu, Đà Nẵng")</f>
        <v>20 Đống Đa, Thuận Phước, Hải Châu, Đà Nẵng</v>
      </c>
      <c r="N106" s="23" t="str">
        <f ca="1">IFERROR(__xludf.DUMMYFUNCTION("""COMPUTED_VALUE"""),"Đà Nẵng")</f>
        <v>Đà Nẵng</v>
      </c>
      <c r="O106" s="23" t="str">
        <f ca="1">IFERROR(__xludf.DUMMYFUNCTION("""COMPUTED_VALUE"""),"Buồng phòng")</f>
        <v>Buồng phòng</v>
      </c>
      <c r="P106" s="23"/>
      <c r="Q106" s="23" t="str">
        <f ca="1">IFERROR(__xludf.DUMMYFUNCTION("""COMPUTED_VALUE"""),"20/01/2025")</f>
        <v>20/01/2025</v>
      </c>
      <c r="R106" s="23" t="str">
        <f ca="1">IFERROR(__xludf.DUMMYFUNCTION("""COMPUTED_VALUE"""),"cam kết")</f>
        <v>cam kết</v>
      </c>
      <c r="S106" s="23" t="str">
        <f ca="1">IFERROR(__xludf.DUMMYFUNCTION("""COMPUTED_VALUE"""),"Chuyên đề")</f>
        <v>Chuyên đề</v>
      </c>
      <c r="T106" s="23" t="str">
        <f ca="1">IFERROR(__xludf.DUMMYFUNCTION("""COMPUTED_VALUE"""),"Phạm Thị Thu Thủy")</f>
        <v>Phạm Thị Thu Thủy</v>
      </c>
      <c r="U106" s="27">
        <f ca="1">IFERROR(__xludf.DUMMYFUNCTION("""COMPUTED_VALUE"""),45698)</f>
        <v>45698</v>
      </c>
      <c r="V106" s="27">
        <f ca="1">IFERROR(__xludf.DUMMYFUNCTION("""COMPUTED_VALUE"""),45787)</f>
        <v>45787</v>
      </c>
      <c r="W106" s="23">
        <f ca="1">IFERROR(__xludf.DUMMYFUNCTION("""COMPUTED_VALUE"""),105)</f>
        <v>105</v>
      </c>
      <c r="X106" s="23" t="str">
        <f ca="1">IFERROR(__xludf.DUMMYFUNCTION("""COMPUTED_VALUE"""),"21/01/2025")</f>
        <v>21/01/2025</v>
      </c>
      <c r="Y106" s="23" t="str">
        <f ca="1">IFERROR(__xludf.DUMMYFUNCTION("""COMPUTED_VALUE"""),"DUYỆT")</f>
        <v>DUYỆT</v>
      </c>
      <c r="Z106" s="23" t="str">
        <f ca="1">IFERROR(__xludf.DUMMYFUNCTION("""COMPUTED_VALUE"""),"21/01/2025")</f>
        <v>21/01/2025</v>
      </c>
      <c r="AA106" s="23" t="str">
        <f ca="1">IFERROR(__xludf.DUMMYFUNCTION("""COMPUTED_VALUE"""),"New Orient Hotel Đà Nẵng")</f>
        <v>New Orient Hotel Đà Nẵng</v>
      </c>
      <c r="AB106" s="23" t="str">
        <f ca="1">IFERROR(__xludf.DUMMYFUNCTION("""COMPUTED_VALUE"""),"Buồng phòng")</f>
        <v>Buồng phòng</v>
      </c>
      <c r="AC106" s="23" t="str">
        <f ca="1">IFERROR(__xludf.DUMMYFUNCTION("""COMPUTED_VALUE"""),"ĐÃ NỘP")</f>
        <v>ĐÃ NỘP</v>
      </c>
      <c r="AD106" s="23"/>
      <c r="AE106" s="23" t="str">
        <f ca="1">IFERROR(__xludf.DUMMYFUNCTION("""COMPUTED_VALUE"""),"")</f>
        <v/>
      </c>
      <c r="AF106" s="23" t="str">
        <f ca="1">IFERROR(__xludf.DUMMYFUNCTION("""COMPUTED_VALUE"""),"CHUYÊN ĐỀ")</f>
        <v>CHUYÊN ĐỀ</v>
      </c>
      <c r="AG106" s="23" t="str">
        <f ca="1">IFERROR(__xludf.DUMMYFUNCTION("""COMPUTED_VALUE"""),"Ngô Thị Thanh Nga")</f>
        <v>Ngô Thị Thanh Nga</v>
      </c>
    </row>
    <row r="107" spans="1:33" ht="12.75" x14ac:dyDescent="0.2">
      <c r="A107" s="26">
        <f ca="1">IFERROR(__xludf.DUMMYFUNCTION("""COMPUTED_VALUE"""),45679.7220197916)</f>
        <v>45679.722019791603</v>
      </c>
      <c r="B107" s="23" t="str">
        <f ca="1">IFERROR(__xludf.DUMMYFUNCTION("""COMPUTED_VALUE"""),"luuvhamy@dtu.edu.vn")</f>
        <v>luuvhamy@dtu.edu.vn</v>
      </c>
      <c r="C107" s="23">
        <f ca="1">IFERROR(__xludf.DUMMYFUNCTION("""COMPUTED_VALUE"""),27213324100)</f>
        <v>27213324100</v>
      </c>
      <c r="D107" s="23" t="str">
        <f ca="1">IFERROR(__xludf.DUMMYFUNCTION("""COMPUTED_VALUE"""),"Lưu Vương Hà My")</f>
        <v>Lưu Vương Hà My</v>
      </c>
      <c r="E107" s="27">
        <f ca="1">IFERROR(__xludf.DUMMYFUNCTION("""COMPUTED_VALUE"""),37826)</f>
        <v>37826</v>
      </c>
      <c r="F107" s="23" t="str">
        <f ca="1">IFERROR(__xludf.DUMMYFUNCTION("""COMPUTED_VALUE"""),"K27DLK 7")</f>
        <v>K27DLK 7</v>
      </c>
      <c r="G107" s="23" t="str">
        <f ca="1">IFERROR(__xludf.DUMMYFUNCTION("""COMPUTED_VALUE"""),"Quản trị Du lịch &amp; Khách sạn")</f>
        <v>Quản trị Du lịch &amp; Khách sạn</v>
      </c>
      <c r="H107" s="23">
        <f ca="1">IFERROR(__xludf.DUMMYFUNCTION("""COMPUTED_VALUE"""),27)</f>
        <v>27</v>
      </c>
      <c r="I107" s="23" t="str">
        <f ca="1">IFERROR(__xludf.DUMMYFUNCTION("""COMPUTED_VALUE"""),"0359829347")</f>
        <v>0359829347</v>
      </c>
      <c r="J107" s="23" t="str">
        <f ca="1">IFERROR(__xludf.DUMMYFUNCTION("""COMPUTED_VALUE"""),"Chuyên đề")</f>
        <v>Chuyên đề</v>
      </c>
      <c r="K107" s="23" t="str">
        <f ca="1">IFERROR(__xludf.DUMMYFUNCTION("""COMPUTED_VALUE"""),"Khách sạn Shilla Monogram Quangnam Danang")</f>
        <v>Khách sạn Shilla Monogram Quangnam Danang</v>
      </c>
      <c r="L107" s="23"/>
      <c r="M107" s="23" t="str">
        <f ca="1">IFERROR(__xludf.DUMMYFUNCTION("""COMPUTED_VALUE"""),"Lạc Long Quân, phường Điện Ngọc, thị xã Điện Bàn, tỉnh Quảng Nam, Việt Nam")</f>
        <v>Lạc Long Quân, phường Điện Ngọc, thị xã Điện Bàn, tỉnh Quảng Nam, Việt Nam</v>
      </c>
      <c r="N107" s="23" t="str">
        <f ca="1">IFERROR(__xludf.DUMMYFUNCTION("""COMPUTED_VALUE"""),"Quảng Nam")</f>
        <v>Quảng Nam</v>
      </c>
      <c r="O107" s="23" t="str">
        <f ca="1">IFERROR(__xludf.DUMMYFUNCTION("""COMPUTED_VALUE"""),"Nhà hàng")</f>
        <v>Nhà hàng</v>
      </c>
      <c r="P107" s="23"/>
      <c r="Q107" s="23" t="str">
        <f ca="1">IFERROR(__xludf.DUMMYFUNCTION("""COMPUTED_VALUE"""),"20/01/2025")</f>
        <v>20/01/2025</v>
      </c>
      <c r="R107" s="23" t="str">
        <f ca="1">IFERROR(__xludf.DUMMYFUNCTION("""COMPUTED_VALUE"""),"cam kết")</f>
        <v>cam kết</v>
      </c>
      <c r="S107" s="23" t="str">
        <f ca="1">IFERROR(__xludf.DUMMYFUNCTION("""COMPUTED_VALUE"""),"Chuyên đề")</f>
        <v>Chuyên đề</v>
      </c>
      <c r="T107" s="23"/>
      <c r="U107" s="27">
        <f ca="1">IFERROR(__xludf.DUMMYFUNCTION("""COMPUTED_VALUE"""),45698)</f>
        <v>45698</v>
      </c>
      <c r="V107" s="27">
        <f ca="1">IFERROR(__xludf.DUMMYFUNCTION("""COMPUTED_VALUE"""),45787)</f>
        <v>45787</v>
      </c>
      <c r="W107" s="23">
        <f ca="1">IFERROR(__xludf.DUMMYFUNCTION("""COMPUTED_VALUE"""),106)</f>
        <v>106</v>
      </c>
      <c r="X107" s="23" t="str">
        <f ca="1">IFERROR(__xludf.DUMMYFUNCTION("""COMPUTED_VALUE"""),"21/01/2025")</f>
        <v>21/01/2025</v>
      </c>
      <c r="Y107" s="23" t="str">
        <f ca="1">IFERROR(__xludf.DUMMYFUNCTION("""COMPUTED_VALUE"""),"DUYỆT")</f>
        <v>DUYỆT</v>
      </c>
      <c r="Z107" s="23" t="str">
        <f ca="1">IFERROR(__xludf.DUMMYFUNCTION("""COMPUTED_VALUE"""),"21/01/2025")</f>
        <v>21/01/2025</v>
      </c>
      <c r="AA107" s="23" t="str">
        <f ca="1">IFERROR(__xludf.DUMMYFUNCTION("""COMPUTED_VALUE"""),"Khách sạn Shilla Monogram Quangnam Danang")</f>
        <v>Khách sạn Shilla Monogram Quangnam Danang</v>
      </c>
      <c r="AB107" s="23" t="str">
        <f ca="1">IFERROR(__xludf.DUMMYFUNCTION("""COMPUTED_VALUE"""),"Nhà hàng")</f>
        <v>Nhà hàng</v>
      </c>
      <c r="AC107" s="23"/>
      <c r="AD107" s="23" t="str">
        <f ca="1">IFERROR(__xludf.DUMMYFUNCTION("""COMPUTED_VALUE"""),"sinh viên phải đảm bảo ko quá 5sv/nhà hàng")</f>
        <v>sinh viên phải đảm bảo ko quá 5sv/nhà hàng</v>
      </c>
      <c r="AE107" s="23" t="str">
        <f ca="1">IFERROR(__xludf.DUMMYFUNCTION("""COMPUTED_VALUE"""),"")</f>
        <v/>
      </c>
      <c r="AF107" s="23" t="str">
        <f ca="1">IFERROR(__xludf.DUMMYFUNCTION("""COMPUTED_VALUE"""),"CHUYÊN ĐỀ")</f>
        <v>CHUYÊN ĐỀ</v>
      </c>
      <c r="AG107" s="23" t="str">
        <f ca="1">IFERROR(__xludf.DUMMYFUNCTION("""COMPUTED_VALUE"""),"Đặng Thị Thùy Trang")</f>
        <v>Đặng Thị Thùy Trang</v>
      </c>
    </row>
    <row r="108" spans="1:33" ht="12.75" x14ac:dyDescent="0.2">
      <c r="A108" s="26">
        <f ca="1">IFERROR(__xludf.DUMMYFUNCTION("""COMPUTED_VALUE"""),45697.9041727546)</f>
        <v>45697.904172754599</v>
      </c>
      <c r="B108" s="23" t="str">
        <f ca="1">IFERROR(__xludf.DUMMYFUNCTION("""COMPUTED_VALUE"""),"vanlai01032003@gmail.com")</f>
        <v>vanlai01032003@gmail.com</v>
      </c>
      <c r="C108" s="23">
        <f ca="1">IFERROR(__xludf.DUMMYFUNCTION("""COMPUTED_VALUE"""),27217131784)</f>
        <v>27217131784</v>
      </c>
      <c r="D108" s="23" t="str">
        <f ca="1">IFERROR(__xludf.DUMMYFUNCTION("""COMPUTED_VALUE"""),"Đoàn Văn Lại")</f>
        <v>Đoàn Văn Lại</v>
      </c>
      <c r="E108" s="27">
        <f ca="1">IFERROR(__xludf.DUMMYFUNCTION("""COMPUTED_VALUE"""),37681)</f>
        <v>37681</v>
      </c>
      <c r="F108" s="23" t="str">
        <f ca="1">IFERROR(__xludf.DUMMYFUNCTION("""COMPUTED_VALUE"""),"K27DLK4")</f>
        <v>K27DLK4</v>
      </c>
      <c r="G108" s="23" t="str">
        <f ca="1">IFERROR(__xludf.DUMMYFUNCTION("""COMPUTED_VALUE"""),"Quản trị Du lịch &amp; Khách sạn")</f>
        <v>Quản trị Du lịch &amp; Khách sạn</v>
      </c>
      <c r="H108" s="23">
        <f ca="1">IFERROR(__xludf.DUMMYFUNCTION("""COMPUTED_VALUE"""),27)</f>
        <v>27</v>
      </c>
      <c r="I108" s="23" t="str">
        <f ca="1">IFERROR(__xludf.DUMMYFUNCTION("""COMPUTED_VALUE"""),"0373603420")</f>
        <v>0373603420</v>
      </c>
      <c r="J108" s="23" t="str">
        <f ca="1">IFERROR(__xludf.DUMMYFUNCTION("""COMPUTED_VALUE"""),"Chuyên đề")</f>
        <v>Chuyên đề</v>
      </c>
      <c r="K108" s="23" t="str">
        <f ca="1">IFERROR(__xludf.DUMMYFUNCTION("""COMPUTED_VALUE"""),"Grand Tourane Hotel")</f>
        <v>Grand Tourane Hotel</v>
      </c>
      <c r="L108" s="23"/>
      <c r="M108" s="23" t="str">
        <f ca="1">IFERROR(__xludf.DUMMYFUNCTION("""COMPUTED_VALUE"""),"252 Võ Nguyên Giáp, Phường Phước Mỹ, Quận Sơn Trà, Thành phố Đà Nẵng")</f>
        <v>252 Võ Nguyên Giáp, Phường Phước Mỹ, Quận Sơn Trà, Thành phố Đà Nẵng</v>
      </c>
      <c r="N108" s="23" t="str">
        <f ca="1">IFERROR(__xludf.DUMMYFUNCTION("""COMPUTED_VALUE"""),"Đà Nẵng")</f>
        <v>Đà Nẵng</v>
      </c>
      <c r="O108" s="23" t="str">
        <f ca="1">IFERROR(__xludf.DUMMYFUNCTION("""COMPUTED_VALUE"""),"Nhà hàng")</f>
        <v>Nhà hàng</v>
      </c>
      <c r="P108" s="23"/>
      <c r="Q108" s="23" t="str">
        <f ca="1">IFERROR(__xludf.DUMMYFUNCTION("""COMPUTED_VALUE"""),"21/01/2025")</f>
        <v>21/01/2025</v>
      </c>
      <c r="R108" s="23" t="str">
        <f ca="1">IFERROR(__xludf.DUMMYFUNCTION("""COMPUTED_VALUE"""),"cam kết")</f>
        <v>cam kết</v>
      </c>
      <c r="S108" s="23" t="str">
        <f ca="1">IFERROR(__xludf.DUMMYFUNCTION("""COMPUTED_VALUE"""),"Chuyên đề")</f>
        <v>Chuyên đề</v>
      </c>
      <c r="T108" s="23" t="str">
        <f ca="1">IFERROR(__xludf.DUMMYFUNCTION("""COMPUTED_VALUE"""),"Mai Thị Thương")</f>
        <v>Mai Thị Thương</v>
      </c>
      <c r="U108" s="27">
        <f ca="1">IFERROR(__xludf.DUMMYFUNCTION("""COMPUTED_VALUE"""),45698)</f>
        <v>45698</v>
      </c>
      <c r="V108" s="27">
        <f ca="1">IFERROR(__xludf.DUMMYFUNCTION("""COMPUTED_VALUE"""),45787)</f>
        <v>45787</v>
      </c>
      <c r="W108" s="23">
        <f ca="1">IFERROR(__xludf.DUMMYFUNCTION("""COMPUTED_VALUE"""),107)</f>
        <v>107</v>
      </c>
      <c r="X108" s="23" t="str">
        <f ca="1">IFERROR(__xludf.DUMMYFUNCTION("""COMPUTED_VALUE"""),"21/01/2025")</f>
        <v>21/01/2025</v>
      </c>
      <c r="Y108" s="23" t="str">
        <f ca="1">IFERROR(__xludf.DUMMYFUNCTION("""COMPUTED_VALUE"""),"DUYỆT")</f>
        <v>DUYỆT</v>
      </c>
      <c r="Z108" s="23" t="str">
        <f ca="1">IFERROR(__xludf.DUMMYFUNCTION("""COMPUTED_VALUE"""),"21/01/2025")</f>
        <v>21/01/2025</v>
      </c>
      <c r="AA108" s="23" t="str">
        <f ca="1">IFERROR(__xludf.DUMMYFUNCTION("""COMPUTED_VALUE"""),"Grand Tourane Hotel")</f>
        <v>Grand Tourane Hotel</v>
      </c>
      <c r="AB108" s="23" t="str">
        <f ca="1">IFERROR(__xludf.DUMMYFUNCTION("""COMPUTED_VALUE"""),"Nhà hàng")</f>
        <v>Nhà hàng</v>
      </c>
      <c r="AC108" s="23"/>
      <c r="AD108" s="23"/>
      <c r="AE108" s="23" t="str">
        <f ca="1">IFERROR(__xludf.DUMMYFUNCTION("""COMPUTED_VALUE"""),"")</f>
        <v/>
      </c>
      <c r="AF108" s="23" t="str">
        <f ca="1">IFERROR(__xludf.DUMMYFUNCTION("""COMPUTED_VALUE"""),"CHUYÊN ĐỀ")</f>
        <v>CHUYÊN ĐỀ</v>
      </c>
      <c r="AG108" s="23" t="str">
        <f ca="1">IFERROR(__xludf.DUMMYFUNCTION("""COMPUTED_VALUE"""),"Phan Thị Hồng Hải")</f>
        <v>Phan Thị Hồng Hải</v>
      </c>
    </row>
    <row r="109" spans="1:33" ht="12.75" x14ac:dyDescent="0.2">
      <c r="A109" s="26">
        <f ca="1">IFERROR(__xludf.DUMMYFUNCTION("""COMPUTED_VALUE"""),45691.7072717245)</f>
        <v>45691.707271724503</v>
      </c>
      <c r="B109" s="23" t="str">
        <f ca="1">IFERROR(__xludf.DUMMYFUNCTION("""COMPUTED_VALUE"""),"trankhang232003@gmail.com")</f>
        <v>trankhang232003@gmail.com</v>
      </c>
      <c r="C109" s="23">
        <f ca="1">IFERROR(__xludf.DUMMYFUNCTION("""COMPUTED_VALUE"""),27217134003)</f>
        <v>27217134003</v>
      </c>
      <c r="D109" s="23" t="str">
        <f ca="1">IFERROR(__xludf.DUMMYFUNCTION("""COMPUTED_VALUE"""),"Trần Dỉnh Khang")</f>
        <v>Trần Dỉnh Khang</v>
      </c>
      <c r="E109" s="27">
        <f ca="1">IFERROR(__xludf.DUMMYFUNCTION("""COMPUTED_VALUE"""),37682)</f>
        <v>37682</v>
      </c>
      <c r="F109" s="23" t="str">
        <f ca="1">IFERROR(__xludf.DUMMYFUNCTION("""COMPUTED_VALUE"""),"K27DLK1")</f>
        <v>K27DLK1</v>
      </c>
      <c r="G109" s="23" t="str">
        <f ca="1">IFERROR(__xludf.DUMMYFUNCTION("""COMPUTED_VALUE"""),"Quản trị Du lịch &amp; Khách sạn")</f>
        <v>Quản trị Du lịch &amp; Khách sạn</v>
      </c>
      <c r="H109" s="23">
        <f ca="1">IFERROR(__xludf.DUMMYFUNCTION("""COMPUTED_VALUE"""),27)</f>
        <v>27</v>
      </c>
      <c r="I109" s="23" t="str">
        <f ca="1">IFERROR(__xludf.DUMMYFUNCTION("""COMPUTED_VALUE"""),"0905655972")</f>
        <v>0905655972</v>
      </c>
      <c r="J109" s="23" t="str">
        <f ca="1">IFERROR(__xludf.DUMMYFUNCTION("""COMPUTED_VALUE"""),"Chuyên đề")</f>
        <v>Chuyên đề</v>
      </c>
      <c r="K109" s="23" t="str">
        <f ca="1">IFERROR(__xludf.DUMMYFUNCTION("""COMPUTED_VALUE"""),"Novotel DaNang Premier Han River")</f>
        <v>Novotel DaNang Premier Han River</v>
      </c>
      <c r="L109" s="23"/>
      <c r="M109" s="23" t="str">
        <f ca="1">IFERROR(__xludf.DUMMYFUNCTION("""COMPUTED_VALUE"""),"36 Bạch Đằng, quận Hải Châu, Thành Phố Đà Nẵng")</f>
        <v>36 Bạch Đằng, quận Hải Châu, Thành Phố Đà Nẵng</v>
      </c>
      <c r="N109" s="23" t="str">
        <f ca="1">IFERROR(__xludf.DUMMYFUNCTION("""COMPUTED_VALUE"""),"Đà Nẵng")</f>
        <v>Đà Nẵng</v>
      </c>
      <c r="O109" s="23" t="str">
        <f ca="1">IFERROR(__xludf.DUMMYFUNCTION("""COMPUTED_VALUE"""),"Buồng phòng")</f>
        <v>Buồng phòng</v>
      </c>
      <c r="P109" s="23"/>
      <c r="Q109" s="23" t="str">
        <f ca="1">IFERROR(__xludf.DUMMYFUNCTION("""COMPUTED_VALUE"""),"04/02/2025")</f>
        <v>04/02/2025</v>
      </c>
      <c r="R109" s="23" t="str">
        <f ca="1">IFERROR(__xludf.DUMMYFUNCTION("""COMPUTED_VALUE"""),"cam kết")</f>
        <v>cam kết</v>
      </c>
      <c r="S109" s="23" t="str">
        <f ca="1">IFERROR(__xludf.DUMMYFUNCTION("""COMPUTED_VALUE"""),"Chuyên đề")</f>
        <v>Chuyên đề</v>
      </c>
      <c r="T109" s="23"/>
      <c r="U109" s="27">
        <f ca="1">IFERROR(__xludf.DUMMYFUNCTION("""COMPUTED_VALUE"""),45698)</f>
        <v>45698</v>
      </c>
      <c r="V109" s="27">
        <f ca="1">IFERROR(__xludf.DUMMYFUNCTION("""COMPUTED_VALUE"""),45787)</f>
        <v>45787</v>
      </c>
      <c r="W109" s="23">
        <f ca="1">IFERROR(__xludf.DUMMYFUNCTION("""COMPUTED_VALUE"""),108)</f>
        <v>108</v>
      </c>
      <c r="X109" s="28">
        <f ca="1">IFERROR(__xludf.DUMMYFUNCTION("""COMPUTED_VALUE"""),45779)</f>
        <v>45779</v>
      </c>
      <c r="Y109" s="23" t="str">
        <f ca="1">IFERROR(__xludf.DUMMYFUNCTION("""COMPUTED_VALUE"""),"DUYỆT")</f>
        <v>DUYỆT</v>
      </c>
      <c r="Z109" s="23" t="str">
        <f ca="1">IFERROR(__xludf.DUMMYFUNCTION("""COMPUTED_VALUE"""),"21/01/2025")</f>
        <v>21/01/2025</v>
      </c>
      <c r="AA109" s="23" t="str">
        <f ca="1">IFERROR(__xludf.DUMMYFUNCTION("""COMPUTED_VALUE"""),"Novotel DaNang Premier Han River")</f>
        <v>Novotel DaNang Premier Han River</v>
      </c>
      <c r="AB109" s="23" t="str">
        <f ca="1">IFERROR(__xludf.DUMMYFUNCTION("""COMPUTED_VALUE"""),"Buồng phòng")</f>
        <v>Buồng phòng</v>
      </c>
      <c r="AC109" s="23"/>
      <c r="AD109" s="23"/>
      <c r="AE109" s="23" t="str">
        <f ca="1">IFERROR(__xludf.DUMMYFUNCTION("""COMPUTED_VALUE"""),"")</f>
        <v/>
      </c>
      <c r="AF109" s="23" t="str">
        <f ca="1">IFERROR(__xludf.DUMMYFUNCTION("""COMPUTED_VALUE"""),"CHUYÊN ĐỀ")</f>
        <v>CHUYÊN ĐỀ</v>
      </c>
      <c r="AG109" s="23" t="str">
        <f ca="1">IFERROR(__xludf.DUMMYFUNCTION("""COMPUTED_VALUE"""),"Nguyễn Thị Minh Thư")</f>
        <v>Nguyễn Thị Minh Thư</v>
      </c>
    </row>
    <row r="110" spans="1:33" ht="12.75" x14ac:dyDescent="0.2">
      <c r="A110" s="26">
        <f ca="1">IFERROR(__xludf.DUMMYFUNCTION("""COMPUTED_VALUE"""),45678.6751217013)</f>
        <v>45678.675121701301</v>
      </c>
      <c r="B110" s="23" t="str">
        <f ca="1">IFERROR(__xludf.DUMMYFUNCTION("""COMPUTED_VALUE"""),"btphnga1523@gmail.com")</f>
        <v>btphnga1523@gmail.com</v>
      </c>
      <c r="C110" s="23">
        <f ca="1">IFERROR(__xludf.DUMMYFUNCTION("""COMPUTED_VALUE"""),27207140573)</f>
        <v>27207140573</v>
      </c>
      <c r="D110" s="23" t="str">
        <f ca="1">IFERROR(__xludf.DUMMYFUNCTION("""COMPUTED_VALUE"""),"Bùi Thị Phương Nga ")</f>
        <v xml:space="preserve">Bùi Thị Phương Nga </v>
      </c>
      <c r="E110" s="27">
        <f ca="1">IFERROR(__xludf.DUMMYFUNCTION("""COMPUTED_VALUE"""),37742)</f>
        <v>37742</v>
      </c>
      <c r="F110" s="23" t="str">
        <f ca="1">IFERROR(__xludf.DUMMYFUNCTION("""COMPUTED_VALUE"""),"K27DLK4")</f>
        <v>K27DLK4</v>
      </c>
      <c r="G110" s="23" t="str">
        <f ca="1">IFERROR(__xludf.DUMMYFUNCTION("""COMPUTED_VALUE"""),"Quản trị Du lịch &amp; Khách sạn")</f>
        <v>Quản trị Du lịch &amp; Khách sạn</v>
      </c>
      <c r="H110" s="23">
        <f ca="1">IFERROR(__xludf.DUMMYFUNCTION("""COMPUTED_VALUE"""),27)</f>
        <v>27</v>
      </c>
      <c r="I110" s="23" t="str">
        <f ca="1">IFERROR(__xludf.DUMMYFUNCTION("""COMPUTED_VALUE"""),"0774426268")</f>
        <v>0774426268</v>
      </c>
      <c r="J110" s="23" t="str">
        <f ca="1">IFERROR(__xludf.DUMMYFUNCTION("""COMPUTED_VALUE"""),"Chuyên đề")</f>
        <v>Chuyên đề</v>
      </c>
      <c r="K110" s="23" t="str">
        <f ca="1">IFERROR(__xludf.DUMMYFUNCTION("""COMPUTED_VALUE"""),"Vanda Hotel")</f>
        <v>Vanda Hotel</v>
      </c>
      <c r="L110" s="23"/>
      <c r="M110" s="23" t="str">
        <f ca="1">IFERROR(__xludf.DUMMYFUNCTION("""COMPUTED_VALUE"""),"03 Nguyễn Văn Linh")</f>
        <v>03 Nguyễn Văn Linh</v>
      </c>
      <c r="N110" s="23" t="str">
        <f ca="1">IFERROR(__xludf.DUMMYFUNCTION("""COMPUTED_VALUE"""),"Đà Nẵng ")</f>
        <v xml:space="preserve">Đà Nẵng </v>
      </c>
      <c r="O110" s="23" t="str">
        <f ca="1">IFERROR(__xludf.DUMMYFUNCTION("""COMPUTED_VALUE"""),"Tiền sảnh")</f>
        <v>Tiền sảnh</v>
      </c>
      <c r="P110" s="23"/>
      <c r="Q110" s="23" t="str">
        <f ca="1">IFERROR(__xludf.DUMMYFUNCTION("""COMPUTED_VALUE"""),"21/01/2025")</f>
        <v>21/01/2025</v>
      </c>
      <c r="R110" s="23" t="str">
        <f ca="1">IFERROR(__xludf.DUMMYFUNCTION("""COMPUTED_VALUE"""),"cam kết")</f>
        <v>cam kết</v>
      </c>
      <c r="S110" s="23" t="str">
        <f ca="1">IFERROR(__xludf.DUMMYFUNCTION("""COMPUTED_VALUE"""),"Chuyên đề")</f>
        <v>Chuyên đề</v>
      </c>
      <c r="T110" s="23" t="str">
        <f ca="1">IFERROR(__xludf.DUMMYFUNCTION("""COMPUTED_VALUE"""),"Mai Thị Thương")</f>
        <v>Mai Thị Thương</v>
      </c>
      <c r="U110" s="27">
        <f ca="1">IFERROR(__xludf.DUMMYFUNCTION("""COMPUTED_VALUE"""),45698)</f>
        <v>45698</v>
      </c>
      <c r="V110" s="27">
        <f ca="1">IFERROR(__xludf.DUMMYFUNCTION("""COMPUTED_VALUE"""),45787)</f>
        <v>45787</v>
      </c>
      <c r="W110" s="23">
        <f ca="1">IFERROR(__xludf.DUMMYFUNCTION("""COMPUTED_VALUE"""),109)</f>
        <v>109</v>
      </c>
      <c r="X110" s="23" t="str">
        <f ca="1">IFERROR(__xludf.DUMMYFUNCTION("""COMPUTED_VALUE"""),"21/01/2025")</f>
        <v>21/01/2025</v>
      </c>
      <c r="Y110" s="23" t="str">
        <f ca="1">IFERROR(__xludf.DUMMYFUNCTION("""COMPUTED_VALUE"""),"DUYỆT")</f>
        <v>DUYỆT</v>
      </c>
      <c r="Z110" s="23" t="str">
        <f ca="1">IFERROR(__xludf.DUMMYFUNCTION("""COMPUTED_VALUE"""),"21/01/2025")</f>
        <v>21/01/2025</v>
      </c>
      <c r="AA110" s="23" t="str">
        <f ca="1">IFERROR(__xludf.DUMMYFUNCTION("""COMPUTED_VALUE"""),"Vanda Hotel")</f>
        <v>Vanda Hotel</v>
      </c>
      <c r="AB110" s="23" t="str">
        <f ca="1">IFERROR(__xludf.DUMMYFUNCTION("""COMPUTED_VALUE"""),"Tiền sảnh")</f>
        <v>Tiền sảnh</v>
      </c>
      <c r="AC110" s="23"/>
      <c r="AD110" s="23"/>
      <c r="AE110" s="23" t="str">
        <f ca="1">IFERROR(__xludf.DUMMYFUNCTION("""COMPUTED_VALUE"""),"")</f>
        <v/>
      </c>
      <c r="AF110" s="23" t="str">
        <f ca="1">IFERROR(__xludf.DUMMYFUNCTION("""COMPUTED_VALUE"""),"CHUYÊN ĐỀ")</f>
        <v>CHUYÊN ĐỀ</v>
      </c>
      <c r="AG110" s="23" t="str">
        <f ca="1">IFERROR(__xludf.DUMMYFUNCTION("""COMPUTED_VALUE"""),"Trịnh Thị Kim Chung")</f>
        <v>Trịnh Thị Kim Chung</v>
      </c>
    </row>
    <row r="111" spans="1:33" ht="12.75" x14ac:dyDescent="0.2">
      <c r="A111" s="26">
        <f ca="1">IFERROR(__xludf.DUMMYFUNCTION("""COMPUTED_VALUE"""),45678.7111641898)</f>
        <v>45678.711164189801</v>
      </c>
      <c r="B111" s="23" t="str">
        <f ca="1">IFERROR(__xludf.DUMMYFUNCTION("""COMPUTED_VALUE"""),"tranquocdang7713@gnail.com")</f>
        <v>tranquocdang7713@gnail.com</v>
      </c>
      <c r="C111" s="23">
        <f ca="1">IFERROR(__xludf.DUMMYFUNCTION("""COMPUTED_VALUE"""),27217146484)</f>
        <v>27217146484</v>
      </c>
      <c r="D111" s="23" t="str">
        <f ca="1">IFERROR(__xludf.DUMMYFUNCTION("""COMPUTED_VALUE"""),"Trần Quốc Đăng")</f>
        <v>Trần Quốc Đăng</v>
      </c>
      <c r="E111" s="27">
        <f ca="1">IFERROR(__xludf.DUMMYFUNCTION("""COMPUTED_VALUE"""),37603)</f>
        <v>37603</v>
      </c>
      <c r="F111" s="23" t="str">
        <f ca="1">IFERROR(__xludf.DUMMYFUNCTION("""COMPUTED_VALUE"""),"K27DLK1")</f>
        <v>K27DLK1</v>
      </c>
      <c r="G111" s="23" t="str">
        <f ca="1">IFERROR(__xludf.DUMMYFUNCTION("""COMPUTED_VALUE"""),"Quản trị Du lịch &amp; Khách sạn")</f>
        <v>Quản trị Du lịch &amp; Khách sạn</v>
      </c>
      <c r="H111" s="23">
        <f ca="1">IFERROR(__xludf.DUMMYFUNCTION("""COMPUTED_VALUE"""),27)</f>
        <v>27</v>
      </c>
      <c r="I111" s="23" t="str">
        <f ca="1">IFERROR(__xludf.DUMMYFUNCTION("""COMPUTED_VALUE"""),"0377305613")</f>
        <v>0377305613</v>
      </c>
      <c r="J111" s="23" t="str">
        <f ca="1">IFERROR(__xludf.DUMMYFUNCTION("""COMPUTED_VALUE"""),"Chuyên đề")</f>
        <v>Chuyên đề</v>
      </c>
      <c r="K111" s="23" t="str">
        <f ca="1">IFERROR(__xludf.DUMMYFUNCTION("""COMPUTED_VALUE"""),"Diamond Sea Hotel")</f>
        <v>Diamond Sea Hotel</v>
      </c>
      <c r="L111" s="23"/>
      <c r="M111" s="23" t="str">
        <f ca="1">IFERROR(__xludf.DUMMYFUNCTION("""COMPUTED_VALUE"""),"232 Võ Nguyên Giáp")</f>
        <v>232 Võ Nguyên Giáp</v>
      </c>
      <c r="N111" s="23" t="str">
        <f ca="1">IFERROR(__xludf.DUMMYFUNCTION("""COMPUTED_VALUE"""),"Đà Nẵng")</f>
        <v>Đà Nẵng</v>
      </c>
      <c r="O111" s="23" t="str">
        <f ca="1">IFERROR(__xludf.DUMMYFUNCTION("""COMPUTED_VALUE"""),"Nhà hàng")</f>
        <v>Nhà hàng</v>
      </c>
      <c r="P111" s="23"/>
      <c r="Q111" s="23" t="str">
        <f ca="1">IFERROR(__xludf.DUMMYFUNCTION("""COMPUTED_VALUE"""),"21/1/2025")</f>
        <v>21/1/2025</v>
      </c>
      <c r="R111" s="23" t="str">
        <f ca="1">IFERROR(__xludf.DUMMYFUNCTION("""COMPUTED_VALUE"""),"cam kết")</f>
        <v>cam kết</v>
      </c>
      <c r="S111" s="23" t="str">
        <f ca="1">IFERROR(__xludf.DUMMYFUNCTION("""COMPUTED_VALUE"""),"Chuyên đề")</f>
        <v>Chuyên đề</v>
      </c>
      <c r="T111" s="23"/>
      <c r="U111" s="27">
        <f ca="1">IFERROR(__xludf.DUMMYFUNCTION("""COMPUTED_VALUE"""),45698)</f>
        <v>45698</v>
      </c>
      <c r="V111" s="27">
        <f ca="1">IFERROR(__xludf.DUMMYFUNCTION("""COMPUTED_VALUE"""),45787)</f>
        <v>45787</v>
      </c>
      <c r="W111" s="23">
        <f ca="1">IFERROR(__xludf.DUMMYFUNCTION("""COMPUTED_VALUE"""),110)</f>
        <v>110</v>
      </c>
      <c r="X111" s="23" t="str">
        <f ca="1">IFERROR(__xludf.DUMMYFUNCTION("""COMPUTED_VALUE"""),"22/01/2025")</f>
        <v>22/01/2025</v>
      </c>
      <c r="Y111" s="23" t="str">
        <f ca="1">IFERROR(__xludf.DUMMYFUNCTION("""COMPUTED_VALUE"""),"DUYỆT")</f>
        <v>DUYỆT</v>
      </c>
      <c r="Z111" s="23" t="str">
        <f ca="1">IFERROR(__xludf.DUMMYFUNCTION("""COMPUTED_VALUE"""),"22/01/2025")</f>
        <v>22/01/2025</v>
      </c>
      <c r="AA111" s="23" t="str">
        <f ca="1">IFERROR(__xludf.DUMMYFUNCTION("""COMPUTED_VALUE"""),"Diamond Sea Hotel")</f>
        <v>Diamond Sea Hotel</v>
      </c>
      <c r="AB111" s="23" t="str">
        <f ca="1">IFERROR(__xludf.DUMMYFUNCTION("""COMPUTED_VALUE"""),"Nhà hàng")</f>
        <v>Nhà hàng</v>
      </c>
      <c r="AC111" s="23"/>
      <c r="AD111" s="23"/>
      <c r="AE111" s="23" t="str">
        <f ca="1">IFERROR(__xludf.DUMMYFUNCTION("""COMPUTED_VALUE"""),"")</f>
        <v/>
      </c>
      <c r="AF111" s="23" t="str">
        <f ca="1">IFERROR(__xludf.DUMMYFUNCTION("""COMPUTED_VALUE"""),"CHUYÊN ĐỀ")</f>
        <v>CHUYÊN ĐỀ</v>
      </c>
      <c r="AG111" s="23" t="str">
        <f ca="1">IFERROR(__xludf.DUMMYFUNCTION("""COMPUTED_VALUE"""),"Trần Hoàng Anh")</f>
        <v>Trần Hoàng Anh</v>
      </c>
    </row>
    <row r="112" spans="1:33" ht="12.75" x14ac:dyDescent="0.2">
      <c r="A112" s="26">
        <f ca="1">IFERROR(__xludf.DUMMYFUNCTION("""COMPUTED_VALUE"""),45678.7228844675)</f>
        <v>45678.722884467497</v>
      </c>
      <c r="B112" s="23" t="str">
        <f ca="1">IFERROR(__xludf.DUMMYFUNCTION("""COMPUTED_VALUE"""),"minhbe30042002@gmail.com")</f>
        <v>minhbe30042002@gmail.com</v>
      </c>
      <c r="C112" s="23">
        <f ca="1">IFERROR(__xludf.DUMMYFUNCTION("""COMPUTED_VALUE"""),26217140809)</f>
        <v>26217140809</v>
      </c>
      <c r="D112" s="23" t="str">
        <f ca="1">IFERROR(__xludf.DUMMYFUNCTION("""COMPUTED_VALUE"""),"Đoàn Tuấn Minh")</f>
        <v>Đoàn Tuấn Minh</v>
      </c>
      <c r="E112" s="27">
        <f ca="1">IFERROR(__xludf.DUMMYFUNCTION("""COMPUTED_VALUE"""),37376)</f>
        <v>37376</v>
      </c>
      <c r="F112" s="23" t="str">
        <f ca="1">IFERROR(__xludf.DUMMYFUNCTION("""COMPUTED_VALUE"""),"K26dlk4")</f>
        <v>K26dlk4</v>
      </c>
      <c r="G112" s="23" t="str">
        <f ca="1">IFERROR(__xludf.DUMMYFUNCTION("""COMPUTED_VALUE"""),"Quản trị Du lịch &amp; Khách sạn chuẩn PSU")</f>
        <v>Quản trị Du lịch &amp; Khách sạn chuẩn PSU</v>
      </c>
      <c r="H112" s="23">
        <f ca="1">IFERROR(__xludf.DUMMYFUNCTION("""COMPUTED_VALUE"""),26)</f>
        <v>26</v>
      </c>
      <c r="I112" s="23" t="str">
        <f ca="1">IFERROR(__xludf.DUMMYFUNCTION("""COMPUTED_VALUE"""),"0858039002")</f>
        <v>0858039002</v>
      </c>
      <c r="J112" s="23" t="str">
        <f ca="1">IFERROR(__xludf.DUMMYFUNCTION("""COMPUTED_VALUE"""),"Chuyên đề")</f>
        <v>Chuyên đề</v>
      </c>
      <c r="K112" s="23" t="str">
        <f ca="1">IFERROR(__xludf.DUMMYFUNCTION("""COMPUTED_VALUE"""),"Sheraton Grand Danang resort and Convention Center")</f>
        <v>Sheraton Grand Danang resort and Convention Center</v>
      </c>
      <c r="L112" s="23"/>
      <c r="M112" s="23" t="str">
        <f ca="1">IFERROR(__xludf.DUMMYFUNCTION("""COMPUTED_VALUE"""),"35 trường sa ngũ hành sơn đà nẵng")</f>
        <v>35 trường sa ngũ hành sơn đà nẵng</v>
      </c>
      <c r="N112" s="23" t="str">
        <f ca="1">IFERROR(__xludf.DUMMYFUNCTION("""COMPUTED_VALUE"""),"Đà Nẵng")</f>
        <v>Đà Nẵng</v>
      </c>
      <c r="O112" s="23" t="str">
        <f ca="1">IFERROR(__xludf.DUMMYFUNCTION("""COMPUTED_VALUE"""),"Nhà hàng")</f>
        <v>Nhà hàng</v>
      </c>
      <c r="P112" s="23"/>
      <c r="Q112" s="23" t="str">
        <f ca="1">IFERROR(__xludf.DUMMYFUNCTION("""COMPUTED_VALUE"""),"17/1/2025")</f>
        <v>17/1/2025</v>
      </c>
      <c r="R112" s="23" t="str">
        <f ca="1">IFERROR(__xludf.DUMMYFUNCTION("""COMPUTED_VALUE"""),"cam kết")</f>
        <v>cam kết</v>
      </c>
      <c r="S112" s="23" t="str">
        <f ca="1">IFERROR(__xludf.DUMMYFUNCTION("""COMPUTED_VALUE"""),"Chuyên đề")</f>
        <v>Chuyên đề</v>
      </c>
      <c r="T112" s="23"/>
      <c r="U112" s="27">
        <f ca="1">IFERROR(__xludf.DUMMYFUNCTION("""COMPUTED_VALUE"""),45698)</f>
        <v>45698</v>
      </c>
      <c r="V112" s="27">
        <f ca="1">IFERROR(__xludf.DUMMYFUNCTION("""COMPUTED_VALUE"""),45787)</f>
        <v>45787</v>
      </c>
      <c r="W112" s="23">
        <f ca="1">IFERROR(__xludf.DUMMYFUNCTION("""COMPUTED_VALUE"""),111)</f>
        <v>111</v>
      </c>
      <c r="X112" s="23" t="str">
        <f ca="1">IFERROR(__xludf.DUMMYFUNCTION("""COMPUTED_VALUE"""),"22/01/2025")</f>
        <v>22/01/2025</v>
      </c>
      <c r="Y112" s="23" t="str">
        <f ca="1">IFERROR(__xludf.DUMMYFUNCTION("""COMPUTED_VALUE"""),"DUYỆT")</f>
        <v>DUYỆT</v>
      </c>
      <c r="Z112" s="23" t="str">
        <f ca="1">IFERROR(__xludf.DUMMYFUNCTION("""COMPUTED_VALUE"""),"22/01/2025")</f>
        <v>22/01/2025</v>
      </c>
      <c r="AA112" s="23" t="str">
        <f ca="1">IFERROR(__xludf.DUMMYFUNCTION("""COMPUTED_VALUE"""),"Sheraton Grand Danang resort and Convention Center")</f>
        <v>Sheraton Grand Danang resort and Convention Center</v>
      </c>
      <c r="AB112" s="23" t="str">
        <f ca="1">IFERROR(__xludf.DUMMYFUNCTION("""COMPUTED_VALUE"""),"Nhà hàng")</f>
        <v>Nhà hàng</v>
      </c>
      <c r="AC112" s="23" t="str">
        <f ca="1">IFERROR(__xludf.DUMMYFUNCTION("""COMPUTED_VALUE"""),"ĐÃ NỘP")</f>
        <v>ĐÃ NỘP</v>
      </c>
      <c r="AD112" s="23"/>
      <c r="AE112" s="23" t="str">
        <f ca="1">IFERROR(__xludf.DUMMYFUNCTION("""COMPUTED_VALUE"""),"")</f>
        <v/>
      </c>
      <c r="AF112" s="23" t="str">
        <f ca="1">IFERROR(__xludf.DUMMYFUNCTION("""COMPUTED_VALUE"""),"CHUYÊN ĐỀ")</f>
        <v>CHUYÊN ĐỀ</v>
      </c>
      <c r="AG112" s="23" t="str">
        <f ca="1">IFERROR(__xludf.DUMMYFUNCTION("""COMPUTED_VALUE"""),"Huỳnh Lý Thùy Linh")</f>
        <v>Huỳnh Lý Thùy Linh</v>
      </c>
    </row>
    <row r="113" spans="1:33" ht="12.75" x14ac:dyDescent="0.2">
      <c r="A113" s="26">
        <f ca="1">IFERROR(__xludf.DUMMYFUNCTION("""COMPUTED_VALUE"""),45678.7229495601)</f>
        <v>45678.722949560099</v>
      </c>
      <c r="B113" s="23" t="str">
        <f ca="1">IFERROR(__xludf.DUMMYFUNCTION("""COMPUTED_VALUE"""),"cunbalan1311@gmail.com")</f>
        <v>cunbalan1311@gmail.com</v>
      </c>
      <c r="C113" s="23">
        <f ca="1">IFERROR(__xludf.DUMMYFUNCTION("""COMPUTED_VALUE"""),27217133248)</f>
        <v>27217133248</v>
      </c>
      <c r="D113" s="23" t="str">
        <f ca="1">IFERROR(__xludf.DUMMYFUNCTION("""COMPUTED_VALUE"""),"Lê Hoàng Long")</f>
        <v>Lê Hoàng Long</v>
      </c>
      <c r="E113" s="27">
        <f ca="1">IFERROR(__xludf.DUMMYFUNCTION("""COMPUTED_VALUE"""),37907)</f>
        <v>37907</v>
      </c>
      <c r="F113" s="23" t="str">
        <f ca="1">IFERROR(__xludf.DUMMYFUNCTION("""COMPUTED_VALUE"""),"K27DLK6")</f>
        <v>K27DLK6</v>
      </c>
      <c r="G113" s="23" t="str">
        <f ca="1">IFERROR(__xludf.DUMMYFUNCTION("""COMPUTED_VALUE"""),"Quản trị Du lịch &amp; Khách sạn")</f>
        <v>Quản trị Du lịch &amp; Khách sạn</v>
      </c>
      <c r="H113" s="23">
        <f ca="1">IFERROR(__xludf.DUMMYFUNCTION("""COMPUTED_VALUE"""),27)</f>
        <v>27</v>
      </c>
      <c r="I113" s="23" t="str">
        <f ca="1">IFERROR(__xludf.DUMMYFUNCTION("""COMPUTED_VALUE"""),"0931983051")</f>
        <v>0931983051</v>
      </c>
      <c r="J113" s="23" t="str">
        <f ca="1">IFERROR(__xludf.DUMMYFUNCTION("""COMPUTED_VALUE"""),"Chuyên đề")</f>
        <v>Chuyên đề</v>
      </c>
      <c r="K113" s="23" t="str">
        <f ca="1">IFERROR(__xludf.DUMMYFUNCTION("""COMPUTED_VALUE"""),"Grand Tourane Hotel")</f>
        <v>Grand Tourane Hotel</v>
      </c>
      <c r="L113" s="23"/>
      <c r="M113" s="23" t="str">
        <f ca="1">IFERROR(__xludf.DUMMYFUNCTION("""COMPUTED_VALUE"""),"252 Võ Nguyên Giáp. Phường Phước Mỹ. Quận Sơn Trà. TP Đà Nẵng")</f>
        <v>252 Võ Nguyên Giáp. Phường Phước Mỹ. Quận Sơn Trà. TP Đà Nẵng</v>
      </c>
      <c r="N113" s="23" t="str">
        <f ca="1">IFERROR(__xludf.DUMMYFUNCTION("""COMPUTED_VALUE"""),"Đà Nẵng")</f>
        <v>Đà Nẵng</v>
      </c>
      <c r="O113" s="23" t="str">
        <f ca="1">IFERROR(__xludf.DUMMYFUNCTION("""COMPUTED_VALUE"""),"Nhà hàng")</f>
        <v>Nhà hàng</v>
      </c>
      <c r="P113" s="23"/>
      <c r="Q113" s="23" t="str">
        <f ca="1">IFERROR(__xludf.DUMMYFUNCTION("""COMPUTED_VALUE"""),"21/01/2025")</f>
        <v>21/01/2025</v>
      </c>
      <c r="R113" s="23" t="str">
        <f ca="1">IFERROR(__xludf.DUMMYFUNCTION("""COMPUTED_VALUE"""),"cam kết")</f>
        <v>cam kết</v>
      </c>
      <c r="S113" s="23" t="str">
        <f ca="1">IFERROR(__xludf.DUMMYFUNCTION("""COMPUTED_VALUE"""),"Chuyên đề")</f>
        <v>Chuyên đề</v>
      </c>
      <c r="T113" s="23" t="str">
        <f ca="1">IFERROR(__xludf.DUMMYFUNCTION("""COMPUTED_VALUE"""),"Trần Hoàng Anh")</f>
        <v>Trần Hoàng Anh</v>
      </c>
      <c r="U113" s="27">
        <f ca="1">IFERROR(__xludf.DUMMYFUNCTION("""COMPUTED_VALUE"""),45693)</f>
        <v>45693</v>
      </c>
      <c r="V113" s="27">
        <f ca="1">IFERROR(__xludf.DUMMYFUNCTION("""COMPUTED_VALUE"""),45782)</f>
        <v>45782</v>
      </c>
      <c r="W113" s="23">
        <f ca="1">IFERROR(__xludf.DUMMYFUNCTION("""COMPUTED_VALUE"""),112)</f>
        <v>112</v>
      </c>
      <c r="X113" s="23" t="str">
        <f ca="1">IFERROR(__xludf.DUMMYFUNCTION("""COMPUTED_VALUE"""),"22/01/2025")</f>
        <v>22/01/2025</v>
      </c>
      <c r="Y113" s="23" t="str">
        <f ca="1">IFERROR(__xludf.DUMMYFUNCTION("""COMPUTED_VALUE"""),"DUYỆT")</f>
        <v>DUYỆT</v>
      </c>
      <c r="Z113" s="23" t="str">
        <f ca="1">IFERROR(__xludf.DUMMYFUNCTION("""COMPUTED_VALUE"""),"22/01/2025")</f>
        <v>22/01/2025</v>
      </c>
      <c r="AA113" s="23" t="str">
        <f ca="1">IFERROR(__xludf.DUMMYFUNCTION("""COMPUTED_VALUE"""),"Grand Tourane Hotel")</f>
        <v>Grand Tourane Hotel</v>
      </c>
      <c r="AB113" s="23" t="str">
        <f ca="1">IFERROR(__xludf.DUMMYFUNCTION("""COMPUTED_VALUE"""),"Nhà hàng")</f>
        <v>Nhà hàng</v>
      </c>
      <c r="AC113" s="23"/>
      <c r="AD113" s="23"/>
      <c r="AE113" s="23" t="str">
        <f ca="1">IFERROR(__xludf.DUMMYFUNCTION("""COMPUTED_VALUE"""),"")</f>
        <v/>
      </c>
      <c r="AF113" s="23" t="str">
        <f ca="1">IFERROR(__xludf.DUMMYFUNCTION("""COMPUTED_VALUE"""),"không đủ điều kiện")</f>
        <v>không đủ điều kiện</v>
      </c>
      <c r="AG113" s="23"/>
    </row>
    <row r="114" spans="1:33" ht="12.75" x14ac:dyDescent="0.2">
      <c r="A114" s="26">
        <f ca="1">IFERROR(__xludf.DUMMYFUNCTION("""COMPUTED_VALUE"""),45692.4030511458)</f>
        <v>45692.403051145797</v>
      </c>
      <c r="B114" s="23" t="str">
        <f ca="1">IFERROR(__xludf.DUMMYFUNCTION("""COMPUTED_VALUE"""),"thanhhuyen1011@gmail.com")</f>
        <v>thanhhuyen1011@gmail.com</v>
      </c>
      <c r="C114" s="23">
        <f ca="1">IFERROR(__xludf.DUMMYFUNCTION("""COMPUTED_VALUE"""),27207143366)</f>
        <v>27207143366</v>
      </c>
      <c r="D114" s="23" t="str">
        <f ca="1">IFERROR(__xludf.DUMMYFUNCTION("""COMPUTED_VALUE"""),"Trương Thị Thanh Huyền")</f>
        <v>Trương Thị Thanh Huyền</v>
      </c>
      <c r="E114" s="27">
        <f ca="1">IFERROR(__xludf.DUMMYFUNCTION("""COMPUTED_VALUE"""),37935)</f>
        <v>37935</v>
      </c>
      <c r="F114" s="23" t="str">
        <f ca="1">IFERROR(__xludf.DUMMYFUNCTION("""COMPUTED_VALUE"""),"K27DLK1")</f>
        <v>K27DLK1</v>
      </c>
      <c r="G114" s="23" t="str">
        <f ca="1">IFERROR(__xludf.DUMMYFUNCTION("""COMPUTED_VALUE"""),"Quản trị Du lịch &amp; Khách sạn")</f>
        <v>Quản trị Du lịch &amp; Khách sạn</v>
      </c>
      <c r="H114" s="23">
        <f ca="1">IFERROR(__xludf.DUMMYFUNCTION("""COMPUTED_VALUE"""),27)</f>
        <v>27</v>
      </c>
      <c r="I114" s="23" t="str">
        <f ca="1">IFERROR(__xludf.DUMMYFUNCTION("""COMPUTED_VALUE"""),"0972904315")</f>
        <v>0972904315</v>
      </c>
      <c r="J114" s="23" t="str">
        <f ca="1">IFERROR(__xludf.DUMMYFUNCTION("""COMPUTED_VALUE"""),"Chuyên đề")</f>
        <v>Chuyên đề</v>
      </c>
      <c r="K114" s="23" t="str">
        <f ca="1">IFERROR(__xludf.DUMMYFUNCTION("""COMPUTED_VALUE"""),"Novotel DaNang Premier Han River")</f>
        <v>Novotel DaNang Premier Han River</v>
      </c>
      <c r="L114" s="23"/>
      <c r="M114" s="23" t="str">
        <f ca="1">IFERROR(__xludf.DUMMYFUNCTION("""COMPUTED_VALUE"""),"36 Bạch Đằng")</f>
        <v>36 Bạch Đằng</v>
      </c>
      <c r="N114" s="23" t="str">
        <f ca="1">IFERROR(__xludf.DUMMYFUNCTION("""COMPUTED_VALUE"""),"Đà Nẵng")</f>
        <v>Đà Nẵng</v>
      </c>
      <c r="O114" s="23" t="str">
        <f ca="1">IFERROR(__xludf.DUMMYFUNCTION("""COMPUTED_VALUE"""),"Buồng phòng")</f>
        <v>Buồng phòng</v>
      </c>
      <c r="P114" s="23"/>
      <c r="Q114" s="23" t="str">
        <f ca="1">IFERROR(__xludf.DUMMYFUNCTION("""COMPUTED_VALUE"""),"4/2/2025")</f>
        <v>4/2/2025</v>
      </c>
      <c r="R114" s="23" t="str">
        <f ca="1">IFERROR(__xludf.DUMMYFUNCTION("""COMPUTED_VALUE"""),"cam kết")</f>
        <v>cam kết</v>
      </c>
      <c r="S114" s="23" t="str">
        <f ca="1">IFERROR(__xludf.DUMMYFUNCTION("""COMPUTED_VALUE"""),"Chuyên đề")</f>
        <v>Chuyên đề</v>
      </c>
      <c r="T114" s="23"/>
      <c r="U114" s="27">
        <f ca="1">IFERROR(__xludf.DUMMYFUNCTION("""COMPUTED_VALUE"""),45698)</f>
        <v>45698</v>
      </c>
      <c r="V114" s="27">
        <f ca="1">IFERROR(__xludf.DUMMYFUNCTION("""COMPUTED_VALUE"""),45787)</f>
        <v>45787</v>
      </c>
      <c r="W114" s="23">
        <f ca="1">IFERROR(__xludf.DUMMYFUNCTION("""COMPUTED_VALUE"""),113)</f>
        <v>113</v>
      </c>
      <c r="X114" s="28">
        <f ca="1">IFERROR(__xludf.DUMMYFUNCTION("""COMPUTED_VALUE"""),45779)</f>
        <v>45779</v>
      </c>
      <c r="Y114" s="23" t="str">
        <f ca="1">IFERROR(__xludf.DUMMYFUNCTION("""COMPUTED_VALUE"""),"DUYỆT")</f>
        <v>DUYỆT</v>
      </c>
      <c r="Z114" s="23" t="str">
        <f ca="1">IFERROR(__xludf.DUMMYFUNCTION("""COMPUTED_VALUE"""),"22/01/2025")</f>
        <v>22/01/2025</v>
      </c>
      <c r="AA114" s="23" t="str">
        <f ca="1">IFERROR(__xludf.DUMMYFUNCTION("""COMPUTED_VALUE"""),"Novotel DaNang Premier Han River")</f>
        <v>Novotel DaNang Premier Han River</v>
      </c>
      <c r="AB114" s="23" t="str">
        <f ca="1">IFERROR(__xludf.DUMMYFUNCTION("""COMPUTED_VALUE"""),"Buồng phòng")</f>
        <v>Buồng phòng</v>
      </c>
      <c r="AC114" s="23"/>
      <c r="AD114" s="23"/>
      <c r="AE114" s="23" t="str">
        <f ca="1">IFERROR(__xludf.DUMMYFUNCTION("""COMPUTED_VALUE"""),"")</f>
        <v/>
      </c>
      <c r="AF114" s="23" t="str">
        <f ca="1">IFERROR(__xludf.DUMMYFUNCTION("""COMPUTED_VALUE"""),"CHUYÊN ĐỀ")</f>
        <v>CHUYÊN ĐỀ</v>
      </c>
      <c r="AG114" s="23" t="str">
        <f ca="1">IFERROR(__xludf.DUMMYFUNCTION("""COMPUTED_VALUE"""),"Nguyễn Thị Minh Thư")</f>
        <v>Nguyễn Thị Minh Thư</v>
      </c>
    </row>
    <row r="115" spans="1:33" ht="12.75" x14ac:dyDescent="0.2">
      <c r="A115" s="26">
        <f ca="1">IFERROR(__xludf.DUMMYFUNCTION("""COMPUTED_VALUE"""),45678.8089059143)</f>
        <v>45678.808905914302</v>
      </c>
      <c r="B115" s="23" t="str">
        <f ca="1">IFERROR(__xludf.DUMMYFUNCTION("""COMPUTED_VALUE"""),"khanhlinhp541@gmail.com")</f>
        <v>khanhlinhp541@gmail.com</v>
      </c>
      <c r="C115" s="23">
        <f ca="1">IFERROR(__xludf.DUMMYFUNCTION("""COMPUTED_VALUE"""),27207129929)</f>
        <v>27207129929</v>
      </c>
      <c r="D115" s="23" t="str">
        <f ca="1">IFERROR(__xludf.DUMMYFUNCTION("""COMPUTED_VALUE"""),"Phạm Khánh Linh")</f>
        <v>Phạm Khánh Linh</v>
      </c>
      <c r="E115" s="27">
        <f ca="1">IFERROR(__xludf.DUMMYFUNCTION("""COMPUTED_VALUE"""),37820)</f>
        <v>37820</v>
      </c>
      <c r="F115" s="23" t="str">
        <f ca="1">IFERROR(__xludf.DUMMYFUNCTION("""COMPUTED_VALUE"""),"K27DLK6")</f>
        <v>K27DLK6</v>
      </c>
      <c r="G115" s="23" t="str">
        <f ca="1">IFERROR(__xludf.DUMMYFUNCTION("""COMPUTED_VALUE"""),"Quản trị Du lịch &amp; Khách sạn")</f>
        <v>Quản trị Du lịch &amp; Khách sạn</v>
      </c>
      <c r="H115" s="23">
        <f ca="1">IFERROR(__xludf.DUMMYFUNCTION("""COMPUTED_VALUE"""),27)</f>
        <v>27</v>
      </c>
      <c r="I115" s="23" t="str">
        <f ca="1">IFERROR(__xludf.DUMMYFUNCTION("""COMPUTED_VALUE"""),"0825950234")</f>
        <v>0825950234</v>
      </c>
      <c r="J115" s="23" t="str">
        <f ca="1">IFERROR(__xludf.DUMMYFUNCTION("""COMPUTED_VALUE"""),"Chuyên đề")</f>
        <v>Chuyên đề</v>
      </c>
      <c r="K115" s="23" t="str">
        <f ca="1">IFERROR(__xludf.DUMMYFUNCTION("""COMPUTED_VALUE"""),"Novotel DaNang Premier Han River")</f>
        <v>Novotel DaNang Premier Han River</v>
      </c>
      <c r="L115" s="23"/>
      <c r="M115" s="23" t="str">
        <f ca="1">IFERROR(__xludf.DUMMYFUNCTION("""COMPUTED_VALUE"""),"36 Bạch Đằng, Thạch Thang, Hải Châu, Đà Nẵng")</f>
        <v>36 Bạch Đằng, Thạch Thang, Hải Châu, Đà Nẵng</v>
      </c>
      <c r="N115" s="23" t="str">
        <f ca="1">IFERROR(__xludf.DUMMYFUNCTION("""COMPUTED_VALUE"""),"Đà Nẵng")</f>
        <v>Đà Nẵng</v>
      </c>
      <c r="O115" s="23" t="str">
        <f ca="1">IFERROR(__xludf.DUMMYFUNCTION("""COMPUTED_VALUE"""),"Lễ tân Spa")</f>
        <v>Lễ tân Spa</v>
      </c>
      <c r="P115" s="23" t="str">
        <f ca="1">IFERROR(__xludf.DUMMYFUNCTION("""COMPUTED_VALUE"""),"Lễ tân Spa")</f>
        <v>Lễ tân Spa</v>
      </c>
      <c r="Q115" s="23" t="str">
        <f ca="1">IFERROR(__xludf.DUMMYFUNCTION("""COMPUTED_VALUE"""),"21/01/2025")</f>
        <v>21/01/2025</v>
      </c>
      <c r="R115" s="23" t="str">
        <f ca="1">IFERROR(__xludf.DUMMYFUNCTION("""COMPUTED_VALUE"""),"cam kết")</f>
        <v>cam kết</v>
      </c>
      <c r="S115" s="23" t="str">
        <f ca="1">IFERROR(__xludf.DUMMYFUNCTION("""COMPUTED_VALUE"""),"Chuyên đề")</f>
        <v>Chuyên đề</v>
      </c>
      <c r="T115" s="23"/>
      <c r="U115" s="27">
        <f ca="1">IFERROR(__xludf.DUMMYFUNCTION("""COMPUTED_VALUE"""),45698)</f>
        <v>45698</v>
      </c>
      <c r="V115" s="27">
        <f ca="1">IFERROR(__xludf.DUMMYFUNCTION("""COMPUTED_VALUE"""),45787)</f>
        <v>45787</v>
      </c>
      <c r="W115" s="23">
        <f ca="1">IFERROR(__xludf.DUMMYFUNCTION("""COMPUTED_VALUE"""),114)</f>
        <v>114</v>
      </c>
      <c r="X115" s="23" t="str">
        <f ca="1">IFERROR(__xludf.DUMMYFUNCTION("""COMPUTED_VALUE"""),"22/01/2025")</f>
        <v>22/01/2025</v>
      </c>
      <c r="Y115" s="23" t="str">
        <f ca="1">IFERROR(__xludf.DUMMYFUNCTION("""COMPUTED_VALUE"""),"DUYỆT")</f>
        <v>DUYỆT</v>
      </c>
      <c r="Z115" s="23" t="str">
        <f ca="1">IFERROR(__xludf.DUMMYFUNCTION("""COMPUTED_VALUE"""),"22/01/2025")</f>
        <v>22/01/2025</v>
      </c>
      <c r="AA115" s="23" t="str">
        <f ca="1">IFERROR(__xludf.DUMMYFUNCTION("""COMPUTED_VALUE"""),"Novotel DaNang Premier Han River")</f>
        <v>Novotel DaNang Premier Han River</v>
      </c>
      <c r="AB115" s="23" t="str">
        <f ca="1">IFERROR(__xludf.DUMMYFUNCTION("""COMPUTED_VALUE"""),"Lễ tân Spa")</f>
        <v>Lễ tân Spa</v>
      </c>
      <c r="AC115" s="23"/>
      <c r="AD115" s="23"/>
      <c r="AE115" s="23" t="str">
        <f ca="1">IFERROR(__xludf.DUMMYFUNCTION("""COMPUTED_VALUE"""),"")</f>
        <v/>
      </c>
      <c r="AF115" s="23" t="str">
        <f ca="1">IFERROR(__xludf.DUMMYFUNCTION("""COMPUTED_VALUE"""),"CHUYÊN ĐỀ")</f>
        <v>CHUYÊN ĐỀ</v>
      </c>
      <c r="AG115" s="23" t="str">
        <f ca="1">IFERROR(__xludf.DUMMYFUNCTION("""COMPUTED_VALUE"""),"Nguyễn Thị Minh Thư")</f>
        <v>Nguyễn Thị Minh Thư</v>
      </c>
    </row>
    <row r="116" spans="1:33" ht="12.75" x14ac:dyDescent="0.2">
      <c r="A116" s="26">
        <f ca="1">IFERROR(__xludf.DUMMYFUNCTION("""COMPUTED_VALUE"""),45678.8472035532)</f>
        <v>45678.847203553203</v>
      </c>
      <c r="B116" s="23" t="str">
        <f ca="1">IFERROR(__xludf.DUMMYFUNCTION("""COMPUTED_VALUE"""),"phanthanhuyen2003@gmail.com")</f>
        <v>phanthanhuyen2003@gmail.com</v>
      </c>
      <c r="C116" s="23">
        <f ca="1">IFERROR(__xludf.DUMMYFUNCTION("""COMPUTED_VALUE"""),27207101143)</f>
        <v>27207101143</v>
      </c>
      <c r="D116" s="23" t="str">
        <f ca="1">IFERROR(__xludf.DUMMYFUNCTION("""COMPUTED_VALUE"""),"Phan Thị Thanh Uyên")</f>
        <v>Phan Thị Thanh Uyên</v>
      </c>
      <c r="E116" s="27">
        <f ca="1">IFERROR(__xludf.DUMMYFUNCTION("""COMPUTED_VALUE"""),37785)</f>
        <v>37785</v>
      </c>
      <c r="F116" s="23" t="str">
        <f ca="1">IFERROR(__xludf.DUMMYFUNCTION("""COMPUTED_VALUE"""),"K27PSU- DLK1")</f>
        <v>K27PSU- DLK1</v>
      </c>
      <c r="G116" s="23" t="str">
        <f ca="1">IFERROR(__xludf.DUMMYFUNCTION("""COMPUTED_VALUE"""),"Quản trị Du lịch &amp; Khách sạn chuẩn PSU")</f>
        <v>Quản trị Du lịch &amp; Khách sạn chuẩn PSU</v>
      </c>
      <c r="H116" s="23">
        <f ca="1">IFERROR(__xludf.DUMMYFUNCTION("""COMPUTED_VALUE"""),27)</f>
        <v>27</v>
      </c>
      <c r="I116" s="23" t="str">
        <f ca="1">IFERROR(__xludf.DUMMYFUNCTION("""COMPUTED_VALUE"""),"0386233073")</f>
        <v>0386233073</v>
      </c>
      <c r="J116" s="23" t="str">
        <f ca="1">IFERROR(__xludf.DUMMYFUNCTION("""COMPUTED_VALUE"""),"Chuyên đề")</f>
        <v>Chuyên đề</v>
      </c>
      <c r="K116" s="23" t="str">
        <f ca="1">IFERROR(__xludf.DUMMYFUNCTION("""COMPUTED_VALUE"""),"Khách sạn Shilla Monogram Quangnam Danang")</f>
        <v>Khách sạn Shilla Monogram Quangnam Danang</v>
      </c>
      <c r="L116" s="23"/>
      <c r="M116" s="23" t="str">
        <f ca="1">IFERROR(__xludf.DUMMYFUNCTION("""COMPUTED_VALUE"""),"Lạc Long Quân, phường Điện Ngọc, thị xã Điện Bàn, tỉnh Quảng Nam, Việt Nam")</f>
        <v>Lạc Long Quân, phường Điện Ngọc, thị xã Điện Bàn, tỉnh Quảng Nam, Việt Nam</v>
      </c>
      <c r="N116" s="23" t="str">
        <f ca="1">IFERROR(__xludf.DUMMYFUNCTION("""COMPUTED_VALUE"""),"Quảng Nam")</f>
        <v>Quảng Nam</v>
      </c>
      <c r="O116" s="23" t="str">
        <f ca="1">IFERROR(__xludf.DUMMYFUNCTION("""COMPUTED_VALUE"""),"Nhà hàng")</f>
        <v>Nhà hàng</v>
      </c>
      <c r="P116" s="23"/>
      <c r="Q116" s="23" t="str">
        <f ca="1">IFERROR(__xludf.DUMMYFUNCTION("""COMPUTED_VALUE"""),"24/01/2025")</f>
        <v>24/01/2025</v>
      </c>
      <c r="R116" s="23" t="str">
        <f ca="1">IFERROR(__xludf.DUMMYFUNCTION("""COMPUTED_VALUE"""),"cam kết")</f>
        <v>cam kết</v>
      </c>
      <c r="S116" s="23" t="str">
        <f ca="1">IFERROR(__xludf.DUMMYFUNCTION("""COMPUTED_VALUE"""),"Chuyên đề")</f>
        <v>Chuyên đề</v>
      </c>
      <c r="T116" s="23" t="str">
        <f ca="1">IFERROR(__xludf.DUMMYFUNCTION("""COMPUTED_VALUE"""),"Hồ Sử Minh Tài")</f>
        <v>Hồ Sử Minh Tài</v>
      </c>
      <c r="U116" s="27">
        <f ca="1">IFERROR(__xludf.DUMMYFUNCTION("""COMPUTED_VALUE"""),45693)</f>
        <v>45693</v>
      </c>
      <c r="V116" s="27">
        <f ca="1">IFERROR(__xludf.DUMMYFUNCTION("""COMPUTED_VALUE"""),45782)</f>
        <v>45782</v>
      </c>
      <c r="W116" s="23">
        <f ca="1">IFERROR(__xludf.DUMMYFUNCTION("""COMPUTED_VALUE"""),115)</f>
        <v>115</v>
      </c>
      <c r="X116" s="28">
        <f ca="1">IFERROR(__xludf.DUMMYFUNCTION("""COMPUTED_VALUE"""),45779)</f>
        <v>45779</v>
      </c>
      <c r="Y116" s="23" t="str">
        <f ca="1">IFERROR(__xludf.DUMMYFUNCTION("""COMPUTED_VALUE"""),"DUYỆT")</f>
        <v>DUYỆT</v>
      </c>
      <c r="Z116" s="23" t="str">
        <f ca="1">IFERROR(__xludf.DUMMYFUNCTION("""COMPUTED_VALUE"""),"22/01/2025")</f>
        <v>22/01/2025</v>
      </c>
      <c r="AA116" s="23" t="str">
        <f ca="1">IFERROR(__xludf.DUMMYFUNCTION("""COMPUTED_VALUE"""),"Khách sạn Shilla Monogram Quangnam Danang")</f>
        <v>Khách sạn Shilla Monogram Quangnam Danang</v>
      </c>
      <c r="AB116" s="23" t="str">
        <f ca="1">IFERROR(__xludf.DUMMYFUNCTION("""COMPUTED_VALUE"""),"Nhà hàng")</f>
        <v>Nhà hàng</v>
      </c>
      <c r="AC116" s="23"/>
      <c r="AD116" s="23" t="str">
        <f ca="1">IFERROR(__xludf.DUMMYFUNCTION("""COMPUTED_VALUE"""),"sinh viên phải đảm bảo ko quá 5sv/nhà hàng")</f>
        <v>sinh viên phải đảm bảo ko quá 5sv/nhà hàng</v>
      </c>
      <c r="AE116" s="23" t="str">
        <f ca="1">IFERROR(__xludf.DUMMYFUNCTION("""COMPUTED_VALUE"""),"")</f>
        <v/>
      </c>
      <c r="AF116" s="23" t="str">
        <f ca="1">IFERROR(__xludf.DUMMYFUNCTION("""COMPUTED_VALUE"""),"CHUYÊN ĐỀ")</f>
        <v>CHUYÊN ĐỀ</v>
      </c>
      <c r="AG116" s="23" t="str">
        <f ca="1">IFERROR(__xludf.DUMMYFUNCTION("""COMPUTED_VALUE"""),"Đặng Thị Thùy Trang")</f>
        <v>Đặng Thị Thùy Trang</v>
      </c>
    </row>
    <row r="117" spans="1:33" ht="12.75" x14ac:dyDescent="0.2">
      <c r="A117" s="26">
        <f ca="1">IFERROR(__xludf.DUMMYFUNCTION("""COMPUTED_VALUE"""),45695.0153363888)</f>
        <v>45695.015336388802</v>
      </c>
      <c r="B117" s="23" t="str">
        <f ca="1">IFERROR(__xludf.DUMMYFUNCTION("""COMPUTED_VALUE"""),"thanhthao260923@gmail.com")</f>
        <v>thanhthao260923@gmail.com</v>
      </c>
      <c r="C117" s="23">
        <f ca="1">IFERROR(__xludf.DUMMYFUNCTION("""COMPUTED_VALUE"""),27207142387)</f>
        <v>27207142387</v>
      </c>
      <c r="D117" s="23" t="str">
        <f ca="1">IFERROR(__xludf.DUMMYFUNCTION("""COMPUTED_VALUE"""),"Hoàng Thị Thanh Thảo")</f>
        <v>Hoàng Thị Thanh Thảo</v>
      </c>
      <c r="E117" s="27">
        <f ca="1">IFERROR(__xludf.DUMMYFUNCTION("""COMPUTED_VALUE"""),37890)</f>
        <v>37890</v>
      </c>
      <c r="F117" s="23" t="str">
        <f ca="1">IFERROR(__xludf.DUMMYFUNCTION("""COMPUTED_VALUE"""),"PSUDLK1")</f>
        <v>PSUDLK1</v>
      </c>
      <c r="G117" s="23" t="str">
        <f ca="1">IFERROR(__xludf.DUMMYFUNCTION("""COMPUTED_VALUE"""),"Quản trị Du lịch &amp; Khách sạn chuẩn PSU")</f>
        <v>Quản trị Du lịch &amp; Khách sạn chuẩn PSU</v>
      </c>
      <c r="H117" s="23">
        <f ca="1">IFERROR(__xludf.DUMMYFUNCTION("""COMPUTED_VALUE"""),27)</f>
        <v>27</v>
      </c>
      <c r="I117" s="23" t="str">
        <f ca="1">IFERROR(__xludf.DUMMYFUNCTION("""COMPUTED_VALUE"""),"0792659443")</f>
        <v>0792659443</v>
      </c>
      <c r="J117" s="23" t="str">
        <f ca="1">IFERROR(__xludf.DUMMYFUNCTION("""COMPUTED_VALUE"""),"Chuyên đề")</f>
        <v>Chuyên đề</v>
      </c>
      <c r="K117" s="23" t="str">
        <f ca="1">IFERROR(__xludf.DUMMYFUNCTION("""COMPUTED_VALUE"""),"Khách sạn Shilla Monogram Quangnam Danang")</f>
        <v>Khách sạn Shilla Monogram Quangnam Danang</v>
      </c>
      <c r="L117" s="23"/>
      <c r="M117" s="23" t="str">
        <f ca="1">IFERROR(__xludf.DUMMYFUNCTION("""COMPUTED_VALUE"""),"Lạc Long Quân, Điện Ngọc, Điện Bàn, Quảng Nam")</f>
        <v>Lạc Long Quân, Điện Ngọc, Điện Bàn, Quảng Nam</v>
      </c>
      <c r="N117" s="23" t="str">
        <f ca="1">IFERROR(__xludf.DUMMYFUNCTION("""COMPUTED_VALUE"""),"Quảng Nam")</f>
        <v>Quảng Nam</v>
      </c>
      <c r="O117" s="23" t="str">
        <f ca="1">IFERROR(__xludf.DUMMYFUNCTION("""COMPUTED_VALUE"""),"Nhà hàng")</f>
        <v>Nhà hàng</v>
      </c>
      <c r="P117" s="23"/>
      <c r="Q117" s="23" t="str">
        <f ca="1">IFERROR(__xludf.DUMMYFUNCTION("""COMPUTED_VALUE"""),"24/01/2025")</f>
        <v>24/01/2025</v>
      </c>
      <c r="R117" s="23" t="str">
        <f ca="1">IFERROR(__xludf.DUMMYFUNCTION("""COMPUTED_VALUE"""),"cam kết")</f>
        <v>cam kết</v>
      </c>
      <c r="S117" s="23" t="str">
        <f ca="1">IFERROR(__xludf.DUMMYFUNCTION("""COMPUTED_VALUE"""),"Chuyên đề")</f>
        <v>Chuyên đề</v>
      </c>
      <c r="T117" s="23" t="str">
        <f ca="1">IFERROR(__xludf.DUMMYFUNCTION("""COMPUTED_VALUE"""),"Hồ Sử Minh Tài")</f>
        <v>Hồ Sử Minh Tài</v>
      </c>
      <c r="U117" s="27">
        <f ca="1">IFERROR(__xludf.DUMMYFUNCTION("""COMPUTED_VALUE"""),45693)</f>
        <v>45693</v>
      </c>
      <c r="V117" s="27">
        <f ca="1">IFERROR(__xludf.DUMMYFUNCTION("""COMPUTED_VALUE"""),45782)</f>
        <v>45782</v>
      </c>
      <c r="W117" s="23">
        <f ca="1">IFERROR(__xludf.DUMMYFUNCTION("""COMPUTED_VALUE"""),116)</f>
        <v>116</v>
      </c>
      <c r="X117" s="28">
        <f ca="1">IFERROR(__xludf.DUMMYFUNCTION("""COMPUTED_VALUE"""),45779)</f>
        <v>45779</v>
      </c>
      <c r="Y117" s="23" t="str">
        <f ca="1">IFERROR(__xludf.DUMMYFUNCTION("""COMPUTED_VALUE"""),"DUYỆT")</f>
        <v>DUYỆT</v>
      </c>
      <c r="Z117" s="23" t="str">
        <f ca="1">IFERROR(__xludf.DUMMYFUNCTION("""COMPUTED_VALUE"""),"22/01/2025")</f>
        <v>22/01/2025</v>
      </c>
      <c r="AA117" s="23" t="str">
        <f ca="1">IFERROR(__xludf.DUMMYFUNCTION("""COMPUTED_VALUE"""),"Khách sạn Shilla Monogram Quangnam Danang")</f>
        <v>Khách sạn Shilla Monogram Quangnam Danang</v>
      </c>
      <c r="AB117" s="23" t="str">
        <f ca="1">IFERROR(__xludf.DUMMYFUNCTION("""COMPUTED_VALUE"""),"Nhà hàng")</f>
        <v>Nhà hàng</v>
      </c>
      <c r="AC117" s="23"/>
      <c r="AD117" s="23" t="str">
        <f ca="1">IFERROR(__xludf.DUMMYFUNCTION("""COMPUTED_VALUE"""),"sinh viên phải đảm bảo ko quá 5sv/nhà hàng")</f>
        <v>sinh viên phải đảm bảo ko quá 5sv/nhà hàng</v>
      </c>
      <c r="AE117" s="23" t="str">
        <f ca="1">IFERROR(__xludf.DUMMYFUNCTION("""COMPUTED_VALUE"""),"")</f>
        <v/>
      </c>
      <c r="AF117" s="23" t="str">
        <f ca="1">IFERROR(__xludf.DUMMYFUNCTION("""COMPUTED_VALUE"""),"CHUYÊN ĐỀ")</f>
        <v>CHUYÊN ĐỀ</v>
      </c>
      <c r="AG117" s="23" t="str">
        <f ca="1">IFERROR(__xludf.DUMMYFUNCTION("""COMPUTED_VALUE"""),"Đặng Thị Thùy Trang")</f>
        <v>Đặng Thị Thùy Trang</v>
      </c>
    </row>
    <row r="118" spans="1:33" ht="12.75" x14ac:dyDescent="0.2">
      <c r="A118" s="26">
        <f ca="1">IFERROR(__xludf.DUMMYFUNCTION("""COMPUTED_VALUE"""),45678.8210344907)</f>
        <v>45678.821034490698</v>
      </c>
      <c r="B118" s="23" t="str">
        <f ca="1">IFERROR(__xludf.DUMMYFUNCTION("""COMPUTED_VALUE"""),"trungtoan0801@gmail.com")</f>
        <v>trungtoan0801@gmail.com</v>
      </c>
      <c r="C118" s="23">
        <f ca="1">IFERROR(__xludf.DUMMYFUNCTION("""COMPUTED_VALUE"""),26217129382)</f>
        <v>26217129382</v>
      </c>
      <c r="D118" s="23" t="str">
        <f ca="1">IFERROR(__xludf.DUMMYFUNCTION("""COMPUTED_VALUE"""),"Nguyễn Hữu Trung Toàn")</f>
        <v>Nguyễn Hữu Trung Toàn</v>
      </c>
      <c r="E118" s="27">
        <f ca="1">IFERROR(__xludf.DUMMYFUNCTION("""COMPUTED_VALUE"""),37264)</f>
        <v>37264</v>
      </c>
      <c r="F118" s="23" t="str">
        <f ca="1">IFERROR(__xludf.DUMMYFUNCTION("""COMPUTED_VALUE"""),"K26PSUDLK1")</f>
        <v>K26PSUDLK1</v>
      </c>
      <c r="G118" s="23" t="str">
        <f ca="1">IFERROR(__xludf.DUMMYFUNCTION("""COMPUTED_VALUE"""),"Quản trị Du lịch &amp; Khách sạn chuẩn PSU")</f>
        <v>Quản trị Du lịch &amp; Khách sạn chuẩn PSU</v>
      </c>
      <c r="H118" s="23">
        <f ca="1">IFERROR(__xludf.DUMMYFUNCTION("""COMPUTED_VALUE"""),26)</f>
        <v>26</v>
      </c>
      <c r="I118" s="23" t="str">
        <f ca="1">IFERROR(__xludf.DUMMYFUNCTION("""COMPUTED_VALUE"""),"0345576907")</f>
        <v>0345576907</v>
      </c>
      <c r="J118" s="23" t="str">
        <f ca="1">IFERROR(__xludf.DUMMYFUNCTION("""COMPUTED_VALUE"""),"Chuyên đề")</f>
        <v>Chuyên đề</v>
      </c>
      <c r="K118" s="23" t="str">
        <f ca="1">IFERROR(__xludf.DUMMYFUNCTION("""COMPUTED_VALUE"""),"Khách sạn Shilla Monogram Quangnam Danang")</f>
        <v>Khách sạn Shilla Monogram Quangnam Danang</v>
      </c>
      <c r="L118" s="23"/>
      <c r="M118" s="23" t="str">
        <f ca="1">IFERROR(__xludf.DUMMYFUNCTION("""COMPUTED_VALUE"""),"Lạc Long Quân, phường Điện Ngọc, xã Điện Bàn, tỉnh Quảng Nam")</f>
        <v>Lạc Long Quân, phường Điện Ngọc, xã Điện Bàn, tỉnh Quảng Nam</v>
      </c>
      <c r="N118" s="23" t="str">
        <f ca="1">IFERROR(__xludf.DUMMYFUNCTION("""COMPUTED_VALUE"""),"Quảng Nam")</f>
        <v>Quảng Nam</v>
      </c>
      <c r="O118" s="23" t="str">
        <f ca="1">IFERROR(__xludf.DUMMYFUNCTION("""COMPUTED_VALUE"""),"Nhà hàng")</f>
        <v>Nhà hàng</v>
      </c>
      <c r="P118" s="23"/>
      <c r="Q118" s="23" t="str">
        <f ca="1">IFERROR(__xludf.DUMMYFUNCTION("""COMPUTED_VALUE"""),"24/1/2025")</f>
        <v>24/1/2025</v>
      </c>
      <c r="R118" s="23" t="str">
        <f ca="1">IFERROR(__xludf.DUMMYFUNCTION("""COMPUTED_VALUE"""),"cam kết")</f>
        <v>cam kết</v>
      </c>
      <c r="S118" s="23" t="str">
        <f ca="1">IFERROR(__xludf.DUMMYFUNCTION("""COMPUTED_VALUE"""),"Chuyên đề")</f>
        <v>Chuyên đề</v>
      </c>
      <c r="T118" s="23" t="str">
        <f ca="1">IFERROR(__xludf.DUMMYFUNCTION("""COMPUTED_VALUE"""),"Hồ Sử Minh Tài")</f>
        <v>Hồ Sử Minh Tài</v>
      </c>
      <c r="U118" s="27">
        <f ca="1">IFERROR(__xludf.DUMMYFUNCTION("""COMPUTED_VALUE"""),45693)</f>
        <v>45693</v>
      </c>
      <c r="V118" s="27">
        <f ca="1">IFERROR(__xludf.DUMMYFUNCTION("""COMPUTED_VALUE"""),45782)</f>
        <v>45782</v>
      </c>
      <c r="W118" s="23">
        <f ca="1">IFERROR(__xludf.DUMMYFUNCTION("""COMPUTED_VALUE"""),117)</f>
        <v>117</v>
      </c>
      <c r="X118" s="28">
        <f ca="1">IFERROR(__xludf.DUMMYFUNCTION("""COMPUTED_VALUE"""),45779)</f>
        <v>45779</v>
      </c>
      <c r="Y118" s="23" t="str">
        <f ca="1">IFERROR(__xludf.DUMMYFUNCTION("""COMPUTED_VALUE"""),"DUYỆT")</f>
        <v>DUYỆT</v>
      </c>
      <c r="Z118" s="23" t="str">
        <f ca="1">IFERROR(__xludf.DUMMYFUNCTION("""COMPUTED_VALUE"""),"22/01/2025")</f>
        <v>22/01/2025</v>
      </c>
      <c r="AA118" s="23" t="str">
        <f ca="1">IFERROR(__xludf.DUMMYFUNCTION("""COMPUTED_VALUE"""),"Khách sạn Shilla Monogram Quangnam Danang")</f>
        <v>Khách sạn Shilla Monogram Quangnam Danang</v>
      </c>
      <c r="AB118" s="23" t="str">
        <f ca="1">IFERROR(__xludf.DUMMYFUNCTION("""COMPUTED_VALUE"""),"Nhà hàng")</f>
        <v>Nhà hàng</v>
      </c>
      <c r="AC118" s="23" t="str">
        <f ca="1">IFERROR(__xludf.DUMMYFUNCTION("""COMPUTED_VALUE"""),"ĐÃ NỘP")</f>
        <v>ĐÃ NỘP</v>
      </c>
      <c r="AD118" s="23" t="str">
        <f ca="1">IFERROR(__xludf.DUMMYFUNCTION("""COMPUTED_VALUE"""),"sinh viên phải đảm bảo ko quá 5sv/nhà hàng")</f>
        <v>sinh viên phải đảm bảo ko quá 5sv/nhà hàng</v>
      </c>
      <c r="AE118" s="23" t="str">
        <f ca="1">IFERROR(__xludf.DUMMYFUNCTION("""COMPUTED_VALUE"""),"")</f>
        <v/>
      </c>
      <c r="AF118" s="23" t="str">
        <f ca="1">IFERROR(__xludf.DUMMYFUNCTION("""COMPUTED_VALUE"""),"CHUYÊN ĐỀ")</f>
        <v>CHUYÊN ĐỀ</v>
      </c>
      <c r="AG118" s="23" t="str">
        <f ca="1">IFERROR(__xludf.DUMMYFUNCTION("""COMPUTED_VALUE"""),"Đặng Thị Thùy Trang")</f>
        <v>Đặng Thị Thùy Trang</v>
      </c>
    </row>
    <row r="119" spans="1:33" ht="12.75" x14ac:dyDescent="0.2">
      <c r="A119" s="26">
        <f ca="1">IFERROR(__xludf.DUMMYFUNCTION("""COMPUTED_VALUE"""),45678.8177136111)</f>
        <v>45678.817713611097</v>
      </c>
      <c r="B119" s="23" t="str">
        <f ca="1">IFERROR(__xludf.DUMMYFUNCTION("""COMPUTED_VALUE"""),"lamtuankiet2002yahoo@gmail.com")</f>
        <v>lamtuankiet2002yahoo@gmail.com</v>
      </c>
      <c r="C119" s="23">
        <f ca="1">IFERROR(__xludf.DUMMYFUNCTION("""COMPUTED_VALUE"""),26217126206)</f>
        <v>26217126206</v>
      </c>
      <c r="D119" s="23" t="str">
        <f ca="1">IFERROR(__xludf.DUMMYFUNCTION("""COMPUTED_VALUE"""),"Lâm Tuấn Kiệt")</f>
        <v>Lâm Tuấn Kiệt</v>
      </c>
      <c r="E119" s="27">
        <f ca="1">IFERROR(__xludf.DUMMYFUNCTION("""COMPUTED_VALUE"""),37318)</f>
        <v>37318</v>
      </c>
      <c r="F119" s="23" t="str">
        <f ca="1">IFERROR(__xludf.DUMMYFUNCTION("""COMPUTED_VALUE"""),"K26PSUSLK 1")</f>
        <v>K26PSUSLK 1</v>
      </c>
      <c r="G119" s="23" t="str">
        <f ca="1">IFERROR(__xludf.DUMMYFUNCTION("""COMPUTED_VALUE"""),"Quản trị Du lịch &amp; Khách sạn chuẩn PSU")</f>
        <v>Quản trị Du lịch &amp; Khách sạn chuẩn PSU</v>
      </c>
      <c r="H119" s="23">
        <f ca="1">IFERROR(__xludf.DUMMYFUNCTION("""COMPUTED_VALUE"""),26)</f>
        <v>26</v>
      </c>
      <c r="I119" s="23" t="str">
        <f ca="1">IFERROR(__xludf.DUMMYFUNCTION("""COMPUTED_VALUE"""),"0825000302")</f>
        <v>0825000302</v>
      </c>
      <c r="J119" s="23" t="str">
        <f ca="1">IFERROR(__xludf.DUMMYFUNCTION("""COMPUTED_VALUE"""),"Chuyên đề")</f>
        <v>Chuyên đề</v>
      </c>
      <c r="K119" s="23" t="str">
        <f ca="1">IFERROR(__xludf.DUMMYFUNCTION("""COMPUTED_VALUE"""),"Khách sạn Shilla Monogram Quangnam Danang")</f>
        <v>Khách sạn Shilla Monogram Quangnam Danang</v>
      </c>
      <c r="L119" s="23"/>
      <c r="M119" s="23" t="str">
        <f ca="1">IFERROR(__xludf.DUMMYFUNCTION("""COMPUTED_VALUE"""),"Lạc Long Quân, Phường Điện Ngọc, Thị xã Điện Bàn, Tỉnh Quảng Nam")</f>
        <v>Lạc Long Quân, Phường Điện Ngọc, Thị xã Điện Bàn, Tỉnh Quảng Nam</v>
      </c>
      <c r="N119" s="23" t="str">
        <f ca="1">IFERROR(__xludf.DUMMYFUNCTION("""COMPUTED_VALUE"""),"Quảng Nam")</f>
        <v>Quảng Nam</v>
      </c>
      <c r="O119" s="23" t="str">
        <f ca="1">IFERROR(__xludf.DUMMYFUNCTION("""COMPUTED_VALUE"""),"Nhà hàng")</f>
        <v>Nhà hàng</v>
      </c>
      <c r="P119" s="23"/>
      <c r="Q119" s="23" t="str">
        <f ca="1">IFERROR(__xludf.DUMMYFUNCTION("""COMPUTED_VALUE"""),"24/01/2025")</f>
        <v>24/01/2025</v>
      </c>
      <c r="R119" s="23" t="str">
        <f ca="1">IFERROR(__xludf.DUMMYFUNCTION("""COMPUTED_VALUE"""),"cam kết")</f>
        <v>cam kết</v>
      </c>
      <c r="S119" s="23" t="str">
        <f ca="1">IFERROR(__xludf.DUMMYFUNCTION("""COMPUTED_VALUE"""),"Chuyên đề")</f>
        <v>Chuyên đề</v>
      </c>
      <c r="T119" s="23" t="str">
        <f ca="1">IFERROR(__xludf.DUMMYFUNCTION("""COMPUTED_VALUE"""),"Hồ Sử Minh Tài")</f>
        <v>Hồ Sử Minh Tài</v>
      </c>
      <c r="U119" s="27">
        <f ca="1">IFERROR(__xludf.DUMMYFUNCTION("""COMPUTED_VALUE"""),45693)</f>
        <v>45693</v>
      </c>
      <c r="V119" s="27">
        <f ca="1">IFERROR(__xludf.DUMMYFUNCTION("""COMPUTED_VALUE"""),45782)</f>
        <v>45782</v>
      </c>
      <c r="W119" s="23">
        <f ca="1">IFERROR(__xludf.DUMMYFUNCTION("""COMPUTED_VALUE"""),118)</f>
        <v>118</v>
      </c>
      <c r="X119" s="28">
        <f ca="1">IFERROR(__xludf.DUMMYFUNCTION("""COMPUTED_VALUE"""),45779)</f>
        <v>45779</v>
      </c>
      <c r="Y119" s="23" t="str">
        <f ca="1">IFERROR(__xludf.DUMMYFUNCTION("""COMPUTED_VALUE"""),"DUYỆT")</f>
        <v>DUYỆT</v>
      </c>
      <c r="Z119" s="23" t="str">
        <f ca="1">IFERROR(__xludf.DUMMYFUNCTION("""COMPUTED_VALUE"""),"22/01/2025")</f>
        <v>22/01/2025</v>
      </c>
      <c r="AA119" s="23" t="str">
        <f ca="1">IFERROR(__xludf.DUMMYFUNCTION("""COMPUTED_VALUE"""),"Khách sạn Shilla Monogram Quangnam Danang")</f>
        <v>Khách sạn Shilla Monogram Quangnam Danang</v>
      </c>
      <c r="AB119" s="23" t="str">
        <f ca="1">IFERROR(__xludf.DUMMYFUNCTION("""COMPUTED_VALUE"""),"Nhà hàng")</f>
        <v>Nhà hàng</v>
      </c>
      <c r="AC119" s="23" t="str">
        <f ca="1">IFERROR(__xludf.DUMMYFUNCTION("""COMPUTED_VALUE"""),"ĐÃ NỘP")</f>
        <v>ĐÃ NỘP</v>
      </c>
      <c r="AD119" s="23" t="str">
        <f ca="1">IFERROR(__xludf.DUMMYFUNCTION("""COMPUTED_VALUE"""),"sinh viên phải đảm bảo ko quá 5sv/nhà hàng")</f>
        <v>sinh viên phải đảm bảo ko quá 5sv/nhà hàng</v>
      </c>
      <c r="AE119" s="23" t="str">
        <f ca="1">IFERROR(__xludf.DUMMYFUNCTION("""COMPUTED_VALUE"""),"")</f>
        <v/>
      </c>
      <c r="AF119" s="23" t="str">
        <f ca="1">IFERROR(__xludf.DUMMYFUNCTION("""COMPUTED_VALUE"""),"CHUYÊN ĐỀ")</f>
        <v>CHUYÊN ĐỀ</v>
      </c>
      <c r="AG119" s="23" t="str">
        <f ca="1">IFERROR(__xludf.DUMMYFUNCTION("""COMPUTED_VALUE"""),"Đặng Thị Thùy Trang")</f>
        <v>Đặng Thị Thùy Trang</v>
      </c>
    </row>
    <row r="120" spans="1:33" ht="12.75" x14ac:dyDescent="0.2">
      <c r="A120" s="26">
        <f ca="1">IFERROR(__xludf.DUMMYFUNCTION("""COMPUTED_VALUE"""),45678.8464338888)</f>
        <v>45678.846433888801</v>
      </c>
      <c r="B120" s="23" t="str">
        <f ca="1">IFERROR(__xludf.DUMMYFUNCTION("""COMPUTED_VALUE"""),"hochilynt@gmail.com")</f>
        <v>hochilynt@gmail.com</v>
      </c>
      <c r="C120" s="23">
        <f ca="1">IFERROR(__xludf.DUMMYFUNCTION("""COMPUTED_VALUE"""),26217133260)</f>
        <v>26217133260</v>
      </c>
      <c r="D120" s="23" t="str">
        <f ca="1">IFERROR(__xludf.DUMMYFUNCTION("""COMPUTED_VALUE"""),"Hồ Chí Lý")</f>
        <v>Hồ Chí Lý</v>
      </c>
      <c r="E120" s="27">
        <f ca="1">IFERROR(__xludf.DUMMYFUNCTION("""COMPUTED_VALUE"""),37537)</f>
        <v>37537</v>
      </c>
      <c r="F120" s="23" t="str">
        <f ca="1">IFERROR(__xludf.DUMMYFUNCTION("""COMPUTED_VALUE"""),"K26PSU-DLK1")</f>
        <v>K26PSU-DLK1</v>
      </c>
      <c r="G120" s="23" t="str">
        <f ca="1">IFERROR(__xludf.DUMMYFUNCTION("""COMPUTED_VALUE"""),"Quản trị Du lịch &amp; Khách sạn chuẩn PSU")</f>
        <v>Quản trị Du lịch &amp; Khách sạn chuẩn PSU</v>
      </c>
      <c r="H120" s="23">
        <f ca="1">IFERROR(__xludf.DUMMYFUNCTION("""COMPUTED_VALUE"""),26)</f>
        <v>26</v>
      </c>
      <c r="I120" s="23" t="str">
        <f ca="1">IFERROR(__xludf.DUMMYFUNCTION("""COMPUTED_VALUE"""),"0396970457")</f>
        <v>0396970457</v>
      </c>
      <c r="J120" s="23" t="str">
        <f ca="1">IFERROR(__xludf.DUMMYFUNCTION("""COMPUTED_VALUE"""),"Chuyên đề")</f>
        <v>Chuyên đề</v>
      </c>
      <c r="K120" s="23" t="str">
        <f ca="1">IFERROR(__xludf.DUMMYFUNCTION("""COMPUTED_VALUE"""),"Khách sạn Shilla Monogram Quangnam Danang")</f>
        <v>Khách sạn Shilla Monogram Quangnam Danang</v>
      </c>
      <c r="L120" s="23"/>
      <c r="M120" s="23" t="str">
        <f ca="1">IFERROR(__xludf.DUMMYFUNCTION("""COMPUTED_VALUE"""),"Lạc Long Quân, phường Điện Ngọc, thị xã Điện Bàn, tỉnh Quảng Nam, Việt Nam")</f>
        <v>Lạc Long Quân, phường Điện Ngọc, thị xã Điện Bàn, tỉnh Quảng Nam, Việt Nam</v>
      </c>
      <c r="N120" s="23" t="str">
        <f ca="1">IFERROR(__xludf.DUMMYFUNCTION("""COMPUTED_VALUE"""),"Quảng Nam")</f>
        <v>Quảng Nam</v>
      </c>
      <c r="O120" s="23" t="str">
        <f ca="1">IFERROR(__xludf.DUMMYFUNCTION("""COMPUTED_VALUE"""),"Nhà hàng")</f>
        <v>Nhà hàng</v>
      </c>
      <c r="P120" s="23"/>
      <c r="Q120" s="23" t="str">
        <f ca="1">IFERROR(__xludf.DUMMYFUNCTION("""COMPUTED_VALUE"""),"24/01/2025")</f>
        <v>24/01/2025</v>
      </c>
      <c r="R120" s="23" t="str">
        <f ca="1">IFERROR(__xludf.DUMMYFUNCTION("""COMPUTED_VALUE"""),"cam kết")</f>
        <v>cam kết</v>
      </c>
      <c r="S120" s="23" t="str">
        <f ca="1">IFERROR(__xludf.DUMMYFUNCTION("""COMPUTED_VALUE"""),"Chuyên đề")</f>
        <v>Chuyên đề</v>
      </c>
      <c r="T120" s="23" t="str">
        <f ca="1">IFERROR(__xludf.DUMMYFUNCTION("""COMPUTED_VALUE"""),"Hồ Sử Minh Tài")</f>
        <v>Hồ Sử Minh Tài</v>
      </c>
      <c r="U120" s="27">
        <f ca="1">IFERROR(__xludf.DUMMYFUNCTION("""COMPUTED_VALUE"""),45693)</f>
        <v>45693</v>
      </c>
      <c r="V120" s="27">
        <f ca="1">IFERROR(__xludf.DUMMYFUNCTION("""COMPUTED_VALUE"""),45782)</f>
        <v>45782</v>
      </c>
      <c r="W120" s="23">
        <f ca="1">IFERROR(__xludf.DUMMYFUNCTION("""COMPUTED_VALUE"""),119)</f>
        <v>119</v>
      </c>
      <c r="X120" s="28">
        <f ca="1">IFERROR(__xludf.DUMMYFUNCTION("""COMPUTED_VALUE"""),45779)</f>
        <v>45779</v>
      </c>
      <c r="Y120" s="23" t="str">
        <f ca="1">IFERROR(__xludf.DUMMYFUNCTION("""COMPUTED_VALUE"""),"DUYỆT")</f>
        <v>DUYỆT</v>
      </c>
      <c r="Z120" s="23" t="str">
        <f ca="1">IFERROR(__xludf.DUMMYFUNCTION("""COMPUTED_VALUE"""),"22/01/2025")</f>
        <v>22/01/2025</v>
      </c>
      <c r="AA120" s="23" t="str">
        <f ca="1">IFERROR(__xludf.DUMMYFUNCTION("""COMPUTED_VALUE"""),"Khách sạn Shilla Monogram Quangnam Danang")</f>
        <v>Khách sạn Shilla Monogram Quangnam Danang</v>
      </c>
      <c r="AB120" s="23" t="str">
        <f ca="1">IFERROR(__xludf.DUMMYFUNCTION("""COMPUTED_VALUE"""),"Nhà hàng")</f>
        <v>Nhà hàng</v>
      </c>
      <c r="AC120" s="23" t="str">
        <f ca="1">IFERROR(__xludf.DUMMYFUNCTION("""COMPUTED_VALUE"""),"ĐÃ NỘP")</f>
        <v>ĐÃ NỘP</v>
      </c>
      <c r="AD120" s="23" t="str">
        <f ca="1">IFERROR(__xludf.DUMMYFUNCTION("""COMPUTED_VALUE"""),"sinh viên phải đảm bảo ko quá 5sv/nhà hàng")</f>
        <v>sinh viên phải đảm bảo ko quá 5sv/nhà hàng</v>
      </c>
      <c r="AE120" s="23" t="str">
        <f ca="1">IFERROR(__xludf.DUMMYFUNCTION("""COMPUTED_VALUE"""),"")</f>
        <v/>
      </c>
      <c r="AF120" s="23" t="str">
        <f ca="1">IFERROR(__xludf.DUMMYFUNCTION("""COMPUTED_VALUE"""),"CHUYÊN ĐỀ")</f>
        <v>CHUYÊN ĐỀ</v>
      </c>
      <c r="AG120" s="23" t="str">
        <f ca="1">IFERROR(__xludf.DUMMYFUNCTION("""COMPUTED_VALUE"""),"Đặng Thị Thùy Trang")</f>
        <v>Đặng Thị Thùy Trang</v>
      </c>
    </row>
    <row r="121" spans="1:33" ht="12.75" x14ac:dyDescent="0.2">
      <c r="A121" s="26">
        <f ca="1">IFERROR(__xludf.DUMMYFUNCTION("""COMPUTED_VALUE"""),45678.8680590856)</f>
        <v>45678.868059085602</v>
      </c>
      <c r="B121" s="23" t="str">
        <f ca="1">IFERROR(__xludf.DUMMYFUNCTION("""COMPUTED_VALUE"""),"letanhuy2010@gmail.com")</f>
        <v>letanhuy2010@gmail.com</v>
      </c>
      <c r="C121" s="23">
        <f ca="1">IFERROR(__xludf.DUMMYFUNCTION("""COMPUTED_VALUE"""),27217140939)</f>
        <v>27217140939</v>
      </c>
      <c r="D121" s="23" t="str">
        <f ca="1">IFERROR(__xludf.DUMMYFUNCTION("""COMPUTED_VALUE"""),"Lê Tấn Huy")</f>
        <v>Lê Tấn Huy</v>
      </c>
      <c r="E121" s="27">
        <f ca="1">IFERROR(__xludf.DUMMYFUNCTION("""COMPUTED_VALUE"""),37914)</f>
        <v>37914</v>
      </c>
      <c r="F121" s="23" t="str">
        <f ca="1">IFERROR(__xludf.DUMMYFUNCTION("""COMPUTED_VALUE"""),"K27DLK 6")</f>
        <v>K27DLK 6</v>
      </c>
      <c r="G121" s="23" t="str">
        <f ca="1">IFERROR(__xludf.DUMMYFUNCTION("""COMPUTED_VALUE"""),"Quản trị Du lịch &amp; Khách sạn")</f>
        <v>Quản trị Du lịch &amp; Khách sạn</v>
      </c>
      <c r="H121" s="23">
        <f ca="1">IFERROR(__xludf.DUMMYFUNCTION("""COMPUTED_VALUE"""),27)</f>
        <v>27</v>
      </c>
      <c r="I121" s="23" t="str">
        <f ca="1">IFERROR(__xludf.DUMMYFUNCTION("""COMPUTED_VALUE"""),"0774591249")</f>
        <v>0774591249</v>
      </c>
      <c r="J121" s="23" t="str">
        <f ca="1">IFERROR(__xludf.DUMMYFUNCTION("""COMPUTED_VALUE"""),"Chuyên đề")</f>
        <v>Chuyên đề</v>
      </c>
      <c r="K121" s="23" t="str">
        <f ca="1">IFERROR(__xludf.DUMMYFUNCTION("""COMPUTED_VALUE"""),"Vanda Hotel")</f>
        <v>Vanda Hotel</v>
      </c>
      <c r="L121" s="23"/>
      <c r="M121" s="23" t="str">
        <f ca="1">IFERROR(__xludf.DUMMYFUNCTION("""COMPUTED_VALUE"""),"03 Nguyễn Văn Linh")</f>
        <v>03 Nguyễn Văn Linh</v>
      </c>
      <c r="N121" s="23" t="str">
        <f ca="1">IFERROR(__xludf.DUMMYFUNCTION("""COMPUTED_VALUE"""),"Đà Nẵng ")</f>
        <v xml:space="preserve">Đà Nẵng </v>
      </c>
      <c r="O121" s="23" t="str">
        <f ca="1">IFERROR(__xludf.DUMMYFUNCTION("""COMPUTED_VALUE"""),"Nhà hàng")</f>
        <v>Nhà hàng</v>
      </c>
      <c r="P121" s="23"/>
      <c r="Q121" s="23" t="str">
        <f ca="1">IFERROR(__xludf.DUMMYFUNCTION("""COMPUTED_VALUE"""),"18/02/2025")</f>
        <v>18/02/2025</v>
      </c>
      <c r="R121" s="23" t="str">
        <f ca="1">IFERROR(__xludf.DUMMYFUNCTION("""COMPUTED_VALUE"""),"cam kết")</f>
        <v>cam kết</v>
      </c>
      <c r="S121" s="23" t="str">
        <f ca="1">IFERROR(__xludf.DUMMYFUNCTION("""COMPUTED_VALUE"""),"Chuyên đề")</f>
        <v>Chuyên đề</v>
      </c>
      <c r="T121" s="23"/>
      <c r="U121" s="27">
        <f ca="1">IFERROR(__xludf.DUMMYFUNCTION("""COMPUTED_VALUE"""),45698)</f>
        <v>45698</v>
      </c>
      <c r="V121" s="27">
        <f ca="1">IFERROR(__xludf.DUMMYFUNCTION("""COMPUTED_VALUE"""),45787)</f>
        <v>45787</v>
      </c>
      <c r="W121" s="23">
        <f ca="1">IFERROR(__xludf.DUMMYFUNCTION("""COMPUTED_VALUE"""),120)</f>
        <v>120</v>
      </c>
      <c r="X121" s="23" t="str">
        <f ca="1">IFERROR(__xludf.DUMMYFUNCTION("""COMPUTED_VALUE"""),"22/01/2025")</f>
        <v>22/01/2025</v>
      </c>
      <c r="Y121" s="23" t="str">
        <f ca="1">IFERROR(__xludf.DUMMYFUNCTION("""COMPUTED_VALUE"""),"DUYỆT")</f>
        <v>DUYỆT</v>
      </c>
      <c r="Z121" s="23" t="str">
        <f ca="1">IFERROR(__xludf.DUMMYFUNCTION("""COMPUTED_VALUE"""),"22/01/2025")</f>
        <v>22/01/2025</v>
      </c>
      <c r="AA121" s="23" t="str">
        <f ca="1">IFERROR(__xludf.DUMMYFUNCTION("""COMPUTED_VALUE"""),"Vanda Hotel")</f>
        <v>Vanda Hotel</v>
      </c>
      <c r="AB121" s="23" t="str">
        <f ca="1">IFERROR(__xludf.DUMMYFUNCTION("""COMPUTED_VALUE"""),"Nhà hàng")</f>
        <v>Nhà hàng</v>
      </c>
      <c r="AC121" s="23"/>
      <c r="AD121" s="23"/>
      <c r="AE121" s="23" t="str">
        <f ca="1">IFERROR(__xludf.DUMMYFUNCTION("""COMPUTED_VALUE"""),"")</f>
        <v/>
      </c>
      <c r="AF121" s="23" t="str">
        <f ca="1">IFERROR(__xludf.DUMMYFUNCTION("""COMPUTED_VALUE"""),"CHUYÊN ĐỀ")</f>
        <v>CHUYÊN ĐỀ</v>
      </c>
      <c r="AG121" s="23" t="str">
        <f ca="1">IFERROR(__xludf.DUMMYFUNCTION("""COMPUTED_VALUE"""),"Phan Thị Hồng Hải")</f>
        <v>Phan Thị Hồng Hải</v>
      </c>
    </row>
    <row r="122" spans="1:33" ht="12.75" x14ac:dyDescent="0.2">
      <c r="A122" s="26">
        <f ca="1">IFERROR(__xludf.DUMMYFUNCTION("""COMPUTED_VALUE"""),45678.9451415046)</f>
        <v>45678.945141504599</v>
      </c>
      <c r="B122" s="23" t="str">
        <f ca="1">IFERROR(__xludf.DUMMYFUNCTION("""COMPUTED_VALUE"""),"nguyentkimnguyen2@gmail.com")</f>
        <v>nguyentkimnguyen2@gmail.com</v>
      </c>
      <c r="C122" s="23">
        <f ca="1">IFERROR(__xludf.DUMMYFUNCTION("""COMPUTED_VALUE"""),27207130473)</f>
        <v>27207130473</v>
      </c>
      <c r="D122" s="23" t="str">
        <f ca="1">IFERROR(__xludf.DUMMYFUNCTION("""COMPUTED_VALUE"""),"Nguyễn Thị Kim Nguyên")</f>
        <v>Nguyễn Thị Kim Nguyên</v>
      </c>
      <c r="E122" s="27">
        <f ca="1">IFERROR(__xludf.DUMMYFUNCTION("""COMPUTED_VALUE"""),37654)</f>
        <v>37654</v>
      </c>
      <c r="F122" s="23" t="str">
        <f ca="1">IFERROR(__xludf.DUMMYFUNCTION("""COMPUTED_VALUE"""),"K27DLK3")</f>
        <v>K27DLK3</v>
      </c>
      <c r="G122" s="23" t="str">
        <f ca="1">IFERROR(__xludf.DUMMYFUNCTION("""COMPUTED_VALUE"""),"Quản trị Du lịch &amp; Khách sạn")</f>
        <v>Quản trị Du lịch &amp; Khách sạn</v>
      </c>
      <c r="H122" s="23">
        <f ca="1">IFERROR(__xludf.DUMMYFUNCTION("""COMPUTED_VALUE"""),27)</f>
        <v>27</v>
      </c>
      <c r="I122" s="23" t="str">
        <f ca="1">IFERROR(__xludf.DUMMYFUNCTION("""COMPUTED_VALUE"""),"0935822973")</f>
        <v>0935822973</v>
      </c>
      <c r="J122" s="23" t="str">
        <f ca="1">IFERROR(__xludf.DUMMYFUNCTION("""COMPUTED_VALUE"""),"Chuyên đề")</f>
        <v>Chuyên đề</v>
      </c>
      <c r="K122" s="23" t="str">
        <f ca="1">IFERROR(__xludf.DUMMYFUNCTION("""COMPUTED_VALUE"""),"Avatar Hotel ")</f>
        <v xml:space="preserve">Avatar Hotel </v>
      </c>
      <c r="L122" s="23" t="str">
        <f ca="1">IFERROR(__xludf.DUMMYFUNCTION("""COMPUTED_VALUE"""),"Khách sạn Avatar Đà Nẵng ")</f>
        <v xml:space="preserve">Khách sạn Avatar Đà Nẵng </v>
      </c>
      <c r="M122" s="23" t="str">
        <f ca="1">IFERROR(__xludf.DUMMYFUNCTION("""COMPUTED_VALUE"""),"104 Hoàng Kế Viêm")</f>
        <v>104 Hoàng Kế Viêm</v>
      </c>
      <c r="N122" s="23" t="str">
        <f ca="1">IFERROR(__xludf.DUMMYFUNCTION("""COMPUTED_VALUE"""),"Đà Nẵng")</f>
        <v>Đà Nẵng</v>
      </c>
      <c r="O122" s="23" t="str">
        <f ca="1">IFERROR(__xludf.DUMMYFUNCTION("""COMPUTED_VALUE"""),"Buồng phòng")</f>
        <v>Buồng phòng</v>
      </c>
      <c r="P122" s="23"/>
      <c r="Q122" s="23" t="str">
        <f ca="1">IFERROR(__xludf.DUMMYFUNCTION("""COMPUTED_VALUE"""),"20/01/2025")</f>
        <v>20/01/2025</v>
      </c>
      <c r="R122" s="23" t="str">
        <f ca="1">IFERROR(__xludf.DUMMYFUNCTION("""COMPUTED_VALUE"""),"cam kết")</f>
        <v>cam kết</v>
      </c>
      <c r="S122" s="23" t="str">
        <f ca="1">IFERROR(__xludf.DUMMYFUNCTION("""COMPUTED_VALUE"""),"Chuyên đề")</f>
        <v>Chuyên đề</v>
      </c>
      <c r="T122" s="23" t="str">
        <f ca="1">IFERROR(__xludf.DUMMYFUNCTION("""COMPUTED_VALUE"""),"Mai Thị Thương")</f>
        <v>Mai Thị Thương</v>
      </c>
      <c r="U122" s="27">
        <f ca="1">IFERROR(__xludf.DUMMYFUNCTION("""COMPUTED_VALUE"""),45670)</f>
        <v>45670</v>
      </c>
      <c r="V122" s="27">
        <f ca="1">IFERROR(__xludf.DUMMYFUNCTION("""COMPUTED_VALUE"""),45768)</f>
        <v>45768</v>
      </c>
      <c r="W122" s="23">
        <f ca="1">IFERROR(__xludf.DUMMYFUNCTION("""COMPUTED_VALUE"""),121)</f>
        <v>121</v>
      </c>
      <c r="X122" s="23" t="str">
        <f ca="1">IFERROR(__xludf.DUMMYFUNCTION("""COMPUTED_VALUE"""),"23/01/2025")</f>
        <v>23/01/2025</v>
      </c>
      <c r="Y122" s="23" t="str">
        <f ca="1">IFERROR(__xludf.DUMMYFUNCTION("""COMPUTED_VALUE"""),"DUYỆT")</f>
        <v>DUYỆT</v>
      </c>
      <c r="Z122" s="23" t="str">
        <f ca="1">IFERROR(__xludf.DUMMYFUNCTION("""COMPUTED_VALUE"""),"22/01/2025")</f>
        <v>22/01/2025</v>
      </c>
      <c r="AA122" s="23" t="str">
        <f ca="1">IFERROR(__xludf.DUMMYFUNCTION("""COMPUTED_VALUE"""),"Khách sạn Avatar Đà Nẵng ")</f>
        <v xml:space="preserve">Khách sạn Avatar Đà Nẵng </v>
      </c>
      <c r="AB122" s="23" t="str">
        <f ca="1">IFERROR(__xludf.DUMMYFUNCTION("""COMPUTED_VALUE"""),"Buồng phòng")</f>
        <v>Buồng phòng</v>
      </c>
      <c r="AC122" s="23"/>
      <c r="AD122" s="23"/>
      <c r="AE122" s="23" t="str">
        <f ca="1">IFERROR(__xludf.DUMMYFUNCTION("""COMPUTED_VALUE"""),"")</f>
        <v/>
      </c>
      <c r="AF122" s="23" t="str">
        <f ca="1">IFERROR(__xludf.DUMMYFUNCTION("""COMPUTED_VALUE"""),"CHUYÊN ĐỀ")</f>
        <v>CHUYÊN ĐỀ</v>
      </c>
      <c r="AG122" s="23" t="str">
        <f ca="1">IFERROR(__xludf.DUMMYFUNCTION("""COMPUTED_VALUE"""),"Phạm Thị Thu Thủy")</f>
        <v>Phạm Thị Thu Thủy</v>
      </c>
    </row>
    <row r="123" spans="1:33" ht="12.75" x14ac:dyDescent="0.2">
      <c r="A123" s="26">
        <f ca="1">IFERROR(__xludf.DUMMYFUNCTION("""COMPUTED_VALUE"""),45678.9580763194)</f>
        <v>45678.958076319403</v>
      </c>
      <c r="B123" s="23" t="str">
        <f ca="1">IFERROR(__xludf.DUMMYFUNCTION("""COMPUTED_VALUE"""),"anhle.bc28@gmail.com")</f>
        <v>anhle.bc28@gmail.com</v>
      </c>
      <c r="C123" s="23">
        <f ca="1">IFERROR(__xludf.DUMMYFUNCTION("""COMPUTED_VALUE"""),27217146062)</f>
        <v>27217146062</v>
      </c>
      <c r="D123" s="23" t="str">
        <f ca="1">IFERROR(__xludf.DUMMYFUNCTION("""COMPUTED_VALUE"""),"Lê Quốc Anh")</f>
        <v>Lê Quốc Anh</v>
      </c>
      <c r="E123" s="27">
        <f ca="1">IFERROR(__xludf.DUMMYFUNCTION("""COMPUTED_VALUE"""),37830)</f>
        <v>37830</v>
      </c>
      <c r="F123" s="23" t="str">
        <f ca="1">IFERROR(__xludf.DUMMYFUNCTION("""COMPUTED_VALUE"""),"K27DLK7")</f>
        <v>K27DLK7</v>
      </c>
      <c r="G123" s="23" t="str">
        <f ca="1">IFERROR(__xludf.DUMMYFUNCTION("""COMPUTED_VALUE"""),"Quản trị Du lịch &amp; Khách sạn")</f>
        <v>Quản trị Du lịch &amp; Khách sạn</v>
      </c>
      <c r="H123" s="23">
        <f ca="1">IFERROR(__xludf.DUMMYFUNCTION("""COMPUTED_VALUE"""),27)</f>
        <v>27</v>
      </c>
      <c r="I123" s="23" t="str">
        <f ca="1">IFERROR(__xludf.DUMMYFUNCTION("""COMPUTED_VALUE"""),"0789472807")</f>
        <v>0789472807</v>
      </c>
      <c r="J123" s="23" t="str">
        <f ca="1">IFERROR(__xludf.DUMMYFUNCTION("""COMPUTED_VALUE"""),"Chuyên đề")</f>
        <v>Chuyên đề</v>
      </c>
      <c r="K123" s="23" t="str">
        <f ca="1">IFERROR(__xludf.DUMMYFUNCTION("""COMPUTED_VALUE"""),"Grand Mercure Đà Nẵng")</f>
        <v>Grand Mercure Đà Nẵng</v>
      </c>
      <c r="L123" s="23"/>
      <c r="M123" s="23" t="str">
        <f ca="1">IFERROR(__xludf.DUMMYFUNCTION("""COMPUTED_VALUE"""),"Lô A1, Khu biệt thự Đảo Xanh, Phường Hòa Cường Bắc, Quận Hải Châu, Thành phố Đà Nẵng")</f>
        <v>Lô A1, Khu biệt thự Đảo Xanh, Phường Hòa Cường Bắc, Quận Hải Châu, Thành phố Đà Nẵng</v>
      </c>
      <c r="N123" s="23" t="str">
        <f ca="1">IFERROR(__xludf.DUMMYFUNCTION("""COMPUTED_VALUE"""),"Đà Nẵng")</f>
        <v>Đà Nẵng</v>
      </c>
      <c r="O123" s="23" t="str">
        <f ca="1">IFERROR(__xludf.DUMMYFUNCTION("""COMPUTED_VALUE"""),"Nhà hàng")</f>
        <v>Nhà hàng</v>
      </c>
      <c r="P123" s="23"/>
      <c r="Q123" s="23" t="str">
        <f ca="1">IFERROR(__xludf.DUMMYFUNCTION("""COMPUTED_VALUE"""),"21/01/2025")</f>
        <v>21/01/2025</v>
      </c>
      <c r="R123" s="23" t="str">
        <f ca="1">IFERROR(__xludf.DUMMYFUNCTION("""COMPUTED_VALUE"""),"cam kết")</f>
        <v>cam kết</v>
      </c>
      <c r="S123" s="23" t="str">
        <f ca="1">IFERROR(__xludf.DUMMYFUNCTION("""COMPUTED_VALUE"""),"Chuyên đề")</f>
        <v>Chuyên đề</v>
      </c>
      <c r="T123" s="23" t="str">
        <f ca="1">IFERROR(__xludf.DUMMYFUNCTION("""COMPUTED_VALUE"""),"Dương Thị Xuân Diệu")</f>
        <v>Dương Thị Xuân Diệu</v>
      </c>
      <c r="U123" s="27">
        <f ca="1">IFERROR(__xludf.DUMMYFUNCTION("""COMPUTED_VALUE"""),45694)</f>
        <v>45694</v>
      </c>
      <c r="V123" s="27">
        <f ca="1">IFERROR(__xludf.DUMMYFUNCTION("""COMPUTED_VALUE"""),45783)</f>
        <v>45783</v>
      </c>
      <c r="W123" s="23">
        <f ca="1">IFERROR(__xludf.DUMMYFUNCTION("""COMPUTED_VALUE"""),122)</f>
        <v>122</v>
      </c>
      <c r="X123" s="23" t="str">
        <f ca="1">IFERROR(__xludf.DUMMYFUNCTION("""COMPUTED_VALUE"""),"22/01/2025")</f>
        <v>22/01/2025</v>
      </c>
      <c r="Y123" s="23" t="str">
        <f ca="1">IFERROR(__xludf.DUMMYFUNCTION("""COMPUTED_VALUE"""),"DUYỆT")</f>
        <v>DUYỆT</v>
      </c>
      <c r="Z123" s="23" t="str">
        <f ca="1">IFERROR(__xludf.DUMMYFUNCTION("""COMPUTED_VALUE"""),"22/01/2025")</f>
        <v>22/01/2025</v>
      </c>
      <c r="AA123" s="23" t="str">
        <f ca="1">IFERROR(__xludf.DUMMYFUNCTION("""COMPUTED_VALUE"""),"Grand Mercure Đà Nẵng")</f>
        <v>Grand Mercure Đà Nẵng</v>
      </c>
      <c r="AB123" s="23" t="str">
        <f ca="1">IFERROR(__xludf.DUMMYFUNCTION("""COMPUTED_VALUE"""),"Nhà hàng")</f>
        <v>Nhà hàng</v>
      </c>
      <c r="AC123" s="23"/>
      <c r="AD123" s="23"/>
      <c r="AE123" s="23" t="str">
        <f ca="1">IFERROR(__xludf.DUMMYFUNCTION("""COMPUTED_VALUE"""),"")</f>
        <v/>
      </c>
      <c r="AF123" s="23" t="str">
        <f ca="1">IFERROR(__xludf.DUMMYFUNCTION("""COMPUTED_VALUE"""),"CHUYÊN ĐỀ")</f>
        <v>CHUYÊN ĐỀ</v>
      </c>
      <c r="AG123" s="23" t="str">
        <f ca="1">IFERROR(__xludf.DUMMYFUNCTION("""COMPUTED_VALUE"""),"Võ Đức Hiếu")</f>
        <v>Võ Đức Hiếu</v>
      </c>
    </row>
    <row r="124" spans="1:33" ht="12.75" x14ac:dyDescent="0.2">
      <c r="A124" s="26">
        <f ca="1">IFERROR(__xludf.DUMMYFUNCTION("""COMPUTED_VALUE"""),45679.0118543865)</f>
        <v>45679.011854386503</v>
      </c>
      <c r="B124" s="23" t="str">
        <f ca="1">IFERROR(__xludf.DUMMYFUNCTION("""COMPUTED_VALUE"""),"hothidiem31082003@gmail.com")</f>
        <v>hothidiem31082003@gmail.com</v>
      </c>
      <c r="C124" s="23">
        <f ca="1">IFERROR(__xludf.DUMMYFUNCTION("""COMPUTED_VALUE"""),27207142513)</f>
        <v>27207142513</v>
      </c>
      <c r="D124" s="23" t="str">
        <f ca="1">IFERROR(__xludf.DUMMYFUNCTION("""COMPUTED_VALUE"""),"Hồ Thị Diễm")</f>
        <v>Hồ Thị Diễm</v>
      </c>
      <c r="E124" s="27">
        <f ca="1">IFERROR(__xludf.DUMMYFUNCTION("""COMPUTED_VALUE"""),37864)</f>
        <v>37864</v>
      </c>
      <c r="F124" s="23" t="str">
        <f ca="1">IFERROR(__xludf.DUMMYFUNCTION("""COMPUTED_VALUE"""),"K27DLK5")</f>
        <v>K27DLK5</v>
      </c>
      <c r="G124" s="23" t="str">
        <f ca="1">IFERROR(__xludf.DUMMYFUNCTION("""COMPUTED_VALUE"""),"Quản trị Du lịch &amp; Khách sạn")</f>
        <v>Quản trị Du lịch &amp; Khách sạn</v>
      </c>
      <c r="H124" s="23">
        <f ca="1">IFERROR(__xludf.DUMMYFUNCTION("""COMPUTED_VALUE"""),27)</f>
        <v>27</v>
      </c>
      <c r="I124" s="23" t="str">
        <f ca="1">IFERROR(__xludf.DUMMYFUNCTION("""COMPUTED_VALUE"""),"0325588074")</f>
        <v>0325588074</v>
      </c>
      <c r="J124" s="23" t="str">
        <f ca="1">IFERROR(__xludf.DUMMYFUNCTION("""COMPUTED_VALUE"""),"Chuyên đề")</f>
        <v>Chuyên đề</v>
      </c>
      <c r="K124" s="23" t="str">
        <f ca="1">IFERROR(__xludf.DUMMYFUNCTION("""COMPUTED_VALUE"""),"Satya Danang Hotel")</f>
        <v>Satya Danang Hotel</v>
      </c>
      <c r="L124" s="23"/>
      <c r="M124" s="23" t="str">
        <f ca="1">IFERROR(__xludf.DUMMYFUNCTION("""COMPUTED_VALUE"""),"155 Tran Phu, Hải Châu, Đà nẵng")</f>
        <v>155 Tran Phu, Hải Châu, Đà nẵng</v>
      </c>
      <c r="N124" s="23" t="str">
        <f ca="1">IFERROR(__xludf.DUMMYFUNCTION("""COMPUTED_VALUE"""),"Đà Nẵng")</f>
        <v>Đà Nẵng</v>
      </c>
      <c r="O124" s="23" t="str">
        <f ca="1">IFERROR(__xludf.DUMMYFUNCTION("""COMPUTED_VALUE"""),"Nhà hàng")</f>
        <v>Nhà hàng</v>
      </c>
      <c r="P124" s="23"/>
      <c r="Q124" s="23" t="str">
        <f ca="1">IFERROR(__xludf.DUMMYFUNCTION("""COMPUTED_VALUE"""),"22/01/2025")</f>
        <v>22/01/2025</v>
      </c>
      <c r="R124" s="23" t="str">
        <f ca="1">IFERROR(__xludf.DUMMYFUNCTION("""COMPUTED_VALUE"""),"cam kết")</f>
        <v>cam kết</v>
      </c>
      <c r="S124" s="23" t="str">
        <f ca="1">IFERROR(__xludf.DUMMYFUNCTION("""COMPUTED_VALUE"""),"Chuyên đề")</f>
        <v>Chuyên đề</v>
      </c>
      <c r="T124" s="23"/>
      <c r="U124" s="27">
        <f ca="1">IFERROR(__xludf.DUMMYFUNCTION("""COMPUTED_VALUE"""),45698)</f>
        <v>45698</v>
      </c>
      <c r="V124" s="27">
        <f ca="1">IFERROR(__xludf.DUMMYFUNCTION("""COMPUTED_VALUE"""),45787)</f>
        <v>45787</v>
      </c>
      <c r="W124" s="23">
        <f ca="1">IFERROR(__xludf.DUMMYFUNCTION("""COMPUTED_VALUE"""),123)</f>
        <v>123</v>
      </c>
      <c r="X124" s="23" t="str">
        <f ca="1">IFERROR(__xludf.DUMMYFUNCTION("""COMPUTED_VALUE"""),"22/01/2025")</f>
        <v>22/01/2025</v>
      </c>
      <c r="Y124" s="23" t="str">
        <f ca="1">IFERROR(__xludf.DUMMYFUNCTION("""COMPUTED_VALUE"""),"DUYỆT")</f>
        <v>DUYỆT</v>
      </c>
      <c r="Z124" s="23" t="str">
        <f ca="1">IFERROR(__xludf.DUMMYFUNCTION("""COMPUTED_VALUE"""),"22/01/2025")</f>
        <v>22/01/2025</v>
      </c>
      <c r="AA124" s="23" t="str">
        <f ca="1">IFERROR(__xludf.DUMMYFUNCTION("""COMPUTED_VALUE"""),"Satya Danang Hotel")</f>
        <v>Satya Danang Hotel</v>
      </c>
      <c r="AB124" s="23" t="str">
        <f ca="1">IFERROR(__xludf.DUMMYFUNCTION("""COMPUTED_VALUE"""),"Nhà hàng")</f>
        <v>Nhà hàng</v>
      </c>
      <c r="AC124" s="23"/>
      <c r="AD124" s="23"/>
      <c r="AE124" s="23" t="str">
        <f ca="1">IFERROR(__xludf.DUMMYFUNCTION("""COMPUTED_VALUE"""),"")</f>
        <v/>
      </c>
      <c r="AF124" s="23" t="str">
        <f ca="1">IFERROR(__xludf.DUMMYFUNCTION("""COMPUTED_VALUE"""),"CHUYÊN ĐỀ")</f>
        <v>CHUYÊN ĐỀ</v>
      </c>
      <c r="AG124" s="23" t="str">
        <f ca="1">IFERROR(__xludf.DUMMYFUNCTION("""COMPUTED_VALUE"""),"Huỳnh Lý Thùy Linh")</f>
        <v>Huỳnh Lý Thùy Linh</v>
      </c>
    </row>
    <row r="125" spans="1:33" ht="12.75" x14ac:dyDescent="0.2">
      <c r="A125" s="26">
        <f ca="1">IFERROR(__xludf.DUMMYFUNCTION("""COMPUTED_VALUE"""),45679.069299699)</f>
        <v>45679.069299698996</v>
      </c>
      <c r="B125" s="23" t="str">
        <f ca="1">IFERROR(__xludf.DUMMYFUNCTION("""COMPUTED_VALUE"""),"quyduongpro2003@gmail.com")</f>
        <v>quyduongpro2003@gmail.com</v>
      </c>
      <c r="C125" s="23">
        <f ca="1">IFERROR(__xludf.DUMMYFUNCTION("""COMPUTED_VALUE"""),27217125794)</f>
        <v>27217125794</v>
      </c>
      <c r="D125" s="23" t="str">
        <f ca="1">IFERROR(__xludf.DUMMYFUNCTION("""COMPUTED_VALUE"""),"Phạm Trần Quí Dương")</f>
        <v>Phạm Trần Quí Dương</v>
      </c>
      <c r="E125" s="27">
        <f ca="1">IFERROR(__xludf.DUMMYFUNCTION("""COMPUTED_VALUE"""),37771)</f>
        <v>37771</v>
      </c>
      <c r="F125" s="23" t="str">
        <f ca="1">IFERROR(__xludf.DUMMYFUNCTION("""COMPUTED_VALUE"""),"K27DLK 1")</f>
        <v>K27DLK 1</v>
      </c>
      <c r="G125" s="23" t="str">
        <f ca="1">IFERROR(__xludf.DUMMYFUNCTION("""COMPUTED_VALUE"""),"Quản trị Du lịch &amp; Khách sạn")</f>
        <v>Quản trị Du lịch &amp; Khách sạn</v>
      </c>
      <c r="H125" s="23">
        <f ca="1">IFERROR(__xludf.DUMMYFUNCTION("""COMPUTED_VALUE"""),27)</f>
        <v>27</v>
      </c>
      <c r="I125" s="23" t="str">
        <f ca="1">IFERROR(__xludf.DUMMYFUNCTION("""COMPUTED_VALUE"""),"0702566340")</f>
        <v>0702566340</v>
      </c>
      <c r="J125" s="23" t="str">
        <f ca="1">IFERROR(__xludf.DUMMYFUNCTION("""COMPUTED_VALUE"""),"Chuyên đề")</f>
        <v>Chuyên đề</v>
      </c>
      <c r="K125" s="23" t="str">
        <f ca="1">IFERROR(__xludf.DUMMYFUNCTION("""COMPUTED_VALUE"""),"Grand Mercure Đà Nẵng")</f>
        <v>Grand Mercure Đà Nẵng</v>
      </c>
      <c r="L125" s="23"/>
      <c r="M125" s="23" t="str">
        <f ca="1">IFERROR(__xludf.DUMMYFUNCTION("""COMPUTED_VALUE"""),"01 đảo xanh")</f>
        <v>01 đảo xanh</v>
      </c>
      <c r="N125" s="23" t="str">
        <f ca="1">IFERROR(__xludf.DUMMYFUNCTION("""COMPUTED_VALUE"""),"Đà nẵng ")</f>
        <v xml:space="preserve">Đà nẵng </v>
      </c>
      <c r="O125" s="23" t="str">
        <f ca="1">IFERROR(__xludf.DUMMYFUNCTION("""COMPUTED_VALUE"""),"Buồng phòng")</f>
        <v>Buồng phòng</v>
      </c>
      <c r="P125" s="23"/>
      <c r="Q125" s="23" t="str">
        <f ca="1">IFERROR(__xludf.DUMMYFUNCTION("""COMPUTED_VALUE"""),"22/1")</f>
        <v>22/1</v>
      </c>
      <c r="R125" s="23" t="str">
        <f ca="1">IFERROR(__xludf.DUMMYFUNCTION("""COMPUTED_VALUE"""),"cam kết")</f>
        <v>cam kết</v>
      </c>
      <c r="S125" s="23" t="str">
        <f ca="1">IFERROR(__xludf.DUMMYFUNCTION("""COMPUTED_VALUE"""),"Chuyên đề")</f>
        <v>Chuyên đề</v>
      </c>
      <c r="T125" s="23"/>
      <c r="U125" s="27">
        <f ca="1">IFERROR(__xludf.DUMMYFUNCTION("""COMPUTED_VALUE"""),45698)</f>
        <v>45698</v>
      </c>
      <c r="V125" s="27">
        <f ca="1">IFERROR(__xludf.DUMMYFUNCTION("""COMPUTED_VALUE"""),45786)</f>
        <v>45786</v>
      </c>
      <c r="W125" s="23">
        <f ca="1">IFERROR(__xludf.DUMMYFUNCTION("""COMPUTED_VALUE"""),124)</f>
        <v>124</v>
      </c>
      <c r="X125" s="23" t="str">
        <f ca="1">IFERROR(__xludf.DUMMYFUNCTION("""COMPUTED_VALUE"""),"22/01/2025")</f>
        <v>22/01/2025</v>
      </c>
      <c r="Y125" s="23" t="str">
        <f ca="1">IFERROR(__xludf.DUMMYFUNCTION("""COMPUTED_VALUE"""),"DUYỆT")</f>
        <v>DUYỆT</v>
      </c>
      <c r="Z125" s="23" t="str">
        <f ca="1">IFERROR(__xludf.DUMMYFUNCTION("""COMPUTED_VALUE"""),"22/01/2025")</f>
        <v>22/01/2025</v>
      </c>
      <c r="AA125" s="23" t="str">
        <f ca="1">IFERROR(__xludf.DUMMYFUNCTION("""COMPUTED_VALUE"""),"Grand Mercure Đà Nẵng")</f>
        <v>Grand Mercure Đà Nẵng</v>
      </c>
      <c r="AB125" s="23" t="str">
        <f ca="1">IFERROR(__xludf.DUMMYFUNCTION("""COMPUTED_VALUE"""),"Buồng phòng")</f>
        <v>Buồng phòng</v>
      </c>
      <c r="AC125" s="23"/>
      <c r="AD125" s="23"/>
      <c r="AE125" s="23" t="str">
        <f ca="1">IFERROR(__xludf.DUMMYFUNCTION("""COMPUTED_VALUE"""),"")</f>
        <v/>
      </c>
      <c r="AF125" s="23" t="str">
        <f ca="1">IFERROR(__xludf.DUMMYFUNCTION("""COMPUTED_VALUE"""),"CHUYÊN ĐỀ")</f>
        <v>CHUYÊN ĐỀ</v>
      </c>
      <c r="AG125" s="23" t="str">
        <f ca="1">IFERROR(__xludf.DUMMYFUNCTION("""COMPUTED_VALUE"""),"Nguyễn Thị Minh Thư")</f>
        <v>Nguyễn Thị Minh Thư</v>
      </c>
    </row>
    <row r="126" spans="1:33" ht="12.75" x14ac:dyDescent="0.2">
      <c r="A126" s="26">
        <f ca="1">IFERROR(__xludf.DUMMYFUNCTION("""COMPUTED_VALUE"""),45679.4234215856)</f>
        <v>45679.423421585598</v>
      </c>
      <c r="B126" s="23" t="str">
        <f ca="1">IFERROR(__xludf.DUMMYFUNCTION("""COMPUTED_VALUE"""),"phungvantho2020@gmail.com")</f>
        <v>phungvantho2020@gmail.com</v>
      </c>
      <c r="C126" s="23">
        <f ca="1">IFERROR(__xludf.DUMMYFUNCTION("""COMPUTED_VALUE"""),27217140277)</f>
        <v>27217140277</v>
      </c>
      <c r="D126" s="23" t="str">
        <f ca="1">IFERROR(__xludf.DUMMYFUNCTION("""COMPUTED_VALUE"""),"Phùng Văn Thọ")</f>
        <v>Phùng Văn Thọ</v>
      </c>
      <c r="E126" s="27">
        <f ca="1">IFERROR(__xludf.DUMMYFUNCTION("""COMPUTED_VALUE"""),37882)</f>
        <v>37882</v>
      </c>
      <c r="F126" s="23" t="str">
        <f ca="1">IFERROR(__xludf.DUMMYFUNCTION("""COMPUTED_VALUE"""),"K27DLK5")</f>
        <v>K27DLK5</v>
      </c>
      <c r="G126" s="23" t="str">
        <f ca="1">IFERROR(__xludf.DUMMYFUNCTION("""COMPUTED_VALUE"""),"Quản trị Du lịch &amp; Khách sạn")</f>
        <v>Quản trị Du lịch &amp; Khách sạn</v>
      </c>
      <c r="H126" s="23">
        <f ca="1">IFERROR(__xludf.DUMMYFUNCTION("""COMPUTED_VALUE"""),27)</f>
        <v>27</v>
      </c>
      <c r="I126" s="23" t="str">
        <f ca="1">IFERROR(__xludf.DUMMYFUNCTION("""COMPUTED_VALUE"""),"0905465510")</f>
        <v>0905465510</v>
      </c>
      <c r="J126" s="23" t="str">
        <f ca="1">IFERROR(__xludf.DUMMYFUNCTION("""COMPUTED_VALUE"""),"Chuyên đề")</f>
        <v>Chuyên đề</v>
      </c>
      <c r="K126" s="23" t="str">
        <f ca="1">IFERROR(__xludf.DUMMYFUNCTION("""COMPUTED_VALUE"""),"Balcona Hotel &amp; Spa")</f>
        <v>Balcona Hotel &amp; Spa</v>
      </c>
      <c r="L126" s="23"/>
      <c r="M126" s="23" t="str">
        <f ca="1">IFERROR(__xludf.DUMMYFUNCTION("""COMPUTED_VALUE"""),"288 Võ Nguyên Giáp")</f>
        <v>288 Võ Nguyên Giáp</v>
      </c>
      <c r="N126" s="23" t="str">
        <f ca="1">IFERROR(__xludf.DUMMYFUNCTION("""COMPUTED_VALUE"""),"Đà Nẵng")</f>
        <v>Đà Nẵng</v>
      </c>
      <c r="O126" s="23" t="str">
        <f ca="1">IFERROR(__xludf.DUMMYFUNCTION("""COMPUTED_VALUE"""),"Nhà hàng")</f>
        <v>Nhà hàng</v>
      </c>
      <c r="P126" s="23"/>
      <c r="Q126" s="23" t="str">
        <f ca="1">IFERROR(__xludf.DUMMYFUNCTION("""COMPUTED_VALUE"""),"22/01/2025")</f>
        <v>22/01/2025</v>
      </c>
      <c r="R126" s="23" t="str">
        <f ca="1">IFERROR(__xludf.DUMMYFUNCTION("""COMPUTED_VALUE"""),"cam kết")</f>
        <v>cam kết</v>
      </c>
      <c r="S126" s="23" t="str">
        <f ca="1">IFERROR(__xludf.DUMMYFUNCTION("""COMPUTED_VALUE"""),"Chuyên đề")</f>
        <v>Chuyên đề</v>
      </c>
      <c r="T126" s="23"/>
      <c r="U126" s="27">
        <f ca="1">IFERROR(__xludf.DUMMYFUNCTION("""COMPUTED_VALUE"""),45698)</f>
        <v>45698</v>
      </c>
      <c r="V126" s="27">
        <f ca="1">IFERROR(__xludf.DUMMYFUNCTION("""COMPUTED_VALUE"""),45787)</f>
        <v>45787</v>
      </c>
      <c r="W126" s="23">
        <f ca="1">IFERROR(__xludf.DUMMYFUNCTION("""COMPUTED_VALUE"""),125)</f>
        <v>125</v>
      </c>
      <c r="X126" s="23" t="str">
        <f ca="1">IFERROR(__xludf.DUMMYFUNCTION("""COMPUTED_VALUE"""),"22/01/2025")</f>
        <v>22/01/2025</v>
      </c>
      <c r="Y126" s="23" t="str">
        <f ca="1">IFERROR(__xludf.DUMMYFUNCTION("""COMPUTED_VALUE"""),"DUYỆT")</f>
        <v>DUYỆT</v>
      </c>
      <c r="Z126" s="23" t="str">
        <f ca="1">IFERROR(__xludf.DUMMYFUNCTION("""COMPUTED_VALUE"""),"22/01/2025")</f>
        <v>22/01/2025</v>
      </c>
      <c r="AA126" s="23" t="str">
        <f ca="1">IFERROR(__xludf.DUMMYFUNCTION("""COMPUTED_VALUE"""),"Balcona Hotel &amp; Spa")</f>
        <v>Balcona Hotel &amp; Spa</v>
      </c>
      <c r="AB126" s="23" t="str">
        <f ca="1">IFERROR(__xludf.DUMMYFUNCTION("""COMPUTED_VALUE"""),"Nhà hàng")</f>
        <v>Nhà hàng</v>
      </c>
      <c r="AC126" s="23"/>
      <c r="AD126" s="23"/>
      <c r="AE126" s="23" t="str">
        <f ca="1">IFERROR(__xludf.DUMMYFUNCTION("""COMPUTED_VALUE"""),"")</f>
        <v/>
      </c>
      <c r="AF126" s="23" t="str">
        <f ca="1">IFERROR(__xludf.DUMMYFUNCTION("""COMPUTED_VALUE"""),"CHUYÊN ĐỀ")</f>
        <v>CHUYÊN ĐỀ</v>
      </c>
      <c r="AG126" s="23" t="str">
        <f ca="1">IFERROR(__xludf.DUMMYFUNCTION("""COMPUTED_VALUE"""),"Phạm Thị Thu Thủy")</f>
        <v>Phạm Thị Thu Thủy</v>
      </c>
    </row>
    <row r="127" spans="1:33" ht="12.75" x14ac:dyDescent="0.2">
      <c r="A127" s="26">
        <f ca="1">IFERROR(__xludf.DUMMYFUNCTION("""COMPUTED_VALUE"""),45679.4307978125)</f>
        <v>45679.4307978125</v>
      </c>
      <c r="B127" s="23" t="str">
        <f ca="1">IFERROR(__xludf.DUMMYFUNCTION("""COMPUTED_VALUE"""),"tamlogang@gmail.com")</f>
        <v>tamlogang@gmail.com</v>
      </c>
      <c r="C127" s="23">
        <f ca="1">IFERROR(__xludf.DUMMYFUNCTION("""COMPUTED_VALUE"""),27217128480)</f>
        <v>27217128480</v>
      </c>
      <c r="D127" s="23" t="str">
        <f ca="1">IFERROR(__xludf.DUMMYFUNCTION("""COMPUTED_VALUE"""),"Y Tâm Hwing")</f>
        <v>Y Tâm Hwing</v>
      </c>
      <c r="E127" s="27">
        <f ca="1">IFERROR(__xludf.DUMMYFUNCTION("""COMPUTED_VALUE"""),37958)</f>
        <v>37958</v>
      </c>
      <c r="F127" s="23" t="str">
        <f ca="1">IFERROR(__xludf.DUMMYFUNCTION("""COMPUTED_VALUE"""),"K27DLK 6")</f>
        <v>K27DLK 6</v>
      </c>
      <c r="G127" s="23" t="str">
        <f ca="1">IFERROR(__xludf.DUMMYFUNCTION("""COMPUTED_VALUE"""),"Quản trị Du lịch &amp; Khách sạn")</f>
        <v>Quản trị Du lịch &amp; Khách sạn</v>
      </c>
      <c r="H127" s="23">
        <f ca="1">IFERROR(__xludf.DUMMYFUNCTION("""COMPUTED_VALUE"""),27)</f>
        <v>27</v>
      </c>
      <c r="I127" s="23" t="str">
        <f ca="1">IFERROR(__xludf.DUMMYFUNCTION("""COMPUTED_VALUE"""),"0947506358")</f>
        <v>0947506358</v>
      </c>
      <c r="J127" s="23" t="str">
        <f ca="1">IFERROR(__xludf.DUMMYFUNCTION("""COMPUTED_VALUE"""),"Chuyên đề")</f>
        <v>Chuyên đề</v>
      </c>
      <c r="K127" s="23" t="str">
        <f ca="1">IFERROR(__xludf.DUMMYFUNCTION("""COMPUTED_VALUE"""),"Vanda Hotel")</f>
        <v>Vanda Hotel</v>
      </c>
      <c r="L127" s="23"/>
      <c r="M127" s="23" t="str">
        <f ca="1">IFERROR(__xludf.DUMMYFUNCTION("""COMPUTED_VALUE"""),"03 Nguyễn Văn Linh-Hải Châu-Đà Nẵng")</f>
        <v>03 Nguyễn Văn Linh-Hải Châu-Đà Nẵng</v>
      </c>
      <c r="N127" s="23" t="str">
        <f ca="1">IFERROR(__xludf.DUMMYFUNCTION("""COMPUTED_VALUE"""),"Đà Nẵng")</f>
        <v>Đà Nẵng</v>
      </c>
      <c r="O127" s="23" t="str">
        <f ca="1">IFERROR(__xludf.DUMMYFUNCTION("""COMPUTED_VALUE"""),"Nhà hàng")</f>
        <v>Nhà hàng</v>
      </c>
      <c r="P127" s="23"/>
      <c r="Q127" s="23" t="str">
        <f ca="1">IFERROR(__xludf.DUMMYFUNCTION("""COMPUTED_VALUE"""),"22/1/2025")</f>
        <v>22/1/2025</v>
      </c>
      <c r="R127" s="23" t="str">
        <f ca="1">IFERROR(__xludf.DUMMYFUNCTION("""COMPUTED_VALUE"""),"cam kết")</f>
        <v>cam kết</v>
      </c>
      <c r="S127" s="23" t="str">
        <f ca="1">IFERROR(__xludf.DUMMYFUNCTION("""COMPUTED_VALUE"""),"Chuyên đề")</f>
        <v>Chuyên đề</v>
      </c>
      <c r="T127" s="23"/>
      <c r="U127" s="27">
        <f ca="1">IFERROR(__xludf.DUMMYFUNCTION("""COMPUTED_VALUE"""),45697)</f>
        <v>45697</v>
      </c>
      <c r="V127" s="27">
        <f ca="1">IFERROR(__xludf.DUMMYFUNCTION("""COMPUTED_VALUE"""),45787)</f>
        <v>45787</v>
      </c>
      <c r="W127" s="23">
        <f ca="1">IFERROR(__xludf.DUMMYFUNCTION("""COMPUTED_VALUE"""),126)</f>
        <v>126</v>
      </c>
      <c r="X127" s="23" t="str">
        <f ca="1">IFERROR(__xludf.DUMMYFUNCTION("""COMPUTED_VALUE"""),"22/01/2025")</f>
        <v>22/01/2025</v>
      </c>
      <c r="Y127" s="23" t="str">
        <f ca="1">IFERROR(__xludf.DUMMYFUNCTION("""COMPUTED_VALUE"""),"DUYỆT")</f>
        <v>DUYỆT</v>
      </c>
      <c r="Z127" s="23" t="str">
        <f ca="1">IFERROR(__xludf.DUMMYFUNCTION("""COMPUTED_VALUE"""),"22/01/2025")</f>
        <v>22/01/2025</v>
      </c>
      <c r="AA127" s="23" t="str">
        <f ca="1">IFERROR(__xludf.DUMMYFUNCTION("""COMPUTED_VALUE"""),"Vanda Hotel")</f>
        <v>Vanda Hotel</v>
      </c>
      <c r="AB127" s="23" t="str">
        <f ca="1">IFERROR(__xludf.DUMMYFUNCTION("""COMPUTED_VALUE"""),"Nhà hàng")</f>
        <v>Nhà hàng</v>
      </c>
      <c r="AC127" s="23"/>
      <c r="AD127" s="23"/>
      <c r="AE127" s="23" t="str">
        <f ca="1">IFERROR(__xludf.DUMMYFUNCTION("""COMPUTED_VALUE"""),"")</f>
        <v/>
      </c>
      <c r="AF127" s="23" t="str">
        <f ca="1">IFERROR(__xludf.DUMMYFUNCTION("""COMPUTED_VALUE"""),"CHUYÊN ĐỀ")</f>
        <v>CHUYÊN ĐỀ</v>
      </c>
      <c r="AG127" s="23" t="str">
        <f ca="1">IFERROR(__xludf.DUMMYFUNCTION("""COMPUTED_VALUE"""),"Phan Thị Hồng Hải")</f>
        <v>Phan Thị Hồng Hải</v>
      </c>
    </row>
    <row r="128" spans="1:33" ht="12.75" x14ac:dyDescent="0.2">
      <c r="A128" s="26">
        <f ca="1">IFERROR(__xludf.DUMMYFUNCTION("""COMPUTED_VALUE"""),45679.4607353356)</f>
        <v>45679.460735335597</v>
      </c>
      <c r="B128" s="23" t="str">
        <f ca="1">IFERROR(__xludf.DUMMYFUNCTION("""COMPUTED_VALUE"""),"tth23532@gmail.com")</f>
        <v>tth23532@gmail.com</v>
      </c>
      <c r="C128" s="23">
        <f ca="1">IFERROR(__xludf.DUMMYFUNCTION("""COMPUTED_VALUE"""),27207140629)</f>
        <v>27207140629</v>
      </c>
      <c r="D128" s="23" t="str">
        <f ca="1">IFERROR(__xludf.DUMMYFUNCTION("""COMPUTED_VALUE"""),"Trần Thị Hương")</f>
        <v>Trần Thị Hương</v>
      </c>
      <c r="E128" s="27">
        <f ca="1">IFERROR(__xludf.DUMMYFUNCTION("""COMPUTED_VALUE"""),37764)</f>
        <v>37764</v>
      </c>
      <c r="F128" s="23" t="str">
        <f ca="1">IFERROR(__xludf.DUMMYFUNCTION("""COMPUTED_VALUE"""),"K27DLK5")</f>
        <v>K27DLK5</v>
      </c>
      <c r="G128" s="23" t="str">
        <f ca="1">IFERROR(__xludf.DUMMYFUNCTION("""COMPUTED_VALUE"""),"Quản trị Du lịch &amp; Khách sạn")</f>
        <v>Quản trị Du lịch &amp; Khách sạn</v>
      </c>
      <c r="H128" s="23">
        <f ca="1">IFERROR(__xludf.DUMMYFUNCTION("""COMPUTED_VALUE"""),27)</f>
        <v>27</v>
      </c>
      <c r="I128" s="23" t="str">
        <f ca="1">IFERROR(__xludf.DUMMYFUNCTION("""COMPUTED_VALUE"""),"0346402430")</f>
        <v>0346402430</v>
      </c>
      <c r="J128" s="23" t="str">
        <f ca="1">IFERROR(__xludf.DUMMYFUNCTION("""COMPUTED_VALUE"""),"Chuyên đề")</f>
        <v>Chuyên đề</v>
      </c>
      <c r="K128" s="23" t="str">
        <f ca="1">IFERROR(__xludf.DUMMYFUNCTION("""COMPUTED_VALUE"""),"Meliá Danang Beach Resort")</f>
        <v>Meliá Danang Beach Resort</v>
      </c>
      <c r="L128" s="23" t="str">
        <f ca="1">IFERROR(__xludf.DUMMYFUNCTION("""COMPUTED_VALUE"""),"Melia Danang Beach &amp; Resort")</f>
        <v>Melia Danang Beach &amp; Resort</v>
      </c>
      <c r="M128" s="23" t="str">
        <f ca="1">IFERROR(__xludf.DUMMYFUNCTION("""COMPUTED_VALUE"""),"19 Trường Sa, Hoà Hải, Ngũ Hành Sơn")</f>
        <v>19 Trường Sa, Hoà Hải, Ngũ Hành Sơn</v>
      </c>
      <c r="N128" s="23" t="str">
        <f ca="1">IFERROR(__xludf.DUMMYFUNCTION("""COMPUTED_VALUE"""),"Đà Nẵng")</f>
        <v>Đà Nẵng</v>
      </c>
      <c r="O128" s="23" t="str">
        <f ca="1">IFERROR(__xludf.DUMMYFUNCTION("""COMPUTED_VALUE"""),"Tiền sảnh")</f>
        <v>Tiền sảnh</v>
      </c>
      <c r="P128" s="23"/>
      <c r="Q128" s="23" t="str">
        <f ca="1">IFERROR(__xludf.DUMMYFUNCTION("""COMPUTED_VALUE"""),"22/01/2025")</f>
        <v>22/01/2025</v>
      </c>
      <c r="R128" s="23" t="str">
        <f ca="1">IFERROR(__xludf.DUMMYFUNCTION("""COMPUTED_VALUE"""),"cam kết")</f>
        <v>cam kết</v>
      </c>
      <c r="S128" s="23" t="str">
        <f ca="1">IFERROR(__xludf.DUMMYFUNCTION("""COMPUTED_VALUE"""),"Chuyên đề")</f>
        <v>Chuyên đề</v>
      </c>
      <c r="T128" s="23"/>
      <c r="U128" s="27">
        <f ca="1">IFERROR(__xludf.DUMMYFUNCTION("""COMPUTED_VALUE"""),45691)</f>
        <v>45691</v>
      </c>
      <c r="V128" s="27">
        <f ca="1">IFERROR(__xludf.DUMMYFUNCTION("""COMPUTED_VALUE"""),45049)</f>
        <v>45049</v>
      </c>
      <c r="W128" s="23">
        <f ca="1">IFERROR(__xludf.DUMMYFUNCTION("""COMPUTED_VALUE"""),127)</f>
        <v>127</v>
      </c>
      <c r="X128" s="23" t="str">
        <f ca="1">IFERROR(__xludf.DUMMYFUNCTION("""COMPUTED_VALUE"""),"22/01/2025")</f>
        <v>22/01/2025</v>
      </c>
      <c r="Y128" s="23" t="str">
        <f ca="1">IFERROR(__xludf.DUMMYFUNCTION("""COMPUTED_VALUE"""),"DUYỆT")</f>
        <v>DUYỆT</v>
      </c>
      <c r="Z128" s="23" t="str">
        <f ca="1">IFERROR(__xludf.DUMMYFUNCTION("""COMPUTED_VALUE"""),"22/01/2025")</f>
        <v>22/01/2025</v>
      </c>
      <c r="AA128" s="23" t="str">
        <f ca="1">IFERROR(__xludf.DUMMYFUNCTION("""COMPUTED_VALUE"""),"Meliá Danang Beach Resort")</f>
        <v>Meliá Danang Beach Resort</v>
      </c>
      <c r="AB128" s="23" t="str">
        <f ca="1">IFERROR(__xludf.DUMMYFUNCTION("""COMPUTED_VALUE"""),"Tiền sảnh")</f>
        <v>Tiền sảnh</v>
      </c>
      <c r="AC128" s="23"/>
      <c r="AD128" s="23"/>
      <c r="AE128" s="23" t="str">
        <f ca="1">IFERROR(__xludf.DUMMYFUNCTION("""COMPUTED_VALUE"""),"")</f>
        <v/>
      </c>
      <c r="AF128" s="23" t="str">
        <f ca="1">IFERROR(__xludf.DUMMYFUNCTION("""COMPUTED_VALUE"""),"CHUYÊN ĐỀ")</f>
        <v>CHUYÊN ĐỀ</v>
      </c>
      <c r="AG128" s="23" t="str">
        <f ca="1">IFERROR(__xludf.DUMMYFUNCTION("""COMPUTED_VALUE"""),"Bùi Lê Anh Phương")</f>
        <v>Bùi Lê Anh Phương</v>
      </c>
    </row>
    <row r="129" spans="1:33" ht="12.75" x14ac:dyDescent="0.2">
      <c r="A129" s="26">
        <f ca="1">IFERROR(__xludf.DUMMYFUNCTION("""COMPUTED_VALUE"""),45679.4999032291)</f>
        <v>45679.499903229102</v>
      </c>
      <c r="B129" s="23" t="str">
        <f ca="1">IFERROR(__xludf.DUMMYFUNCTION("""COMPUTED_VALUE"""),"huynhducquy606@gmail.com")</f>
        <v>huynhducquy606@gmail.com</v>
      </c>
      <c r="C129" s="23">
        <f ca="1">IFERROR(__xludf.DUMMYFUNCTION("""COMPUTED_VALUE"""),27217100262)</f>
        <v>27217100262</v>
      </c>
      <c r="D129" s="23" t="str">
        <f ca="1">IFERROR(__xludf.DUMMYFUNCTION("""COMPUTED_VALUE"""),"Huỳnh Đức Quý ")</f>
        <v xml:space="preserve">Huỳnh Đức Quý </v>
      </c>
      <c r="E129" s="27">
        <f ca="1">IFERROR(__xludf.DUMMYFUNCTION("""COMPUTED_VALUE"""),37778)</f>
        <v>37778</v>
      </c>
      <c r="F129" s="23" t="str">
        <f ca="1">IFERROR(__xludf.DUMMYFUNCTION("""COMPUTED_VALUE"""),"K27DLK4")</f>
        <v>K27DLK4</v>
      </c>
      <c r="G129" s="23" t="str">
        <f ca="1">IFERROR(__xludf.DUMMYFUNCTION("""COMPUTED_VALUE"""),"Quản trị Du lịch &amp; Khách sạn")</f>
        <v>Quản trị Du lịch &amp; Khách sạn</v>
      </c>
      <c r="H129" s="23">
        <f ca="1">IFERROR(__xludf.DUMMYFUNCTION("""COMPUTED_VALUE"""),27)</f>
        <v>27</v>
      </c>
      <c r="I129" s="23" t="str">
        <f ca="1">IFERROR(__xludf.DUMMYFUNCTION("""COMPUTED_VALUE"""),"0898416049")</f>
        <v>0898416049</v>
      </c>
      <c r="J129" s="23" t="str">
        <f ca="1">IFERROR(__xludf.DUMMYFUNCTION("""COMPUTED_VALUE"""),"Chuyên đề")</f>
        <v>Chuyên đề</v>
      </c>
      <c r="K129" s="23" t="str">
        <f ca="1">IFERROR(__xludf.DUMMYFUNCTION("""COMPUTED_VALUE"""),"Balcona Hotel &amp; Spa")</f>
        <v>Balcona Hotel &amp; Spa</v>
      </c>
      <c r="L129" s="23"/>
      <c r="M129" s="23" t="str">
        <f ca="1">IFERROR(__xludf.DUMMYFUNCTION("""COMPUTED_VALUE"""),"288 Võ Nguyên Giáp ")</f>
        <v xml:space="preserve">288 Võ Nguyên Giáp </v>
      </c>
      <c r="N129" s="23" t="str">
        <f ca="1">IFERROR(__xludf.DUMMYFUNCTION("""COMPUTED_VALUE"""),"Đà Nẵng")</f>
        <v>Đà Nẵng</v>
      </c>
      <c r="O129" s="23" t="str">
        <f ca="1">IFERROR(__xludf.DUMMYFUNCTION("""COMPUTED_VALUE"""),"Nhà hàng")</f>
        <v>Nhà hàng</v>
      </c>
      <c r="P129" s="23"/>
      <c r="Q129" s="23" t="str">
        <f ca="1">IFERROR(__xludf.DUMMYFUNCTION("""COMPUTED_VALUE"""),"22/01/2025")</f>
        <v>22/01/2025</v>
      </c>
      <c r="R129" s="23" t="str">
        <f ca="1">IFERROR(__xludf.DUMMYFUNCTION("""COMPUTED_VALUE"""),"cam kết")</f>
        <v>cam kết</v>
      </c>
      <c r="S129" s="23" t="str">
        <f ca="1">IFERROR(__xludf.DUMMYFUNCTION("""COMPUTED_VALUE"""),"Chuyên đề")</f>
        <v>Chuyên đề</v>
      </c>
      <c r="T129" s="23"/>
      <c r="U129" s="27">
        <f ca="1">IFERROR(__xludf.DUMMYFUNCTION("""COMPUTED_VALUE"""),45698)</f>
        <v>45698</v>
      </c>
      <c r="V129" s="27">
        <f ca="1">IFERROR(__xludf.DUMMYFUNCTION("""COMPUTED_VALUE"""),45787)</f>
        <v>45787</v>
      </c>
      <c r="W129" s="23">
        <f ca="1">IFERROR(__xludf.DUMMYFUNCTION("""COMPUTED_VALUE"""),128)</f>
        <v>128</v>
      </c>
      <c r="X129" s="23" t="str">
        <f ca="1">IFERROR(__xludf.DUMMYFUNCTION("""COMPUTED_VALUE"""),"22/01/2025")</f>
        <v>22/01/2025</v>
      </c>
      <c r="Y129" s="23" t="str">
        <f ca="1">IFERROR(__xludf.DUMMYFUNCTION("""COMPUTED_VALUE"""),"DUYỆT")</f>
        <v>DUYỆT</v>
      </c>
      <c r="Z129" s="23" t="str">
        <f ca="1">IFERROR(__xludf.DUMMYFUNCTION("""COMPUTED_VALUE"""),"22/01/2025")</f>
        <v>22/01/2025</v>
      </c>
      <c r="AA129" s="23" t="str">
        <f ca="1">IFERROR(__xludf.DUMMYFUNCTION("""COMPUTED_VALUE"""),"Balcona Hotel &amp; Spa")</f>
        <v>Balcona Hotel &amp; Spa</v>
      </c>
      <c r="AB129" s="23" t="str">
        <f ca="1">IFERROR(__xludf.DUMMYFUNCTION("""COMPUTED_VALUE"""),"Nhà hàng")</f>
        <v>Nhà hàng</v>
      </c>
      <c r="AC129" s="23"/>
      <c r="AD129" s="23"/>
      <c r="AE129" s="23" t="str">
        <f ca="1">IFERROR(__xludf.DUMMYFUNCTION("""COMPUTED_VALUE"""),"")</f>
        <v/>
      </c>
      <c r="AF129" s="23" t="str">
        <f ca="1">IFERROR(__xludf.DUMMYFUNCTION("""COMPUTED_VALUE"""),"CHUYÊN ĐỀ")</f>
        <v>CHUYÊN ĐỀ</v>
      </c>
      <c r="AG129" s="23" t="str">
        <f ca="1">IFERROR(__xludf.DUMMYFUNCTION("""COMPUTED_VALUE"""),"Phạm Thị Thu Thủy")</f>
        <v>Phạm Thị Thu Thủy</v>
      </c>
    </row>
    <row r="130" spans="1:33" ht="12.75" x14ac:dyDescent="0.2">
      <c r="A130" s="26">
        <f ca="1">IFERROR(__xludf.DUMMYFUNCTION("""COMPUTED_VALUE"""),45679.5878289467)</f>
        <v>45679.5878289467</v>
      </c>
      <c r="B130" s="23" t="str">
        <f ca="1">IFERROR(__xludf.DUMMYFUNCTION("""COMPUTED_VALUE"""),"ovan8433@gmail.com")</f>
        <v>ovan8433@gmail.com</v>
      </c>
      <c r="C130" s="23">
        <f ca="1">IFERROR(__xludf.DUMMYFUNCTION("""COMPUTED_VALUE"""),26207124697)</f>
        <v>26207124697</v>
      </c>
      <c r="D130" s="23" t="str">
        <f ca="1">IFERROR(__xludf.DUMMYFUNCTION("""COMPUTED_VALUE"""),"Ông Thị Huyền Vân")</f>
        <v>Ông Thị Huyền Vân</v>
      </c>
      <c r="E130" s="27">
        <f ca="1">IFERROR(__xludf.DUMMYFUNCTION("""COMPUTED_VALUE"""),37483)</f>
        <v>37483</v>
      </c>
      <c r="F130" s="23" t="str">
        <f ca="1">IFERROR(__xludf.DUMMYFUNCTION("""COMPUTED_VALUE"""),"K26DLK16")</f>
        <v>K26DLK16</v>
      </c>
      <c r="G130" s="23" t="str">
        <f ca="1">IFERROR(__xludf.DUMMYFUNCTION("""COMPUTED_VALUE"""),"Quản trị Du lịch &amp; Khách sạn")</f>
        <v>Quản trị Du lịch &amp; Khách sạn</v>
      </c>
      <c r="H130" s="23">
        <f ca="1">IFERROR(__xludf.DUMMYFUNCTION("""COMPUTED_VALUE"""),26)</f>
        <v>26</v>
      </c>
      <c r="I130" s="23" t="str">
        <f ca="1">IFERROR(__xludf.DUMMYFUNCTION("""COMPUTED_VALUE"""),"0901941061")</f>
        <v>0901941061</v>
      </c>
      <c r="J130" s="23" t="str">
        <f ca="1">IFERROR(__xludf.DUMMYFUNCTION("""COMPUTED_VALUE"""),"Chuyên đề")</f>
        <v>Chuyên đề</v>
      </c>
      <c r="K130" s="23" t="str">
        <f ca="1">IFERROR(__xludf.DUMMYFUNCTION("""COMPUTED_VALUE"""),"Sala Danang Beach Hotel")</f>
        <v>Sala Danang Beach Hotel</v>
      </c>
      <c r="L130" s="23"/>
      <c r="M130" s="23" t="str">
        <f ca="1">IFERROR(__xludf.DUMMYFUNCTION("""COMPUTED_VALUE"""),"36-38 Lâm Hoành,Sơn Trà,Đà Nẵng")</f>
        <v>36-38 Lâm Hoành,Sơn Trà,Đà Nẵng</v>
      </c>
      <c r="N130" s="23" t="str">
        <f ca="1">IFERROR(__xludf.DUMMYFUNCTION("""COMPUTED_VALUE"""),"Đà Nắng")</f>
        <v>Đà Nắng</v>
      </c>
      <c r="O130" s="23" t="str">
        <f ca="1">IFERROR(__xludf.DUMMYFUNCTION("""COMPUTED_VALUE"""),"Nhà hàng")</f>
        <v>Nhà hàng</v>
      </c>
      <c r="P130" s="23"/>
      <c r="Q130" s="23" t="str">
        <f ca="1">IFERROR(__xludf.DUMMYFUNCTION("""COMPUTED_VALUE"""),"22/01/2025")</f>
        <v>22/01/2025</v>
      </c>
      <c r="R130" s="23" t="str">
        <f ca="1">IFERROR(__xludf.DUMMYFUNCTION("""COMPUTED_VALUE"""),"cam kết")</f>
        <v>cam kết</v>
      </c>
      <c r="S130" s="23" t="str">
        <f ca="1">IFERROR(__xludf.DUMMYFUNCTION("""COMPUTED_VALUE"""),"Chuyên đề")</f>
        <v>Chuyên đề</v>
      </c>
      <c r="T130" s="23" t="str">
        <f ca="1">IFERROR(__xludf.DUMMYFUNCTION("""COMPUTED_VALUE"""),"Trần Hoàng Anh")</f>
        <v>Trần Hoàng Anh</v>
      </c>
      <c r="U130" s="27">
        <f ca="1">IFERROR(__xludf.DUMMYFUNCTION("""COMPUTED_VALUE"""),45663)</f>
        <v>45663</v>
      </c>
      <c r="V130" s="27">
        <f ca="1">IFERROR(__xludf.DUMMYFUNCTION("""COMPUTED_VALUE"""),45753)</f>
        <v>45753</v>
      </c>
      <c r="W130" s="23">
        <f ca="1">IFERROR(__xludf.DUMMYFUNCTION("""COMPUTED_VALUE"""),129)</f>
        <v>129</v>
      </c>
      <c r="X130" s="23" t="str">
        <f ca="1">IFERROR(__xludf.DUMMYFUNCTION("""COMPUTED_VALUE"""),"22/01/2025")</f>
        <v>22/01/2025</v>
      </c>
      <c r="Y130" s="23" t="str">
        <f ca="1">IFERROR(__xludf.DUMMYFUNCTION("""COMPUTED_VALUE"""),"DUYỆT")</f>
        <v>DUYỆT</v>
      </c>
      <c r="Z130" s="23" t="str">
        <f ca="1">IFERROR(__xludf.DUMMYFUNCTION("""COMPUTED_VALUE"""),"22/01/2025")</f>
        <v>22/01/2025</v>
      </c>
      <c r="AA130" s="23" t="str">
        <f ca="1">IFERROR(__xludf.DUMMYFUNCTION("""COMPUTED_VALUE"""),"Sala Danang Beach Hotel")</f>
        <v>Sala Danang Beach Hotel</v>
      </c>
      <c r="AB130" s="23" t="str">
        <f ca="1">IFERROR(__xludf.DUMMYFUNCTION("""COMPUTED_VALUE"""),"Nhà hàng")</f>
        <v>Nhà hàng</v>
      </c>
      <c r="AC130" s="23" t="str">
        <f ca="1">IFERROR(__xludf.DUMMYFUNCTION("""COMPUTED_VALUE"""),"ĐÃ NỘP")</f>
        <v>ĐÃ NỘP</v>
      </c>
      <c r="AD130" s="23"/>
      <c r="AE130" s="23" t="str">
        <f ca="1">IFERROR(__xludf.DUMMYFUNCTION("""COMPUTED_VALUE"""),"")</f>
        <v/>
      </c>
      <c r="AF130" s="23" t="str">
        <f ca="1">IFERROR(__xludf.DUMMYFUNCTION("""COMPUTED_VALUE"""),"CHUYÊN ĐỀ")</f>
        <v>CHUYÊN ĐỀ</v>
      </c>
      <c r="AG130" s="23" t="str">
        <f ca="1">IFERROR(__xludf.DUMMYFUNCTION("""COMPUTED_VALUE"""),"Huỳnh Lý Thùy Linh")</f>
        <v>Huỳnh Lý Thùy Linh</v>
      </c>
    </row>
    <row r="131" spans="1:33" ht="12.75" x14ac:dyDescent="0.2">
      <c r="A131" s="26">
        <f ca="1">IFERROR(__xludf.DUMMYFUNCTION("""COMPUTED_VALUE"""),45679.6091424074)</f>
        <v>45679.609142407397</v>
      </c>
      <c r="B131" s="23" t="str">
        <f ca="1">IFERROR(__xludf.DUMMYFUNCTION("""COMPUTED_VALUE"""),"phamngochau2002@gmail.com")</f>
        <v>phamngochau2002@gmail.com</v>
      </c>
      <c r="C131" s="23">
        <f ca="1">IFERROR(__xludf.DUMMYFUNCTION("""COMPUTED_VALUE"""),26217135634)</f>
        <v>26217135634</v>
      </c>
      <c r="D131" s="23" t="str">
        <f ca="1">IFERROR(__xludf.DUMMYFUNCTION("""COMPUTED_VALUE"""),"Nguyễn Đức Hậu")</f>
        <v>Nguyễn Đức Hậu</v>
      </c>
      <c r="E131" s="27">
        <f ca="1">IFERROR(__xludf.DUMMYFUNCTION("""COMPUTED_VALUE"""),37396)</f>
        <v>37396</v>
      </c>
      <c r="F131" s="23" t="str">
        <f ca="1">IFERROR(__xludf.DUMMYFUNCTION("""COMPUTED_VALUE"""),"K26DLK2")</f>
        <v>K26DLK2</v>
      </c>
      <c r="G131" s="23" t="str">
        <f ca="1">IFERROR(__xludf.DUMMYFUNCTION("""COMPUTED_VALUE"""),"Quản trị Du lịch &amp; Khách sạn")</f>
        <v>Quản trị Du lịch &amp; Khách sạn</v>
      </c>
      <c r="H131" s="23">
        <f ca="1">IFERROR(__xludf.DUMMYFUNCTION("""COMPUTED_VALUE"""),26)</f>
        <v>26</v>
      </c>
      <c r="I131" s="23" t="str">
        <f ca="1">IFERROR(__xludf.DUMMYFUNCTION("""COMPUTED_VALUE"""),"0916660275")</f>
        <v>0916660275</v>
      </c>
      <c r="J131" s="23" t="str">
        <f ca="1">IFERROR(__xludf.DUMMYFUNCTION("""COMPUTED_VALUE"""),"Chuyên đề")</f>
        <v>Chuyên đề</v>
      </c>
      <c r="K131" s="23" t="str">
        <f ca="1">IFERROR(__xludf.DUMMYFUNCTION("""COMPUTED_VALUE"""),"Hilton Garden Inn Danang")</f>
        <v>Hilton Garden Inn Danang</v>
      </c>
      <c r="L131" s="23" t="str">
        <f ca="1">IFERROR(__xludf.DUMMYFUNCTION("""COMPUTED_VALUE"""),"Hilton Garden Inn")</f>
        <v>Hilton Garden Inn</v>
      </c>
      <c r="M131" s="23" t="str">
        <f ca="1">IFERROR(__xludf.DUMMYFUNCTION("""COMPUTED_VALUE"""),"96 Võ Nguyên Giáp, Mân Thái, Sơn Trà, Đà Nẵng")</f>
        <v>96 Võ Nguyên Giáp, Mân Thái, Sơn Trà, Đà Nẵng</v>
      </c>
      <c r="N131" s="23" t="str">
        <f ca="1">IFERROR(__xludf.DUMMYFUNCTION("""COMPUTED_VALUE"""),"Đà Nẵng")</f>
        <v>Đà Nẵng</v>
      </c>
      <c r="O131" s="23" t="str">
        <f ca="1">IFERROR(__xludf.DUMMYFUNCTION("""COMPUTED_VALUE"""),"Buồng phòng")</f>
        <v>Buồng phòng</v>
      </c>
      <c r="P131" s="23"/>
      <c r="Q131" s="23" t="str">
        <f ca="1">IFERROR(__xludf.DUMMYFUNCTION("""COMPUTED_VALUE"""),"24/01/2025")</f>
        <v>24/01/2025</v>
      </c>
      <c r="R131" s="23" t="str">
        <f ca="1">IFERROR(__xludf.DUMMYFUNCTION("""COMPUTED_VALUE"""),"cam kết")</f>
        <v>cam kết</v>
      </c>
      <c r="S131" s="23" t="str">
        <f ca="1">IFERROR(__xludf.DUMMYFUNCTION("""COMPUTED_VALUE"""),"Chuyên đề")</f>
        <v>Chuyên đề</v>
      </c>
      <c r="T131" s="23"/>
      <c r="U131" s="27">
        <f ca="1">IFERROR(__xludf.DUMMYFUNCTION("""COMPUTED_VALUE"""),45698)</f>
        <v>45698</v>
      </c>
      <c r="V131" s="27">
        <f ca="1">IFERROR(__xludf.DUMMYFUNCTION("""COMPUTED_VALUE"""),45787)</f>
        <v>45787</v>
      </c>
      <c r="W131" s="23">
        <f ca="1">IFERROR(__xludf.DUMMYFUNCTION("""COMPUTED_VALUE"""),130)</f>
        <v>130</v>
      </c>
      <c r="X131" s="23" t="str">
        <f ca="1">IFERROR(__xludf.DUMMYFUNCTION("""COMPUTED_VALUE"""),"24/01/2025")</f>
        <v>24/01/2025</v>
      </c>
      <c r="Y131" s="23" t="str">
        <f ca="1">IFERROR(__xludf.DUMMYFUNCTION("""COMPUTED_VALUE"""),"DUYỆT")</f>
        <v>DUYỆT</v>
      </c>
      <c r="Z131" s="23" t="str">
        <f ca="1">IFERROR(__xludf.DUMMYFUNCTION("""COMPUTED_VALUE"""),"22/01/2025")</f>
        <v>22/01/2025</v>
      </c>
      <c r="AA131" s="23" t="str">
        <f ca="1">IFERROR(__xludf.DUMMYFUNCTION("""COMPUTED_VALUE"""),"Hilton Garden Inn Danang")</f>
        <v>Hilton Garden Inn Danang</v>
      </c>
      <c r="AB131" s="23" t="str">
        <f ca="1">IFERROR(__xludf.DUMMYFUNCTION("""COMPUTED_VALUE"""),"Buồng phòng")</f>
        <v>Buồng phòng</v>
      </c>
      <c r="AC131" s="23" t="str">
        <f ca="1">IFERROR(__xludf.DUMMYFUNCTION("""COMPUTED_VALUE"""),"ĐÃ NỘP")</f>
        <v>ĐÃ NỘP</v>
      </c>
      <c r="AD131" s="23"/>
      <c r="AE131" s="23" t="str">
        <f ca="1">IFERROR(__xludf.DUMMYFUNCTION("""COMPUTED_VALUE"""),"")</f>
        <v/>
      </c>
      <c r="AF131" s="23" t="str">
        <f ca="1">IFERROR(__xludf.DUMMYFUNCTION("""COMPUTED_VALUE"""),"CHUYÊN ĐỀ")</f>
        <v>CHUYÊN ĐỀ</v>
      </c>
      <c r="AG131" s="23" t="str">
        <f ca="1">IFERROR(__xludf.DUMMYFUNCTION("""COMPUTED_VALUE"""),"Phan Thị Hồng Hải")</f>
        <v>Phan Thị Hồng Hải</v>
      </c>
    </row>
    <row r="132" spans="1:33" ht="12.75" x14ac:dyDescent="0.2">
      <c r="A132" s="26">
        <f ca="1">IFERROR(__xludf.DUMMYFUNCTION("""COMPUTED_VALUE"""),45679.6183814004)</f>
        <v>45679.618381400403</v>
      </c>
      <c r="B132" s="23" t="str">
        <f ca="1">IFERROR(__xludf.DUMMYFUNCTION("""COMPUTED_VALUE"""),"Nguyenthituongvi124@gmail.com")</f>
        <v>Nguyenthituongvi124@gmail.com</v>
      </c>
      <c r="C132" s="23">
        <f ca="1">IFERROR(__xludf.DUMMYFUNCTION("""COMPUTED_VALUE"""),27207128961)</f>
        <v>27207128961</v>
      </c>
      <c r="D132" s="23" t="str">
        <f ca="1">IFERROR(__xludf.DUMMYFUNCTION("""COMPUTED_VALUE"""),"Nguyễn Thị Tường Vi ")</f>
        <v xml:space="preserve">Nguyễn Thị Tường Vi </v>
      </c>
      <c r="E132" s="27">
        <f ca="1">IFERROR(__xludf.DUMMYFUNCTION("""COMPUTED_VALUE"""),37818)</f>
        <v>37818</v>
      </c>
      <c r="F132" s="23" t="str">
        <f ca="1">IFERROR(__xludf.DUMMYFUNCTION("""COMPUTED_VALUE"""),"K27 psu DLk2")</f>
        <v>K27 psu DLk2</v>
      </c>
      <c r="G132" s="23" t="str">
        <f ca="1">IFERROR(__xludf.DUMMYFUNCTION("""COMPUTED_VALUE"""),"Quản trị Du lịch &amp; Khách sạn chuẩn PSU")</f>
        <v>Quản trị Du lịch &amp; Khách sạn chuẩn PSU</v>
      </c>
      <c r="H132" s="23">
        <f ca="1">IFERROR(__xludf.DUMMYFUNCTION("""COMPUTED_VALUE"""),27)</f>
        <v>27</v>
      </c>
      <c r="I132" s="23" t="str">
        <f ca="1">IFERROR(__xludf.DUMMYFUNCTION("""COMPUTED_VALUE"""),"0932501117")</f>
        <v>0932501117</v>
      </c>
      <c r="J132" s="23" t="str">
        <f ca="1">IFERROR(__xludf.DUMMYFUNCTION("""COMPUTED_VALUE"""),"Chuyên đề")</f>
        <v>Chuyên đề</v>
      </c>
      <c r="K132" s="23" t="str">
        <f ca="1">IFERROR(__xludf.DUMMYFUNCTION("""COMPUTED_VALUE"""),"Premier Village Danang Resort")</f>
        <v>Premier Village Danang Resort</v>
      </c>
      <c r="L132" s="23"/>
      <c r="M132" s="23" t="str">
        <f ca="1">IFERROR(__xludf.DUMMYFUNCTION("""COMPUTED_VALUE"""),"99 võ Nguyên Giáp , p . Mỹ An , Q . Ngũ Hành Sơn , tp Đà Nẵng ")</f>
        <v xml:space="preserve">99 võ Nguyên Giáp , p . Mỹ An , Q . Ngũ Hành Sơn , tp Đà Nẵng </v>
      </c>
      <c r="N132" s="23" t="str">
        <f ca="1">IFERROR(__xludf.DUMMYFUNCTION("""COMPUTED_VALUE"""),"Đà Nẵng")</f>
        <v>Đà Nẵng</v>
      </c>
      <c r="O132" s="23" t="str">
        <f ca="1">IFERROR(__xludf.DUMMYFUNCTION("""COMPUTED_VALUE"""),"Nhà hàng")</f>
        <v>Nhà hàng</v>
      </c>
      <c r="P132" s="23"/>
      <c r="Q132" s="23" t="str">
        <f ca="1">IFERROR(__xludf.DUMMYFUNCTION("""COMPUTED_VALUE"""),"22/1/2025")</f>
        <v>22/1/2025</v>
      </c>
      <c r="R132" s="23" t="str">
        <f ca="1">IFERROR(__xludf.DUMMYFUNCTION("""COMPUTED_VALUE"""),"cam kết")</f>
        <v>cam kết</v>
      </c>
      <c r="S132" s="23" t="str">
        <f ca="1">IFERROR(__xludf.DUMMYFUNCTION("""COMPUTED_VALUE"""),"Chuyên đề")</f>
        <v>Chuyên đề</v>
      </c>
      <c r="T132" s="23" t="str">
        <f ca="1">IFERROR(__xludf.DUMMYFUNCTION("""COMPUTED_VALUE"""),"Hồ Sử Minh Tài")</f>
        <v>Hồ Sử Minh Tài</v>
      </c>
      <c r="U132" s="27">
        <f ca="1">IFERROR(__xludf.DUMMYFUNCTION("""COMPUTED_VALUE"""),45677)</f>
        <v>45677</v>
      </c>
      <c r="V132" s="27">
        <f ca="1">IFERROR(__xludf.DUMMYFUNCTION("""COMPUTED_VALUE"""),45767)</f>
        <v>45767</v>
      </c>
      <c r="W132" s="23">
        <f ca="1">IFERROR(__xludf.DUMMYFUNCTION("""COMPUTED_VALUE"""),131)</f>
        <v>131</v>
      </c>
      <c r="X132" s="23" t="str">
        <f ca="1">IFERROR(__xludf.DUMMYFUNCTION("""COMPUTED_VALUE"""),"22/01/2025")</f>
        <v>22/01/2025</v>
      </c>
      <c r="Y132" s="23" t="str">
        <f ca="1">IFERROR(__xludf.DUMMYFUNCTION("""COMPUTED_VALUE"""),"DUYỆT")</f>
        <v>DUYỆT</v>
      </c>
      <c r="Z132" s="23" t="str">
        <f ca="1">IFERROR(__xludf.DUMMYFUNCTION("""COMPUTED_VALUE"""),"22/01/2025")</f>
        <v>22/01/2025</v>
      </c>
      <c r="AA132" s="23" t="str">
        <f ca="1">IFERROR(__xludf.DUMMYFUNCTION("""COMPUTED_VALUE"""),"Premier Village Danang Resort")</f>
        <v>Premier Village Danang Resort</v>
      </c>
      <c r="AB132" s="23" t="str">
        <f ca="1">IFERROR(__xludf.DUMMYFUNCTION("""COMPUTED_VALUE"""),"Nhà hàng")</f>
        <v>Nhà hàng</v>
      </c>
      <c r="AC132" s="23"/>
      <c r="AD132" s="23"/>
      <c r="AE132" s="23" t="str">
        <f ca="1">IFERROR(__xludf.DUMMYFUNCTION("""COMPUTED_VALUE"""),"")</f>
        <v/>
      </c>
      <c r="AF132" s="23" t="str">
        <f ca="1">IFERROR(__xludf.DUMMYFUNCTION("""COMPUTED_VALUE"""),"CHUYÊN ĐỀ")</f>
        <v>CHUYÊN ĐỀ</v>
      </c>
      <c r="AG132" s="23" t="str">
        <f ca="1">IFERROR(__xludf.DUMMYFUNCTION("""COMPUTED_VALUE"""),"Trần Hoàng Anh")</f>
        <v>Trần Hoàng Anh</v>
      </c>
    </row>
    <row r="133" spans="1:33" ht="12.75" x14ac:dyDescent="0.2">
      <c r="A133" s="26">
        <f ca="1">IFERROR(__xludf.DUMMYFUNCTION("""COMPUTED_VALUE"""),45679.6185864699)</f>
        <v>45679.6185864699</v>
      </c>
      <c r="B133" s="23" t="str">
        <f ca="1">IFERROR(__xludf.DUMMYFUNCTION("""COMPUTED_VALUE"""),"minhhoanguyen1603@gmail.com")</f>
        <v>minhhoanguyen1603@gmail.com</v>
      </c>
      <c r="C133" s="23">
        <f ca="1">IFERROR(__xludf.DUMMYFUNCTION("""COMPUTED_VALUE"""),27217132620)</f>
        <v>27217132620</v>
      </c>
      <c r="D133" s="23" t="str">
        <f ca="1">IFERROR(__xludf.DUMMYFUNCTION("""COMPUTED_VALUE"""),"Nguyễn Minh Hoà")</f>
        <v>Nguyễn Minh Hoà</v>
      </c>
      <c r="E133" s="27">
        <f ca="1">IFERROR(__xludf.DUMMYFUNCTION("""COMPUTED_VALUE"""),37910)</f>
        <v>37910</v>
      </c>
      <c r="F133" s="23" t="str">
        <f ca="1">IFERROR(__xludf.DUMMYFUNCTION("""COMPUTED_VALUE"""),"K27 PSU DLK2")</f>
        <v>K27 PSU DLK2</v>
      </c>
      <c r="G133" s="23" t="str">
        <f ca="1">IFERROR(__xludf.DUMMYFUNCTION("""COMPUTED_VALUE"""),"Quản trị Du lịch &amp; Khách sạn chuẩn PSU")</f>
        <v>Quản trị Du lịch &amp; Khách sạn chuẩn PSU</v>
      </c>
      <c r="H133" s="23">
        <f ca="1">IFERROR(__xludf.DUMMYFUNCTION("""COMPUTED_VALUE"""),27)</f>
        <v>27</v>
      </c>
      <c r="I133" s="23" t="str">
        <f ca="1">IFERROR(__xludf.DUMMYFUNCTION("""COMPUTED_VALUE"""),"0898149203")</f>
        <v>0898149203</v>
      </c>
      <c r="J133" s="23" t="str">
        <f ca="1">IFERROR(__xludf.DUMMYFUNCTION("""COMPUTED_VALUE"""),"Chuyên đề")</f>
        <v>Chuyên đề</v>
      </c>
      <c r="K133" s="23" t="str">
        <f ca="1">IFERROR(__xludf.DUMMYFUNCTION("""COMPUTED_VALUE"""),"Premier Village Danang Resort")</f>
        <v>Premier Village Danang Resort</v>
      </c>
      <c r="L133" s="23"/>
      <c r="M133" s="23" t="str">
        <f ca="1">IFERROR(__xludf.DUMMYFUNCTION("""COMPUTED_VALUE"""),"99 Võ Nguyên Giáp, Mỹ An, Ngũ Hành Sơn, Đà Nẵng")</f>
        <v>99 Võ Nguyên Giáp, Mỹ An, Ngũ Hành Sơn, Đà Nẵng</v>
      </c>
      <c r="N133" s="23" t="str">
        <f ca="1">IFERROR(__xludf.DUMMYFUNCTION("""COMPUTED_VALUE"""),"Đà Nẵng")</f>
        <v>Đà Nẵng</v>
      </c>
      <c r="O133" s="23" t="str">
        <f ca="1">IFERROR(__xludf.DUMMYFUNCTION("""COMPUTED_VALUE"""),"Nhà hàng")</f>
        <v>Nhà hàng</v>
      </c>
      <c r="P133" s="23"/>
      <c r="Q133" s="23" t="str">
        <f ca="1">IFERROR(__xludf.DUMMYFUNCTION("""COMPUTED_VALUE"""),"22/01/2025")</f>
        <v>22/01/2025</v>
      </c>
      <c r="R133" s="23" t="str">
        <f ca="1">IFERROR(__xludf.DUMMYFUNCTION("""COMPUTED_VALUE"""),"cam kết")</f>
        <v>cam kết</v>
      </c>
      <c r="S133" s="23" t="str">
        <f ca="1">IFERROR(__xludf.DUMMYFUNCTION("""COMPUTED_VALUE"""),"Chuyên đề")</f>
        <v>Chuyên đề</v>
      </c>
      <c r="T133" s="23" t="str">
        <f ca="1">IFERROR(__xludf.DUMMYFUNCTION("""COMPUTED_VALUE"""),"Hồ Sử Minh Tài")</f>
        <v>Hồ Sử Minh Tài</v>
      </c>
      <c r="U133" s="27">
        <f ca="1">IFERROR(__xludf.DUMMYFUNCTION("""COMPUTED_VALUE"""),45677)</f>
        <v>45677</v>
      </c>
      <c r="V133" s="27">
        <f ca="1">IFERROR(__xludf.DUMMYFUNCTION("""COMPUTED_VALUE"""),45767)</f>
        <v>45767</v>
      </c>
      <c r="W133" s="23">
        <f ca="1">IFERROR(__xludf.DUMMYFUNCTION("""COMPUTED_VALUE"""),132)</f>
        <v>132</v>
      </c>
      <c r="X133" s="23" t="str">
        <f ca="1">IFERROR(__xludf.DUMMYFUNCTION("""COMPUTED_VALUE"""),"22/01/2025")</f>
        <v>22/01/2025</v>
      </c>
      <c r="Y133" s="23" t="str">
        <f ca="1">IFERROR(__xludf.DUMMYFUNCTION("""COMPUTED_VALUE"""),"DUYỆT")</f>
        <v>DUYỆT</v>
      </c>
      <c r="Z133" s="23" t="str">
        <f ca="1">IFERROR(__xludf.DUMMYFUNCTION("""COMPUTED_VALUE"""),"22/01/2025")</f>
        <v>22/01/2025</v>
      </c>
      <c r="AA133" s="23" t="str">
        <f ca="1">IFERROR(__xludf.DUMMYFUNCTION("""COMPUTED_VALUE"""),"Premier Village Danang Resort")</f>
        <v>Premier Village Danang Resort</v>
      </c>
      <c r="AB133" s="23" t="str">
        <f ca="1">IFERROR(__xludf.DUMMYFUNCTION("""COMPUTED_VALUE"""),"Nhà hàng")</f>
        <v>Nhà hàng</v>
      </c>
      <c r="AC133" s="23"/>
      <c r="AD133" s="23"/>
      <c r="AE133" s="23" t="str">
        <f ca="1">IFERROR(__xludf.DUMMYFUNCTION("""COMPUTED_VALUE"""),"")</f>
        <v/>
      </c>
      <c r="AF133" s="23" t="str">
        <f ca="1">IFERROR(__xludf.DUMMYFUNCTION("""COMPUTED_VALUE"""),"CHUYÊN ĐỀ")</f>
        <v>CHUYÊN ĐỀ</v>
      </c>
      <c r="AG133" s="23" t="str">
        <f ca="1">IFERROR(__xludf.DUMMYFUNCTION("""COMPUTED_VALUE"""),"Trần Hoàng Anh")</f>
        <v>Trần Hoàng Anh</v>
      </c>
    </row>
    <row r="134" spans="1:33" ht="12.75" x14ac:dyDescent="0.2">
      <c r="A134" s="26">
        <f ca="1">IFERROR(__xludf.DUMMYFUNCTION("""COMPUTED_VALUE"""),45679.6254289583)</f>
        <v>45679.625428958301</v>
      </c>
      <c r="B134" s="23" t="str">
        <f ca="1">IFERROR(__xludf.DUMMYFUNCTION("""COMPUTED_VALUE"""),"nongthuhoai692@gmail.com")</f>
        <v>nongthuhoai692@gmail.com</v>
      </c>
      <c r="C134" s="23">
        <f ca="1">IFERROR(__xludf.DUMMYFUNCTION("""COMPUTED_VALUE"""),27207142571)</f>
        <v>27207142571</v>
      </c>
      <c r="D134" s="23" t="str">
        <f ca="1">IFERROR(__xludf.DUMMYFUNCTION("""COMPUTED_VALUE"""),"Nông Thị Thu Hoài")</f>
        <v>Nông Thị Thu Hoài</v>
      </c>
      <c r="E134" s="27">
        <f ca="1">IFERROR(__xludf.DUMMYFUNCTION("""COMPUTED_VALUE"""),37892)</f>
        <v>37892</v>
      </c>
      <c r="F134" s="23" t="str">
        <f ca="1">IFERROR(__xludf.DUMMYFUNCTION("""COMPUTED_VALUE"""),"K27DLK1")</f>
        <v>K27DLK1</v>
      </c>
      <c r="G134" s="23" t="str">
        <f ca="1">IFERROR(__xludf.DUMMYFUNCTION("""COMPUTED_VALUE"""),"Quản trị Du lịch &amp; Khách sạn")</f>
        <v>Quản trị Du lịch &amp; Khách sạn</v>
      </c>
      <c r="H134" s="23">
        <f ca="1">IFERROR(__xludf.DUMMYFUNCTION("""COMPUTED_VALUE"""),27)</f>
        <v>27</v>
      </c>
      <c r="I134" s="23" t="str">
        <f ca="1">IFERROR(__xludf.DUMMYFUNCTION("""COMPUTED_VALUE"""),"0345741424")</f>
        <v>0345741424</v>
      </c>
      <c r="J134" s="23" t="str">
        <f ca="1">IFERROR(__xludf.DUMMYFUNCTION("""COMPUTED_VALUE"""),"Chuyên đề")</f>
        <v>Chuyên đề</v>
      </c>
      <c r="K134" s="23" t="str">
        <f ca="1">IFERROR(__xludf.DUMMYFUNCTION("""COMPUTED_VALUE"""),"Le Sands Oceanfront Da Nang Hotel")</f>
        <v>Le Sands Oceanfront Da Nang Hotel</v>
      </c>
      <c r="L134" s="23"/>
      <c r="M134" s="23" t="str">
        <f ca="1">IFERROR(__xludf.DUMMYFUNCTION("""COMPUTED_VALUE"""),"28 Võ Nguyễn Giáp, Mân Thái , Sơn Trà , Đà Nẵng")</f>
        <v>28 Võ Nguyễn Giáp, Mân Thái , Sơn Trà , Đà Nẵng</v>
      </c>
      <c r="N134" s="23" t="str">
        <f ca="1">IFERROR(__xludf.DUMMYFUNCTION("""COMPUTED_VALUE"""),"Đà Nẵng")</f>
        <v>Đà Nẵng</v>
      </c>
      <c r="O134" s="23" t="str">
        <f ca="1">IFERROR(__xludf.DUMMYFUNCTION("""COMPUTED_VALUE"""),"Nhà hàng")</f>
        <v>Nhà hàng</v>
      </c>
      <c r="P134" s="23"/>
      <c r="Q134" s="23" t="str">
        <f ca="1">IFERROR(__xludf.DUMMYFUNCTION("""COMPUTED_VALUE"""),"22/01/2025")</f>
        <v>22/01/2025</v>
      </c>
      <c r="R134" s="23" t="str">
        <f ca="1">IFERROR(__xludf.DUMMYFUNCTION("""COMPUTED_VALUE"""),"cam kết")</f>
        <v>cam kết</v>
      </c>
      <c r="S134" s="23" t="str">
        <f ca="1">IFERROR(__xludf.DUMMYFUNCTION("""COMPUTED_VALUE"""),"Chuyên đề")</f>
        <v>Chuyên đề</v>
      </c>
      <c r="T134" s="23"/>
      <c r="U134" s="27">
        <f ca="1">IFERROR(__xludf.DUMMYFUNCTION("""COMPUTED_VALUE"""),45698)</f>
        <v>45698</v>
      </c>
      <c r="V134" s="27">
        <f ca="1">IFERROR(__xludf.DUMMYFUNCTION("""COMPUTED_VALUE"""),45787)</f>
        <v>45787</v>
      </c>
      <c r="W134" s="23">
        <f ca="1">IFERROR(__xludf.DUMMYFUNCTION("""COMPUTED_VALUE"""),133)</f>
        <v>133</v>
      </c>
      <c r="X134" s="23" t="str">
        <f ca="1">IFERROR(__xludf.DUMMYFUNCTION("""COMPUTED_VALUE"""),"22/01/2025")</f>
        <v>22/01/2025</v>
      </c>
      <c r="Y134" s="23" t="str">
        <f ca="1">IFERROR(__xludf.DUMMYFUNCTION("""COMPUTED_VALUE"""),"DUYỆT")</f>
        <v>DUYỆT</v>
      </c>
      <c r="Z134" s="23" t="str">
        <f ca="1">IFERROR(__xludf.DUMMYFUNCTION("""COMPUTED_VALUE"""),"22/01/2025")</f>
        <v>22/01/2025</v>
      </c>
      <c r="AA134" s="23" t="str">
        <f ca="1">IFERROR(__xludf.DUMMYFUNCTION("""COMPUTED_VALUE"""),"Le Sands Oceanfront Da Nang Hotel")</f>
        <v>Le Sands Oceanfront Da Nang Hotel</v>
      </c>
      <c r="AB134" s="23" t="str">
        <f ca="1">IFERROR(__xludf.DUMMYFUNCTION("""COMPUTED_VALUE"""),"Nhà hàng")</f>
        <v>Nhà hàng</v>
      </c>
      <c r="AC134" s="23"/>
      <c r="AD134" s="23"/>
      <c r="AE134" s="23" t="str">
        <f ca="1">IFERROR(__xludf.DUMMYFUNCTION("""COMPUTED_VALUE"""),"")</f>
        <v/>
      </c>
      <c r="AF134" s="23" t="str">
        <f ca="1">IFERROR(__xludf.DUMMYFUNCTION("""COMPUTED_VALUE"""),"CHUYÊN ĐỀ")</f>
        <v>CHUYÊN ĐỀ</v>
      </c>
      <c r="AG134" s="23" t="str">
        <f ca="1">IFERROR(__xludf.DUMMYFUNCTION("""COMPUTED_VALUE"""),"Huỳnh Lý Thùy Linh")</f>
        <v>Huỳnh Lý Thùy Linh</v>
      </c>
    </row>
    <row r="135" spans="1:33" ht="12.75" x14ac:dyDescent="0.2">
      <c r="A135" s="26">
        <f ca="1">IFERROR(__xludf.DUMMYFUNCTION("""COMPUTED_VALUE"""),45697.6591820833)</f>
        <v>45697.659182083298</v>
      </c>
      <c r="B135" s="23" t="str">
        <f ca="1">IFERROR(__xludf.DUMMYFUNCTION("""COMPUTED_VALUE"""),"baongoc1602203@gmail.com")</f>
        <v>baongoc1602203@gmail.com</v>
      </c>
      <c r="C135" s="23">
        <f ca="1">IFERROR(__xludf.DUMMYFUNCTION("""COMPUTED_VALUE"""),27207101733)</f>
        <v>27207101733</v>
      </c>
      <c r="D135" s="23" t="str">
        <f ca="1">IFERROR(__xludf.DUMMYFUNCTION("""COMPUTED_VALUE"""),"Nguyễn Thị Bảo Ngọc")</f>
        <v>Nguyễn Thị Bảo Ngọc</v>
      </c>
      <c r="E135" s="27">
        <f ca="1">IFERROR(__xludf.DUMMYFUNCTION("""COMPUTED_VALUE"""),37808)</f>
        <v>37808</v>
      </c>
      <c r="F135" s="23" t="str">
        <f ca="1">IFERROR(__xludf.DUMMYFUNCTION("""COMPUTED_VALUE"""),"K27DLK 7")</f>
        <v>K27DLK 7</v>
      </c>
      <c r="G135" s="23" t="str">
        <f ca="1">IFERROR(__xludf.DUMMYFUNCTION("""COMPUTED_VALUE"""),"Quản trị Du lịch &amp; Khách sạn")</f>
        <v>Quản trị Du lịch &amp; Khách sạn</v>
      </c>
      <c r="H135" s="23">
        <f ca="1">IFERROR(__xludf.DUMMYFUNCTION("""COMPUTED_VALUE"""),27)</f>
        <v>27</v>
      </c>
      <c r="I135" s="23" t="str">
        <f ca="1">IFERROR(__xludf.DUMMYFUNCTION("""COMPUTED_VALUE"""),"0375045398")</f>
        <v>0375045398</v>
      </c>
      <c r="J135" s="23" t="str">
        <f ca="1">IFERROR(__xludf.DUMMYFUNCTION("""COMPUTED_VALUE"""),"Chuyên đề")</f>
        <v>Chuyên đề</v>
      </c>
      <c r="K135" s="23" t="str">
        <f ca="1">IFERROR(__xludf.DUMMYFUNCTION("""COMPUTED_VALUE"""),"DaNang Marriott Resort &amp; Spa, Non Nuoc Beach Villas")</f>
        <v>DaNang Marriott Resort &amp; Spa, Non Nuoc Beach Villas</v>
      </c>
      <c r="L135" s="23" t="str">
        <f ca="1">IFERROR(__xludf.DUMMYFUNCTION("""COMPUTED_VALUE"""),"DaNang Marriott Resort &amp; Spa, Non Nuoc Beach Villas")</f>
        <v>DaNang Marriott Resort &amp; Spa, Non Nuoc Beach Villas</v>
      </c>
      <c r="M135" s="23" t="str">
        <f ca="1">IFERROR(__xludf.DUMMYFUNCTION("""COMPUTED_VALUE"""),"23 Trường Sa, Ngũ Hành Sơn, Đà Nẵng")</f>
        <v>23 Trường Sa, Ngũ Hành Sơn, Đà Nẵng</v>
      </c>
      <c r="N135" s="23" t="str">
        <f ca="1">IFERROR(__xludf.DUMMYFUNCTION("""COMPUTED_VALUE"""),"Thành phố Đà Nẵng")</f>
        <v>Thành phố Đà Nẵng</v>
      </c>
      <c r="O135" s="23" t="str">
        <f ca="1">IFERROR(__xludf.DUMMYFUNCTION("""COMPUTED_VALUE"""),"Nhà hàng")</f>
        <v>Nhà hàng</v>
      </c>
      <c r="P135" s="23"/>
      <c r="Q135" s="23" t="str">
        <f ca="1">IFERROR(__xludf.DUMMYFUNCTION("""COMPUTED_VALUE"""),"22/01/2025")</f>
        <v>22/01/2025</v>
      </c>
      <c r="R135" s="23" t="str">
        <f ca="1">IFERROR(__xludf.DUMMYFUNCTION("""COMPUTED_VALUE"""),"cam kết")</f>
        <v>cam kết</v>
      </c>
      <c r="S135" s="23" t="str">
        <f ca="1">IFERROR(__xludf.DUMMYFUNCTION("""COMPUTED_VALUE"""),"Chuyên đề")</f>
        <v>Chuyên đề</v>
      </c>
      <c r="T135" s="23"/>
      <c r="U135" s="27">
        <f ca="1">IFERROR(__xludf.DUMMYFUNCTION("""COMPUTED_VALUE"""),45698)</f>
        <v>45698</v>
      </c>
      <c r="V135" s="27">
        <f ca="1">IFERROR(__xludf.DUMMYFUNCTION("""COMPUTED_VALUE"""),45786)</f>
        <v>45786</v>
      </c>
      <c r="W135" s="23">
        <f ca="1">IFERROR(__xludf.DUMMYFUNCTION("""COMPUTED_VALUE"""),134)</f>
        <v>134</v>
      </c>
      <c r="X135" s="23" t="str">
        <f ca="1">IFERROR(__xludf.DUMMYFUNCTION("""COMPUTED_VALUE"""),"22/01/2025")</f>
        <v>22/01/2025</v>
      </c>
      <c r="Y135" s="23" t="str">
        <f ca="1">IFERROR(__xludf.DUMMYFUNCTION("""COMPUTED_VALUE"""),"DUYỆT")</f>
        <v>DUYỆT</v>
      </c>
      <c r="Z135" s="23" t="str">
        <f ca="1">IFERROR(__xludf.DUMMYFUNCTION("""COMPUTED_VALUE"""),"22/01/2025")</f>
        <v>22/01/2025</v>
      </c>
      <c r="AA135" s="23" t="str">
        <f ca="1">IFERROR(__xludf.DUMMYFUNCTION("""COMPUTED_VALUE"""),"DaNang Marriott Resort &amp; Spa, Non Nuoc Beach Villas")</f>
        <v>DaNang Marriott Resort &amp; Spa, Non Nuoc Beach Villas</v>
      </c>
      <c r="AB135" s="23" t="str">
        <f ca="1">IFERROR(__xludf.DUMMYFUNCTION("""COMPUTED_VALUE"""),"Nhà hàng")</f>
        <v>Nhà hàng</v>
      </c>
      <c r="AC135" s="23"/>
      <c r="AD135" s="23"/>
      <c r="AE135" s="23" t="str">
        <f ca="1">IFERROR(__xludf.DUMMYFUNCTION("""COMPUTED_VALUE"""),"")</f>
        <v/>
      </c>
      <c r="AF135" s="23" t="str">
        <f ca="1">IFERROR(__xludf.DUMMYFUNCTION("""COMPUTED_VALUE"""),"CHUYÊN ĐỀ")</f>
        <v>CHUYÊN ĐỀ</v>
      </c>
      <c r="AG135" s="23" t="str">
        <f ca="1">IFERROR(__xludf.DUMMYFUNCTION("""COMPUTED_VALUE"""),"Phạm Thị Hoàng Dung")</f>
        <v>Phạm Thị Hoàng Dung</v>
      </c>
    </row>
    <row r="136" spans="1:33" ht="12.75" x14ac:dyDescent="0.2">
      <c r="A136" s="26">
        <f ca="1">IFERROR(__xludf.DUMMYFUNCTION("""COMPUTED_VALUE"""),45679.6432368865)</f>
        <v>45679.643236886499</v>
      </c>
      <c r="B136" s="23" t="str">
        <f ca="1">IFERROR(__xludf.DUMMYFUNCTION("""COMPUTED_VALUE"""),"kimyen27112k3@gmail.com")</f>
        <v>kimyen27112k3@gmail.com</v>
      </c>
      <c r="C136" s="23">
        <f ca="1">IFERROR(__xludf.DUMMYFUNCTION("""COMPUTED_VALUE"""),27207133010)</f>
        <v>27207133010</v>
      </c>
      <c r="D136" s="23" t="str">
        <f ca="1">IFERROR(__xludf.DUMMYFUNCTION("""COMPUTED_VALUE"""),"Nguyễn Thị Kim Yến")</f>
        <v>Nguyễn Thị Kim Yến</v>
      </c>
      <c r="E136" s="27">
        <f ca="1">IFERROR(__xludf.DUMMYFUNCTION("""COMPUTED_VALUE"""),37952)</f>
        <v>37952</v>
      </c>
      <c r="F136" s="23" t="str">
        <f ca="1">IFERROR(__xludf.DUMMYFUNCTION("""COMPUTED_VALUE"""),"K27DLK2")</f>
        <v>K27DLK2</v>
      </c>
      <c r="G136" s="23" t="str">
        <f ca="1">IFERROR(__xludf.DUMMYFUNCTION("""COMPUTED_VALUE"""),"Quản trị Du lịch &amp; Khách sạn")</f>
        <v>Quản trị Du lịch &amp; Khách sạn</v>
      </c>
      <c r="H136" s="23">
        <f ca="1">IFERROR(__xludf.DUMMYFUNCTION("""COMPUTED_VALUE"""),27)</f>
        <v>27</v>
      </c>
      <c r="I136" s="23" t="str">
        <f ca="1">IFERROR(__xludf.DUMMYFUNCTION("""COMPUTED_VALUE"""),"0328872782")</f>
        <v>0328872782</v>
      </c>
      <c r="J136" s="23" t="str">
        <f ca="1">IFERROR(__xludf.DUMMYFUNCTION("""COMPUTED_VALUE"""),"Chuyên đề")</f>
        <v>Chuyên đề</v>
      </c>
      <c r="K136" s="23" t="str">
        <f ca="1">IFERROR(__xludf.DUMMYFUNCTION("""COMPUTED_VALUE"""),"Vanda Hotel")</f>
        <v>Vanda Hotel</v>
      </c>
      <c r="L136" s="23"/>
      <c r="M136" s="23" t="str">
        <f ca="1">IFERROR(__xludf.DUMMYFUNCTION("""COMPUTED_VALUE"""),"03 Nguyễn Văn Linh, Hải Châu, Đà Nẵng")</f>
        <v>03 Nguyễn Văn Linh, Hải Châu, Đà Nẵng</v>
      </c>
      <c r="N136" s="23" t="str">
        <f ca="1">IFERROR(__xludf.DUMMYFUNCTION("""COMPUTED_VALUE"""),"Đà Nẵng")</f>
        <v>Đà Nẵng</v>
      </c>
      <c r="O136" s="23" t="str">
        <f ca="1">IFERROR(__xludf.DUMMYFUNCTION("""COMPUTED_VALUE"""),"Buồng phòng")</f>
        <v>Buồng phòng</v>
      </c>
      <c r="P136" s="23"/>
      <c r="Q136" s="23" t="str">
        <f ca="1">IFERROR(__xludf.DUMMYFUNCTION("""COMPUTED_VALUE"""),"22/01/2025")</f>
        <v>22/01/2025</v>
      </c>
      <c r="R136" s="23" t="str">
        <f ca="1">IFERROR(__xludf.DUMMYFUNCTION("""COMPUTED_VALUE"""),"cam kết")</f>
        <v>cam kết</v>
      </c>
      <c r="S136" s="23" t="str">
        <f ca="1">IFERROR(__xludf.DUMMYFUNCTION("""COMPUTED_VALUE"""),"Chuyên đề")</f>
        <v>Chuyên đề</v>
      </c>
      <c r="T136" s="23"/>
      <c r="U136" s="27">
        <f ca="1">IFERROR(__xludf.DUMMYFUNCTION("""COMPUTED_VALUE"""),45698)</f>
        <v>45698</v>
      </c>
      <c r="V136" s="27">
        <f ca="1">IFERROR(__xludf.DUMMYFUNCTION("""COMPUTED_VALUE"""),45787)</f>
        <v>45787</v>
      </c>
      <c r="W136" s="23">
        <f ca="1">IFERROR(__xludf.DUMMYFUNCTION("""COMPUTED_VALUE"""),135)</f>
        <v>135</v>
      </c>
      <c r="X136" s="23" t="str">
        <f ca="1">IFERROR(__xludf.DUMMYFUNCTION("""COMPUTED_VALUE"""),"22/01/2025")</f>
        <v>22/01/2025</v>
      </c>
      <c r="Y136" s="23" t="str">
        <f ca="1">IFERROR(__xludf.DUMMYFUNCTION("""COMPUTED_VALUE"""),"DUYỆT")</f>
        <v>DUYỆT</v>
      </c>
      <c r="Z136" s="23" t="str">
        <f ca="1">IFERROR(__xludf.DUMMYFUNCTION("""COMPUTED_VALUE"""),"22/01/2025")</f>
        <v>22/01/2025</v>
      </c>
      <c r="AA136" s="23" t="str">
        <f ca="1">IFERROR(__xludf.DUMMYFUNCTION("""COMPUTED_VALUE"""),"Vanda Hotel")</f>
        <v>Vanda Hotel</v>
      </c>
      <c r="AB136" s="23" t="str">
        <f ca="1">IFERROR(__xludf.DUMMYFUNCTION("""COMPUTED_VALUE"""),"Buồng phòng")</f>
        <v>Buồng phòng</v>
      </c>
      <c r="AC136" s="23"/>
      <c r="AD136" s="23"/>
      <c r="AE136" s="23" t="str">
        <f ca="1">IFERROR(__xludf.DUMMYFUNCTION("""COMPUTED_VALUE"""),"")</f>
        <v/>
      </c>
      <c r="AF136" s="23" t="str">
        <f ca="1">IFERROR(__xludf.DUMMYFUNCTION("""COMPUTED_VALUE"""),"CHUYÊN ĐỀ")</f>
        <v>CHUYÊN ĐỀ</v>
      </c>
      <c r="AG136" s="23" t="str">
        <f ca="1">IFERROR(__xludf.DUMMYFUNCTION("""COMPUTED_VALUE"""),"Trịnh Thị Kim Chung")</f>
        <v>Trịnh Thị Kim Chung</v>
      </c>
    </row>
    <row r="137" spans="1:33" ht="12.75" x14ac:dyDescent="0.2">
      <c r="A137" s="26">
        <f ca="1">IFERROR(__xludf.DUMMYFUNCTION("""COMPUTED_VALUE"""),45695.6347390046)</f>
        <v>45695.634739004599</v>
      </c>
      <c r="B137" s="23" t="str">
        <f ca="1">IFERROR(__xludf.DUMMYFUNCTION("""COMPUTED_VALUE"""),"guineban2000@gmail.com")</f>
        <v>guineban2000@gmail.com</v>
      </c>
      <c r="C137" s="23">
        <f ca="1">IFERROR(__xludf.DUMMYFUNCTION("""COMPUTED_VALUE"""),24207105293)</f>
        <v>24207105293</v>
      </c>
      <c r="D137" s="23" t="str">
        <f ca="1">IFERROR(__xludf.DUMMYFUNCTION("""COMPUTED_VALUE"""),"H GUIN Ê BAN")</f>
        <v>H GUIN Ê BAN</v>
      </c>
      <c r="E137" s="27">
        <f ca="1">IFERROR(__xludf.DUMMYFUNCTION("""COMPUTED_VALUE"""),36810)</f>
        <v>36810</v>
      </c>
      <c r="F137" s="23" t="str">
        <f ca="1">IFERROR(__xludf.DUMMYFUNCTION("""COMPUTED_VALUE"""),"K24DLK12")</f>
        <v>K24DLK12</v>
      </c>
      <c r="G137" s="23" t="str">
        <f ca="1">IFERROR(__xludf.DUMMYFUNCTION("""COMPUTED_VALUE"""),"Quản trị Du lịch &amp; Khách sạn")</f>
        <v>Quản trị Du lịch &amp; Khách sạn</v>
      </c>
      <c r="H137" s="23">
        <f ca="1">IFERROR(__xludf.DUMMYFUNCTION("""COMPUTED_VALUE"""),24)</f>
        <v>24</v>
      </c>
      <c r="I137" s="23" t="str">
        <f ca="1">IFERROR(__xludf.DUMMYFUNCTION("""COMPUTED_VALUE"""),"0981201062")</f>
        <v>0981201062</v>
      </c>
      <c r="J137" s="23" t="str">
        <f ca="1">IFERROR(__xludf.DUMMYFUNCTION("""COMPUTED_VALUE"""),"Chuyên đề")</f>
        <v>Chuyên đề</v>
      </c>
      <c r="K137" s="23" t="str">
        <f ca="1">IFERROR(__xludf.DUMMYFUNCTION("""COMPUTED_VALUE"""),"Diamond sea hotel")</f>
        <v>Diamond sea hotel</v>
      </c>
      <c r="L137" s="23" t="str">
        <f ca="1">IFERROR(__xludf.DUMMYFUNCTION("""COMPUTED_VALUE"""),"Diamond sea hotel")</f>
        <v>Diamond sea hotel</v>
      </c>
      <c r="M137" s="23" t="str">
        <f ca="1">IFERROR(__xludf.DUMMYFUNCTION("""COMPUTED_VALUE"""),"232 Võ Nguyên Giáp, Phước Mỹ, Sơn Trà, Đà Nẵng")</f>
        <v>232 Võ Nguyên Giáp, Phước Mỹ, Sơn Trà, Đà Nẵng</v>
      </c>
      <c r="N137" s="23" t="str">
        <f ca="1">IFERROR(__xludf.DUMMYFUNCTION("""COMPUTED_VALUE"""),"Đà Nẵng")</f>
        <v>Đà Nẵng</v>
      </c>
      <c r="O137" s="23" t="str">
        <f ca="1">IFERROR(__xludf.DUMMYFUNCTION("""COMPUTED_VALUE"""),"Nhà hàng")</f>
        <v>Nhà hàng</v>
      </c>
      <c r="P137" s="23"/>
      <c r="Q137" s="23" t="str">
        <f ca="1">IFERROR(__xludf.DUMMYFUNCTION("""COMPUTED_VALUE"""),"7/2/2025")</f>
        <v>7/2/2025</v>
      </c>
      <c r="R137" s="23" t="str">
        <f ca="1">IFERROR(__xludf.DUMMYFUNCTION("""COMPUTED_VALUE"""),"cam kết")</f>
        <v>cam kết</v>
      </c>
      <c r="S137" s="23" t="str">
        <f ca="1">IFERROR(__xludf.DUMMYFUNCTION("""COMPUTED_VALUE"""),"Chuyên đề")</f>
        <v>Chuyên đề</v>
      </c>
      <c r="T137" s="23"/>
      <c r="U137" s="27">
        <f ca="1">IFERROR(__xludf.DUMMYFUNCTION("""COMPUTED_VALUE"""),45698)</f>
        <v>45698</v>
      </c>
      <c r="V137" s="27">
        <f ca="1">IFERROR(__xludf.DUMMYFUNCTION("""COMPUTED_VALUE"""),45787)</f>
        <v>45787</v>
      </c>
      <c r="W137" s="23">
        <f ca="1">IFERROR(__xludf.DUMMYFUNCTION("""COMPUTED_VALUE"""),136)</f>
        <v>136</v>
      </c>
      <c r="X137" s="28">
        <f ca="1">IFERROR(__xludf.DUMMYFUNCTION("""COMPUTED_VALUE"""),45932)</f>
        <v>45932</v>
      </c>
      <c r="Y137" s="23" t="str">
        <f ca="1">IFERROR(__xludf.DUMMYFUNCTION("""COMPUTED_VALUE"""),"DUYỆT")</f>
        <v>DUYỆT</v>
      </c>
      <c r="Z137" s="23" t="str">
        <f ca="1">IFERROR(__xludf.DUMMYFUNCTION("""COMPUTED_VALUE"""),"22/01/2025")</f>
        <v>22/01/2025</v>
      </c>
      <c r="AA137" s="23" t="str">
        <f ca="1">IFERROR(__xludf.DUMMYFUNCTION("""COMPUTED_VALUE"""),"Diamond sea hotel")</f>
        <v>Diamond sea hotel</v>
      </c>
      <c r="AB137" s="23" t="str">
        <f ca="1">IFERROR(__xludf.DUMMYFUNCTION("""COMPUTED_VALUE"""),"Nhà hàng")</f>
        <v>Nhà hàng</v>
      </c>
      <c r="AC137" s="23" t="str">
        <f ca="1">IFERROR(__xludf.DUMMYFUNCTION("""COMPUTED_VALUE"""),"ĐÃ NỘP")</f>
        <v>ĐÃ NỘP</v>
      </c>
      <c r="AD137" s="23"/>
      <c r="AE137" s="23" t="str">
        <f ca="1">IFERROR(__xludf.DUMMYFUNCTION("""COMPUTED_VALUE"""),"")</f>
        <v/>
      </c>
      <c r="AF137" s="23" t="str">
        <f ca="1">IFERROR(__xludf.DUMMYFUNCTION("""COMPUTED_VALUE"""),"CHUYÊN ĐỀ")</f>
        <v>CHUYÊN ĐỀ</v>
      </c>
      <c r="AG137" s="23" t="str">
        <f ca="1">IFERROR(__xludf.DUMMYFUNCTION("""COMPUTED_VALUE"""),"Phạm Thị Hoàng Dung")</f>
        <v>Phạm Thị Hoàng Dung</v>
      </c>
    </row>
    <row r="138" spans="1:33" ht="12.75" x14ac:dyDescent="0.2">
      <c r="A138" s="26">
        <f ca="1">IFERROR(__xludf.DUMMYFUNCTION("""COMPUTED_VALUE"""),45679.6763952662)</f>
        <v>45679.6763952662</v>
      </c>
      <c r="B138" s="23" t="str">
        <f ca="1">IFERROR(__xludf.DUMMYFUNCTION("""COMPUTED_VALUE"""),"tranxuanthai02032000@gmail.com")</f>
        <v>tranxuanthai02032000@gmail.com</v>
      </c>
      <c r="C138" s="23">
        <f ca="1">IFERROR(__xludf.DUMMYFUNCTION("""COMPUTED_VALUE"""),25217202931)</f>
        <v>25217202931</v>
      </c>
      <c r="D138" s="23" t="str">
        <f ca="1">IFERROR(__xludf.DUMMYFUNCTION("""COMPUTED_VALUE"""),"Trần Xuân Thái")</f>
        <v>Trần Xuân Thái</v>
      </c>
      <c r="E138" s="27">
        <f ca="1">IFERROR(__xludf.DUMMYFUNCTION("""COMPUTED_VALUE"""),36559)</f>
        <v>36559</v>
      </c>
      <c r="F138" s="23" t="str">
        <f ca="1">IFERROR(__xludf.DUMMYFUNCTION("""COMPUTED_VALUE"""),"K25DLK23")</f>
        <v>K25DLK23</v>
      </c>
      <c r="G138" s="23" t="str">
        <f ca="1">IFERROR(__xludf.DUMMYFUNCTION("""COMPUTED_VALUE"""),"Quản trị Du lịch &amp; Khách sạn")</f>
        <v>Quản trị Du lịch &amp; Khách sạn</v>
      </c>
      <c r="H138" s="23">
        <f ca="1">IFERROR(__xludf.DUMMYFUNCTION("""COMPUTED_VALUE"""),25)</f>
        <v>25</v>
      </c>
      <c r="I138" s="23" t="str">
        <f ca="1">IFERROR(__xludf.DUMMYFUNCTION("""COMPUTED_VALUE"""),"0899883969")</f>
        <v>0899883969</v>
      </c>
      <c r="J138" s="23" t="str">
        <f ca="1">IFERROR(__xludf.DUMMYFUNCTION("""COMPUTED_VALUE"""),"Chuyên đề")</f>
        <v>Chuyên đề</v>
      </c>
      <c r="K138" s="23" t="str">
        <f ca="1">IFERROR(__xludf.DUMMYFUNCTION("""COMPUTED_VALUE"""),"Phú Long Tam Kỳ Hotel &amp; Restaurant")</f>
        <v>Phú Long Tam Kỳ Hotel &amp; Restaurant</v>
      </c>
      <c r="L138" s="23" t="str">
        <f ca="1">IFERROR(__xludf.DUMMYFUNCTION("""COMPUTED_VALUE"""),"Phú Long Tam Kỳ Hotel &amp; Restaurant")</f>
        <v>Phú Long Tam Kỳ Hotel &amp; Restaurant</v>
      </c>
      <c r="M138" s="23" t="str">
        <f ca="1">IFERROR(__xludf.DUMMYFUNCTION("""COMPUTED_VALUE"""),"495 Phan Châu Trinh, phường Hoà Hương, Tam Kỳ, Quảng Nam")</f>
        <v>495 Phan Châu Trinh, phường Hoà Hương, Tam Kỳ, Quảng Nam</v>
      </c>
      <c r="N138" s="23" t="str">
        <f ca="1">IFERROR(__xludf.DUMMYFUNCTION("""COMPUTED_VALUE"""),"Tam kỳ")</f>
        <v>Tam kỳ</v>
      </c>
      <c r="O138" s="23" t="str">
        <f ca="1">IFERROR(__xludf.DUMMYFUNCTION("""COMPUTED_VALUE"""),"Tiền sảnh")</f>
        <v>Tiền sảnh</v>
      </c>
      <c r="P138" s="23" t="str">
        <f ca="1">IFERROR(__xludf.DUMMYFUNCTION("""COMPUTED_VALUE"""),"Không có ")</f>
        <v xml:space="preserve">Không có </v>
      </c>
      <c r="Q138" s="23" t="str">
        <f ca="1">IFERROR(__xludf.DUMMYFUNCTION("""COMPUTED_VALUE"""),"10/2")</f>
        <v>10/2</v>
      </c>
      <c r="R138" s="23" t="str">
        <f ca="1">IFERROR(__xludf.DUMMYFUNCTION("""COMPUTED_VALUE"""),"cam kết")</f>
        <v>cam kết</v>
      </c>
      <c r="S138" s="23" t="str">
        <f ca="1">IFERROR(__xludf.DUMMYFUNCTION("""COMPUTED_VALUE"""),"Chuyên đề")</f>
        <v>Chuyên đề</v>
      </c>
      <c r="T138" s="23" t="str">
        <f ca="1">IFERROR(__xludf.DUMMYFUNCTION("""COMPUTED_VALUE"""),"Phạm Thị Thu Thủy")</f>
        <v>Phạm Thị Thu Thủy</v>
      </c>
      <c r="U138" s="27">
        <f ca="1">IFERROR(__xludf.DUMMYFUNCTION("""COMPUTED_VALUE"""),45698)</f>
        <v>45698</v>
      </c>
      <c r="V138" s="27">
        <f ca="1">IFERROR(__xludf.DUMMYFUNCTION("""COMPUTED_VALUE"""),45787)</f>
        <v>45787</v>
      </c>
      <c r="W138" s="23">
        <f ca="1">IFERROR(__xludf.DUMMYFUNCTION("""COMPUTED_VALUE"""),137)</f>
        <v>137</v>
      </c>
      <c r="X138" s="28">
        <f ca="1">IFERROR(__xludf.DUMMYFUNCTION("""COMPUTED_VALUE"""),45963)</f>
        <v>45963</v>
      </c>
      <c r="Y138" s="23" t="str">
        <f ca="1">IFERROR(__xludf.DUMMYFUNCTION("""COMPUTED_VALUE"""),"DUYỆT")</f>
        <v>DUYỆT</v>
      </c>
      <c r="Z138" s="23" t="str">
        <f ca="1">IFERROR(__xludf.DUMMYFUNCTION("""COMPUTED_VALUE"""),"23/01/2025")</f>
        <v>23/01/2025</v>
      </c>
      <c r="AA138" s="23" t="str">
        <f ca="1">IFERROR(__xludf.DUMMYFUNCTION("""COMPUTED_VALUE"""),"Phú Long Tam Kỳ Hotel &amp; Restaurant")</f>
        <v>Phú Long Tam Kỳ Hotel &amp; Restaurant</v>
      </c>
      <c r="AB138" s="23" t="str">
        <f ca="1">IFERROR(__xludf.DUMMYFUNCTION("""COMPUTED_VALUE"""),"Tiền sảnh")</f>
        <v>Tiền sảnh</v>
      </c>
      <c r="AC138" s="23" t="str">
        <f ca="1">IFERROR(__xludf.DUMMYFUNCTION("""COMPUTED_VALUE"""),"ĐÃ NỘP")</f>
        <v>ĐÃ NỘP</v>
      </c>
      <c r="AD138" s="23"/>
      <c r="AE138" s="23" t="str">
        <f ca="1">IFERROR(__xludf.DUMMYFUNCTION("""COMPUTED_VALUE"""),"")</f>
        <v/>
      </c>
      <c r="AF138" s="23" t="str">
        <f ca="1">IFERROR(__xludf.DUMMYFUNCTION("""COMPUTED_VALUE"""),"CHUYÊN ĐỀ")</f>
        <v>CHUYÊN ĐỀ</v>
      </c>
      <c r="AG138" s="23" t="str">
        <f ca="1">IFERROR(__xludf.DUMMYFUNCTION("""COMPUTED_VALUE"""),"Phan Thị Hồng Hải")</f>
        <v>Phan Thị Hồng Hải</v>
      </c>
    </row>
    <row r="139" spans="1:33" ht="12.75" x14ac:dyDescent="0.2">
      <c r="A139" s="26">
        <f ca="1">IFERROR(__xludf.DUMMYFUNCTION("""COMPUTED_VALUE"""),45679.6944443171)</f>
        <v>45679.694444317101</v>
      </c>
      <c r="B139" s="23" t="str">
        <f ca="1">IFERROR(__xludf.DUMMYFUNCTION("""COMPUTED_VALUE"""),"nguyenductiencr7@gmail.com")</f>
        <v>nguyenductiencr7@gmail.com</v>
      </c>
      <c r="C139" s="23">
        <f ca="1">IFERROR(__xludf.DUMMYFUNCTION("""COMPUTED_VALUE"""),27217125270)</f>
        <v>27217125270</v>
      </c>
      <c r="D139" s="23" t="str">
        <f ca="1">IFERROR(__xludf.DUMMYFUNCTION("""COMPUTED_VALUE"""),"Nguyễn Đức Tiến")</f>
        <v>Nguyễn Đức Tiến</v>
      </c>
      <c r="E139" s="27">
        <f ca="1">IFERROR(__xludf.DUMMYFUNCTION("""COMPUTED_VALUE"""),37659)</f>
        <v>37659</v>
      </c>
      <c r="F139" s="23" t="str">
        <f ca="1">IFERROR(__xludf.DUMMYFUNCTION("""COMPUTED_VALUE"""),"K27DLK5")</f>
        <v>K27DLK5</v>
      </c>
      <c r="G139" s="23" t="str">
        <f ca="1">IFERROR(__xludf.DUMMYFUNCTION("""COMPUTED_VALUE"""),"Quản trị Du lịch &amp; Khách sạn")</f>
        <v>Quản trị Du lịch &amp; Khách sạn</v>
      </c>
      <c r="H139" s="23">
        <f ca="1">IFERROR(__xludf.DUMMYFUNCTION("""COMPUTED_VALUE"""),27)</f>
        <v>27</v>
      </c>
      <c r="I139" s="23" t="str">
        <f ca="1">IFERROR(__xludf.DUMMYFUNCTION("""COMPUTED_VALUE"""),"0928430157")</f>
        <v>0928430157</v>
      </c>
      <c r="J139" s="23" t="str">
        <f ca="1">IFERROR(__xludf.DUMMYFUNCTION("""COMPUTED_VALUE"""),"Chuyên đề")</f>
        <v>Chuyên đề</v>
      </c>
      <c r="K139" s="23" t="str">
        <f ca="1">IFERROR(__xludf.DUMMYFUNCTION("""COMPUTED_VALUE"""),"DaNang Marriott Resort &amp; Spa, Non Nuoc Beach Villas")</f>
        <v>DaNang Marriott Resort &amp; Spa, Non Nuoc Beach Villas</v>
      </c>
      <c r="L139" s="23" t="str">
        <f ca="1">IFERROR(__xludf.DUMMYFUNCTION("""COMPUTED_VALUE"""),"DaNang Marriott Resort &amp; Spa, Non Nuoc Beach Villas")</f>
        <v>DaNang Marriott Resort &amp; Spa, Non Nuoc Beach Villas</v>
      </c>
      <c r="M139" s="23" t="str">
        <f ca="1">IFERROR(__xludf.DUMMYFUNCTION("""COMPUTED_VALUE"""),"23 Trường Sa")</f>
        <v>23 Trường Sa</v>
      </c>
      <c r="N139" s="23" t="str">
        <f ca="1">IFERROR(__xludf.DUMMYFUNCTION("""COMPUTED_VALUE"""),"Thành Phố Đà Nẵng")</f>
        <v>Thành Phố Đà Nẵng</v>
      </c>
      <c r="O139" s="23" t="str">
        <f ca="1">IFERROR(__xludf.DUMMYFUNCTION("""COMPUTED_VALUE"""),"Nhà hàng")</f>
        <v>Nhà hàng</v>
      </c>
      <c r="P139" s="23"/>
      <c r="Q139" s="23" t="str">
        <f ca="1">IFERROR(__xludf.DUMMYFUNCTION("""COMPUTED_VALUE"""),"22/1/2025")</f>
        <v>22/1/2025</v>
      </c>
      <c r="R139" s="23" t="str">
        <f ca="1">IFERROR(__xludf.DUMMYFUNCTION("""COMPUTED_VALUE"""),"cam kết")</f>
        <v>cam kết</v>
      </c>
      <c r="S139" s="23" t="str">
        <f ca="1">IFERROR(__xludf.DUMMYFUNCTION("""COMPUTED_VALUE"""),"Chuyên đề")</f>
        <v>Chuyên đề</v>
      </c>
      <c r="T139" s="23" t="str">
        <f ca="1">IFERROR(__xludf.DUMMYFUNCTION("""COMPUTED_VALUE"""),"Mai Thị Thương")</f>
        <v>Mai Thị Thương</v>
      </c>
      <c r="U139" s="27">
        <f ca="1">IFERROR(__xludf.DUMMYFUNCTION("""COMPUTED_VALUE"""),45698)</f>
        <v>45698</v>
      </c>
      <c r="V139" s="27">
        <f ca="1">IFERROR(__xludf.DUMMYFUNCTION("""COMPUTED_VALUE"""),45786)</f>
        <v>45786</v>
      </c>
      <c r="W139" s="23">
        <f ca="1">IFERROR(__xludf.DUMMYFUNCTION("""COMPUTED_VALUE"""),138)</f>
        <v>138</v>
      </c>
      <c r="X139" s="23" t="str">
        <f ca="1">IFERROR(__xludf.DUMMYFUNCTION("""COMPUTED_VALUE"""),"22/01/2025")</f>
        <v>22/01/2025</v>
      </c>
      <c r="Y139" s="23" t="str">
        <f ca="1">IFERROR(__xludf.DUMMYFUNCTION("""COMPUTED_VALUE"""),"DUYỆT")</f>
        <v>DUYỆT</v>
      </c>
      <c r="Z139" s="23" t="str">
        <f ca="1">IFERROR(__xludf.DUMMYFUNCTION("""COMPUTED_VALUE"""),"22/01/2025")</f>
        <v>22/01/2025</v>
      </c>
      <c r="AA139" s="23" t="str">
        <f ca="1">IFERROR(__xludf.DUMMYFUNCTION("""COMPUTED_VALUE"""),"DaNang Marriott Resort &amp; Spa, Non Nuoc Beach Villas")</f>
        <v>DaNang Marriott Resort &amp; Spa, Non Nuoc Beach Villas</v>
      </c>
      <c r="AB139" s="23" t="str">
        <f ca="1">IFERROR(__xludf.DUMMYFUNCTION("""COMPUTED_VALUE"""),"Nhà hàng")</f>
        <v>Nhà hàng</v>
      </c>
      <c r="AC139" s="23"/>
      <c r="AD139" s="23"/>
      <c r="AE139" s="23" t="str">
        <f ca="1">IFERROR(__xludf.DUMMYFUNCTION("""COMPUTED_VALUE"""),"")</f>
        <v/>
      </c>
      <c r="AF139" s="23" t="str">
        <f ca="1">IFERROR(__xludf.DUMMYFUNCTION("""COMPUTED_VALUE"""),"CHUYÊN ĐỀ")</f>
        <v>CHUYÊN ĐỀ</v>
      </c>
      <c r="AG139" s="23" t="str">
        <f ca="1">IFERROR(__xludf.DUMMYFUNCTION("""COMPUTED_VALUE"""),"Phạm Thị Hoàng Dung")</f>
        <v>Phạm Thị Hoàng Dung</v>
      </c>
    </row>
    <row r="140" spans="1:33" ht="12.75" x14ac:dyDescent="0.2">
      <c r="A140" s="26">
        <f ca="1">IFERROR(__xludf.DUMMYFUNCTION("""COMPUTED_VALUE"""),45695.7278277083)</f>
        <v>45695.727827708302</v>
      </c>
      <c r="B140" s="23" t="str">
        <f ca="1">IFERROR(__xludf.DUMMYFUNCTION("""COMPUTED_VALUE"""),"minhdum1612@gmail.com")</f>
        <v>minhdum1612@gmail.com</v>
      </c>
      <c r="C140" s="23">
        <f ca="1">IFERROR(__xludf.DUMMYFUNCTION("""COMPUTED_VALUE"""),27202237832)</f>
        <v>27202237832</v>
      </c>
      <c r="D140" s="23" t="str">
        <f ca="1">IFERROR(__xludf.DUMMYFUNCTION("""COMPUTED_VALUE"""),"Võ Minh Nguyệt")</f>
        <v>Võ Minh Nguyệt</v>
      </c>
      <c r="E140" s="27">
        <f ca="1">IFERROR(__xludf.DUMMYFUNCTION("""COMPUTED_VALUE"""),37971)</f>
        <v>37971</v>
      </c>
      <c r="F140" s="23" t="str">
        <f ca="1">IFERROR(__xludf.DUMMYFUNCTION("""COMPUTED_VALUE"""),"K27DLK7")</f>
        <v>K27DLK7</v>
      </c>
      <c r="G140" s="23" t="str">
        <f ca="1">IFERROR(__xludf.DUMMYFUNCTION("""COMPUTED_VALUE"""),"Quản trị Du lịch &amp; Khách sạn")</f>
        <v>Quản trị Du lịch &amp; Khách sạn</v>
      </c>
      <c r="H140" s="23">
        <f ca="1">IFERROR(__xludf.DUMMYFUNCTION("""COMPUTED_VALUE"""),27)</f>
        <v>27</v>
      </c>
      <c r="I140" s="23" t="str">
        <f ca="1">IFERROR(__xludf.DUMMYFUNCTION("""COMPUTED_VALUE"""),"0934931109")</f>
        <v>0934931109</v>
      </c>
      <c r="J140" s="23" t="str">
        <f ca="1">IFERROR(__xludf.DUMMYFUNCTION("""COMPUTED_VALUE"""),"Khóa luận")</f>
        <v>Khóa luận</v>
      </c>
      <c r="K140" s="23" t="str">
        <f ca="1">IFERROR(__xludf.DUMMYFUNCTION("""COMPUTED_VALUE"""),"Danang Marriott Resort &amp; Spa, Non Nuoc Beach Villas.")</f>
        <v>Danang Marriott Resort &amp; Spa, Non Nuoc Beach Villas.</v>
      </c>
      <c r="L140" s="23" t="str">
        <f ca="1">IFERROR(__xludf.DUMMYFUNCTION("""COMPUTED_VALUE"""),"Danang Marriott Resort &amp; Spa, Non Nuoc Beach Villas.")</f>
        <v>Danang Marriott Resort &amp; Spa, Non Nuoc Beach Villas.</v>
      </c>
      <c r="M140" s="23" t="str">
        <f ca="1">IFERROR(__xludf.DUMMYFUNCTION("""COMPUTED_VALUE"""),"23 Trường Sa")</f>
        <v>23 Trường Sa</v>
      </c>
      <c r="N140" s="23" t="str">
        <f ca="1">IFERROR(__xludf.DUMMYFUNCTION("""COMPUTED_VALUE"""),"Đà Nẵng")</f>
        <v>Đà Nẵng</v>
      </c>
      <c r="O140" s="23" t="str">
        <f ca="1">IFERROR(__xludf.DUMMYFUNCTION("""COMPUTED_VALUE"""),"Nhà hàng")</f>
        <v>Nhà hàng</v>
      </c>
      <c r="P140" s="23"/>
      <c r="Q140" s="23" t="str">
        <f ca="1">IFERROR(__xludf.DUMMYFUNCTION("""COMPUTED_VALUE"""),"22/1/2025")</f>
        <v>22/1/2025</v>
      </c>
      <c r="R140" s="23" t="str">
        <f ca="1">IFERROR(__xludf.DUMMYFUNCTION("""COMPUTED_VALUE"""),"cam kết")</f>
        <v>cam kết</v>
      </c>
      <c r="S140" s="23" t="str">
        <f ca="1">IFERROR(__xludf.DUMMYFUNCTION("""COMPUTED_VALUE"""),"Khóa luận")</f>
        <v>Khóa luận</v>
      </c>
      <c r="T140" s="23" t="str">
        <f ca="1">IFERROR(__xludf.DUMMYFUNCTION("""COMPUTED_VALUE"""),"Mai Thị Thương")</f>
        <v>Mai Thị Thương</v>
      </c>
      <c r="U140" s="27">
        <f ca="1">IFERROR(__xludf.DUMMYFUNCTION("""COMPUTED_VALUE"""),45698)</f>
        <v>45698</v>
      </c>
      <c r="V140" s="27">
        <f ca="1">IFERROR(__xludf.DUMMYFUNCTION("""COMPUTED_VALUE"""),45786)</f>
        <v>45786</v>
      </c>
      <c r="W140" s="23">
        <f ca="1">IFERROR(__xludf.DUMMYFUNCTION("""COMPUTED_VALUE"""),139)</f>
        <v>139</v>
      </c>
      <c r="X140" s="23" t="str">
        <f ca="1">IFERROR(__xludf.DUMMYFUNCTION("""COMPUTED_VALUE"""),"22/01/2025")</f>
        <v>22/01/2025</v>
      </c>
      <c r="Y140" s="23" t="str">
        <f ca="1">IFERROR(__xludf.DUMMYFUNCTION("""COMPUTED_VALUE"""),"DUYỆT")</f>
        <v>DUYỆT</v>
      </c>
      <c r="Z140" s="23" t="str">
        <f ca="1">IFERROR(__xludf.DUMMYFUNCTION("""COMPUTED_VALUE"""),"22/01/2025")</f>
        <v>22/01/2025</v>
      </c>
      <c r="AA140" s="23" t="str">
        <f ca="1">IFERROR(__xludf.DUMMYFUNCTION("""COMPUTED_VALUE"""),"DaNang Marriott Resort &amp; Spa, Non Nuoc Beach Villas")</f>
        <v>DaNang Marriott Resort &amp; Spa, Non Nuoc Beach Villas</v>
      </c>
      <c r="AB140" s="23" t="str">
        <f ca="1">IFERROR(__xludf.DUMMYFUNCTION("""COMPUTED_VALUE"""),"Nhà hàng")</f>
        <v>Nhà hàng</v>
      </c>
      <c r="AC140" s="23"/>
      <c r="AD140" s="23"/>
      <c r="AE140" s="23" t="str">
        <f ca="1">IFERROR(__xludf.DUMMYFUNCTION("""COMPUTED_VALUE"""),"")</f>
        <v/>
      </c>
      <c r="AF140" s="23" t="str">
        <f ca="1">IFERROR(__xludf.DUMMYFUNCTION("""COMPUTED_VALUE"""),"CHUYÊN ĐỀ")</f>
        <v>CHUYÊN ĐỀ</v>
      </c>
      <c r="AG140" s="23" t="str">
        <f ca="1">IFERROR(__xludf.DUMMYFUNCTION("""COMPUTED_VALUE"""),"Phạm Thị Hoàng Dung")</f>
        <v>Phạm Thị Hoàng Dung</v>
      </c>
    </row>
    <row r="141" spans="1:33" ht="12.75" x14ac:dyDescent="0.2">
      <c r="A141" s="26">
        <f ca="1">IFERROR(__xludf.DUMMYFUNCTION("""COMPUTED_VALUE"""),45679.7418282523)</f>
        <v>45679.741828252299</v>
      </c>
      <c r="B141" s="23" t="str">
        <f ca="1">IFERROR(__xludf.DUMMYFUNCTION("""COMPUTED_VALUE"""),"ngocmai.3042003@gmail.com")</f>
        <v>ngocmai.3042003@gmail.com</v>
      </c>
      <c r="C141" s="23">
        <f ca="1">IFERROR(__xludf.DUMMYFUNCTION("""COMPUTED_VALUE"""),27207102070)</f>
        <v>27207102070</v>
      </c>
      <c r="D141" s="23" t="str">
        <f ca="1">IFERROR(__xludf.DUMMYFUNCTION("""COMPUTED_VALUE"""),"Mai Thị Kim Ngọc")</f>
        <v>Mai Thị Kim Ngọc</v>
      </c>
      <c r="E141" s="27">
        <f ca="1">IFERROR(__xludf.DUMMYFUNCTION("""COMPUTED_VALUE"""),37741)</f>
        <v>37741</v>
      </c>
      <c r="F141" s="23" t="str">
        <f ca="1">IFERROR(__xludf.DUMMYFUNCTION("""COMPUTED_VALUE"""),"K27DLK7")</f>
        <v>K27DLK7</v>
      </c>
      <c r="G141" s="23" t="str">
        <f ca="1">IFERROR(__xludf.DUMMYFUNCTION("""COMPUTED_VALUE"""),"Quản trị Du lịch &amp; Khách sạn")</f>
        <v>Quản trị Du lịch &amp; Khách sạn</v>
      </c>
      <c r="H141" s="23">
        <f ca="1">IFERROR(__xludf.DUMMYFUNCTION("""COMPUTED_VALUE"""),27)</f>
        <v>27</v>
      </c>
      <c r="I141" s="23" t="str">
        <f ca="1">IFERROR(__xludf.DUMMYFUNCTION("""COMPUTED_VALUE"""),"0384831612")</f>
        <v>0384831612</v>
      </c>
      <c r="J141" s="23" t="str">
        <f ca="1">IFERROR(__xludf.DUMMYFUNCTION("""COMPUTED_VALUE"""),"Khóa luận")</f>
        <v>Khóa luận</v>
      </c>
      <c r="K141" s="23" t="str">
        <f ca="1">IFERROR(__xludf.DUMMYFUNCTION("""COMPUTED_VALUE"""),"DaNang Marriott Resort &amp; Spa, Non Nuoc Beach Villas")</f>
        <v>DaNang Marriott Resort &amp; Spa, Non Nuoc Beach Villas</v>
      </c>
      <c r="L141" s="23" t="str">
        <f ca="1">IFERROR(__xludf.DUMMYFUNCTION("""COMPUTED_VALUE"""),"DaNang Marriott Resort &amp; Spa, Non Nuoc Beach Villas")</f>
        <v>DaNang Marriott Resort &amp; Spa, Non Nuoc Beach Villas</v>
      </c>
      <c r="M141" s="23" t="str">
        <f ca="1">IFERROR(__xludf.DUMMYFUNCTION("""COMPUTED_VALUE"""),"23 Trường Sa")</f>
        <v>23 Trường Sa</v>
      </c>
      <c r="N141" s="23" t="str">
        <f ca="1">IFERROR(__xludf.DUMMYFUNCTION("""COMPUTED_VALUE"""),"Đà Nẵng")</f>
        <v>Đà Nẵng</v>
      </c>
      <c r="O141" s="23" t="str">
        <f ca="1">IFERROR(__xludf.DUMMYFUNCTION("""COMPUTED_VALUE"""),"Nhà hàng")</f>
        <v>Nhà hàng</v>
      </c>
      <c r="P141" s="23"/>
      <c r="Q141" s="23" t="str">
        <f ca="1">IFERROR(__xludf.DUMMYFUNCTION("""COMPUTED_VALUE"""),"22/1/2025")</f>
        <v>22/1/2025</v>
      </c>
      <c r="R141" s="23" t="str">
        <f ca="1">IFERROR(__xludf.DUMMYFUNCTION("""COMPUTED_VALUE"""),"cam kết")</f>
        <v>cam kết</v>
      </c>
      <c r="S141" s="23" t="str">
        <f ca="1">IFERROR(__xludf.DUMMYFUNCTION("""COMPUTED_VALUE"""),"Khóa luận")</f>
        <v>Khóa luận</v>
      </c>
      <c r="T141" s="23" t="str">
        <f ca="1">IFERROR(__xludf.DUMMYFUNCTION("""COMPUTED_VALUE"""),"Mai Thị Thương")</f>
        <v>Mai Thị Thương</v>
      </c>
      <c r="U141" s="27">
        <f ca="1">IFERROR(__xludf.DUMMYFUNCTION("""COMPUTED_VALUE"""),45698)</f>
        <v>45698</v>
      </c>
      <c r="V141" s="27">
        <f ca="1">IFERROR(__xludf.DUMMYFUNCTION("""COMPUTED_VALUE"""),45786)</f>
        <v>45786</v>
      </c>
      <c r="W141" s="23">
        <f ca="1">IFERROR(__xludf.DUMMYFUNCTION("""COMPUTED_VALUE"""),140)</f>
        <v>140</v>
      </c>
      <c r="X141" s="23" t="str">
        <f ca="1">IFERROR(__xludf.DUMMYFUNCTION("""COMPUTED_VALUE"""),"22/01/2025")</f>
        <v>22/01/2025</v>
      </c>
      <c r="Y141" s="23" t="str">
        <f ca="1">IFERROR(__xludf.DUMMYFUNCTION("""COMPUTED_VALUE"""),"DUYỆT")</f>
        <v>DUYỆT</v>
      </c>
      <c r="Z141" s="23" t="str">
        <f ca="1">IFERROR(__xludf.DUMMYFUNCTION("""COMPUTED_VALUE"""),"22/01/2025")</f>
        <v>22/01/2025</v>
      </c>
      <c r="AA141" s="23" t="str">
        <f ca="1">IFERROR(__xludf.DUMMYFUNCTION("""COMPUTED_VALUE"""),"DaNang Marriott Resort &amp; Spa, Non Nuoc Beach Villas")</f>
        <v>DaNang Marriott Resort &amp; Spa, Non Nuoc Beach Villas</v>
      </c>
      <c r="AB141" s="23" t="str">
        <f ca="1">IFERROR(__xludf.DUMMYFUNCTION("""COMPUTED_VALUE"""),"Nhà hàng")</f>
        <v>Nhà hàng</v>
      </c>
      <c r="AC141" s="23"/>
      <c r="AD141" s="23"/>
      <c r="AE141" s="23" t="str">
        <f ca="1">IFERROR(__xludf.DUMMYFUNCTION("""COMPUTED_VALUE"""),"")</f>
        <v/>
      </c>
      <c r="AF141" s="23" t="str">
        <f ca="1">IFERROR(__xludf.DUMMYFUNCTION("""COMPUTED_VALUE"""),"CHUYÊN ĐỀ")</f>
        <v>CHUYÊN ĐỀ</v>
      </c>
      <c r="AG141" s="23" t="str">
        <f ca="1">IFERROR(__xludf.DUMMYFUNCTION("""COMPUTED_VALUE"""),"Phạm Thị Hoàng Dung")</f>
        <v>Phạm Thị Hoàng Dung</v>
      </c>
    </row>
    <row r="142" spans="1:33" ht="12.75" x14ac:dyDescent="0.2">
      <c r="A142" s="26">
        <f ca="1">IFERROR(__xludf.DUMMYFUNCTION("""COMPUTED_VALUE"""),45679.7224823147)</f>
        <v>45679.722482314697</v>
      </c>
      <c r="B142" s="23" t="str">
        <f ca="1">IFERROR(__xludf.DUMMYFUNCTION("""COMPUTED_VALUE"""),"luonghuynhyennhi@hmail.com")</f>
        <v>luonghuynhyennhi@hmail.com</v>
      </c>
      <c r="C142" s="23">
        <f ca="1">IFERROR(__xludf.DUMMYFUNCTION("""COMPUTED_VALUE"""),27207100842)</f>
        <v>27207100842</v>
      </c>
      <c r="D142" s="23" t="str">
        <f ca="1">IFERROR(__xludf.DUMMYFUNCTION("""COMPUTED_VALUE"""),"Lương Huỳnh Yến Nhi")</f>
        <v>Lương Huỳnh Yến Nhi</v>
      </c>
      <c r="E142" s="27">
        <f ca="1">IFERROR(__xludf.DUMMYFUNCTION("""COMPUTED_VALUE"""),37723)</f>
        <v>37723</v>
      </c>
      <c r="F142" s="23" t="str">
        <f ca="1">IFERROR(__xludf.DUMMYFUNCTION("""COMPUTED_VALUE"""),"K27DLK2")</f>
        <v>K27DLK2</v>
      </c>
      <c r="G142" s="23" t="str">
        <f ca="1">IFERROR(__xludf.DUMMYFUNCTION("""COMPUTED_VALUE"""),"Quản trị Du lịch &amp; Khách sạn")</f>
        <v>Quản trị Du lịch &amp; Khách sạn</v>
      </c>
      <c r="H142" s="23">
        <f ca="1">IFERROR(__xludf.DUMMYFUNCTION("""COMPUTED_VALUE"""),27)</f>
        <v>27</v>
      </c>
      <c r="I142" s="23" t="str">
        <f ca="1">IFERROR(__xludf.DUMMYFUNCTION("""COMPUTED_VALUE"""),"0934780976")</f>
        <v>0934780976</v>
      </c>
      <c r="J142" s="23" t="str">
        <f ca="1">IFERROR(__xludf.DUMMYFUNCTION("""COMPUTED_VALUE"""),"Chuyên đề")</f>
        <v>Chuyên đề</v>
      </c>
      <c r="K142" s="23" t="str">
        <f ca="1">IFERROR(__xludf.DUMMYFUNCTION("""COMPUTED_VALUE"""),"Meliá Danang Beach Resort")</f>
        <v>Meliá Danang Beach Resort</v>
      </c>
      <c r="L142" s="23" t="str">
        <f ca="1">IFERROR(__xludf.DUMMYFUNCTION("""COMPUTED_VALUE"""),"Meliá Danang Beach Resort")</f>
        <v>Meliá Danang Beach Resort</v>
      </c>
      <c r="M142" s="23" t="str">
        <f ca="1">IFERROR(__xludf.DUMMYFUNCTION("""COMPUTED_VALUE"""),"Số 19, Đường Trường Sa, Phường Hòa Hải, Quận Ngũ Hành Sơn, Thành phố Đà Nẵng, Việt Nam. Da Nang")</f>
        <v>Số 19, Đường Trường Sa, Phường Hòa Hải, Quận Ngũ Hành Sơn, Thành phố Đà Nẵng, Việt Nam. Da Nang</v>
      </c>
      <c r="N142" s="23" t="str">
        <f ca="1">IFERROR(__xludf.DUMMYFUNCTION("""COMPUTED_VALUE"""),"Thành phố Đà Nẵng")</f>
        <v>Thành phố Đà Nẵng</v>
      </c>
      <c r="O142" s="23" t="str">
        <f ca="1">IFERROR(__xludf.DUMMYFUNCTION("""COMPUTED_VALUE"""),"Tiền sảnh")</f>
        <v>Tiền sảnh</v>
      </c>
      <c r="P142" s="23"/>
      <c r="Q142" s="23" t="str">
        <f ca="1">IFERROR(__xludf.DUMMYFUNCTION("""COMPUTED_VALUE"""),"22/01/2025")</f>
        <v>22/01/2025</v>
      </c>
      <c r="R142" s="23" t="str">
        <f ca="1">IFERROR(__xludf.DUMMYFUNCTION("""COMPUTED_VALUE"""),"cam kết")</f>
        <v>cam kết</v>
      </c>
      <c r="S142" s="23" t="str">
        <f ca="1">IFERROR(__xludf.DUMMYFUNCTION("""COMPUTED_VALUE"""),"Chuyên đề")</f>
        <v>Chuyên đề</v>
      </c>
      <c r="T142" s="23" t="str">
        <f ca="1">IFERROR(__xludf.DUMMYFUNCTION("""COMPUTED_VALUE"""),"Mai Thị Thương")</f>
        <v>Mai Thị Thương</v>
      </c>
      <c r="U142" s="27">
        <f ca="1">IFERROR(__xludf.DUMMYFUNCTION("""COMPUTED_VALUE"""),45698)</f>
        <v>45698</v>
      </c>
      <c r="V142" s="27">
        <f ca="1">IFERROR(__xludf.DUMMYFUNCTION("""COMPUTED_VALUE"""),45787)</f>
        <v>45787</v>
      </c>
      <c r="W142" s="23">
        <f ca="1">IFERROR(__xludf.DUMMYFUNCTION("""COMPUTED_VALUE"""),141)</f>
        <v>141</v>
      </c>
      <c r="X142" s="23" t="str">
        <f ca="1">IFERROR(__xludf.DUMMYFUNCTION("""COMPUTED_VALUE"""),"23/01/2025")</f>
        <v>23/01/2025</v>
      </c>
      <c r="Y142" s="23" t="str">
        <f ca="1">IFERROR(__xludf.DUMMYFUNCTION("""COMPUTED_VALUE"""),"DUYỆT")</f>
        <v>DUYỆT</v>
      </c>
      <c r="Z142" s="23" t="str">
        <f ca="1">IFERROR(__xludf.DUMMYFUNCTION("""COMPUTED_VALUE"""),"23/01/2025")</f>
        <v>23/01/2025</v>
      </c>
      <c r="AA142" s="23" t="str">
        <f ca="1">IFERROR(__xludf.DUMMYFUNCTION("""COMPUTED_VALUE"""),"Meliá Danang Beach Resort")</f>
        <v>Meliá Danang Beach Resort</v>
      </c>
      <c r="AB142" s="23" t="str">
        <f ca="1">IFERROR(__xludf.DUMMYFUNCTION("""COMPUTED_VALUE"""),"Tiền sảnh")</f>
        <v>Tiền sảnh</v>
      </c>
      <c r="AC142" s="23"/>
      <c r="AD142" s="23"/>
      <c r="AE142" s="23" t="str">
        <f ca="1">IFERROR(__xludf.DUMMYFUNCTION("""COMPUTED_VALUE"""),"")</f>
        <v/>
      </c>
      <c r="AF142" s="23" t="str">
        <f ca="1">IFERROR(__xludf.DUMMYFUNCTION("""COMPUTED_VALUE"""),"CHUYÊN ĐỀ")</f>
        <v>CHUYÊN ĐỀ</v>
      </c>
      <c r="AG142" s="23" t="str">
        <f ca="1">IFERROR(__xludf.DUMMYFUNCTION("""COMPUTED_VALUE"""),"Bùi Lê Anh Phương")</f>
        <v>Bùi Lê Anh Phương</v>
      </c>
    </row>
    <row r="143" spans="1:33" ht="12.75" x14ac:dyDescent="0.2">
      <c r="A143" s="26">
        <f ca="1">IFERROR(__xludf.DUMMYFUNCTION("""COMPUTED_VALUE"""),45679.8542478935)</f>
        <v>45679.854247893498</v>
      </c>
      <c r="B143" s="23" t="str">
        <f ca="1">IFERROR(__xludf.DUMMYFUNCTION("""COMPUTED_VALUE"""),"nguyenphuc301002@gmail.com")</f>
        <v>nguyenphuc301002@gmail.com</v>
      </c>
      <c r="C143" s="23">
        <f ca="1">IFERROR(__xludf.DUMMYFUNCTION("""COMPUTED_VALUE"""),26217241667)</f>
        <v>26217241667</v>
      </c>
      <c r="D143" s="23" t="str">
        <f ca="1">IFERROR(__xludf.DUMMYFUNCTION("""COMPUTED_VALUE"""),"Nguyễn Phúc")</f>
        <v>Nguyễn Phúc</v>
      </c>
      <c r="E143" s="27">
        <f ca="1">IFERROR(__xludf.DUMMYFUNCTION("""COMPUTED_VALUE"""),37559)</f>
        <v>37559</v>
      </c>
      <c r="F143" s="23" t="str">
        <f ca="1">IFERROR(__xludf.DUMMYFUNCTION("""COMPUTED_VALUE"""),"K27DLK6")</f>
        <v>K27DLK6</v>
      </c>
      <c r="G143" s="23" t="str">
        <f ca="1">IFERROR(__xludf.DUMMYFUNCTION("""COMPUTED_VALUE"""),"Quản trị Du lịch &amp; Khách sạn")</f>
        <v>Quản trị Du lịch &amp; Khách sạn</v>
      </c>
      <c r="H143" s="23">
        <f ca="1">IFERROR(__xludf.DUMMYFUNCTION("""COMPUTED_VALUE"""),27)</f>
        <v>27</v>
      </c>
      <c r="I143" s="23" t="str">
        <f ca="1">IFERROR(__xludf.DUMMYFUNCTION("""COMPUTED_VALUE"""),"0938741507")</f>
        <v>0938741507</v>
      </c>
      <c r="J143" s="23" t="str">
        <f ca="1">IFERROR(__xludf.DUMMYFUNCTION("""COMPUTED_VALUE"""),"Chuyên đề")</f>
        <v>Chuyên đề</v>
      </c>
      <c r="K143" s="23" t="str">
        <f ca="1">IFERROR(__xludf.DUMMYFUNCTION("""COMPUTED_VALUE"""),"Hyatt regency DaNang Resort")</f>
        <v>Hyatt regency DaNang Resort</v>
      </c>
      <c r="L143" s="23"/>
      <c r="M143" s="23" t="str">
        <f ca="1">IFERROR(__xludf.DUMMYFUNCTION("""COMPUTED_VALUE"""),"5 Trường Sa, Hoà Hải, Ngũ Hành Sơn, Đà Nẵng")</f>
        <v>5 Trường Sa, Hoà Hải, Ngũ Hành Sơn, Đà Nẵng</v>
      </c>
      <c r="N143" s="23" t="str">
        <f ca="1">IFERROR(__xludf.DUMMYFUNCTION("""COMPUTED_VALUE"""),"Đà Nẵng")</f>
        <v>Đà Nẵng</v>
      </c>
      <c r="O143" s="23" t="str">
        <f ca="1">IFERROR(__xludf.DUMMYFUNCTION("""COMPUTED_VALUE"""),"Nhà hàng")</f>
        <v>Nhà hàng</v>
      </c>
      <c r="P143" s="23"/>
      <c r="Q143" s="23" t="str">
        <f ca="1">IFERROR(__xludf.DUMMYFUNCTION("""COMPUTED_VALUE"""),"22/1/2025")</f>
        <v>22/1/2025</v>
      </c>
      <c r="R143" s="23" t="str">
        <f ca="1">IFERROR(__xludf.DUMMYFUNCTION("""COMPUTED_VALUE"""),"cam kết")</f>
        <v>cam kết</v>
      </c>
      <c r="S143" s="23" t="str">
        <f ca="1">IFERROR(__xludf.DUMMYFUNCTION("""COMPUTED_VALUE"""),"Chuyên đề")</f>
        <v>Chuyên đề</v>
      </c>
      <c r="T143" s="23" t="str">
        <f ca="1">IFERROR(__xludf.DUMMYFUNCTION("""COMPUTED_VALUE"""),"Phạm Thị Thu Thủy")</f>
        <v>Phạm Thị Thu Thủy</v>
      </c>
      <c r="U143" s="27">
        <f ca="1">IFERROR(__xludf.DUMMYFUNCTION("""COMPUTED_VALUE"""),45677)</f>
        <v>45677</v>
      </c>
      <c r="V143" s="27">
        <f ca="1">IFERROR(__xludf.DUMMYFUNCTION("""COMPUTED_VALUE"""),45767)</f>
        <v>45767</v>
      </c>
      <c r="W143" s="23">
        <f ca="1">IFERROR(__xludf.DUMMYFUNCTION("""COMPUTED_VALUE"""),142)</f>
        <v>142</v>
      </c>
      <c r="X143" s="23" t="str">
        <f ca="1">IFERROR(__xludf.DUMMYFUNCTION("""COMPUTED_VALUE"""),"23/01/2025")</f>
        <v>23/01/2025</v>
      </c>
      <c r="Y143" s="23" t="str">
        <f ca="1">IFERROR(__xludf.DUMMYFUNCTION("""COMPUTED_VALUE"""),"DUYỆT")</f>
        <v>DUYỆT</v>
      </c>
      <c r="Z143" s="23" t="str">
        <f ca="1">IFERROR(__xludf.DUMMYFUNCTION("""COMPUTED_VALUE"""),"23/01/2025")</f>
        <v>23/01/2025</v>
      </c>
      <c r="AA143" s="23" t="str">
        <f ca="1">IFERROR(__xludf.DUMMYFUNCTION("""COMPUTED_VALUE"""),"Hyatt regency DaNang Resort")</f>
        <v>Hyatt regency DaNang Resort</v>
      </c>
      <c r="AB143" s="23" t="str">
        <f ca="1">IFERROR(__xludf.DUMMYFUNCTION("""COMPUTED_VALUE"""),"Nhà hàng")</f>
        <v>Nhà hàng</v>
      </c>
      <c r="AC143" s="23"/>
      <c r="AD143" s="23" t="str">
        <f ca="1">IFERROR(__xludf.DUMMYFUNCTION("""COMPUTED_VALUE"""),"SV phải đảm bảo không thực tập quá 5sv/nhà hàng")</f>
        <v>SV phải đảm bảo không thực tập quá 5sv/nhà hàng</v>
      </c>
      <c r="AE143" s="23" t="str">
        <f ca="1">IFERROR(__xludf.DUMMYFUNCTION("""COMPUTED_VALUE"""),"")</f>
        <v/>
      </c>
      <c r="AF143" s="23" t="str">
        <f ca="1">IFERROR(__xludf.DUMMYFUNCTION("""COMPUTED_VALUE"""),"CHUYÊN ĐỀ")</f>
        <v>CHUYÊN ĐỀ</v>
      </c>
      <c r="AG143" s="23" t="str">
        <f ca="1">IFERROR(__xludf.DUMMYFUNCTION("""COMPUTED_VALUE"""),"Phạm Thị Thu Thủy")</f>
        <v>Phạm Thị Thu Thủy</v>
      </c>
    </row>
    <row r="144" spans="1:33" ht="12.75" x14ac:dyDescent="0.2">
      <c r="A144" s="26">
        <f ca="1">IFERROR(__xludf.DUMMYFUNCTION("""COMPUTED_VALUE"""),45679.9034646643)</f>
        <v>45679.903464664298</v>
      </c>
      <c r="B144" s="23" t="str">
        <f ca="1">IFERROR(__xludf.DUMMYFUNCTION("""COMPUTED_VALUE"""),"nguyenthituyettram652003@gmail.com")</f>
        <v>nguyenthituyettram652003@gmail.com</v>
      </c>
      <c r="C144" s="23">
        <f ca="1">IFERROR(__xludf.DUMMYFUNCTION("""COMPUTED_VALUE"""),27207143440)</f>
        <v>27207143440</v>
      </c>
      <c r="D144" s="23" t="str">
        <f ca="1">IFERROR(__xludf.DUMMYFUNCTION("""COMPUTED_VALUE"""),"Nguyễn Thị Tuyết Trâm")</f>
        <v>Nguyễn Thị Tuyết Trâm</v>
      </c>
      <c r="E144" s="27">
        <f ca="1">IFERROR(__xludf.DUMMYFUNCTION("""COMPUTED_VALUE"""),37747)</f>
        <v>37747</v>
      </c>
      <c r="F144" s="23" t="str">
        <f ca="1">IFERROR(__xludf.DUMMYFUNCTION("""COMPUTED_VALUE"""),"K27DLK5")</f>
        <v>K27DLK5</v>
      </c>
      <c r="G144" s="23" t="str">
        <f ca="1">IFERROR(__xludf.DUMMYFUNCTION("""COMPUTED_VALUE"""),"Quản trị Du lịch &amp; Khách sạn")</f>
        <v>Quản trị Du lịch &amp; Khách sạn</v>
      </c>
      <c r="H144" s="23">
        <f ca="1">IFERROR(__xludf.DUMMYFUNCTION("""COMPUTED_VALUE"""),27)</f>
        <v>27</v>
      </c>
      <c r="I144" s="23" t="str">
        <f ca="1">IFERROR(__xludf.DUMMYFUNCTION("""COMPUTED_VALUE"""),"0383228364")</f>
        <v>0383228364</v>
      </c>
      <c r="J144" s="23" t="str">
        <f ca="1">IFERROR(__xludf.DUMMYFUNCTION("""COMPUTED_VALUE"""),"Chuyên đề")</f>
        <v>Chuyên đề</v>
      </c>
      <c r="K144" s="23" t="str">
        <f ca="1">IFERROR(__xludf.DUMMYFUNCTION("""COMPUTED_VALUE"""),"Khách sạn Mandila Beach Đà Nẵng")</f>
        <v>Khách sạn Mandila Beach Đà Nẵng</v>
      </c>
      <c r="L144" s="23" t="str">
        <f ca="1">IFERROR(__xludf.DUMMYFUNCTION("""COMPUTED_VALUE"""),"Mandila Beach Hotel ")</f>
        <v xml:space="preserve">Mandila Beach Hotel </v>
      </c>
      <c r="M144" s="23" t="str">
        <f ca="1">IFERROR(__xludf.DUMMYFUNCTION("""COMPUTED_VALUE"""),"218 Võ Nguyên Giáp, Phước Mỹ, Sơn Trà, Đà Nẵng")</f>
        <v>218 Võ Nguyên Giáp, Phước Mỹ, Sơn Trà, Đà Nẵng</v>
      </c>
      <c r="N144" s="23" t="str">
        <f ca="1">IFERROR(__xludf.DUMMYFUNCTION("""COMPUTED_VALUE"""),"Đà Nẵng")</f>
        <v>Đà Nẵng</v>
      </c>
      <c r="O144" s="23" t="str">
        <f ca="1">IFERROR(__xludf.DUMMYFUNCTION("""COMPUTED_VALUE"""),"Nhà hàng")</f>
        <v>Nhà hàng</v>
      </c>
      <c r="P144" s="23"/>
      <c r="Q144" s="23" t="str">
        <f ca="1">IFERROR(__xludf.DUMMYFUNCTION("""COMPUTED_VALUE"""),"23/01/2025")</f>
        <v>23/01/2025</v>
      </c>
      <c r="R144" s="23" t="str">
        <f ca="1">IFERROR(__xludf.DUMMYFUNCTION("""COMPUTED_VALUE"""),"cam kết")</f>
        <v>cam kết</v>
      </c>
      <c r="S144" s="23" t="str">
        <f ca="1">IFERROR(__xludf.DUMMYFUNCTION("""COMPUTED_VALUE"""),"Chuyên đề")</f>
        <v>Chuyên đề</v>
      </c>
      <c r="T144" s="23" t="str">
        <f ca="1">IFERROR(__xludf.DUMMYFUNCTION("""COMPUTED_VALUE"""),"Phạm Thị Thu Thủy")</f>
        <v>Phạm Thị Thu Thủy</v>
      </c>
      <c r="U144" s="27">
        <f ca="1">IFERROR(__xludf.DUMMYFUNCTION("""COMPUTED_VALUE"""),45698)</f>
        <v>45698</v>
      </c>
      <c r="V144" s="27">
        <f ca="1">IFERROR(__xludf.DUMMYFUNCTION("""COMPUTED_VALUE"""),45787)</f>
        <v>45787</v>
      </c>
      <c r="W144" s="23">
        <f ca="1">IFERROR(__xludf.DUMMYFUNCTION("""COMPUTED_VALUE"""),143)</f>
        <v>143</v>
      </c>
      <c r="X144" s="28">
        <f ca="1">IFERROR(__xludf.DUMMYFUNCTION("""COMPUTED_VALUE"""),45963)</f>
        <v>45963</v>
      </c>
      <c r="Y144" s="23" t="str">
        <f ca="1">IFERROR(__xludf.DUMMYFUNCTION("""COMPUTED_VALUE"""),"DUYỆT")</f>
        <v>DUYỆT</v>
      </c>
      <c r="Z144" s="23" t="str">
        <f ca="1">IFERROR(__xludf.DUMMYFUNCTION("""COMPUTED_VALUE"""),"23/01/2025")</f>
        <v>23/01/2025</v>
      </c>
      <c r="AA144" s="23" t="str">
        <f ca="1">IFERROR(__xludf.DUMMYFUNCTION("""COMPUTED_VALUE"""),"Khách sạn Mandila Beach Đà Nẵng")</f>
        <v>Khách sạn Mandila Beach Đà Nẵng</v>
      </c>
      <c r="AB144" s="23" t="str">
        <f ca="1">IFERROR(__xludf.DUMMYFUNCTION("""COMPUTED_VALUE"""),"Nhà hàng")</f>
        <v>Nhà hàng</v>
      </c>
      <c r="AC144" s="23"/>
      <c r="AD144" s="23"/>
      <c r="AE144" s="23" t="str">
        <f ca="1">IFERROR(__xludf.DUMMYFUNCTION("""COMPUTED_VALUE"""),"")</f>
        <v/>
      </c>
      <c r="AF144" s="23" t="str">
        <f ca="1">IFERROR(__xludf.DUMMYFUNCTION("""COMPUTED_VALUE"""),"CHUYÊN ĐỀ")</f>
        <v>CHUYÊN ĐỀ</v>
      </c>
      <c r="AG144" s="23" t="str">
        <f ca="1">IFERROR(__xludf.DUMMYFUNCTION("""COMPUTED_VALUE"""),"Huỳnh Lý Thùy Linh")</f>
        <v>Huỳnh Lý Thùy Linh</v>
      </c>
    </row>
    <row r="145" spans="1:33" ht="12.75" x14ac:dyDescent="0.2">
      <c r="A145" s="26">
        <f ca="1">IFERROR(__xludf.DUMMYFUNCTION("""COMPUTED_VALUE"""),45679.9038987499)</f>
        <v>45679.903898749901</v>
      </c>
      <c r="B145" s="23" t="str">
        <f ca="1">IFERROR(__xludf.DUMMYFUNCTION("""COMPUTED_VALUE"""),"truongvantung103@gmail.com")</f>
        <v>truongvantung103@gmail.com</v>
      </c>
      <c r="C145" s="23">
        <f ca="1">IFERROR(__xludf.DUMMYFUNCTION("""COMPUTED_VALUE"""),27217132880)</f>
        <v>27217132880</v>
      </c>
      <c r="D145" s="23" t="str">
        <f ca="1">IFERROR(__xludf.DUMMYFUNCTION("""COMPUTED_VALUE"""),"Trương Văn Tùng")</f>
        <v>Trương Văn Tùng</v>
      </c>
      <c r="E145" s="27">
        <f ca="1">IFERROR(__xludf.DUMMYFUNCTION("""COMPUTED_VALUE"""),37681)</f>
        <v>37681</v>
      </c>
      <c r="F145" s="23" t="str">
        <f ca="1">IFERROR(__xludf.DUMMYFUNCTION("""COMPUTED_VALUE"""),"K27DLK4")</f>
        <v>K27DLK4</v>
      </c>
      <c r="G145" s="23" t="str">
        <f ca="1">IFERROR(__xludf.DUMMYFUNCTION("""COMPUTED_VALUE"""),"Quản trị Du lịch &amp; Khách sạn")</f>
        <v>Quản trị Du lịch &amp; Khách sạn</v>
      </c>
      <c r="H145" s="23">
        <f ca="1">IFERROR(__xludf.DUMMYFUNCTION("""COMPUTED_VALUE"""),27)</f>
        <v>27</v>
      </c>
      <c r="I145" s="23" t="str">
        <f ca="1">IFERROR(__xludf.DUMMYFUNCTION("""COMPUTED_VALUE"""),"0867602447")</f>
        <v>0867602447</v>
      </c>
      <c r="J145" s="23" t="str">
        <f ca="1">IFERROR(__xludf.DUMMYFUNCTION("""COMPUTED_VALUE"""),"Chuyên đề")</f>
        <v>Chuyên đề</v>
      </c>
      <c r="K145" s="23" t="str">
        <f ca="1">IFERROR(__xludf.DUMMYFUNCTION("""COMPUTED_VALUE"""),"Wyndham DaNang Golden Bay")</f>
        <v>Wyndham DaNang Golden Bay</v>
      </c>
      <c r="L145" s="23"/>
      <c r="M145" s="23" t="str">
        <f ca="1">IFERROR(__xludf.DUMMYFUNCTION("""COMPUTED_VALUE"""),"01 Lê Văn Duyệt, Nại Hiên Đông, Sơn Trà, Đà Nẵng")</f>
        <v>01 Lê Văn Duyệt, Nại Hiên Đông, Sơn Trà, Đà Nẵng</v>
      </c>
      <c r="N145" s="23" t="str">
        <f ca="1">IFERROR(__xludf.DUMMYFUNCTION("""COMPUTED_VALUE"""),"Thành Phố Đà Nẵng")</f>
        <v>Thành Phố Đà Nẵng</v>
      </c>
      <c r="O145" s="23" t="str">
        <f ca="1">IFERROR(__xludf.DUMMYFUNCTION("""COMPUTED_VALUE"""),"Nhà hàng")</f>
        <v>Nhà hàng</v>
      </c>
      <c r="P145" s="23"/>
      <c r="Q145" s="23" t="str">
        <f ca="1">IFERROR(__xludf.DUMMYFUNCTION("""COMPUTED_VALUE"""),"07/01/2025")</f>
        <v>07/01/2025</v>
      </c>
      <c r="R145" s="23" t="str">
        <f ca="1">IFERROR(__xludf.DUMMYFUNCTION("""COMPUTED_VALUE"""),"cam kết")</f>
        <v>cam kết</v>
      </c>
      <c r="S145" s="23" t="str">
        <f ca="1">IFERROR(__xludf.DUMMYFUNCTION("""COMPUTED_VALUE"""),"Chuyên đề")</f>
        <v>Chuyên đề</v>
      </c>
      <c r="T145" s="23" t="str">
        <f ca="1">IFERROR(__xludf.DUMMYFUNCTION("""COMPUTED_VALUE"""),"Mai Thị Thương")</f>
        <v>Mai Thị Thương</v>
      </c>
      <c r="U145" s="27">
        <f ca="1">IFERROR(__xludf.DUMMYFUNCTION("""COMPUTED_VALUE"""),45698)</f>
        <v>45698</v>
      </c>
      <c r="V145" s="27">
        <f ca="1">IFERROR(__xludf.DUMMYFUNCTION("""COMPUTED_VALUE"""),45787)</f>
        <v>45787</v>
      </c>
      <c r="W145" s="23">
        <f ca="1">IFERROR(__xludf.DUMMYFUNCTION("""COMPUTED_VALUE"""),144)</f>
        <v>144</v>
      </c>
      <c r="X145" s="23" t="str">
        <f ca="1">IFERROR(__xludf.DUMMYFUNCTION("""COMPUTED_VALUE"""),"23/01/2025")</f>
        <v>23/01/2025</v>
      </c>
      <c r="Y145" s="23" t="str">
        <f ca="1">IFERROR(__xludf.DUMMYFUNCTION("""COMPUTED_VALUE"""),"DUYỆT")</f>
        <v>DUYỆT</v>
      </c>
      <c r="Z145" s="23" t="str">
        <f ca="1">IFERROR(__xludf.DUMMYFUNCTION("""COMPUTED_VALUE"""),"23/01/2025")</f>
        <v>23/01/2025</v>
      </c>
      <c r="AA145" s="23" t="str">
        <f ca="1">IFERROR(__xludf.DUMMYFUNCTION("""COMPUTED_VALUE"""),"Wyndham DaNang Golden Bay")</f>
        <v>Wyndham DaNang Golden Bay</v>
      </c>
      <c r="AB145" s="23" t="str">
        <f ca="1">IFERROR(__xludf.DUMMYFUNCTION("""COMPUTED_VALUE"""),"Nhà hàng")</f>
        <v>Nhà hàng</v>
      </c>
      <c r="AC145" s="23"/>
      <c r="AD145" s="23" t="str">
        <f ca="1">IFERROR(__xludf.DUMMYFUNCTION("""COMPUTED_VALUE"""),"sv phải đám bảo ko quá 5sv/nhà hàng")</f>
        <v>sv phải đám bảo ko quá 5sv/nhà hàng</v>
      </c>
      <c r="AE145" s="23" t="str">
        <f ca="1">IFERROR(__xludf.DUMMYFUNCTION("""COMPUTED_VALUE"""),"")</f>
        <v/>
      </c>
      <c r="AF145" s="23" t="str">
        <f ca="1">IFERROR(__xludf.DUMMYFUNCTION("""COMPUTED_VALUE"""),"CHUYÊN ĐỀ")</f>
        <v>CHUYÊN ĐỀ</v>
      </c>
      <c r="AG145" s="23" t="str">
        <f ca="1">IFERROR(__xludf.DUMMYFUNCTION("""COMPUTED_VALUE"""),"Trần Thị Mỹ Linh")</f>
        <v>Trần Thị Mỹ Linh</v>
      </c>
    </row>
    <row r="146" spans="1:33" ht="12.75" x14ac:dyDescent="0.2">
      <c r="A146" s="26">
        <f ca="1">IFERROR(__xludf.DUMMYFUNCTION("""COMPUTED_VALUE"""),45679.9071917245)</f>
        <v>45679.907191724502</v>
      </c>
      <c r="B146" s="23" t="str">
        <f ca="1">IFERROR(__xludf.DUMMYFUNCTION("""COMPUTED_VALUE"""),"duyanhvuongkhanh@gmail.com")</f>
        <v>duyanhvuongkhanh@gmail.com</v>
      </c>
      <c r="C146" s="23">
        <f ca="1">IFERROR(__xludf.DUMMYFUNCTION("""COMPUTED_VALUE"""),27217130749)</f>
        <v>27217130749</v>
      </c>
      <c r="D146" s="23" t="str">
        <f ca="1">IFERROR(__xludf.DUMMYFUNCTION("""COMPUTED_VALUE"""),"Vương Khánh Duy Anh")</f>
        <v>Vương Khánh Duy Anh</v>
      </c>
      <c r="E146" s="27">
        <f ca="1">IFERROR(__xludf.DUMMYFUNCTION("""COMPUTED_VALUE"""),37813)</f>
        <v>37813</v>
      </c>
      <c r="F146" s="23" t="str">
        <f ca="1">IFERROR(__xludf.DUMMYFUNCTION("""COMPUTED_VALUE"""),"K27DLK3")</f>
        <v>K27DLK3</v>
      </c>
      <c r="G146" s="23" t="str">
        <f ca="1">IFERROR(__xludf.DUMMYFUNCTION("""COMPUTED_VALUE"""),"Quản trị Du lịch &amp; Khách sạn")</f>
        <v>Quản trị Du lịch &amp; Khách sạn</v>
      </c>
      <c r="H146" s="23">
        <f ca="1">IFERROR(__xludf.DUMMYFUNCTION("""COMPUTED_VALUE"""),27)</f>
        <v>27</v>
      </c>
      <c r="I146" s="23" t="str">
        <f ca="1">IFERROR(__xludf.DUMMYFUNCTION("""COMPUTED_VALUE"""),"0971288714")</f>
        <v>0971288714</v>
      </c>
      <c r="J146" s="23" t="str">
        <f ca="1">IFERROR(__xludf.DUMMYFUNCTION("""COMPUTED_VALUE"""),"Chuyên đề")</f>
        <v>Chuyên đề</v>
      </c>
      <c r="K146" s="23" t="str">
        <f ca="1">IFERROR(__xludf.DUMMYFUNCTION("""COMPUTED_VALUE"""),"Khách sạn Mandila Beach Đà Nẵng")</f>
        <v>Khách sạn Mandila Beach Đà Nẵng</v>
      </c>
      <c r="L146" s="23"/>
      <c r="M146" s="23" t="str">
        <f ca="1">IFERROR(__xludf.DUMMYFUNCTION("""COMPUTED_VALUE"""),"218 Võ Nguyên Giáp, Phước Mỹ, Sơn Trà, Đà Nẵng")</f>
        <v>218 Võ Nguyên Giáp, Phước Mỹ, Sơn Trà, Đà Nẵng</v>
      </c>
      <c r="N146" s="23" t="str">
        <f ca="1">IFERROR(__xludf.DUMMYFUNCTION("""COMPUTED_VALUE"""),"Đà Nẵng")</f>
        <v>Đà Nẵng</v>
      </c>
      <c r="O146" s="23" t="str">
        <f ca="1">IFERROR(__xludf.DUMMYFUNCTION("""COMPUTED_VALUE"""),"Tiền sảnh")</f>
        <v>Tiền sảnh</v>
      </c>
      <c r="P146" s="23"/>
      <c r="Q146" s="23" t="str">
        <f ca="1">IFERROR(__xludf.DUMMYFUNCTION("""COMPUTED_VALUE"""),"09/02/2025")</f>
        <v>09/02/2025</v>
      </c>
      <c r="R146" s="23" t="str">
        <f ca="1">IFERROR(__xludf.DUMMYFUNCTION("""COMPUTED_VALUE"""),"cam kết")</f>
        <v>cam kết</v>
      </c>
      <c r="S146" s="23" t="str">
        <f ca="1">IFERROR(__xludf.DUMMYFUNCTION("""COMPUTED_VALUE"""),"Chuyên đề")</f>
        <v>Chuyên đề</v>
      </c>
      <c r="T146" s="23"/>
      <c r="U146" s="27">
        <f ca="1">IFERROR(__xludf.DUMMYFUNCTION("""COMPUTED_VALUE"""),45696)</f>
        <v>45696</v>
      </c>
      <c r="V146" s="27">
        <f ca="1">IFERROR(__xludf.DUMMYFUNCTION("""COMPUTED_VALUE"""),45785)</f>
        <v>45785</v>
      </c>
      <c r="W146" s="23">
        <f ca="1">IFERROR(__xludf.DUMMYFUNCTION("""COMPUTED_VALUE"""),145)</f>
        <v>145</v>
      </c>
      <c r="X146" s="28">
        <f ca="1">IFERROR(__xludf.DUMMYFUNCTION("""COMPUTED_VALUE"""),45963)</f>
        <v>45963</v>
      </c>
      <c r="Y146" s="23" t="str">
        <f ca="1">IFERROR(__xludf.DUMMYFUNCTION("""COMPUTED_VALUE"""),"DUYỆT")</f>
        <v>DUYỆT</v>
      </c>
      <c r="Z146" s="23" t="str">
        <f ca="1">IFERROR(__xludf.DUMMYFUNCTION("""COMPUTED_VALUE"""),"23/01/2025")</f>
        <v>23/01/2025</v>
      </c>
      <c r="AA146" s="23" t="str">
        <f ca="1">IFERROR(__xludf.DUMMYFUNCTION("""COMPUTED_VALUE"""),"Khách sạn Mandila Beach Đà Nẵng")</f>
        <v>Khách sạn Mandila Beach Đà Nẵng</v>
      </c>
      <c r="AB146" s="23" t="str">
        <f ca="1">IFERROR(__xludf.DUMMYFUNCTION("""COMPUTED_VALUE"""),"Tiền sảnh")</f>
        <v>Tiền sảnh</v>
      </c>
      <c r="AC146" s="23"/>
      <c r="AD146" s="23"/>
      <c r="AE146" s="23" t="str">
        <f ca="1">IFERROR(__xludf.DUMMYFUNCTION("""COMPUTED_VALUE"""),"")</f>
        <v/>
      </c>
      <c r="AF146" s="23" t="str">
        <f ca="1">IFERROR(__xludf.DUMMYFUNCTION("""COMPUTED_VALUE"""),"CHUYÊN ĐỀ")</f>
        <v>CHUYÊN ĐỀ</v>
      </c>
      <c r="AG146" s="23" t="str">
        <f ca="1">IFERROR(__xludf.DUMMYFUNCTION("""COMPUTED_VALUE"""),"Bùi Lê Anh Phương")</f>
        <v>Bùi Lê Anh Phương</v>
      </c>
    </row>
    <row r="147" spans="1:33" ht="12.75" x14ac:dyDescent="0.2">
      <c r="A147" s="26">
        <f ca="1">IFERROR(__xludf.DUMMYFUNCTION("""COMPUTED_VALUE"""),45679.9262495833)</f>
        <v>45679.926249583303</v>
      </c>
      <c r="B147" s="23" t="str">
        <f ca="1">IFERROR(__xludf.DUMMYFUNCTION("""COMPUTED_VALUE"""),"fuongtaliw24@gmail.com")</f>
        <v>fuongtaliw24@gmail.com</v>
      </c>
      <c r="C147" s="23">
        <f ca="1">IFERROR(__xludf.DUMMYFUNCTION("""COMPUTED_VALUE"""),26207131837)</f>
        <v>26207131837</v>
      </c>
      <c r="D147" s="23" t="str">
        <f ca="1">IFERROR(__xludf.DUMMYFUNCTION("""COMPUTED_VALUE"""),"Nguyễn Thị Minh Phương")</f>
        <v>Nguyễn Thị Minh Phương</v>
      </c>
      <c r="E147" s="27">
        <f ca="1">IFERROR(__xludf.DUMMYFUNCTION("""COMPUTED_VALUE"""),37370)</f>
        <v>37370</v>
      </c>
      <c r="F147" s="23" t="str">
        <f ca="1">IFERROR(__xludf.DUMMYFUNCTION("""COMPUTED_VALUE"""),"K26DLK9")</f>
        <v>K26DLK9</v>
      </c>
      <c r="G147" s="23" t="str">
        <f ca="1">IFERROR(__xludf.DUMMYFUNCTION("""COMPUTED_VALUE"""),"Quản trị Du lịch &amp; Khách sạn")</f>
        <v>Quản trị Du lịch &amp; Khách sạn</v>
      </c>
      <c r="H147" s="23">
        <f ca="1">IFERROR(__xludf.DUMMYFUNCTION("""COMPUTED_VALUE"""),26)</f>
        <v>26</v>
      </c>
      <c r="I147" s="23" t="str">
        <f ca="1">IFERROR(__xludf.DUMMYFUNCTION("""COMPUTED_VALUE"""),"0934942120")</f>
        <v>0934942120</v>
      </c>
      <c r="J147" s="23" t="str">
        <f ca="1">IFERROR(__xludf.DUMMYFUNCTION("""COMPUTED_VALUE"""),"Chuyên đề")</f>
        <v>Chuyên đề</v>
      </c>
      <c r="K147" s="23" t="str">
        <f ca="1">IFERROR(__xludf.DUMMYFUNCTION("""COMPUTED_VALUE"""),"Satya Danang Hotel")</f>
        <v>Satya Danang Hotel</v>
      </c>
      <c r="L147" s="23"/>
      <c r="M147" s="23" t="str">
        <f ca="1">IFERROR(__xludf.DUMMYFUNCTION("""COMPUTED_VALUE"""),"155 Trần Phú")</f>
        <v>155 Trần Phú</v>
      </c>
      <c r="N147" s="23" t="str">
        <f ca="1">IFERROR(__xludf.DUMMYFUNCTION("""COMPUTED_VALUE"""),"Đà Nẵng")</f>
        <v>Đà Nẵng</v>
      </c>
      <c r="O147" s="23" t="str">
        <f ca="1">IFERROR(__xludf.DUMMYFUNCTION("""COMPUTED_VALUE"""),"Nhà hàng")</f>
        <v>Nhà hàng</v>
      </c>
      <c r="P147" s="23"/>
      <c r="Q147" s="23" t="str">
        <f ca="1">IFERROR(__xludf.DUMMYFUNCTION("""COMPUTED_VALUE"""),"22/01/2025")</f>
        <v>22/01/2025</v>
      </c>
      <c r="R147" s="23" t="str">
        <f ca="1">IFERROR(__xludf.DUMMYFUNCTION("""COMPUTED_VALUE"""),"cam kết")</f>
        <v>cam kết</v>
      </c>
      <c r="S147" s="23" t="str">
        <f ca="1">IFERROR(__xludf.DUMMYFUNCTION("""COMPUTED_VALUE"""),"Chuyên đề")</f>
        <v>Chuyên đề</v>
      </c>
      <c r="T147" s="23" t="str">
        <f ca="1">IFERROR(__xludf.DUMMYFUNCTION("""COMPUTED_VALUE"""),"Hồ Sử Minh Tài")</f>
        <v>Hồ Sử Minh Tài</v>
      </c>
      <c r="U147" s="27">
        <f ca="1">IFERROR(__xludf.DUMMYFUNCTION("""COMPUTED_VALUE"""),45698)</f>
        <v>45698</v>
      </c>
      <c r="V147" s="27">
        <f ca="1">IFERROR(__xludf.DUMMYFUNCTION("""COMPUTED_VALUE"""),45787)</f>
        <v>45787</v>
      </c>
      <c r="W147" s="23">
        <f ca="1">IFERROR(__xludf.DUMMYFUNCTION("""COMPUTED_VALUE"""),146)</f>
        <v>146</v>
      </c>
      <c r="X147" s="23" t="str">
        <f ca="1">IFERROR(__xludf.DUMMYFUNCTION("""COMPUTED_VALUE"""),"23/01/2025")</f>
        <v>23/01/2025</v>
      </c>
      <c r="Y147" s="23" t="str">
        <f ca="1">IFERROR(__xludf.DUMMYFUNCTION("""COMPUTED_VALUE"""),"DUYỆT")</f>
        <v>DUYỆT</v>
      </c>
      <c r="Z147" s="23" t="str">
        <f ca="1">IFERROR(__xludf.DUMMYFUNCTION("""COMPUTED_VALUE"""),"23/01/2025")</f>
        <v>23/01/2025</v>
      </c>
      <c r="AA147" s="23" t="str">
        <f ca="1">IFERROR(__xludf.DUMMYFUNCTION("""COMPUTED_VALUE"""),"Satya Danang Hotel")</f>
        <v>Satya Danang Hotel</v>
      </c>
      <c r="AB147" s="23" t="str">
        <f ca="1">IFERROR(__xludf.DUMMYFUNCTION("""COMPUTED_VALUE"""),"Nhà hàng")</f>
        <v>Nhà hàng</v>
      </c>
      <c r="AC147" s="23" t="str">
        <f ca="1">IFERROR(__xludf.DUMMYFUNCTION("""COMPUTED_VALUE"""),"ĐÃ NỘP")</f>
        <v>ĐÃ NỘP</v>
      </c>
      <c r="AD147" s="23"/>
      <c r="AE147" s="23" t="str">
        <f ca="1">IFERROR(__xludf.DUMMYFUNCTION("""COMPUTED_VALUE"""),"")</f>
        <v/>
      </c>
      <c r="AF147" s="23" t="str">
        <f ca="1">IFERROR(__xludf.DUMMYFUNCTION("""COMPUTED_VALUE"""),"không đủ điều kiện")</f>
        <v>không đủ điều kiện</v>
      </c>
      <c r="AG147" s="23"/>
    </row>
    <row r="148" spans="1:33" ht="12.75" x14ac:dyDescent="0.2">
      <c r="A148" s="26">
        <f ca="1">IFERROR(__xludf.DUMMYFUNCTION("""COMPUTED_VALUE"""),45680.5339857638)</f>
        <v>45680.533985763803</v>
      </c>
      <c r="B148" s="23" t="str">
        <f ca="1">IFERROR(__xludf.DUMMYFUNCTION("""COMPUTED_VALUE"""),"donhi021092@gmail.com")</f>
        <v>donhi021092@gmail.com</v>
      </c>
      <c r="C148" s="23">
        <f ca="1">IFERROR(__xludf.DUMMYFUNCTION("""COMPUTED_VALUE"""),27207147294)</f>
        <v>27207147294</v>
      </c>
      <c r="D148" s="23" t="str">
        <f ca="1">IFERROR(__xludf.DUMMYFUNCTION("""COMPUTED_VALUE"""),"Đỗ Như Tuyết Nhi")</f>
        <v>Đỗ Như Tuyết Nhi</v>
      </c>
      <c r="E148" s="27">
        <f ca="1">IFERROR(__xludf.DUMMYFUNCTION("""COMPUTED_VALUE"""),37891)</f>
        <v>37891</v>
      </c>
      <c r="F148" s="23" t="str">
        <f ca="1">IFERROR(__xludf.DUMMYFUNCTION("""COMPUTED_VALUE"""),"K27DLK7")</f>
        <v>K27DLK7</v>
      </c>
      <c r="G148" s="23" t="str">
        <f ca="1">IFERROR(__xludf.DUMMYFUNCTION("""COMPUTED_VALUE"""),"Quản trị Du lịch &amp; Khách sạn")</f>
        <v>Quản trị Du lịch &amp; Khách sạn</v>
      </c>
      <c r="H148" s="23">
        <f ca="1">IFERROR(__xludf.DUMMYFUNCTION("""COMPUTED_VALUE"""),27)</f>
        <v>27</v>
      </c>
      <c r="I148" s="23" t="str">
        <f ca="1">IFERROR(__xludf.DUMMYFUNCTION("""COMPUTED_VALUE"""),"0769467655")</f>
        <v>0769467655</v>
      </c>
      <c r="J148" s="23" t="str">
        <f ca="1">IFERROR(__xludf.DUMMYFUNCTION("""COMPUTED_VALUE"""),"Chuyên đề")</f>
        <v>Chuyên đề</v>
      </c>
      <c r="K148" s="23" t="str">
        <f ca="1">IFERROR(__xludf.DUMMYFUNCTION("""COMPUTED_VALUE"""),"Four Points by Sheraton Danang")</f>
        <v>Four Points by Sheraton Danang</v>
      </c>
      <c r="L148" s="23"/>
      <c r="M148" s="23" t="str">
        <f ca="1">IFERROR(__xludf.DUMMYFUNCTION("""COMPUTED_VALUE"""),"118-120 Võ Nguyên Giáp, Phước Mỹ, Sơn Trà, Đà Nẵng")</f>
        <v>118-120 Võ Nguyên Giáp, Phước Mỹ, Sơn Trà, Đà Nẵng</v>
      </c>
      <c r="N148" s="23" t="str">
        <f ca="1">IFERROR(__xludf.DUMMYFUNCTION("""COMPUTED_VALUE"""),"Đà Nẵng")</f>
        <v>Đà Nẵng</v>
      </c>
      <c r="O148" s="23" t="str">
        <f ca="1">IFERROR(__xludf.DUMMYFUNCTION("""COMPUTED_VALUE"""),"Buồng phòng")</f>
        <v>Buồng phòng</v>
      </c>
      <c r="P148" s="23"/>
      <c r="Q148" s="23" t="str">
        <f ca="1">IFERROR(__xludf.DUMMYFUNCTION("""COMPUTED_VALUE"""),"05/02/2025")</f>
        <v>05/02/2025</v>
      </c>
      <c r="R148" s="23" t="str">
        <f ca="1">IFERROR(__xludf.DUMMYFUNCTION("""COMPUTED_VALUE"""),"cam kết")</f>
        <v>cam kết</v>
      </c>
      <c r="S148" s="23" t="str">
        <f ca="1">IFERROR(__xludf.DUMMYFUNCTION("""COMPUTED_VALUE"""),"Chuyên đề")</f>
        <v>Chuyên đề</v>
      </c>
      <c r="T148" s="23"/>
      <c r="U148" s="27">
        <f ca="1">IFERROR(__xludf.DUMMYFUNCTION("""COMPUTED_VALUE"""),45698)</f>
        <v>45698</v>
      </c>
      <c r="V148" s="27">
        <f ca="1">IFERROR(__xludf.DUMMYFUNCTION("""COMPUTED_VALUE"""),45787)</f>
        <v>45787</v>
      </c>
      <c r="W148" s="23">
        <f ca="1">IFERROR(__xludf.DUMMYFUNCTION("""COMPUTED_VALUE"""),147)</f>
        <v>147</v>
      </c>
      <c r="X148" s="28">
        <f ca="1">IFERROR(__xludf.DUMMYFUNCTION("""COMPUTED_VALUE"""),45810)</f>
        <v>45810</v>
      </c>
      <c r="Y148" s="23" t="str">
        <f ca="1">IFERROR(__xludf.DUMMYFUNCTION("""COMPUTED_VALUE"""),"DUYỆT")</f>
        <v>DUYỆT</v>
      </c>
      <c r="Z148" s="23" t="str">
        <f ca="1">IFERROR(__xludf.DUMMYFUNCTION("""COMPUTED_VALUE"""),"24/01/2025")</f>
        <v>24/01/2025</v>
      </c>
      <c r="AA148" s="23" t="str">
        <f ca="1">IFERROR(__xludf.DUMMYFUNCTION("""COMPUTED_VALUE"""),"Four Points by Sheraton Danang")</f>
        <v>Four Points by Sheraton Danang</v>
      </c>
      <c r="AB148" s="23" t="str">
        <f ca="1">IFERROR(__xludf.DUMMYFUNCTION("""COMPUTED_VALUE"""),"Buồng phòng")</f>
        <v>Buồng phòng</v>
      </c>
      <c r="AC148" s="23"/>
      <c r="AD148" s="23"/>
      <c r="AE148" s="23" t="str">
        <f ca="1">IFERROR(__xludf.DUMMYFUNCTION("""COMPUTED_VALUE"""),"")</f>
        <v/>
      </c>
      <c r="AF148" s="23" t="str">
        <f ca="1">IFERROR(__xludf.DUMMYFUNCTION("""COMPUTED_VALUE"""),"không đủ điều kiện")</f>
        <v>không đủ điều kiện</v>
      </c>
      <c r="AG148" s="23"/>
    </row>
    <row r="149" spans="1:33" ht="12.75" x14ac:dyDescent="0.2">
      <c r="A149" s="26">
        <f ca="1">IFERROR(__xludf.DUMMYFUNCTION("""COMPUTED_VALUE"""),45680.6101350578)</f>
        <v>45680.610135057803</v>
      </c>
      <c r="B149" s="23" t="str">
        <f ca="1">IFERROR(__xludf.DUMMYFUNCTION("""COMPUTED_VALUE"""),"nhungngo.01072003@gmail.com")</f>
        <v>nhungngo.01072003@gmail.com</v>
      </c>
      <c r="C149" s="23">
        <f ca="1">IFERROR(__xludf.DUMMYFUNCTION("""COMPUTED_VALUE"""),27207153285)</f>
        <v>27207153285</v>
      </c>
      <c r="D149" s="23" t="str">
        <f ca="1">IFERROR(__xludf.DUMMYFUNCTION("""COMPUTED_VALUE"""),"Ngô Thị Hồng Nhung")</f>
        <v>Ngô Thị Hồng Nhung</v>
      </c>
      <c r="E149" s="27">
        <f ca="1">IFERROR(__xludf.DUMMYFUNCTION("""COMPUTED_VALUE"""),37803)</f>
        <v>37803</v>
      </c>
      <c r="F149" s="23" t="str">
        <f ca="1">IFERROR(__xludf.DUMMYFUNCTION("""COMPUTED_VALUE"""),"K27PSU-DLH")</f>
        <v>K27PSU-DLH</v>
      </c>
      <c r="G149" s="23" t="str">
        <f ca="1">IFERROR(__xludf.DUMMYFUNCTION("""COMPUTED_VALUE"""),"Quản trị Du lịch &amp; Nhà hàng chuẩn PSU")</f>
        <v>Quản trị Du lịch &amp; Nhà hàng chuẩn PSU</v>
      </c>
      <c r="H149" s="23">
        <f ca="1">IFERROR(__xludf.DUMMYFUNCTION("""COMPUTED_VALUE"""),27)</f>
        <v>27</v>
      </c>
      <c r="I149" s="23" t="str">
        <f ca="1">IFERROR(__xludf.DUMMYFUNCTION("""COMPUTED_VALUE"""),"0814309890")</f>
        <v>0814309890</v>
      </c>
      <c r="J149" s="23" t="str">
        <f ca="1">IFERROR(__xludf.DUMMYFUNCTION("""COMPUTED_VALUE"""),"Khóa luận")</f>
        <v>Khóa luận</v>
      </c>
      <c r="K149" s="23" t="str">
        <f ca="1">IFERROR(__xludf.DUMMYFUNCTION("""COMPUTED_VALUE"""),"Premier Village Danang Resort")</f>
        <v>Premier Village Danang Resort</v>
      </c>
      <c r="L149" s="23"/>
      <c r="M149" s="23" t="str">
        <f ca="1">IFERROR(__xludf.DUMMYFUNCTION("""COMPUTED_VALUE"""),"99 Võ Nguyên Giáp, Mỹ An, Ngũ Hành Sơn, Đà Nẵng")</f>
        <v>99 Võ Nguyên Giáp, Mỹ An, Ngũ Hành Sơn, Đà Nẵng</v>
      </c>
      <c r="N149" s="23" t="str">
        <f ca="1">IFERROR(__xludf.DUMMYFUNCTION("""COMPUTED_VALUE"""),"Đà Nẵng")</f>
        <v>Đà Nẵng</v>
      </c>
      <c r="O149" s="23" t="str">
        <f ca="1">IFERROR(__xludf.DUMMYFUNCTION("""COMPUTED_VALUE"""),"Nhà hàng")</f>
        <v>Nhà hàng</v>
      </c>
      <c r="P149" s="23"/>
      <c r="Q149" s="23" t="str">
        <f ca="1">IFERROR(__xludf.DUMMYFUNCTION("""COMPUTED_VALUE"""),"23/01/2025")</f>
        <v>23/01/2025</v>
      </c>
      <c r="R149" s="23" t="str">
        <f ca="1">IFERROR(__xludf.DUMMYFUNCTION("""COMPUTED_VALUE"""),"cam kết")</f>
        <v>cam kết</v>
      </c>
      <c r="S149" s="23" t="str">
        <f ca="1">IFERROR(__xludf.DUMMYFUNCTION("""COMPUTED_VALUE"""),"Khóa luận")</f>
        <v>Khóa luận</v>
      </c>
      <c r="T149" s="23" t="str">
        <f ca="1">IFERROR(__xludf.DUMMYFUNCTION("""COMPUTED_VALUE"""),"Mai Thị Thương")</f>
        <v>Mai Thị Thương</v>
      </c>
      <c r="U149" s="27">
        <f ca="1">IFERROR(__xludf.DUMMYFUNCTION("""COMPUTED_VALUE"""),45677)</f>
        <v>45677</v>
      </c>
      <c r="V149" s="27">
        <f ca="1">IFERROR(__xludf.DUMMYFUNCTION("""COMPUTED_VALUE"""),45767)</f>
        <v>45767</v>
      </c>
      <c r="W149" s="23">
        <f ca="1">IFERROR(__xludf.DUMMYFUNCTION("""COMPUTED_VALUE"""),148)</f>
        <v>148</v>
      </c>
      <c r="X149" s="23" t="str">
        <f ca="1">IFERROR(__xludf.DUMMYFUNCTION("""COMPUTED_VALUE"""),"24/01/2025")</f>
        <v>24/01/2025</v>
      </c>
      <c r="Y149" s="23" t="str">
        <f ca="1">IFERROR(__xludf.DUMMYFUNCTION("""COMPUTED_VALUE"""),"DUYỆT")</f>
        <v>DUYỆT</v>
      </c>
      <c r="Z149" s="23" t="str">
        <f ca="1">IFERROR(__xludf.DUMMYFUNCTION("""COMPUTED_VALUE"""),"24/01/2025")</f>
        <v>24/01/2025</v>
      </c>
      <c r="AA149" s="23" t="str">
        <f ca="1">IFERROR(__xludf.DUMMYFUNCTION("""COMPUTED_VALUE"""),"Premier Village Danang Resort")</f>
        <v>Premier Village Danang Resort</v>
      </c>
      <c r="AB149" s="23" t="str">
        <f ca="1">IFERROR(__xludf.DUMMYFUNCTION("""COMPUTED_VALUE"""),"Nhà hàng")</f>
        <v>Nhà hàng</v>
      </c>
      <c r="AC149" s="23"/>
      <c r="AD149" s="23"/>
      <c r="AE149" s="23" t="str">
        <f ca="1">IFERROR(__xludf.DUMMYFUNCTION("""COMPUTED_VALUE"""),"")</f>
        <v/>
      </c>
      <c r="AF149" s="23" t="str">
        <f ca="1">IFERROR(__xludf.DUMMYFUNCTION("""COMPUTED_VALUE"""),"KHÓA LUẬN")</f>
        <v>KHÓA LUẬN</v>
      </c>
      <c r="AG149" s="23" t="str">
        <f ca="1">IFERROR(__xludf.DUMMYFUNCTION("""COMPUTED_VALUE"""),"Phạm Thị Thu Thủy")</f>
        <v>Phạm Thị Thu Thủy</v>
      </c>
    </row>
    <row r="150" spans="1:33" ht="12.75" x14ac:dyDescent="0.2">
      <c r="A150" s="26">
        <f ca="1">IFERROR(__xludf.DUMMYFUNCTION("""COMPUTED_VALUE"""),45680.6416004513)</f>
        <v>45680.641600451301</v>
      </c>
      <c r="B150" s="23" t="str">
        <f ca="1">IFERROR(__xludf.DUMMYFUNCTION("""COMPUTED_VALUE"""),"omaidao5122002@gmail.com")</f>
        <v>omaidao5122002@gmail.com</v>
      </c>
      <c r="C150" s="23">
        <f ca="1">IFERROR(__xludf.DUMMYFUNCTION("""COMPUTED_VALUE"""),26207129998)</f>
        <v>26207129998</v>
      </c>
      <c r="D150" s="23" t="str">
        <f ca="1">IFERROR(__xludf.DUMMYFUNCTION("""COMPUTED_VALUE"""),"Võ Lê Bích Trâm")</f>
        <v>Võ Lê Bích Trâm</v>
      </c>
      <c r="E150" s="27">
        <f ca="1">IFERROR(__xludf.DUMMYFUNCTION("""COMPUTED_VALUE"""),37595)</f>
        <v>37595</v>
      </c>
      <c r="F150" s="23" t="str">
        <f ca="1">IFERROR(__xludf.DUMMYFUNCTION("""COMPUTED_VALUE"""),"k26dlk10")</f>
        <v>k26dlk10</v>
      </c>
      <c r="G150" s="23" t="str">
        <f ca="1">IFERROR(__xludf.DUMMYFUNCTION("""COMPUTED_VALUE"""),"Quản trị Du lịch &amp; Khách sạn")</f>
        <v>Quản trị Du lịch &amp; Khách sạn</v>
      </c>
      <c r="H150" s="23">
        <f ca="1">IFERROR(__xludf.DUMMYFUNCTION("""COMPUTED_VALUE"""),26)</f>
        <v>26</v>
      </c>
      <c r="I150" s="23" t="str">
        <f ca="1">IFERROR(__xludf.DUMMYFUNCTION("""COMPUTED_VALUE"""),"0799444780")</f>
        <v>0799444780</v>
      </c>
      <c r="J150" s="23" t="str">
        <f ca="1">IFERROR(__xludf.DUMMYFUNCTION("""COMPUTED_VALUE"""),"Chuyên đề")</f>
        <v>Chuyên đề</v>
      </c>
      <c r="K150" s="23" t="str">
        <f ca="1">IFERROR(__xludf.DUMMYFUNCTION("""COMPUTED_VALUE"""),"Grand Mercure Đà Nẵng")</f>
        <v>Grand Mercure Đà Nẵng</v>
      </c>
      <c r="L150" s="23"/>
      <c r="M150" s="23" t="str">
        <f ca="1">IFERROR(__xludf.DUMMYFUNCTION("""COMPUTED_VALUE"""),"lô a01 khu biệt thự đảo xanh đà nẵng")</f>
        <v>lô a01 khu biệt thự đảo xanh đà nẵng</v>
      </c>
      <c r="N150" s="23" t="str">
        <f ca="1">IFERROR(__xludf.DUMMYFUNCTION("""COMPUTED_VALUE"""),"đà nẵng")</f>
        <v>đà nẵng</v>
      </c>
      <c r="O150" s="23" t="str">
        <f ca="1">IFERROR(__xludf.DUMMYFUNCTION("""COMPUTED_VALUE"""),"Buồng phòng")</f>
        <v>Buồng phòng</v>
      </c>
      <c r="P150" s="23"/>
      <c r="Q150" s="23" t="str">
        <f ca="1">IFERROR(__xludf.DUMMYFUNCTION("""COMPUTED_VALUE"""),"20/01/2025")</f>
        <v>20/01/2025</v>
      </c>
      <c r="R150" s="23" t="str">
        <f ca="1">IFERROR(__xludf.DUMMYFUNCTION("""COMPUTED_VALUE"""),"cam kết")</f>
        <v>cam kết</v>
      </c>
      <c r="S150" s="23" t="str">
        <f ca="1">IFERROR(__xludf.DUMMYFUNCTION("""COMPUTED_VALUE"""),"Chuyên đề")</f>
        <v>Chuyên đề</v>
      </c>
      <c r="T150" s="23" t="str">
        <f ca="1">IFERROR(__xludf.DUMMYFUNCTION("""COMPUTED_VALUE"""),"Phạm Thị Hoàng Dung")</f>
        <v>Phạm Thị Hoàng Dung</v>
      </c>
      <c r="U150" s="27">
        <f ca="1">IFERROR(__xludf.DUMMYFUNCTION("""COMPUTED_VALUE"""),45698)</f>
        <v>45698</v>
      </c>
      <c r="V150" s="27">
        <f ca="1">IFERROR(__xludf.DUMMYFUNCTION("""COMPUTED_VALUE"""),45787)</f>
        <v>45787</v>
      </c>
      <c r="W150" s="23">
        <f ca="1">IFERROR(__xludf.DUMMYFUNCTION("""COMPUTED_VALUE"""),149)</f>
        <v>149</v>
      </c>
      <c r="X150" s="28">
        <f ca="1">IFERROR(__xludf.DUMMYFUNCTION("""COMPUTED_VALUE"""),45749)</f>
        <v>45749</v>
      </c>
      <c r="Y150" s="23" t="str">
        <f ca="1">IFERROR(__xludf.DUMMYFUNCTION("""COMPUTED_VALUE"""),"DUYỆT")</f>
        <v>DUYỆT</v>
      </c>
      <c r="Z150" s="23" t="str">
        <f ca="1">IFERROR(__xludf.DUMMYFUNCTION("""COMPUTED_VALUE"""),"24/01/2025")</f>
        <v>24/01/2025</v>
      </c>
      <c r="AA150" s="23" t="str">
        <f ca="1">IFERROR(__xludf.DUMMYFUNCTION("""COMPUTED_VALUE"""),"Grand Mercure Đà Nẵng")</f>
        <v>Grand Mercure Đà Nẵng</v>
      </c>
      <c r="AB150" s="23" t="str">
        <f ca="1">IFERROR(__xludf.DUMMYFUNCTION("""COMPUTED_VALUE"""),"Buồng phòng")</f>
        <v>Buồng phòng</v>
      </c>
      <c r="AC150" s="23" t="str">
        <f ca="1">IFERROR(__xludf.DUMMYFUNCTION("""COMPUTED_VALUE"""),"ĐÃ NỘP")</f>
        <v>ĐÃ NỘP</v>
      </c>
      <c r="AD150" s="23"/>
      <c r="AE150" s="23" t="str">
        <f ca="1">IFERROR(__xludf.DUMMYFUNCTION("""COMPUTED_VALUE"""),"")</f>
        <v/>
      </c>
      <c r="AF150" s="23" t="str">
        <f ca="1">IFERROR(__xludf.DUMMYFUNCTION("""COMPUTED_VALUE"""),"CHUYÊN ĐỀ")</f>
        <v>CHUYÊN ĐỀ</v>
      </c>
      <c r="AG150" s="23" t="str">
        <f ca="1">IFERROR(__xludf.DUMMYFUNCTION("""COMPUTED_VALUE"""),"Nguyễn Thị Minh Thư")</f>
        <v>Nguyễn Thị Minh Thư</v>
      </c>
    </row>
    <row r="151" spans="1:33" ht="12.75" x14ac:dyDescent="0.2">
      <c r="A151" s="26">
        <f ca="1">IFERROR(__xludf.DUMMYFUNCTION("""COMPUTED_VALUE"""),45693.5020500463)</f>
        <v>45693.5020500463</v>
      </c>
      <c r="B151" s="23" t="str">
        <f ca="1">IFERROR(__xludf.DUMMYFUNCTION("""COMPUTED_VALUE"""),"kimjunminkim@gmail.com")</f>
        <v>kimjunminkim@gmail.com</v>
      </c>
      <c r="C151" s="23">
        <f ca="1">IFERROR(__xludf.DUMMYFUNCTION("""COMPUTED_VALUE"""),26217134576)</f>
        <v>26217134576</v>
      </c>
      <c r="D151" s="23" t="str">
        <f ca="1">IFERROR(__xludf.DUMMYFUNCTION("""COMPUTED_VALUE"""),"Trần Kim Anh Tú")</f>
        <v>Trần Kim Anh Tú</v>
      </c>
      <c r="E151" s="27">
        <f ca="1">IFERROR(__xludf.DUMMYFUNCTION("""COMPUTED_VALUE"""),37259)</f>
        <v>37259</v>
      </c>
      <c r="F151" s="23" t="str">
        <f ca="1">IFERROR(__xludf.DUMMYFUNCTION("""COMPUTED_VALUE"""),"K26 DLK2")</f>
        <v>K26 DLK2</v>
      </c>
      <c r="G151" s="23" t="str">
        <f ca="1">IFERROR(__xludf.DUMMYFUNCTION("""COMPUTED_VALUE"""),"Quản trị Du lịch &amp; Khách sạn chuẩn PSU")</f>
        <v>Quản trị Du lịch &amp; Khách sạn chuẩn PSU</v>
      </c>
      <c r="H151" s="23">
        <f ca="1">IFERROR(__xludf.DUMMYFUNCTION("""COMPUTED_VALUE"""),26)</f>
        <v>26</v>
      </c>
      <c r="I151" s="23" t="str">
        <f ca="1">IFERROR(__xludf.DUMMYFUNCTION("""COMPUTED_VALUE"""),"0905084110")</f>
        <v>0905084110</v>
      </c>
      <c r="J151" s="23" t="str">
        <f ca="1">IFERROR(__xludf.DUMMYFUNCTION("""COMPUTED_VALUE"""),"Chuyên đề")</f>
        <v>Chuyên đề</v>
      </c>
      <c r="K151" s="23" t="str">
        <f ca="1">IFERROR(__xludf.DUMMYFUNCTION("""COMPUTED_VALUE"""),"Khách sạn Shilla Monogram Quangnam Danang")</f>
        <v>Khách sạn Shilla Monogram Quangnam Danang</v>
      </c>
      <c r="L151" s="23"/>
      <c r="M151" s="23" t="str">
        <f ca="1">IFERROR(__xludf.DUMMYFUNCTION("""COMPUTED_VALUE"""),"Lạc Long Quân, Điện Ngọc, Điện Bàn, Quảng Nam")</f>
        <v>Lạc Long Quân, Điện Ngọc, Điện Bàn, Quảng Nam</v>
      </c>
      <c r="N151" s="23" t="str">
        <f ca="1">IFERROR(__xludf.DUMMYFUNCTION("""COMPUTED_VALUE"""),"Đà Nẵng")</f>
        <v>Đà Nẵng</v>
      </c>
      <c r="O151" s="23" t="str">
        <f ca="1">IFERROR(__xludf.DUMMYFUNCTION("""COMPUTED_VALUE"""),"Nhà hàng")</f>
        <v>Nhà hàng</v>
      </c>
      <c r="P151" s="23"/>
      <c r="Q151" s="23" t="str">
        <f ca="1">IFERROR(__xludf.DUMMYFUNCTION("""COMPUTED_VALUE"""),"5/02/2025")</f>
        <v>5/02/2025</v>
      </c>
      <c r="R151" s="23" t="str">
        <f ca="1">IFERROR(__xludf.DUMMYFUNCTION("""COMPUTED_VALUE"""),"cam kết")</f>
        <v>cam kết</v>
      </c>
      <c r="S151" s="23" t="str">
        <f ca="1">IFERROR(__xludf.DUMMYFUNCTION("""COMPUTED_VALUE"""),"Chuyên đề")</f>
        <v>Chuyên đề</v>
      </c>
      <c r="T151" s="23" t="str">
        <f ca="1">IFERROR(__xludf.DUMMYFUNCTION("""COMPUTED_VALUE"""),"Hồ Sử Minh Tài")</f>
        <v>Hồ Sử Minh Tài</v>
      </c>
      <c r="U151" s="27">
        <f ca="1">IFERROR(__xludf.DUMMYFUNCTION("""COMPUTED_VALUE"""),45693)</f>
        <v>45693</v>
      </c>
      <c r="V151" s="27">
        <f ca="1">IFERROR(__xludf.DUMMYFUNCTION("""COMPUTED_VALUE"""),45782)</f>
        <v>45782</v>
      </c>
      <c r="W151" s="23">
        <f ca="1">IFERROR(__xludf.DUMMYFUNCTION("""COMPUTED_VALUE"""),150)</f>
        <v>150</v>
      </c>
      <c r="X151" s="28">
        <f ca="1">IFERROR(__xludf.DUMMYFUNCTION("""COMPUTED_VALUE"""),45963)</f>
        <v>45963</v>
      </c>
      <c r="Y151" s="23" t="str">
        <f ca="1">IFERROR(__xludf.DUMMYFUNCTION("""COMPUTED_VALUE"""),"DUYỆT")</f>
        <v>DUYỆT</v>
      </c>
      <c r="Z151" s="28">
        <f ca="1">IFERROR(__xludf.DUMMYFUNCTION("""COMPUTED_VALUE"""),45779)</f>
        <v>45779</v>
      </c>
      <c r="AA151" s="23" t="str">
        <f ca="1">IFERROR(__xludf.DUMMYFUNCTION("""COMPUTED_VALUE"""),"Khách sạn Shilla Monogram Quangnam Danang")</f>
        <v>Khách sạn Shilla Monogram Quangnam Danang</v>
      </c>
      <c r="AB151" s="23" t="str">
        <f ca="1">IFERROR(__xludf.DUMMYFUNCTION("""COMPUTED_VALUE"""),"Nhà hàng")</f>
        <v>Nhà hàng</v>
      </c>
      <c r="AC151" s="23" t="str">
        <f ca="1">IFERROR(__xludf.DUMMYFUNCTION("""COMPUTED_VALUE"""),"ĐÃ NỘP")</f>
        <v>ĐÃ NỘP</v>
      </c>
      <c r="AD151" s="23" t="str">
        <f ca="1">IFERROR(__xludf.DUMMYFUNCTION("""COMPUTED_VALUE"""),"sinh viên phải đảm bảo ko quá 5sv/nhà hàng")</f>
        <v>sinh viên phải đảm bảo ko quá 5sv/nhà hàng</v>
      </c>
      <c r="AE151" s="23" t="str">
        <f ca="1">IFERROR(__xludf.DUMMYFUNCTION("""COMPUTED_VALUE"""),"")</f>
        <v/>
      </c>
      <c r="AF151" s="23" t="str">
        <f ca="1">IFERROR(__xludf.DUMMYFUNCTION("""COMPUTED_VALUE"""),"CHUYÊN ĐỀ")</f>
        <v>CHUYÊN ĐỀ</v>
      </c>
      <c r="AG151" s="23" t="str">
        <f ca="1">IFERROR(__xludf.DUMMYFUNCTION("""COMPUTED_VALUE"""),"Đặng Thị Thùy Trang")</f>
        <v>Đặng Thị Thùy Trang</v>
      </c>
    </row>
    <row r="152" spans="1:33" ht="12.75" x14ac:dyDescent="0.2">
      <c r="A152" s="26">
        <f ca="1">IFERROR(__xludf.DUMMYFUNCTION("""COMPUTED_VALUE"""),45680.927942824)</f>
        <v>45680.927942823997</v>
      </c>
      <c r="B152" s="23" t="str">
        <f ca="1">IFERROR(__xludf.DUMMYFUNCTION("""COMPUTED_VALUE"""),"huytrannguyen06@gmail.com")</f>
        <v>huytrannguyen06@gmail.com</v>
      </c>
      <c r="C152" s="23">
        <f ca="1">IFERROR(__xludf.DUMMYFUNCTION("""COMPUTED_VALUE"""),26217142007)</f>
        <v>26217142007</v>
      </c>
      <c r="D152" s="23" t="str">
        <f ca="1">IFERROR(__xludf.DUMMYFUNCTION("""COMPUTED_VALUE"""),"Trần Nguyên Huy")</f>
        <v>Trần Nguyên Huy</v>
      </c>
      <c r="E152" s="27">
        <f ca="1">IFERROR(__xludf.DUMMYFUNCTION("""COMPUTED_VALUE"""),37417)</f>
        <v>37417</v>
      </c>
      <c r="F152" s="23" t="str">
        <f ca="1">IFERROR(__xludf.DUMMYFUNCTION("""COMPUTED_VALUE"""),"K26PSUDLK 3")</f>
        <v>K26PSUDLK 3</v>
      </c>
      <c r="G152" s="23" t="str">
        <f ca="1">IFERROR(__xludf.DUMMYFUNCTION("""COMPUTED_VALUE"""),"Quản trị Du lịch &amp; Khách sạn chuẩn PSU")</f>
        <v>Quản trị Du lịch &amp; Khách sạn chuẩn PSU</v>
      </c>
      <c r="H152" s="23">
        <f ca="1">IFERROR(__xludf.DUMMYFUNCTION("""COMPUTED_VALUE"""),26)</f>
        <v>26</v>
      </c>
      <c r="I152" s="23" t="str">
        <f ca="1">IFERROR(__xludf.DUMMYFUNCTION("""COMPUTED_VALUE"""),"0898158061")</f>
        <v>0898158061</v>
      </c>
      <c r="J152" s="23" t="str">
        <f ca="1">IFERROR(__xludf.DUMMYFUNCTION("""COMPUTED_VALUE"""),"Chuyên đề")</f>
        <v>Chuyên đề</v>
      </c>
      <c r="K152" s="23" t="str">
        <f ca="1">IFERROR(__xludf.DUMMYFUNCTION("""COMPUTED_VALUE"""),"Four Points by Sheraton Danang")</f>
        <v>Four Points by Sheraton Danang</v>
      </c>
      <c r="L152" s="23"/>
      <c r="M152" s="23" t="str">
        <f ca="1">IFERROR(__xludf.DUMMYFUNCTION("""COMPUTED_VALUE"""),"118-120 Võ Nguyên Giáp, Phước Mỹ, Sơn Trà, Đà Nẵng")</f>
        <v>118-120 Võ Nguyên Giáp, Phước Mỹ, Sơn Trà, Đà Nẵng</v>
      </c>
      <c r="N152" s="23" t="str">
        <f ca="1">IFERROR(__xludf.DUMMYFUNCTION("""COMPUTED_VALUE"""),"Đà Nẵng")</f>
        <v>Đà Nẵng</v>
      </c>
      <c r="O152" s="23" t="str">
        <f ca="1">IFERROR(__xludf.DUMMYFUNCTION("""COMPUTED_VALUE"""),"Buồng phòng")</f>
        <v>Buồng phòng</v>
      </c>
      <c r="P152" s="23"/>
      <c r="Q152" s="23" t="str">
        <f ca="1">IFERROR(__xludf.DUMMYFUNCTION("""COMPUTED_VALUE"""),"09/02/2025")</f>
        <v>09/02/2025</v>
      </c>
      <c r="R152" s="23" t="str">
        <f ca="1">IFERROR(__xludf.DUMMYFUNCTION("""COMPUTED_VALUE"""),"cam kết")</f>
        <v>cam kết</v>
      </c>
      <c r="S152" s="23" t="str">
        <f ca="1">IFERROR(__xludf.DUMMYFUNCTION("""COMPUTED_VALUE"""),"Chuyên đề")</f>
        <v>Chuyên đề</v>
      </c>
      <c r="T152" s="23"/>
      <c r="U152" s="27">
        <f ca="1">IFERROR(__xludf.DUMMYFUNCTION("""COMPUTED_VALUE"""),45558)</f>
        <v>45558</v>
      </c>
      <c r="V152" s="27">
        <f ca="1">IFERROR(__xludf.DUMMYFUNCTION("""COMPUTED_VALUE"""),45648)</f>
        <v>45648</v>
      </c>
      <c r="W152" s="23">
        <f ca="1">IFERROR(__xludf.DUMMYFUNCTION("""COMPUTED_VALUE"""),151)</f>
        <v>151</v>
      </c>
      <c r="X152" s="28">
        <f ca="1">IFERROR(__xludf.DUMMYFUNCTION("""COMPUTED_VALUE"""),45871)</f>
        <v>45871</v>
      </c>
      <c r="Y152" s="23" t="str">
        <f ca="1">IFERROR(__xludf.DUMMYFUNCTION("""COMPUTED_VALUE"""),"DUYỆT")</f>
        <v>DUYỆT</v>
      </c>
      <c r="Z152" s="28">
        <f ca="1">IFERROR(__xludf.DUMMYFUNCTION("""COMPUTED_VALUE"""),45871)</f>
        <v>45871</v>
      </c>
      <c r="AA152" s="23" t="str">
        <f ca="1">IFERROR(__xludf.DUMMYFUNCTION("""COMPUTED_VALUE"""),"Four Points by Sheraton Danang")</f>
        <v>Four Points by Sheraton Danang</v>
      </c>
      <c r="AB152" s="23" t="str">
        <f ca="1">IFERROR(__xludf.DUMMYFUNCTION("""COMPUTED_VALUE"""),"Buồng phòng")</f>
        <v>Buồng phòng</v>
      </c>
      <c r="AC152" s="23" t="str">
        <f ca="1">IFERROR(__xludf.DUMMYFUNCTION("""COMPUTED_VALUE"""),"ĐÃ NỘP")</f>
        <v>ĐÃ NỘP</v>
      </c>
      <c r="AD152" s="23" t="str">
        <f ca="1">IFERROR(__xludf.DUMMYFUNCTION("""COMPUTED_VALUE"""),"trưởng khoa đã duyệt đơn
SV đến nhận lại giấy xác nhận thực tập và nhận xét của DN")</f>
        <v>trưởng khoa đã duyệt đơn
SV đến nhận lại giấy xác nhận thực tập và nhận xét của DN</v>
      </c>
      <c r="AE152" s="23" t="str">
        <f ca="1">IFERROR(__xludf.DUMMYFUNCTION("""COMPUTED_VALUE"""),"")</f>
        <v/>
      </c>
      <c r="AF152" s="23" t="str">
        <f ca="1">IFERROR(__xludf.DUMMYFUNCTION("""COMPUTED_VALUE"""),"CHUYÊN ĐỀ")</f>
        <v>CHUYÊN ĐỀ</v>
      </c>
      <c r="AG152" s="23" t="str">
        <f ca="1">IFERROR(__xludf.DUMMYFUNCTION("""COMPUTED_VALUE"""),"Nguyễn Thị Minh Thư")</f>
        <v>Nguyễn Thị Minh Thư</v>
      </c>
    </row>
    <row r="153" spans="1:33" ht="12.75" x14ac:dyDescent="0.2">
      <c r="A153" s="26">
        <f ca="1">IFERROR(__xludf.DUMMYFUNCTION("""COMPUTED_VALUE"""),45680.9768361805)</f>
        <v>45680.976836180504</v>
      </c>
      <c r="B153" s="23" t="str">
        <f ca="1">IFERROR(__xludf.DUMMYFUNCTION("""COMPUTED_VALUE"""),"Hoquy1309@gmail.com")</f>
        <v>Hoquy1309@gmail.com</v>
      </c>
      <c r="C153" s="23">
        <f ca="1">IFERROR(__xludf.DUMMYFUNCTION("""COMPUTED_VALUE"""),27207131271)</f>
        <v>27207131271</v>
      </c>
      <c r="D153" s="23" t="str">
        <f ca="1">IFERROR(__xludf.DUMMYFUNCTION("""COMPUTED_VALUE"""),"HỒ THỊ QUÝ")</f>
        <v>HỒ THỊ QUÝ</v>
      </c>
      <c r="E153" s="27">
        <f ca="1">IFERROR(__xludf.DUMMYFUNCTION("""COMPUTED_VALUE"""),37877)</f>
        <v>37877</v>
      </c>
      <c r="F153" s="23" t="str">
        <f ca="1">IFERROR(__xludf.DUMMYFUNCTION("""COMPUTED_VALUE"""),"K27DLK 3")</f>
        <v>K27DLK 3</v>
      </c>
      <c r="G153" s="23" t="str">
        <f ca="1">IFERROR(__xludf.DUMMYFUNCTION("""COMPUTED_VALUE"""),"Quản trị Du lịch &amp; Khách sạn")</f>
        <v>Quản trị Du lịch &amp; Khách sạn</v>
      </c>
      <c r="H153" s="23">
        <f ca="1">IFERROR(__xludf.DUMMYFUNCTION("""COMPUTED_VALUE"""),27)</f>
        <v>27</v>
      </c>
      <c r="I153" s="23" t="str">
        <f ca="1">IFERROR(__xludf.DUMMYFUNCTION("""COMPUTED_VALUE"""),"0352521309")</f>
        <v>0352521309</v>
      </c>
      <c r="J153" s="23" t="str">
        <f ca="1">IFERROR(__xludf.DUMMYFUNCTION("""COMPUTED_VALUE"""),"Chuyên đề")</f>
        <v>Chuyên đề</v>
      </c>
      <c r="K153" s="23" t="str">
        <f ca="1">IFERROR(__xludf.DUMMYFUNCTION("""COMPUTED_VALUE"""),"Da Nang Mikazuki Japanese Resorts &amp; Spa")</f>
        <v>Da Nang Mikazuki Japanese Resorts &amp; Spa</v>
      </c>
      <c r="L153" s="23"/>
      <c r="M153" s="23" t="str">
        <f ca="1">IFERROR(__xludf.DUMMYFUNCTION("""COMPUTED_VALUE"""),"Khu du lịch Xuân Thiều, đường Nguyễn Tất Thành, P. Hoà Hiệp Nam, Q. Liên Chiểu, TP Đà Nẵng")</f>
        <v>Khu du lịch Xuân Thiều, đường Nguyễn Tất Thành, P. Hoà Hiệp Nam, Q. Liên Chiểu, TP Đà Nẵng</v>
      </c>
      <c r="N153" s="23" t="str">
        <f ca="1">IFERROR(__xludf.DUMMYFUNCTION("""COMPUTED_VALUE"""),"Đà Nẵng")</f>
        <v>Đà Nẵng</v>
      </c>
      <c r="O153" s="23" t="str">
        <f ca="1">IFERROR(__xludf.DUMMYFUNCTION("""COMPUTED_VALUE"""),"Nhà hàng")</f>
        <v>Nhà hàng</v>
      </c>
      <c r="P153" s="23"/>
      <c r="Q153" s="23" t="str">
        <f ca="1">IFERROR(__xludf.DUMMYFUNCTION("""COMPUTED_VALUE"""),"22/01/2025")</f>
        <v>22/01/2025</v>
      </c>
      <c r="R153" s="23" t="str">
        <f ca="1">IFERROR(__xludf.DUMMYFUNCTION("""COMPUTED_VALUE"""),"cam kết")</f>
        <v>cam kết</v>
      </c>
      <c r="S153" s="23" t="str">
        <f ca="1">IFERROR(__xludf.DUMMYFUNCTION("""COMPUTED_VALUE"""),"Chuyên đề")</f>
        <v>Chuyên đề</v>
      </c>
      <c r="T153" s="23" t="str">
        <f ca="1">IFERROR(__xludf.DUMMYFUNCTION("""COMPUTED_VALUE"""),"Dương Thị Xuân Diệu")</f>
        <v>Dương Thị Xuân Diệu</v>
      </c>
      <c r="U153" s="27">
        <f ca="1">IFERROR(__xludf.DUMMYFUNCTION("""COMPUTED_VALUE"""),45649)</f>
        <v>45649</v>
      </c>
      <c r="V153" s="27">
        <f ca="1">IFERROR(__xludf.DUMMYFUNCTION("""COMPUTED_VALUE"""),45739)</f>
        <v>45739</v>
      </c>
      <c r="W153" s="23">
        <f ca="1">IFERROR(__xludf.DUMMYFUNCTION("""COMPUTED_VALUE"""),152)</f>
        <v>152</v>
      </c>
      <c r="X153" s="28">
        <f ca="1">IFERROR(__xludf.DUMMYFUNCTION("""COMPUTED_VALUE"""),45749)</f>
        <v>45749</v>
      </c>
      <c r="Y153" s="23" t="str">
        <f ca="1">IFERROR(__xludf.DUMMYFUNCTION("""COMPUTED_VALUE"""),"DUYỆT")</f>
        <v>DUYỆT</v>
      </c>
      <c r="Z153" s="23" t="str">
        <f ca="1">IFERROR(__xludf.DUMMYFUNCTION("""COMPUTED_VALUE"""),"24/01/2025")</f>
        <v>24/01/2025</v>
      </c>
      <c r="AA153" s="23" t="str">
        <f ca="1">IFERROR(__xludf.DUMMYFUNCTION("""COMPUTED_VALUE"""),"Da Nang Mikazuki Japanese Resorts &amp; Spa")</f>
        <v>Da Nang Mikazuki Japanese Resorts &amp; Spa</v>
      </c>
      <c r="AB153" s="23" t="str">
        <f ca="1">IFERROR(__xludf.DUMMYFUNCTION("""COMPUTED_VALUE"""),"Nhà hàng")</f>
        <v>Nhà hàng</v>
      </c>
      <c r="AC153" s="23"/>
      <c r="AD153" s="23"/>
      <c r="AE153" s="23" t="str">
        <f ca="1">IFERROR(__xludf.DUMMYFUNCTION("""COMPUTED_VALUE"""),"")</f>
        <v/>
      </c>
      <c r="AF153" s="23" t="str">
        <f ca="1">IFERROR(__xludf.DUMMYFUNCTION("""COMPUTED_VALUE"""),"CHUYÊN ĐỀ")</f>
        <v>CHUYÊN ĐỀ</v>
      </c>
      <c r="AG153" s="23" t="str">
        <f ca="1">IFERROR(__xludf.DUMMYFUNCTION("""COMPUTED_VALUE"""),"Ngô Thị Thanh Nga")</f>
        <v>Ngô Thị Thanh Nga</v>
      </c>
    </row>
    <row r="154" spans="1:33" ht="12.75" x14ac:dyDescent="0.2">
      <c r="A154" s="26">
        <f ca="1">IFERROR(__xludf.DUMMYFUNCTION("""COMPUTED_VALUE"""),45681.8280834953)</f>
        <v>45681.828083495297</v>
      </c>
      <c r="B154" s="23" t="str">
        <f ca="1">IFERROR(__xludf.DUMMYFUNCTION("""COMPUTED_VALUE"""),"dangtonu0609@gmail.com")</f>
        <v>dangtonu0609@gmail.com</v>
      </c>
      <c r="C154" s="23">
        <f ca="1">IFERROR(__xludf.DUMMYFUNCTION("""COMPUTED_VALUE"""),27217130618)</f>
        <v>27217130618</v>
      </c>
      <c r="D154" s="23" t="str">
        <f ca="1">IFERROR(__xludf.DUMMYFUNCTION("""COMPUTED_VALUE"""),"Đặng Thị Tố Nữ")</f>
        <v>Đặng Thị Tố Nữ</v>
      </c>
      <c r="E154" s="27">
        <f ca="1">IFERROR(__xludf.DUMMYFUNCTION("""COMPUTED_VALUE"""),37870)</f>
        <v>37870</v>
      </c>
      <c r="F154" s="23" t="str">
        <f ca="1">IFERROR(__xludf.DUMMYFUNCTION("""COMPUTED_VALUE"""),"K27DLK7")</f>
        <v>K27DLK7</v>
      </c>
      <c r="G154" s="23" t="str">
        <f ca="1">IFERROR(__xludf.DUMMYFUNCTION("""COMPUTED_VALUE"""),"Quản trị Du lịch &amp; Khách sạn")</f>
        <v>Quản trị Du lịch &amp; Khách sạn</v>
      </c>
      <c r="H154" s="23">
        <f ca="1">IFERROR(__xludf.DUMMYFUNCTION("""COMPUTED_VALUE"""),27)</f>
        <v>27</v>
      </c>
      <c r="I154" s="23" t="str">
        <f ca="1">IFERROR(__xludf.DUMMYFUNCTION("""COMPUTED_VALUE"""),"0934957421")</f>
        <v>0934957421</v>
      </c>
      <c r="J154" s="23" t="str">
        <f ca="1">IFERROR(__xludf.DUMMYFUNCTION("""COMPUTED_VALUE"""),"Chuyên đề")</f>
        <v>Chuyên đề</v>
      </c>
      <c r="K154" s="23" t="str">
        <f ca="1">IFERROR(__xludf.DUMMYFUNCTION("""COMPUTED_VALUE"""),"Hyatt regency DaNang Resort")</f>
        <v>Hyatt regency DaNang Resort</v>
      </c>
      <c r="L154" s="23"/>
      <c r="M154" s="23" t="str">
        <f ca="1">IFERROR(__xludf.DUMMYFUNCTION("""COMPUTED_VALUE"""),"05 Trường Sa, phường Hòa Hải, quận Ngũ Hành Sơn, Đà Nẵng")</f>
        <v>05 Trường Sa, phường Hòa Hải, quận Ngũ Hành Sơn, Đà Nẵng</v>
      </c>
      <c r="N154" s="23" t="str">
        <f ca="1">IFERROR(__xludf.DUMMYFUNCTION("""COMPUTED_VALUE"""),"Đà Nẵng")</f>
        <v>Đà Nẵng</v>
      </c>
      <c r="O154" s="23" t="str">
        <f ca="1">IFERROR(__xludf.DUMMYFUNCTION("""COMPUTED_VALUE"""),"Nhà hàng")</f>
        <v>Nhà hàng</v>
      </c>
      <c r="P154" s="23"/>
      <c r="Q154" s="23" t="str">
        <f ca="1">IFERROR(__xludf.DUMMYFUNCTION("""COMPUTED_VALUE"""),"22/1/2025")</f>
        <v>22/1/2025</v>
      </c>
      <c r="R154" s="23" t="str">
        <f ca="1">IFERROR(__xludf.DUMMYFUNCTION("""COMPUTED_VALUE"""),"cam kết")</f>
        <v>cam kết</v>
      </c>
      <c r="S154" s="23" t="str">
        <f ca="1">IFERROR(__xludf.DUMMYFUNCTION("""COMPUTED_VALUE"""),"Chuyên đề")</f>
        <v>Chuyên đề</v>
      </c>
      <c r="T154" s="23" t="str">
        <f ca="1">IFERROR(__xludf.DUMMYFUNCTION("""COMPUTED_VALUE"""),"Dương Thị Xuân Diệu")</f>
        <v>Dương Thị Xuân Diệu</v>
      </c>
      <c r="U154" s="27">
        <f ca="1">IFERROR(__xludf.DUMMYFUNCTION("""COMPUTED_VALUE"""),45698)</f>
        <v>45698</v>
      </c>
      <c r="V154" s="27">
        <f ca="1">IFERROR(__xludf.DUMMYFUNCTION("""COMPUTED_VALUE"""),45787)</f>
        <v>45787</v>
      </c>
      <c r="W154" s="23">
        <f ca="1">IFERROR(__xludf.DUMMYFUNCTION("""COMPUTED_VALUE"""),153)</f>
        <v>153</v>
      </c>
      <c r="X154" s="28">
        <f ca="1">IFERROR(__xludf.DUMMYFUNCTION("""COMPUTED_VALUE"""),45749)</f>
        <v>45749</v>
      </c>
      <c r="Y154" s="23" t="str">
        <f ca="1">IFERROR(__xludf.DUMMYFUNCTION("""COMPUTED_VALUE"""),"DUYỆT")</f>
        <v>DUYỆT</v>
      </c>
      <c r="Z154" s="28">
        <f ca="1">IFERROR(__xludf.DUMMYFUNCTION("""COMPUTED_VALUE"""),45718)</f>
        <v>45718</v>
      </c>
      <c r="AA154" s="23" t="str">
        <f ca="1">IFERROR(__xludf.DUMMYFUNCTION("""COMPUTED_VALUE"""),"Hyatt regency DaNang Resort")</f>
        <v>Hyatt regency DaNang Resort</v>
      </c>
      <c r="AB154" s="23" t="str">
        <f ca="1">IFERROR(__xludf.DUMMYFUNCTION("""COMPUTED_VALUE"""),"Nhà hàng")</f>
        <v>Nhà hàng</v>
      </c>
      <c r="AC154" s="23"/>
      <c r="AD154" s="23" t="str">
        <f ca="1">IFERROR(__xludf.DUMMYFUNCTION("""COMPUTED_VALUE"""),"SV phải đảm bảo không thực tập quá 5sv/nhà hàng")</f>
        <v>SV phải đảm bảo không thực tập quá 5sv/nhà hàng</v>
      </c>
      <c r="AE154" s="23" t="str">
        <f ca="1">IFERROR(__xludf.DUMMYFUNCTION("""COMPUTED_VALUE"""),"")</f>
        <v/>
      </c>
      <c r="AF154" s="23" t="str">
        <f ca="1">IFERROR(__xludf.DUMMYFUNCTION("""COMPUTED_VALUE"""),"CHUYÊN ĐỀ")</f>
        <v>CHUYÊN ĐỀ</v>
      </c>
      <c r="AG154" s="23" t="str">
        <f ca="1">IFERROR(__xludf.DUMMYFUNCTION("""COMPUTED_VALUE"""),"Trần Hoàng Anh")</f>
        <v>Trần Hoàng Anh</v>
      </c>
    </row>
    <row r="155" spans="1:33" ht="12.75" x14ac:dyDescent="0.2">
      <c r="A155" s="26">
        <f ca="1">IFERROR(__xludf.DUMMYFUNCTION("""COMPUTED_VALUE"""),45682.0009734606)</f>
        <v>45682.000973460599</v>
      </c>
      <c r="B155" s="23" t="str">
        <f ca="1">IFERROR(__xludf.DUMMYFUNCTION("""COMPUTED_VALUE"""),"thanthiphuongthao2019@gmail.com")</f>
        <v>thanthiphuongthao2019@gmail.com</v>
      </c>
      <c r="C155" s="23">
        <f ca="1">IFERROR(__xludf.DUMMYFUNCTION("""COMPUTED_VALUE"""),27207134678)</f>
        <v>27207134678</v>
      </c>
      <c r="D155" s="23" t="str">
        <f ca="1">IFERROR(__xludf.DUMMYFUNCTION("""COMPUTED_VALUE"""),"Thân Thị Phương Thảo")</f>
        <v>Thân Thị Phương Thảo</v>
      </c>
      <c r="E155" s="27">
        <f ca="1">IFERROR(__xludf.DUMMYFUNCTION("""COMPUTED_VALUE"""),37962)</f>
        <v>37962</v>
      </c>
      <c r="F155" s="23" t="str">
        <f ca="1">IFERROR(__xludf.DUMMYFUNCTION("""COMPUTED_VALUE"""),"K27DLK2")</f>
        <v>K27DLK2</v>
      </c>
      <c r="G155" s="23" t="str">
        <f ca="1">IFERROR(__xludf.DUMMYFUNCTION("""COMPUTED_VALUE"""),"Quản trị Du lịch &amp; Khách sạn")</f>
        <v>Quản trị Du lịch &amp; Khách sạn</v>
      </c>
      <c r="H155" s="23">
        <f ca="1">IFERROR(__xludf.DUMMYFUNCTION("""COMPUTED_VALUE"""),27)</f>
        <v>27</v>
      </c>
      <c r="I155" s="23" t="str">
        <f ca="1">IFERROR(__xludf.DUMMYFUNCTION("""COMPUTED_VALUE"""),"0707166914")</f>
        <v>0707166914</v>
      </c>
      <c r="J155" s="23" t="str">
        <f ca="1">IFERROR(__xludf.DUMMYFUNCTION("""COMPUTED_VALUE"""),"Chuyên đề")</f>
        <v>Chuyên đề</v>
      </c>
      <c r="K155" s="23" t="str">
        <f ca="1">IFERROR(__xludf.DUMMYFUNCTION("""COMPUTED_VALUE"""),"Paracel Danang Hotel")</f>
        <v>Paracel Danang Hotel</v>
      </c>
      <c r="L155" s="23"/>
      <c r="M155" s="23" t="str">
        <f ca="1">IFERROR(__xludf.DUMMYFUNCTION("""COMPUTED_VALUE"""),"204 Võ Nguyên Gíap")</f>
        <v>204 Võ Nguyên Gíap</v>
      </c>
      <c r="N155" s="23" t="str">
        <f ca="1">IFERROR(__xludf.DUMMYFUNCTION("""COMPUTED_VALUE"""),"Đà Nẵng")</f>
        <v>Đà Nẵng</v>
      </c>
      <c r="O155" s="23" t="str">
        <f ca="1">IFERROR(__xludf.DUMMYFUNCTION("""COMPUTED_VALUE"""),"Nhà hàng")</f>
        <v>Nhà hàng</v>
      </c>
      <c r="P155" s="23"/>
      <c r="Q155" s="23" t="str">
        <f ca="1">IFERROR(__xludf.DUMMYFUNCTION("""COMPUTED_VALUE"""),"23/01/2025")</f>
        <v>23/01/2025</v>
      </c>
      <c r="R155" s="23" t="str">
        <f ca="1">IFERROR(__xludf.DUMMYFUNCTION("""COMPUTED_VALUE"""),"cam kết")</f>
        <v>cam kết</v>
      </c>
      <c r="S155" s="23" t="str">
        <f ca="1">IFERROR(__xludf.DUMMYFUNCTION("""COMPUTED_VALUE"""),"Chuyên đề")</f>
        <v>Chuyên đề</v>
      </c>
      <c r="T155" s="23"/>
      <c r="U155" s="27">
        <f ca="1">IFERROR(__xludf.DUMMYFUNCTION("""COMPUTED_VALUE"""),45698)</f>
        <v>45698</v>
      </c>
      <c r="V155" s="27">
        <f ca="1">IFERROR(__xludf.DUMMYFUNCTION("""COMPUTED_VALUE"""),45787)</f>
        <v>45787</v>
      </c>
      <c r="W155" s="23">
        <f ca="1">IFERROR(__xludf.DUMMYFUNCTION("""COMPUTED_VALUE"""),154)</f>
        <v>154</v>
      </c>
      <c r="X155" s="28">
        <f ca="1">IFERROR(__xludf.DUMMYFUNCTION("""COMPUTED_VALUE"""),45749)</f>
        <v>45749</v>
      </c>
      <c r="Y155" s="23" t="str">
        <f ca="1">IFERROR(__xludf.DUMMYFUNCTION("""COMPUTED_VALUE"""),"DUYỆT")</f>
        <v>DUYỆT</v>
      </c>
      <c r="Z155" s="28">
        <f ca="1">IFERROR(__xludf.DUMMYFUNCTION("""COMPUTED_VALUE"""),45718)</f>
        <v>45718</v>
      </c>
      <c r="AA155" s="23" t="str">
        <f ca="1">IFERROR(__xludf.DUMMYFUNCTION("""COMPUTED_VALUE"""),"Paracel Danang Hotel")</f>
        <v>Paracel Danang Hotel</v>
      </c>
      <c r="AB155" s="23" t="str">
        <f ca="1">IFERROR(__xludf.DUMMYFUNCTION("""COMPUTED_VALUE"""),"Nhà hàng")</f>
        <v>Nhà hàng</v>
      </c>
      <c r="AC155" s="23"/>
      <c r="AD155" s="23"/>
      <c r="AE155" s="23" t="str">
        <f ca="1">IFERROR(__xludf.DUMMYFUNCTION("""COMPUTED_VALUE"""),"")</f>
        <v/>
      </c>
      <c r="AF155" s="23" t="str">
        <f ca="1">IFERROR(__xludf.DUMMYFUNCTION("""COMPUTED_VALUE"""),"CHUYÊN ĐỀ")</f>
        <v>CHUYÊN ĐỀ</v>
      </c>
      <c r="AG155" s="23" t="str">
        <f ca="1">IFERROR(__xludf.DUMMYFUNCTION("""COMPUTED_VALUE"""),"Trịnh Thị Kim Chung")</f>
        <v>Trịnh Thị Kim Chung</v>
      </c>
    </row>
    <row r="156" spans="1:33" ht="12.75" x14ac:dyDescent="0.2">
      <c r="A156" s="26">
        <f ca="1">IFERROR(__xludf.DUMMYFUNCTION("""COMPUTED_VALUE"""),45682.6974259143)</f>
        <v>45682.697425914303</v>
      </c>
      <c r="B156" s="23" t="str">
        <f ca="1">IFERROR(__xludf.DUMMYFUNCTION("""COMPUTED_VALUE"""),"dangthituyettrinh129@gmail.com")</f>
        <v>dangthituyettrinh129@gmail.com</v>
      </c>
      <c r="C156" s="23">
        <f ca="1">IFERROR(__xludf.DUMMYFUNCTION("""COMPUTED_VALUE"""),27202124339)</f>
        <v>27202124339</v>
      </c>
      <c r="D156" s="23" t="str">
        <f ca="1">IFERROR(__xludf.DUMMYFUNCTION("""COMPUTED_VALUE"""),"ĐẶNG THỊ TUYẾT TRINH")</f>
        <v>ĐẶNG THỊ TUYẾT TRINH</v>
      </c>
      <c r="E156" s="27">
        <f ca="1">IFERROR(__xludf.DUMMYFUNCTION("""COMPUTED_VALUE"""),37650)</f>
        <v>37650</v>
      </c>
      <c r="F156" s="23" t="str">
        <f ca="1">IFERROR(__xludf.DUMMYFUNCTION("""COMPUTED_VALUE"""),"K27DLK7")</f>
        <v>K27DLK7</v>
      </c>
      <c r="G156" s="23" t="str">
        <f ca="1">IFERROR(__xludf.DUMMYFUNCTION("""COMPUTED_VALUE"""),"Quản trị Du lịch &amp; Khách sạn")</f>
        <v>Quản trị Du lịch &amp; Khách sạn</v>
      </c>
      <c r="H156" s="23">
        <f ca="1">IFERROR(__xludf.DUMMYFUNCTION("""COMPUTED_VALUE"""),27)</f>
        <v>27</v>
      </c>
      <c r="I156" s="23" t="str">
        <f ca="1">IFERROR(__xludf.DUMMYFUNCTION("""COMPUTED_VALUE"""),"0983062403")</f>
        <v>0983062403</v>
      </c>
      <c r="J156" s="23" t="str">
        <f ca="1">IFERROR(__xludf.DUMMYFUNCTION("""COMPUTED_VALUE"""),"Chuyên đề")</f>
        <v>Chuyên đề</v>
      </c>
      <c r="K156" s="23" t="str">
        <f ca="1">IFERROR(__xludf.DUMMYFUNCTION("""COMPUTED_VALUE"""),"Khách sạn Avatar Đà Nẵng")</f>
        <v>Khách sạn Avatar Đà Nẵng</v>
      </c>
      <c r="L156" s="23" t="str">
        <f ca="1">IFERROR(__xludf.DUMMYFUNCTION("""COMPUTED_VALUE"""),"Khách sạn Avatar Đà Nẵng")</f>
        <v>Khách sạn Avatar Đà Nẵng</v>
      </c>
      <c r="M156" s="23" t="str">
        <f ca="1">IFERROR(__xludf.DUMMYFUNCTION("""COMPUTED_VALUE"""),"104 Hoàng Kế Viêm,P.Mỹ An, Q.Ngũ Hành Sơn,TP.Đà Nẵng")</f>
        <v>104 Hoàng Kế Viêm,P.Mỹ An, Q.Ngũ Hành Sơn,TP.Đà Nẵng</v>
      </c>
      <c r="N156" s="23" t="str">
        <f ca="1">IFERROR(__xludf.DUMMYFUNCTION("""COMPUTED_VALUE"""),"Thành phố Đà Nẵng")</f>
        <v>Thành phố Đà Nẵng</v>
      </c>
      <c r="O156" s="23" t="str">
        <f ca="1">IFERROR(__xludf.DUMMYFUNCTION("""COMPUTED_VALUE"""),"Buồng phòng")</f>
        <v>Buồng phòng</v>
      </c>
      <c r="P156" s="23"/>
      <c r="Q156" s="23" t="str">
        <f ca="1">IFERROR(__xludf.DUMMYFUNCTION("""COMPUTED_VALUE"""),"25/01/2025")</f>
        <v>25/01/2025</v>
      </c>
      <c r="R156" s="23" t="str">
        <f ca="1">IFERROR(__xludf.DUMMYFUNCTION("""COMPUTED_VALUE"""),"cam kết")</f>
        <v>cam kết</v>
      </c>
      <c r="S156" s="23" t="str">
        <f ca="1">IFERROR(__xludf.DUMMYFUNCTION("""COMPUTED_VALUE"""),"Chuyên đề")</f>
        <v>Chuyên đề</v>
      </c>
      <c r="T156" s="23"/>
      <c r="U156" s="27">
        <f ca="1">IFERROR(__xludf.DUMMYFUNCTION("""COMPUTED_VALUE"""),45678)</f>
        <v>45678</v>
      </c>
      <c r="V156" s="27">
        <f ca="1">IFERROR(__xludf.DUMMYFUNCTION("""COMPUTED_VALUE"""),45768)</f>
        <v>45768</v>
      </c>
      <c r="W156" s="23">
        <f ca="1">IFERROR(__xludf.DUMMYFUNCTION("""COMPUTED_VALUE"""),155)</f>
        <v>155</v>
      </c>
      <c r="X156" s="28">
        <f ca="1">IFERROR(__xludf.DUMMYFUNCTION("""COMPUTED_VALUE"""),45749)</f>
        <v>45749</v>
      </c>
      <c r="Y156" s="23" t="str">
        <f ca="1">IFERROR(__xludf.DUMMYFUNCTION("""COMPUTED_VALUE"""),"DUYỆT")</f>
        <v>DUYỆT</v>
      </c>
      <c r="Z156" s="28">
        <f ca="1">IFERROR(__xludf.DUMMYFUNCTION("""COMPUTED_VALUE"""),45718)</f>
        <v>45718</v>
      </c>
      <c r="AA156" s="23" t="str">
        <f ca="1">IFERROR(__xludf.DUMMYFUNCTION("""COMPUTED_VALUE"""),"Khách sạn Avatar Đà Nẵng")</f>
        <v>Khách sạn Avatar Đà Nẵng</v>
      </c>
      <c r="AB156" s="23" t="str">
        <f ca="1">IFERROR(__xludf.DUMMYFUNCTION("""COMPUTED_VALUE"""),"Buồng phòng")</f>
        <v>Buồng phòng</v>
      </c>
      <c r="AC156" s="23"/>
      <c r="AD156" s="23"/>
      <c r="AE156" s="23" t="str">
        <f ca="1">IFERROR(__xludf.DUMMYFUNCTION("""COMPUTED_VALUE"""),"")</f>
        <v/>
      </c>
      <c r="AF156" s="23" t="str">
        <f ca="1">IFERROR(__xludf.DUMMYFUNCTION("""COMPUTED_VALUE"""),"CHUYÊN ĐỀ")</f>
        <v>CHUYÊN ĐỀ</v>
      </c>
      <c r="AG156" s="23" t="str">
        <f ca="1">IFERROR(__xludf.DUMMYFUNCTION("""COMPUTED_VALUE"""),"Phạm Thị Thu Thủy")</f>
        <v>Phạm Thị Thu Thủy</v>
      </c>
    </row>
    <row r="157" spans="1:33" ht="12.75" x14ac:dyDescent="0.2">
      <c r="A157" s="26">
        <f ca="1">IFERROR(__xludf.DUMMYFUNCTION("""COMPUTED_VALUE"""),45692.419721875)</f>
        <v>45692.419721874998</v>
      </c>
      <c r="B157" s="23" t="str">
        <f ca="1">IFERROR(__xludf.DUMMYFUNCTION("""COMPUTED_VALUE"""),"tientien190603@gmail.com")</f>
        <v>tientien190603@gmail.com</v>
      </c>
      <c r="C157" s="23">
        <f ca="1">IFERROR(__xludf.DUMMYFUNCTION("""COMPUTED_VALUE"""),27207141615)</f>
        <v>27207141615</v>
      </c>
      <c r="D157" s="23" t="str">
        <f ca="1">IFERROR(__xludf.DUMMYFUNCTION("""COMPUTED_VALUE"""),"Lê Thị Thuỷ Tiên")</f>
        <v>Lê Thị Thuỷ Tiên</v>
      </c>
      <c r="E157" s="27">
        <f ca="1">IFERROR(__xludf.DUMMYFUNCTION("""COMPUTED_VALUE"""),37791)</f>
        <v>37791</v>
      </c>
      <c r="F157" s="23" t="str">
        <f ca="1">IFERROR(__xludf.DUMMYFUNCTION("""COMPUTED_VALUE"""),"K27DLK2")</f>
        <v>K27DLK2</v>
      </c>
      <c r="G157" s="23" t="str">
        <f ca="1">IFERROR(__xludf.DUMMYFUNCTION("""COMPUTED_VALUE"""),"Quản trị Du lịch &amp; Khách sạn")</f>
        <v>Quản trị Du lịch &amp; Khách sạn</v>
      </c>
      <c r="H157" s="23">
        <f ca="1">IFERROR(__xludf.DUMMYFUNCTION("""COMPUTED_VALUE"""),27)</f>
        <v>27</v>
      </c>
      <c r="I157" s="23" t="str">
        <f ca="1">IFERROR(__xludf.DUMMYFUNCTION("""COMPUTED_VALUE"""),"0905795387")</f>
        <v>0905795387</v>
      </c>
      <c r="J157" s="23" t="str">
        <f ca="1">IFERROR(__xludf.DUMMYFUNCTION("""COMPUTED_VALUE"""),"Chuyên đề")</f>
        <v>Chuyên đề</v>
      </c>
      <c r="K157" s="23" t="str">
        <f ca="1">IFERROR(__xludf.DUMMYFUNCTION("""COMPUTED_VALUE"""),"Satya Danang Hotel")</f>
        <v>Satya Danang Hotel</v>
      </c>
      <c r="L157" s="23"/>
      <c r="M157" s="23" t="str">
        <f ca="1">IFERROR(__xludf.DUMMYFUNCTION("""COMPUTED_VALUE"""),"155 Trần Phú, Hải Châu, Đà Nẵng")</f>
        <v>155 Trần Phú, Hải Châu, Đà Nẵng</v>
      </c>
      <c r="N157" s="23" t="str">
        <f ca="1">IFERROR(__xludf.DUMMYFUNCTION("""COMPUTED_VALUE"""),"Đà Nẵng")</f>
        <v>Đà Nẵng</v>
      </c>
      <c r="O157" s="23" t="str">
        <f ca="1">IFERROR(__xludf.DUMMYFUNCTION("""COMPUTED_VALUE"""),"Buồng phòng")</f>
        <v>Buồng phòng</v>
      </c>
      <c r="P157" s="23"/>
      <c r="Q157" s="23" t="str">
        <f ca="1">IFERROR(__xludf.DUMMYFUNCTION("""COMPUTED_VALUE"""),"04/02/2025")</f>
        <v>04/02/2025</v>
      </c>
      <c r="R157" s="23" t="str">
        <f ca="1">IFERROR(__xludf.DUMMYFUNCTION("""COMPUTED_VALUE"""),"cam kết")</f>
        <v>cam kết</v>
      </c>
      <c r="S157" s="23" t="str">
        <f ca="1">IFERROR(__xludf.DUMMYFUNCTION("""COMPUTED_VALUE"""),"Chuyên đề")</f>
        <v>Chuyên đề</v>
      </c>
      <c r="T157" s="23"/>
      <c r="U157" s="27">
        <f ca="1">IFERROR(__xludf.DUMMYFUNCTION("""COMPUTED_VALUE"""),45698)</f>
        <v>45698</v>
      </c>
      <c r="V157" s="27">
        <f ca="1">IFERROR(__xludf.DUMMYFUNCTION("""COMPUTED_VALUE"""),45787)</f>
        <v>45787</v>
      </c>
      <c r="W157" s="23">
        <f ca="1">IFERROR(__xludf.DUMMYFUNCTION("""COMPUTED_VALUE"""),156)</f>
        <v>156</v>
      </c>
      <c r="X157" s="28">
        <f ca="1">IFERROR(__xludf.DUMMYFUNCTION("""COMPUTED_VALUE"""),45779)</f>
        <v>45779</v>
      </c>
      <c r="Y157" s="23" t="str">
        <f ca="1">IFERROR(__xludf.DUMMYFUNCTION("""COMPUTED_VALUE"""),"DUYỆT")</f>
        <v>DUYỆT</v>
      </c>
      <c r="Z157" s="28">
        <f ca="1">IFERROR(__xludf.DUMMYFUNCTION("""COMPUTED_VALUE"""),45718)</f>
        <v>45718</v>
      </c>
      <c r="AA157" s="23" t="str">
        <f ca="1">IFERROR(__xludf.DUMMYFUNCTION("""COMPUTED_VALUE"""),"Satya Danang Hotel")</f>
        <v>Satya Danang Hotel</v>
      </c>
      <c r="AB157" s="23" t="str">
        <f ca="1">IFERROR(__xludf.DUMMYFUNCTION("""COMPUTED_VALUE"""),"Buồng phòng")</f>
        <v>Buồng phòng</v>
      </c>
      <c r="AC157" s="23"/>
      <c r="AD157" s="23"/>
      <c r="AE157" s="23" t="str">
        <f ca="1">IFERROR(__xludf.DUMMYFUNCTION("""COMPUTED_VALUE"""),"")</f>
        <v/>
      </c>
      <c r="AF157" s="23" t="str">
        <f ca="1">IFERROR(__xludf.DUMMYFUNCTION("""COMPUTED_VALUE"""),"CHUYÊN ĐỀ")</f>
        <v>CHUYÊN ĐỀ</v>
      </c>
      <c r="AG157" s="23" t="str">
        <f ca="1">IFERROR(__xludf.DUMMYFUNCTION("""COMPUTED_VALUE"""),"Huỳnh Lý Thùy Linh")</f>
        <v>Huỳnh Lý Thùy Linh</v>
      </c>
    </row>
    <row r="158" spans="1:33" ht="12.75" x14ac:dyDescent="0.2">
      <c r="A158" s="26">
        <f ca="1">IFERROR(__xludf.DUMMYFUNCTION("""COMPUTED_VALUE"""),45688.7062203588)</f>
        <v>45688.706220358799</v>
      </c>
      <c r="B158" s="23" t="str">
        <f ca="1">IFERROR(__xludf.DUMMYFUNCTION("""COMPUTED_VALUE"""),"kimtruc23112003@gmail.com")</f>
        <v>kimtruc23112003@gmail.com</v>
      </c>
      <c r="C158" s="23">
        <f ca="1">IFERROR(__xludf.DUMMYFUNCTION("""COMPUTED_VALUE"""),27217132965)</f>
        <v>27217132965</v>
      </c>
      <c r="D158" s="23" t="str">
        <f ca="1">IFERROR(__xludf.DUMMYFUNCTION("""COMPUTED_VALUE"""),"Nguyễn Kim Thanh Trúc")</f>
        <v>Nguyễn Kim Thanh Trúc</v>
      </c>
      <c r="E158" s="27">
        <f ca="1">IFERROR(__xludf.DUMMYFUNCTION("""COMPUTED_VALUE"""),37948)</f>
        <v>37948</v>
      </c>
      <c r="F158" s="23" t="str">
        <f ca="1">IFERROR(__xludf.DUMMYFUNCTION("""COMPUTED_VALUE"""),"K27PSU-DLK2")</f>
        <v>K27PSU-DLK2</v>
      </c>
      <c r="G158" s="23" t="str">
        <f ca="1">IFERROR(__xludf.DUMMYFUNCTION("""COMPUTED_VALUE"""),"Quản trị Du lịch &amp; Khách sạn chuẩn PSU")</f>
        <v>Quản trị Du lịch &amp; Khách sạn chuẩn PSU</v>
      </c>
      <c r="H158" s="23">
        <f ca="1">IFERROR(__xludf.DUMMYFUNCTION("""COMPUTED_VALUE"""),27)</f>
        <v>27</v>
      </c>
      <c r="I158" s="23" t="str">
        <f ca="1">IFERROR(__xludf.DUMMYFUNCTION("""COMPUTED_VALUE"""),"0779589412")</f>
        <v>0779589412</v>
      </c>
      <c r="J158" s="23" t="str">
        <f ca="1">IFERROR(__xludf.DUMMYFUNCTION("""COMPUTED_VALUE"""),"Chuyên đề")</f>
        <v>Chuyên đề</v>
      </c>
      <c r="K158" s="23" t="str">
        <f ca="1">IFERROR(__xludf.DUMMYFUNCTION("""COMPUTED_VALUE"""),"Meliá Danang Beach Resort")</f>
        <v>Meliá Danang Beach Resort</v>
      </c>
      <c r="L158" s="23" t="str">
        <f ca="1">IFERROR(__xludf.DUMMYFUNCTION("""COMPUTED_VALUE"""),"Meliá DaNang Beach Resort")</f>
        <v>Meliá DaNang Beach Resort</v>
      </c>
      <c r="M158" s="23" t="str">
        <f ca="1">IFERROR(__xludf.DUMMYFUNCTION("""COMPUTED_VALUE"""),"19 Trường Sa, Hoà Hải, Ngũ Hành Sơn, Đà Nẵng")</f>
        <v>19 Trường Sa, Hoà Hải, Ngũ Hành Sơn, Đà Nẵng</v>
      </c>
      <c r="N158" s="23" t="str">
        <f ca="1">IFERROR(__xludf.DUMMYFUNCTION("""COMPUTED_VALUE"""),"Đà Nẵng")</f>
        <v>Đà Nẵng</v>
      </c>
      <c r="O158" s="23" t="str">
        <f ca="1">IFERROR(__xludf.DUMMYFUNCTION("""COMPUTED_VALUE"""),"Tiền sảnh")</f>
        <v>Tiền sảnh</v>
      </c>
      <c r="P158" s="23" t="str">
        <f ca="1">IFERROR(__xludf.DUMMYFUNCTION("""COMPUTED_VALUE"""),"Lễ Tân")</f>
        <v>Lễ Tân</v>
      </c>
      <c r="Q158" s="23" t="str">
        <f ca="1">IFERROR(__xludf.DUMMYFUNCTION("""COMPUTED_VALUE"""),"05/02/2025")</f>
        <v>05/02/2025</v>
      </c>
      <c r="R158" s="23" t="str">
        <f ca="1">IFERROR(__xludf.DUMMYFUNCTION("""COMPUTED_VALUE"""),"cam kết")</f>
        <v>cam kết</v>
      </c>
      <c r="S158" s="23" t="str">
        <f ca="1">IFERROR(__xludf.DUMMYFUNCTION("""COMPUTED_VALUE"""),"Chuyên đề")</f>
        <v>Chuyên đề</v>
      </c>
      <c r="T158" s="23" t="str">
        <f ca="1">IFERROR(__xludf.DUMMYFUNCTION("""COMPUTED_VALUE"""),"Hồ Sử Minh Tài")</f>
        <v>Hồ Sử Minh Tài</v>
      </c>
      <c r="U158" s="27">
        <f ca="1">IFERROR(__xludf.DUMMYFUNCTION("""COMPUTED_VALUE"""),45698)</f>
        <v>45698</v>
      </c>
      <c r="V158" s="27">
        <f ca="1">IFERROR(__xludf.DUMMYFUNCTION("""COMPUTED_VALUE"""),45787)</f>
        <v>45787</v>
      </c>
      <c r="W158" s="23">
        <f ca="1">IFERROR(__xludf.DUMMYFUNCTION("""COMPUTED_VALUE"""),157)</f>
        <v>157</v>
      </c>
      <c r="X158" s="28">
        <f ca="1">IFERROR(__xludf.DUMMYFUNCTION("""COMPUTED_VALUE"""),45779)</f>
        <v>45779</v>
      </c>
      <c r="Y158" s="23" t="str">
        <f ca="1">IFERROR(__xludf.DUMMYFUNCTION("""COMPUTED_VALUE"""),"DUYỆT")</f>
        <v>DUYỆT</v>
      </c>
      <c r="Z158" s="28">
        <f ca="1">IFERROR(__xludf.DUMMYFUNCTION("""COMPUTED_VALUE"""),45718)</f>
        <v>45718</v>
      </c>
      <c r="AA158" s="23" t="str">
        <f ca="1">IFERROR(__xludf.DUMMYFUNCTION("""COMPUTED_VALUE"""),"Meliá Danang Beach Resort")</f>
        <v>Meliá Danang Beach Resort</v>
      </c>
      <c r="AB158" s="23" t="str">
        <f ca="1">IFERROR(__xludf.DUMMYFUNCTION("""COMPUTED_VALUE"""),"Tiền sảnh")</f>
        <v>Tiền sảnh</v>
      </c>
      <c r="AC158" s="23"/>
      <c r="AD158" s="23"/>
      <c r="AE158" s="23" t="str">
        <f ca="1">IFERROR(__xludf.DUMMYFUNCTION("""COMPUTED_VALUE"""),"")</f>
        <v/>
      </c>
      <c r="AF158" s="23" t="str">
        <f ca="1">IFERROR(__xludf.DUMMYFUNCTION("""COMPUTED_VALUE"""),"CHUYÊN ĐỀ")</f>
        <v>CHUYÊN ĐỀ</v>
      </c>
      <c r="AG158" s="23" t="str">
        <f ca="1">IFERROR(__xludf.DUMMYFUNCTION("""COMPUTED_VALUE"""),"Bùi Lê Anh Phương")</f>
        <v>Bùi Lê Anh Phương</v>
      </c>
    </row>
    <row r="159" spans="1:33" ht="12.75" x14ac:dyDescent="0.2">
      <c r="A159" s="26">
        <f ca="1">IFERROR(__xludf.DUMMYFUNCTION("""COMPUTED_VALUE"""),45691.6710916203)</f>
        <v>45691.671091620301</v>
      </c>
      <c r="B159" s="23" t="str">
        <f ca="1">IFERROR(__xludf.DUMMYFUNCTION("""COMPUTED_VALUE"""),"hieuthaovothi@gmail.com")</f>
        <v>hieuthaovothi@gmail.com</v>
      </c>
      <c r="C159" s="23">
        <f ca="1">IFERROR(__xludf.DUMMYFUNCTION("""COMPUTED_VALUE"""),26207135165)</f>
        <v>26207135165</v>
      </c>
      <c r="D159" s="23" t="str">
        <f ca="1">IFERROR(__xludf.DUMMYFUNCTION("""COMPUTED_VALUE"""),"Võ Thị Hiếu Thảo ")</f>
        <v xml:space="preserve">Võ Thị Hiếu Thảo </v>
      </c>
      <c r="E159" s="27">
        <f ca="1">IFERROR(__xludf.DUMMYFUNCTION("""COMPUTED_VALUE"""),37519)</f>
        <v>37519</v>
      </c>
      <c r="F159" s="23" t="str">
        <f ca="1">IFERROR(__xludf.DUMMYFUNCTION("""COMPUTED_VALUE"""),"K26DLK 14")</f>
        <v>K26DLK 14</v>
      </c>
      <c r="G159" s="23" t="str">
        <f ca="1">IFERROR(__xludf.DUMMYFUNCTION("""COMPUTED_VALUE"""),"Quản trị Du lịch &amp; Khách sạn")</f>
        <v>Quản trị Du lịch &amp; Khách sạn</v>
      </c>
      <c r="H159" s="23">
        <f ca="1">IFERROR(__xludf.DUMMYFUNCTION("""COMPUTED_VALUE"""),26)</f>
        <v>26</v>
      </c>
      <c r="I159" s="23" t="str">
        <f ca="1">IFERROR(__xludf.DUMMYFUNCTION("""COMPUTED_VALUE"""),"0934033975")</f>
        <v>0934033975</v>
      </c>
      <c r="J159" s="23" t="str">
        <f ca="1">IFERROR(__xludf.DUMMYFUNCTION("""COMPUTED_VALUE"""),"Chuyên đề")</f>
        <v>Chuyên đề</v>
      </c>
      <c r="K159" s="23" t="str">
        <f ca="1">IFERROR(__xludf.DUMMYFUNCTION("""COMPUTED_VALUE"""),"Avatar Hotel ")</f>
        <v xml:space="preserve">Avatar Hotel </v>
      </c>
      <c r="L159" s="23" t="str">
        <f ca="1">IFERROR(__xludf.DUMMYFUNCTION("""COMPUTED_VALUE"""),"Khách sạn Avatar Đà Nẵng ")</f>
        <v xml:space="preserve">Khách sạn Avatar Đà Nẵng </v>
      </c>
      <c r="M159" s="23" t="str">
        <f ca="1">IFERROR(__xludf.DUMMYFUNCTION("""COMPUTED_VALUE"""),"104 Hoàng Kế Viêm, Bắc Mỹ Phú, Ngũ Hành Sơn, Đà Nẵng ")</f>
        <v xml:space="preserve">104 Hoàng Kế Viêm, Bắc Mỹ Phú, Ngũ Hành Sơn, Đà Nẵng </v>
      </c>
      <c r="N159" s="23" t="str">
        <f ca="1">IFERROR(__xludf.DUMMYFUNCTION("""COMPUTED_VALUE"""),"Đà Nẵng ")</f>
        <v xml:space="preserve">Đà Nẵng </v>
      </c>
      <c r="O159" s="23" t="str">
        <f ca="1">IFERROR(__xludf.DUMMYFUNCTION("""COMPUTED_VALUE"""),"Nhà hàng")</f>
        <v>Nhà hàng</v>
      </c>
      <c r="P159" s="23"/>
      <c r="Q159" s="23" t="str">
        <f ca="1">IFERROR(__xludf.DUMMYFUNCTION("""COMPUTED_VALUE"""),"03/02/2025")</f>
        <v>03/02/2025</v>
      </c>
      <c r="R159" s="23" t="str">
        <f ca="1">IFERROR(__xludf.DUMMYFUNCTION("""COMPUTED_VALUE"""),"cam kết")</f>
        <v>cam kết</v>
      </c>
      <c r="S159" s="23" t="str">
        <f ca="1">IFERROR(__xludf.DUMMYFUNCTION("""COMPUTED_VALUE"""),"Chuyên đề")</f>
        <v>Chuyên đề</v>
      </c>
      <c r="T159" s="23" t="str">
        <f ca="1">IFERROR(__xludf.DUMMYFUNCTION("""COMPUTED_VALUE"""),"Phạm Thị Thu Thủy")</f>
        <v>Phạm Thị Thu Thủy</v>
      </c>
      <c r="U159" s="27">
        <f ca="1">IFERROR(__xludf.DUMMYFUNCTION("""COMPUTED_VALUE"""),45698)</f>
        <v>45698</v>
      </c>
      <c r="V159" s="27">
        <f ca="1">IFERROR(__xludf.DUMMYFUNCTION("""COMPUTED_VALUE"""),45787)</f>
        <v>45787</v>
      </c>
      <c r="W159" s="23">
        <f ca="1">IFERROR(__xludf.DUMMYFUNCTION("""COMPUTED_VALUE"""),158)</f>
        <v>158</v>
      </c>
      <c r="X159" s="28">
        <f ca="1">IFERROR(__xludf.DUMMYFUNCTION("""COMPUTED_VALUE"""),45779)</f>
        <v>45779</v>
      </c>
      <c r="Y159" s="23" t="str">
        <f ca="1">IFERROR(__xludf.DUMMYFUNCTION("""COMPUTED_VALUE"""),"DUYỆT")</f>
        <v>DUYỆT</v>
      </c>
      <c r="Z159" s="28">
        <f ca="1">IFERROR(__xludf.DUMMYFUNCTION("""COMPUTED_VALUE"""),45718)</f>
        <v>45718</v>
      </c>
      <c r="AA159" s="23" t="str">
        <f ca="1">IFERROR(__xludf.DUMMYFUNCTION("""COMPUTED_VALUE"""),"Khách sạn Avatar Đà Nẵng ")</f>
        <v xml:space="preserve">Khách sạn Avatar Đà Nẵng </v>
      </c>
      <c r="AB159" s="23" t="str">
        <f ca="1">IFERROR(__xludf.DUMMYFUNCTION("""COMPUTED_VALUE"""),"Nhà hàng")</f>
        <v>Nhà hàng</v>
      </c>
      <c r="AC159" s="23" t="str">
        <f ca="1">IFERROR(__xludf.DUMMYFUNCTION("""COMPUTED_VALUE"""),"ĐÃ NỘP")</f>
        <v>ĐÃ NỘP</v>
      </c>
      <c r="AD159" s="23"/>
      <c r="AE159" s="23" t="str">
        <f ca="1">IFERROR(__xludf.DUMMYFUNCTION("""COMPUTED_VALUE"""),"")</f>
        <v/>
      </c>
      <c r="AF159" s="23" t="str">
        <f ca="1">IFERROR(__xludf.DUMMYFUNCTION("""COMPUTED_VALUE"""),"CHUYÊN ĐỀ")</f>
        <v>CHUYÊN ĐỀ</v>
      </c>
      <c r="AG159" s="23" t="str">
        <f ca="1">IFERROR(__xludf.DUMMYFUNCTION("""COMPUTED_VALUE"""),"Ngô Thị Thanh Nga")</f>
        <v>Ngô Thị Thanh Nga</v>
      </c>
    </row>
    <row r="160" spans="1:33" ht="12.75" x14ac:dyDescent="0.2">
      <c r="A160" s="26">
        <f ca="1">IFERROR(__xludf.DUMMYFUNCTION("""COMPUTED_VALUE"""),45691.7220824768)</f>
        <v>45691.722082476801</v>
      </c>
      <c r="B160" s="23" t="str">
        <f ca="1">IFERROR(__xludf.DUMMYFUNCTION("""COMPUTED_VALUE"""),"tranliem232001@gmail.com")</f>
        <v>tranliem232001@gmail.com</v>
      </c>
      <c r="C160" s="23">
        <f ca="1">IFERROR(__xludf.DUMMYFUNCTION("""COMPUTED_VALUE"""),25217203161)</f>
        <v>25217203161</v>
      </c>
      <c r="D160" s="23" t="str">
        <f ca="1">IFERROR(__xludf.DUMMYFUNCTION("""COMPUTED_VALUE"""),"Trần Văn Liêm")</f>
        <v>Trần Văn Liêm</v>
      </c>
      <c r="E160" s="27">
        <f ca="1">IFERROR(__xludf.DUMMYFUNCTION("""COMPUTED_VALUE"""),37034)</f>
        <v>37034</v>
      </c>
      <c r="F160" s="23" t="str">
        <f ca="1">IFERROR(__xludf.DUMMYFUNCTION("""COMPUTED_VALUE"""),"K25DLK 19")</f>
        <v>K25DLK 19</v>
      </c>
      <c r="G160" s="23" t="str">
        <f ca="1">IFERROR(__xludf.DUMMYFUNCTION("""COMPUTED_VALUE"""),"Quản trị Du lịch &amp; Khách sạn")</f>
        <v>Quản trị Du lịch &amp; Khách sạn</v>
      </c>
      <c r="H160" s="23">
        <f ca="1">IFERROR(__xludf.DUMMYFUNCTION("""COMPUTED_VALUE"""),25)</f>
        <v>25</v>
      </c>
      <c r="I160" s="23" t="str">
        <f ca="1">IFERROR(__xludf.DUMMYFUNCTION("""COMPUTED_VALUE"""),"0774441502")</f>
        <v>0774441502</v>
      </c>
      <c r="J160" s="23" t="str">
        <f ca="1">IFERROR(__xludf.DUMMYFUNCTION("""COMPUTED_VALUE"""),"Chuyên đề")</f>
        <v>Chuyên đề</v>
      </c>
      <c r="K160" s="23" t="str">
        <f ca="1">IFERROR(__xludf.DUMMYFUNCTION("""COMPUTED_VALUE"""),"Diamond Sea Hotel")</f>
        <v>Diamond Sea Hotel</v>
      </c>
      <c r="L160" s="23"/>
      <c r="M160" s="23" t="str">
        <f ca="1">IFERROR(__xludf.DUMMYFUNCTION("""COMPUTED_VALUE"""),"232 Võ Nguyên Giáp, phường Phước Mỹ, quận Sơn Trà, TP Đà Nẵng")</f>
        <v>232 Võ Nguyên Giáp, phường Phước Mỹ, quận Sơn Trà, TP Đà Nẵng</v>
      </c>
      <c r="N160" s="23" t="str">
        <f ca="1">IFERROR(__xludf.DUMMYFUNCTION("""COMPUTED_VALUE"""),"Đà Nẵng")</f>
        <v>Đà Nẵng</v>
      </c>
      <c r="O160" s="23" t="str">
        <f ca="1">IFERROR(__xludf.DUMMYFUNCTION("""COMPUTED_VALUE"""),"Tiền sảnh")</f>
        <v>Tiền sảnh</v>
      </c>
      <c r="P160" s="23"/>
      <c r="Q160" s="23" t="str">
        <f ca="1">IFERROR(__xludf.DUMMYFUNCTION("""COMPUTED_VALUE"""),"10/02/2025")</f>
        <v>10/02/2025</v>
      </c>
      <c r="R160" s="23" t="str">
        <f ca="1">IFERROR(__xludf.DUMMYFUNCTION("""COMPUTED_VALUE"""),"cam kết")</f>
        <v>cam kết</v>
      </c>
      <c r="S160" s="23" t="str">
        <f ca="1">IFERROR(__xludf.DUMMYFUNCTION("""COMPUTED_VALUE"""),"Chuyên đề")</f>
        <v>Chuyên đề</v>
      </c>
      <c r="T160" s="23"/>
      <c r="U160" s="27">
        <f ca="1">IFERROR(__xludf.DUMMYFUNCTION("""COMPUTED_VALUE"""),45698)</f>
        <v>45698</v>
      </c>
      <c r="V160" s="27">
        <f ca="1">IFERROR(__xludf.DUMMYFUNCTION("""COMPUTED_VALUE"""),45787)</f>
        <v>45787</v>
      </c>
      <c r="W160" s="23">
        <f ca="1">IFERROR(__xludf.DUMMYFUNCTION("""COMPUTED_VALUE"""),159)</f>
        <v>159</v>
      </c>
      <c r="X160" s="28">
        <f ca="1">IFERROR(__xludf.DUMMYFUNCTION("""COMPUTED_VALUE"""),45963)</f>
        <v>45963</v>
      </c>
      <c r="Y160" s="23" t="str">
        <f ca="1">IFERROR(__xludf.DUMMYFUNCTION("""COMPUTED_VALUE"""),"DUYỆT")</f>
        <v>DUYỆT</v>
      </c>
      <c r="Z160" s="28">
        <f ca="1">IFERROR(__xludf.DUMMYFUNCTION("""COMPUTED_VALUE"""),45749)</f>
        <v>45749</v>
      </c>
      <c r="AA160" s="23" t="str">
        <f ca="1">IFERROR(__xludf.DUMMYFUNCTION("""COMPUTED_VALUE"""),"Diamond Sea Hotel")</f>
        <v>Diamond Sea Hotel</v>
      </c>
      <c r="AB160" s="23" t="str">
        <f ca="1">IFERROR(__xludf.DUMMYFUNCTION("""COMPUTED_VALUE"""),"Tiền sảnh")</f>
        <v>Tiền sảnh</v>
      </c>
      <c r="AC160" s="23" t="str">
        <f ca="1">IFERROR(__xludf.DUMMYFUNCTION("""COMPUTED_VALUE"""),"ĐÃ NỘP")</f>
        <v>ĐÃ NỘP</v>
      </c>
      <c r="AD160" s="23"/>
      <c r="AE160" s="23" t="str">
        <f ca="1">IFERROR(__xludf.DUMMYFUNCTION("""COMPUTED_VALUE"""),"")</f>
        <v/>
      </c>
      <c r="AF160" s="23" t="str">
        <f ca="1">IFERROR(__xludf.DUMMYFUNCTION("""COMPUTED_VALUE"""),"CHUYÊN ĐỀ")</f>
        <v>CHUYÊN ĐỀ</v>
      </c>
      <c r="AG160" s="23" t="str">
        <f ca="1">IFERROR(__xludf.DUMMYFUNCTION("""COMPUTED_VALUE"""),"Bùi Lê Anh Phương")</f>
        <v>Bùi Lê Anh Phương</v>
      </c>
    </row>
    <row r="161" spans="1:33" ht="12.75" x14ac:dyDescent="0.2">
      <c r="A161" s="26">
        <f ca="1">IFERROR(__xludf.DUMMYFUNCTION("""COMPUTED_VALUE"""),45691.7936120138)</f>
        <v>45691.793612013797</v>
      </c>
      <c r="B161" s="23" t="str">
        <f ca="1">IFERROR(__xludf.DUMMYFUNCTION("""COMPUTED_VALUE"""),"truc21477@gmail.com")</f>
        <v>truc21477@gmail.com</v>
      </c>
      <c r="C161" s="23">
        <f ca="1">IFERROR(__xludf.DUMMYFUNCTION("""COMPUTED_VALUE"""),27207140631)</f>
        <v>27207140631</v>
      </c>
      <c r="D161" s="23" t="str">
        <f ca="1">IFERROR(__xludf.DUMMYFUNCTION("""COMPUTED_VALUE"""),"Nguyễn Tạ Thanh Trúc")</f>
        <v>Nguyễn Tạ Thanh Trúc</v>
      </c>
      <c r="E161" s="27">
        <f ca="1">IFERROR(__xludf.DUMMYFUNCTION("""COMPUTED_VALUE"""),37799)</f>
        <v>37799</v>
      </c>
      <c r="F161" s="23" t="str">
        <f ca="1">IFERROR(__xludf.DUMMYFUNCTION("""COMPUTED_VALUE"""),"K27PSUDLK2")</f>
        <v>K27PSUDLK2</v>
      </c>
      <c r="G161" s="23" t="str">
        <f ca="1">IFERROR(__xludf.DUMMYFUNCTION("""COMPUTED_VALUE"""),"Quản trị Du lịch &amp; Khách sạn chuẩn PSU")</f>
        <v>Quản trị Du lịch &amp; Khách sạn chuẩn PSU</v>
      </c>
      <c r="H161" s="23">
        <f ca="1">IFERROR(__xludf.DUMMYFUNCTION("""COMPUTED_VALUE"""),27)</f>
        <v>27</v>
      </c>
      <c r="I161" s="23" t="str">
        <f ca="1">IFERROR(__xludf.DUMMYFUNCTION("""COMPUTED_VALUE"""),"0386689429")</f>
        <v>0386689429</v>
      </c>
      <c r="J161" s="23" t="str">
        <f ca="1">IFERROR(__xludf.DUMMYFUNCTION("""COMPUTED_VALUE"""),"Chuyên đề")</f>
        <v>Chuyên đề</v>
      </c>
      <c r="K161" s="23" t="str">
        <f ca="1">IFERROR(__xludf.DUMMYFUNCTION("""COMPUTED_VALUE"""),"Premier Village Danang Resort")</f>
        <v>Premier Village Danang Resort</v>
      </c>
      <c r="L161" s="23"/>
      <c r="M161" s="23" t="str">
        <f ca="1">IFERROR(__xludf.DUMMYFUNCTION("""COMPUTED_VALUE"""),"Số 99 Võ Nguyên Giáp, Bắc Mỹ An, Ngũ Hành Sơn, Đà Nẵng")</f>
        <v>Số 99 Võ Nguyên Giáp, Bắc Mỹ An, Ngũ Hành Sơn, Đà Nẵng</v>
      </c>
      <c r="N161" s="23" t="str">
        <f ca="1">IFERROR(__xludf.DUMMYFUNCTION("""COMPUTED_VALUE"""),"Đà Nẵng")</f>
        <v>Đà Nẵng</v>
      </c>
      <c r="O161" s="23" t="str">
        <f ca="1">IFERROR(__xludf.DUMMYFUNCTION("""COMPUTED_VALUE"""),"Nhà hàng")</f>
        <v>Nhà hàng</v>
      </c>
      <c r="P161" s="23"/>
      <c r="Q161" s="23" t="str">
        <f ca="1">IFERROR(__xludf.DUMMYFUNCTION("""COMPUTED_VALUE"""),"7/2/2025")</f>
        <v>7/2/2025</v>
      </c>
      <c r="R161" s="23" t="str">
        <f ca="1">IFERROR(__xludf.DUMMYFUNCTION("""COMPUTED_VALUE"""),"cam kết")</f>
        <v>cam kết</v>
      </c>
      <c r="S161" s="23" t="str">
        <f ca="1">IFERROR(__xludf.DUMMYFUNCTION("""COMPUTED_VALUE"""),"Chuyên đề")</f>
        <v>Chuyên đề</v>
      </c>
      <c r="T161" s="23" t="str">
        <f ca="1">IFERROR(__xludf.DUMMYFUNCTION("""COMPUTED_VALUE"""),"Hồ Sử Minh Tài")</f>
        <v>Hồ Sử Minh Tài</v>
      </c>
      <c r="U161" s="27">
        <f ca="1">IFERROR(__xludf.DUMMYFUNCTION("""COMPUTED_VALUE"""),45695)</f>
        <v>45695</v>
      </c>
      <c r="V161" s="27">
        <f ca="1">IFERROR(__xludf.DUMMYFUNCTION("""COMPUTED_VALUE"""),45786)</f>
        <v>45786</v>
      </c>
      <c r="W161" s="23">
        <f ca="1">IFERROR(__xludf.DUMMYFUNCTION("""COMPUTED_VALUE"""),160)</f>
        <v>160</v>
      </c>
      <c r="X161" s="28">
        <f ca="1">IFERROR(__xludf.DUMMYFUNCTION("""COMPUTED_VALUE"""),45840)</f>
        <v>45840</v>
      </c>
      <c r="Y161" s="23" t="str">
        <f ca="1">IFERROR(__xludf.DUMMYFUNCTION("""COMPUTED_VALUE"""),"DUYỆT")</f>
        <v>DUYỆT</v>
      </c>
      <c r="Z161" s="28">
        <f ca="1">IFERROR(__xludf.DUMMYFUNCTION("""COMPUTED_VALUE"""),45749)</f>
        <v>45749</v>
      </c>
      <c r="AA161" s="23" t="str">
        <f ca="1">IFERROR(__xludf.DUMMYFUNCTION("""COMPUTED_VALUE"""),"Premier Village Danang Resort")</f>
        <v>Premier Village Danang Resort</v>
      </c>
      <c r="AB161" s="23" t="str">
        <f ca="1">IFERROR(__xludf.DUMMYFUNCTION("""COMPUTED_VALUE"""),"Nhà hàng")</f>
        <v>Nhà hàng</v>
      </c>
      <c r="AC161" s="23"/>
      <c r="AD161" s="23" t="str">
        <f ca="1">IFERROR(__xludf.DUMMYFUNCTION("""COMPUTED_VALUE"""),"SV phải đảm bảo không thực tập quá 5sv/nhà hàng")</f>
        <v>SV phải đảm bảo không thực tập quá 5sv/nhà hàng</v>
      </c>
      <c r="AE161" s="23" t="str">
        <f ca="1">IFERROR(__xludf.DUMMYFUNCTION("""COMPUTED_VALUE"""),"")</f>
        <v/>
      </c>
      <c r="AF161" s="23" t="str">
        <f ca="1">IFERROR(__xludf.DUMMYFUNCTION("""COMPUTED_VALUE"""),"CHUYÊN ĐỀ")</f>
        <v>CHUYÊN ĐỀ</v>
      </c>
      <c r="AG161" s="23" t="str">
        <f ca="1">IFERROR(__xludf.DUMMYFUNCTION("""COMPUTED_VALUE"""),"Trần Hoàng Anh")</f>
        <v>Trần Hoàng Anh</v>
      </c>
    </row>
    <row r="162" spans="1:33" ht="12.75" x14ac:dyDescent="0.2">
      <c r="A162" s="26">
        <f ca="1">IFERROR(__xludf.DUMMYFUNCTION("""COMPUTED_VALUE"""),45692.9494215162)</f>
        <v>45692.949421516198</v>
      </c>
      <c r="B162" s="23" t="str">
        <f ca="1">IFERROR(__xludf.DUMMYFUNCTION("""COMPUTED_VALUE"""),"nguyencconghau@gmail.com")</f>
        <v>nguyencconghau@gmail.com</v>
      </c>
      <c r="C162" s="23">
        <f ca="1">IFERROR(__xludf.DUMMYFUNCTION("""COMPUTED_VALUE"""),25217110499)</f>
        <v>25217110499</v>
      </c>
      <c r="D162" s="23" t="str">
        <f ca="1">IFERROR(__xludf.DUMMYFUNCTION("""COMPUTED_VALUE"""),"Nguyễn Công Hậu ")</f>
        <v xml:space="preserve">Nguyễn Công Hậu </v>
      </c>
      <c r="E162" s="27">
        <f ca="1">IFERROR(__xludf.DUMMYFUNCTION("""COMPUTED_VALUE"""),37123)</f>
        <v>37123</v>
      </c>
      <c r="F162" s="23" t="str">
        <f ca="1">IFERROR(__xludf.DUMMYFUNCTION("""COMPUTED_VALUE"""),"k25DLK24")</f>
        <v>k25DLK24</v>
      </c>
      <c r="G162" s="23" t="str">
        <f ca="1">IFERROR(__xludf.DUMMYFUNCTION("""COMPUTED_VALUE"""),"Quản trị Du lịch &amp; Khách sạn")</f>
        <v>Quản trị Du lịch &amp; Khách sạn</v>
      </c>
      <c r="H162" s="23">
        <f ca="1">IFERROR(__xludf.DUMMYFUNCTION("""COMPUTED_VALUE"""),25)</f>
        <v>25</v>
      </c>
      <c r="I162" s="23" t="str">
        <f ca="1">IFERROR(__xludf.DUMMYFUNCTION("""COMPUTED_VALUE"""),"0905483087")</f>
        <v>0905483087</v>
      </c>
      <c r="J162" s="23" t="str">
        <f ca="1">IFERROR(__xludf.DUMMYFUNCTION("""COMPUTED_VALUE"""),"Chuyên đề")</f>
        <v>Chuyên đề</v>
      </c>
      <c r="K162" s="23" t="str">
        <f ca="1">IFERROR(__xludf.DUMMYFUNCTION("""COMPUTED_VALUE"""),"Diamond Sea Hotel")</f>
        <v>Diamond Sea Hotel</v>
      </c>
      <c r="L162" s="23"/>
      <c r="M162" s="23" t="str">
        <f ca="1">IFERROR(__xludf.DUMMYFUNCTION("""COMPUTED_VALUE"""),"232 Võ Nguyên Giáp")</f>
        <v>232 Võ Nguyên Giáp</v>
      </c>
      <c r="N162" s="23" t="str">
        <f ca="1">IFERROR(__xludf.DUMMYFUNCTION("""COMPUTED_VALUE"""),"Đà Nẵng")</f>
        <v>Đà Nẵng</v>
      </c>
      <c r="O162" s="23" t="str">
        <f ca="1">IFERROR(__xludf.DUMMYFUNCTION("""COMPUTED_VALUE"""),"Nhà hàng")</f>
        <v>Nhà hàng</v>
      </c>
      <c r="P162" s="23"/>
      <c r="Q162" s="23" t="str">
        <f ca="1">IFERROR(__xludf.DUMMYFUNCTION("""COMPUTED_VALUE"""),"06/02/2025")</f>
        <v>06/02/2025</v>
      </c>
      <c r="R162" s="23" t="str">
        <f ca="1">IFERROR(__xludf.DUMMYFUNCTION("""COMPUTED_VALUE"""),"cam kết")</f>
        <v>cam kết</v>
      </c>
      <c r="S162" s="23" t="str">
        <f ca="1">IFERROR(__xludf.DUMMYFUNCTION("""COMPUTED_VALUE"""),"Chuyên đề")</f>
        <v>Chuyên đề</v>
      </c>
      <c r="T162" s="23"/>
      <c r="U162" s="27">
        <f ca="1">IFERROR(__xludf.DUMMYFUNCTION("""COMPUTED_VALUE"""),45698)</f>
        <v>45698</v>
      </c>
      <c r="V162" s="27">
        <f ca="1">IFERROR(__xludf.DUMMYFUNCTION("""COMPUTED_VALUE"""),45787)</f>
        <v>45787</v>
      </c>
      <c r="W162" s="23">
        <f ca="1">IFERROR(__xludf.DUMMYFUNCTION("""COMPUTED_VALUE"""),161)</f>
        <v>161</v>
      </c>
      <c r="X162" s="28">
        <f ca="1">IFERROR(__xludf.DUMMYFUNCTION("""COMPUTED_VALUE"""),45932)</f>
        <v>45932</v>
      </c>
      <c r="Y162" s="23" t="str">
        <f ca="1">IFERROR(__xludf.DUMMYFUNCTION("""COMPUTED_VALUE"""),"DUYỆT")</f>
        <v>DUYỆT</v>
      </c>
      <c r="Z162" s="28">
        <f ca="1">IFERROR(__xludf.DUMMYFUNCTION("""COMPUTED_VALUE"""),45749)</f>
        <v>45749</v>
      </c>
      <c r="AA162" s="23" t="str">
        <f ca="1">IFERROR(__xludf.DUMMYFUNCTION("""COMPUTED_VALUE"""),"Diamond Sea Hotel")</f>
        <v>Diamond Sea Hotel</v>
      </c>
      <c r="AB162" s="23" t="str">
        <f ca="1">IFERROR(__xludf.DUMMYFUNCTION("""COMPUTED_VALUE"""),"Nhà hàng")</f>
        <v>Nhà hàng</v>
      </c>
      <c r="AC162" s="23" t="str">
        <f ca="1">IFERROR(__xludf.DUMMYFUNCTION("""COMPUTED_VALUE"""),"ĐÃ NỘP")</f>
        <v>ĐÃ NỘP</v>
      </c>
      <c r="AD162" s="23"/>
      <c r="AE162" s="23" t="str">
        <f ca="1">IFERROR(__xludf.DUMMYFUNCTION("""COMPUTED_VALUE"""),"")</f>
        <v/>
      </c>
      <c r="AF162" s="23" t="str">
        <f ca="1">IFERROR(__xludf.DUMMYFUNCTION("""COMPUTED_VALUE"""),"CHUYÊN ĐỀ")</f>
        <v>CHUYÊN ĐỀ</v>
      </c>
      <c r="AG162" s="23" t="str">
        <f ca="1">IFERROR(__xludf.DUMMYFUNCTION("""COMPUTED_VALUE"""),"Dương Thị Xuân Diệu")</f>
        <v>Dương Thị Xuân Diệu</v>
      </c>
    </row>
    <row r="163" spans="1:33" ht="12.75" x14ac:dyDescent="0.2">
      <c r="A163" s="26">
        <f ca="1">IFERROR(__xludf.DUMMYFUNCTION("""COMPUTED_VALUE"""),45691.9832134027)</f>
        <v>45691.983213402702</v>
      </c>
      <c r="B163" s="23" t="str">
        <f ca="1">IFERROR(__xludf.DUMMYFUNCTION("""COMPUTED_VALUE"""),"nguyentngoctu2@dtu.edu.vn")</f>
        <v>nguyentngoctu2@dtu.edu.vn</v>
      </c>
      <c r="C163" s="23">
        <f ca="1">IFERROR(__xludf.DUMMYFUNCTION("""COMPUTED_VALUE"""),27207122197)</f>
        <v>27207122197</v>
      </c>
      <c r="D163" s="23" t="str">
        <f ca="1">IFERROR(__xludf.DUMMYFUNCTION("""COMPUTED_VALUE"""),"Nguyễn Thị Ngọc Tứ")</f>
        <v>Nguyễn Thị Ngọc Tứ</v>
      </c>
      <c r="E163" s="27">
        <f ca="1">IFERROR(__xludf.DUMMYFUNCTION("""COMPUTED_VALUE"""),37684)</f>
        <v>37684</v>
      </c>
      <c r="F163" s="23" t="str">
        <f ca="1">IFERROR(__xludf.DUMMYFUNCTION("""COMPUTED_VALUE"""),"K27DLK3")</f>
        <v>K27DLK3</v>
      </c>
      <c r="G163" s="23" t="str">
        <f ca="1">IFERROR(__xludf.DUMMYFUNCTION("""COMPUTED_VALUE"""),"Quản trị Du lịch &amp; Khách sạn")</f>
        <v>Quản trị Du lịch &amp; Khách sạn</v>
      </c>
      <c r="H163" s="23">
        <f ca="1">IFERROR(__xludf.DUMMYFUNCTION("""COMPUTED_VALUE"""),27)</f>
        <v>27</v>
      </c>
      <c r="I163" s="23" t="str">
        <f ca="1">IFERROR(__xludf.DUMMYFUNCTION("""COMPUTED_VALUE"""),"0906478276")</f>
        <v>0906478276</v>
      </c>
      <c r="J163" s="23" t="str">
        <f ca="1">IFERROR(__xludf.DUMMYFUNCTION("""COMPUTED_VALUE"""),"Chuyên đề")</f>
        <v>Chuyên đề</v>
      </c>
      <c r="K163" s="23" t="str">
        <f ca="1">IFERROR(__xludf.DUMMYFUNCTION("""COMPUTED_VALUE"""),"Khách sạn Shilla Monogram Quangnam Danang")</f>
        <v>Khách sạn Shilla Monogram Quangnam Danang</v>
      </c>
      <c r="L163" s="23"/>
      <c r="M163" s="23" t="str">
        <f ca="1">IFERROR(__xludf.DUMMYFUNCTION("""COMPUTED_VALUE"""),"Lạc Long Quân, phường Điện Nam Đông, thị xã Điện Bàn, tỉnh Quảng Nam")</f>
        <v>Lạc Long Quân, phường Điện Nam Đông, thị xã Điện Bàn, tỉnh Quảng Nam</v>
      </c>
      <c r="N163" s="23" t="str">
        <f ca="1">IFERROR(__xludf.DUMMYFUNCTION("""COMPUTED_VALUE"""),"Quảng Nam")</f>
        <v>Quảng Nam</v>
      </c>
      <c r="O163" s="23" t="str">
        <f ca="1">IFERROR(__xludf.DUMMYFUNCTION("""COMPUTED_VALUE"""),"Tiền sảnh")</f>
        <v>Tiền sảnh</v>
      </c>
      <c r="P163" s="23"/>
      <c r="Q163" s="23" t="str">
        <f ca="1">IFERROR(__xludf.DUMMYFUNCTION("""COMPUTED_VALUE"""),"22/01/2025")</f>
        <v>22/01/2025</v>
      </c>
      <c r="R163" s="23" t="str">
        <f ca="1">IFERROR(__xludf.DUMMYFUNCTION("""COMPUTED_VALUE"""),"cam kết")</f>
        <v>cam kết</v>
      </c>
      <c r="S163" s="23" t="str">
        <f ca="1">IFERROR(__xludf.DUMMYFUNCTION("""COMPUTED_VALUE"""),"Chuyên đề")</f>
        <v>Chuyên đề</v>
      </c>
      <c r="T163" s="23"/>
      <c r="U163" s="27">
        <f ca="1">IFERROR(__xludf.DUMMYFUNCTION("""COMPUTED_VALUE"""),45698)</f>
        <v>45698</v>
      </c>
      <c r="V163" s="27">
        <f ca="1">IFERROR(__xludf.DUMMYFUNCTION("""COMPUTED_VALUE"""),45787)</f>
        <v>45787</v>
      </c>
      <c r="W163" s="23">
        <f ca="1">IFERROR(__xludf.DUMMYFUNCTION("""COMPUTED_VALUE"""),162)</f>
        <v>162</v>
      </c>
      <c r="X163" s="28">
        <f ca="1">IFERROR(__xludf.DUMMYFUNCTION("""COMPUTED_VALUE"""),45749)</f>
        <v>45749</v>
      </c>
      <c r="Y163" s="23" t="str">
        <f ca="1">IFERROR(__xludf.DUMMYFUNCTION("""COMPUTED_VALUE"""),"DUYỆT")</f>
        <v>DUYỆT</v>
      </c>
      <c r="Z163" s="28">
        <f ca="1">IFERROR(__xludf.DUMMYFUNCTION("""COMPUTED_VALUE"""),45749)</f>
        <v>45749</v>
      </c>
      <c r="AA163" s="23" t="str">
        <f ca="1">IFERROR(__xludf.DUMMYFUNCTION("""COMPUTED_VALUE"""),"Khách sạn Shilla Monogram Quangnam Danang")</f>
        <v>Khách sạn Shilla Monogram Quangnam Danang</v>
      </c>
      <c r="AB163" s="23" t="str">
        <f ca="1">IFERROR(__xludf.DUMMYFUNCTION("""COMPUTED_VALUE"""),"Tiền sảnh")</f>
        <v>Tiền sảnh</v>
      </c>
      <c r="AC163" s="23"/>
      <c r="AD163" s="23"/>
      <c r="AE163" s="23" t="str">
        <f ca="1">IFERROR(__xludf.DUMMYFUNCTION("""COMPUTED_VALUE"""),"")</f>
        <v/>
      </c>
      <c r="AF163" s="23" t="str">
        <f ca="1">IFERROR(__xludf.DUMMYFUNCTION("""COMPUTED_VALUE"""),"CHUYÊN ĐỀ")</f>
        <v>CHUYÊN ĐỀ</v>
      </c>
      <c r="AG163" s="23" t="str">
        <f ca="1">IFERROR(__xludf.DUMMYFUNCTION("""COMPUTED_VALUE"""),"Bùi Lê Anh Phương")</f>
        <v>Bùi Lê Anh Phương</v>
      </c>
    </row>
    <row r="164" spans="1:33" ht="12.75" x14ac:dyDescent="0.2">
      <c r="A164" s="26">
        <f ca="1">IFERROR(__xludf.DUMMYFUNCTION("""COMPUTED_VALUE"""),45692.9617793402)</f>
        <v>45692.961779340199</v>
      </c>
      <c r="B164" s="23" t="str">
        <f ca="1">IFERROR(__xludf.DUMMYFUNCTION("""COMPUTED_VALUE"""),"thanhthao811003@gmail.com")</f>
        <v>thanhthao811003@gmail.com</v>
      </c>
      <c r="C164" s="23">
        <f ca="1">IFERROR(__xludf.DUMMYFUNCTION("""COMPUTED_VALUE"""),27207137064)</f>
        <v>27207137064</v>
      </c>
      <c r="D164" s="23" t="str">
        <f ca="1">IFERROR(__xludf.DUMMYFUNCTION("""COMPUTED_VALUE"""),"Văn Thị Thanh Thảo")</f>
        <v>Văn Thị Thanh Thảo</v>
      </c>
      <c r="E164" s="27">
        <f ca="1">IFERROR(__xludf.DUMMYFUNCTION("""COMPUTED_VALUE"""),37933)</f>
        <v>37933</v>
      </c>
      <c r="F164" s="23" t="str">
        <f ca="1">IFERROR(__xludf.DUMMYFUNCTION("""COMPUTED_VALUE"""),"K27DLK3")</f>
        <v>K27DLK3</v>
      </c>
      <c r="G164" s="23" t="str">
        <f ca="1">IFERROR(__xludf.DUMMYFUNCTION("""COMPUTED_VALUE"""),"Quản trị Du lịch &amp; Khách sạn")</f>
        <v>Quản trị Du lịch &amp; Khách sạn</v>
      </c>
      <c r="H164" s="23">
        <f ca="1">IFERROR(__xludf.DUMMYFUNCTION("""COMPUTED_VALUE"""),27)</f>
        <v>27</v>
      </c>
      <c r="I164" s="23" t="str">
        <f ca="1">IFERROR(__xludf.DUMMYFUNCTION("""COMPUTED_VALUE"""),"0707021742")</f>
        <v>0707021742</v>
      </c>
      <c r="J164" s="23" t="str">
        <f ca="1">IFERROR(__xludf.DUMMYFUNCTION("""COMPUTED_VALUE"""),"Chuyên đề")</f>
        <v>Chuyên đề</v>
      </c>
      <c r="K164" s="23" t="str">
        <f ca="1">IFERROR(__xludf.DUMMYFUNCTION("""COMPUTED_VALUE"""),"Khách sạn Shilla Monogram Quangnam Danang")</f>
        <v>Khách sạn Shilla Monogram Quangnam Danang</v>
      </c>
      <c r="L164" s="23"/>
      <c r="M164" s="23" t="str">
        <f ca="1">IFERROR(__xludf.DUMMYFUNCTION("""COMPUTED_VALUE"""),"Lạc Long Quân P. Điện Nam Đông TX. Điện Bàn Quảng Nam Việt Nam")</f>
        <v>Lạc Long Quân P. Điện Nam Đông TX. Điện Bàn Quảng Nam Việt Nam</v>
      </c>
      <c r="N164" s="23" t="str">
        <f ca="1">IFERROR(__xludf.DUMMYFUNCTION("""COMPUTED_VALUE"""),"Đà Nẵng")</f>
        <v>Đà Nẵng</v>
      </c>
      <c r="O164" s="23" t="str">
        <f ca="1">IFERROR(__xludf.DUMMYFUNCTION("""COMPUTED_VALUE"""),"Nhà hàng")</f>
        <v>Nhà hàng</v>
      </c>
      <c r="P164" s="23"/>
      <c r="Q164" s="23" t="str">
        <f ca="1">IFERROR(__xludf.DUMMYFUNCTION("""COMPUTED_VALUE"""),"22/1/2025")</f>
        <v>22/1/2025</v>
      </c>
      <c r="R164" s="23" t="str">
        <f ca="1">IFERROR(__xludf.DUMMYFUNCTION("""COMPUTED_VALUE"""),"cam kết")</f>
        <v>cam kết</v>
      </c>
      <c r="S164" s="23" t="str">
        <f ca="1">IFERROR(__xludf.DUMMYFUNCTION("""COMPUTED_VALUE"""),"Chuyên đề")</f>
        <v>Chuyên đề</v>
      </c>
      <c r="T164" s="23" t="str">
        <f ca="1">IFERROR(__xludf.DUMMYFUNCTION("""COMPUTED_VALUE"""),"Mai Thị Thương")</f>
        <v>Mai Thị Thương</v>
      </c>
      <c r="U164" s="27">
        <f ca="1">IFERROR(__xludf.DUMMYFUNCTION("""COMPUTED_VALUE"""),45693)</f>
        <v>45693</v>
      </c>
      <c r="V164" s="27">
        <f ca="1">IFERROR(__xludf.DUMMYFUNCTION("""COMPUTED_VALUE"""),45782)</f>
        <v>45782</v>
      </c>
      <c r="W164" s="23">
        <f ca="1">IFERROR(__xludf.DUMMYFUNCTION("""COMPUTED_VALUE"""),163)</f>
        <v>163</v>
      </c>
      <c r="X164" s="28">
        <f ca="1">IFERROR(__xludf.DUMMYFUNCTION("""COMPUTED_VALUE"""),45749)</f>
        <v>45749</v>
      </c>
      <c r="Y164" s="23" t="str">
        <f ca="1">IFERROR(__xludf.DUMMYFUNCTION("""COMPUTED_VALUE"""),"DUYỆT")</f>
        <v>DUYỆT</v>
      </c>
      <c r="Z164" s="28">
        <f ca="1">IFERROR(__xludf.DUMMYFUNCTION("""COMPUTED_VALUE"""),45749)</f>
        <v>45749</v>
      </c>
      <c r="AA164" s="23" t="str">
        <f ca="1">IFERROR(__xludf.DUMMYFUNCTION("""COMPUTED_VALUE"""),"Khách sạn Shilla Monogram Quangnam Danang")</f>
        <v>Khách sạn Shilla Monogram Quangnam Danang</v>
      </c>
      <c r="AB164" s="23" t="str">
        <f ca="1">IFERROR(__xludf.DUMMYFUNCTION("""COMPUTED_VALUE"""),"Nhà hàng")</f>
        <v>Nhà hàng</v>
      </c>
      <c r="AC164" s="23"/>
      <c r="AD164" s="23" t="str">
        <f ca="1">IFERROR(__xludf.DUMMYFUNCTION("""COMPUTED_VALUE"""),"sinh viên phải đảm bảo ko quá 5sv/nhà hàng")</f>
        <v>sinh viên phải đảm bảo ko quá 5sv/nhà hàng</v>
      </c>
      <c r="AE164" s="23" t="str">
        <f ca="1">IFERROR(__xludf.DUMMYFUNCTION("""COMPUTED_VALUE"""),"")</f>
        <v/>
      </c>
      <c r="AF164" s="23" t="str">
        <f ca="1">IFERROR(__xludf.DUMMYFUNCTION("""COMPUTED_VALUE"""),"CHUYÊN ĐỀ")</f>
        <v>CHUYÊN ĐỀ</v>
      </c>
      <c r="AG164" s="23" t="str">
        <f ca="1">IFERROR(__xludf.DUMMYFUNCTION("""COMPUTED_VALUE"""),"Đặng Thị Thùy Trang")</f>
        <v>Đặng Thị Thùy Trang</v>
      </c>
    </row>
    <row r="165" spans="1:33" ht="12.75" x14ac:dyDescent="0.2">
      <c r="A165" s="26">
        <f ca="1">IFERROR(__xludf.DUMMYFUNCTION("""COMPUTED_VALUE"""),45694.4648478125)</f>
        <v>45694.464847812502</v>
      </c>
      <c r="B165" s="23" t="str">
        <f ca="1">IFERROR(__xludf.DUMMYFUNCTION("""COMPUTED_VALUE"""),"nguyenquynhnhu020603@gmail.com")</f>
        <v>nguyenquynhnhu020603@gmail.com</v>
      </c>
      <c r="C165" s="23">
        <f ca="1">IFERROR(__xludf.DUMMYFUNCTION("""COMPUTED_VALUE"""),27207100874)</f>
        <v>27207100874</v>
      </c>
      <c r="D165" s="23" t="str">
        <f ca="1">IFERROR(__xludf.DUMMYFUNCTION("""COMPUTED_VALUE"""),"Nguyễn Thị Quỳnh Như")</f>
        <v>Nguyễn Thị Quỳnh Như</v>
      </c>
      <c r="E165" s="27">
        <f ca="1">IFERROR(__xludf.DUMMYFUNCTION("""COMPUTED_VALUE"""),37774)</f>
        <v>37774</v>
      </c>
      <c r="F165" s="23" t="str">
        <f ca="1">IFERROR(__xludf.DUMMYFUNCTION("""COMPUTED_VALUE"""),"K27DLK4")</f>
        <v>K27DLK4</v>
      </c>
      <c r="G165" s="23" t="str">
        <f ca="1">IFERROR(__xludf.DUMMYFUNCTION("""COMPUTED_VALUE"""),"Quản trị Du lịch &amp; Khách sạn")</f>
        <v>Quản trị Du lịch &amp; Khách sạn</v>
      </c>
      <c r="H165" s="23">
        <f ca="1">IFERROR(__xludf.DUMMYFUNCTION("""COMPUTED_VALUE"""),27)</f>
        <v>27</v>
      </c>
      <c r="I165" s="23" t="str">
        <f ca="1">IFERROR(__xludf.DUMMYFUNCTION("""COMPUTED_VALUE"""),"0935383425")</f>
        <v>0935383425</v>
      </c>
      <c r="J165" s="23" t="str">
        <f ca="1">IFERROR(__xludf.DUMMYFUNCTION("""COMPUTED_VALUE"""),"Chuyên đề")</f>
        <v>Chuyên đề</v>
      </c>
      <c r="K165" s="23" t="str">
        <f ca="1">IFERROR(__xludf.DUMMYFUNCTION("""COMPUTED_VALUE"""),"Chicland Hotel")</f>
        <v>Chicland Hotel</v>
      </c>
      <c r="L165" s="23"/>
      <c r="M165" s="23" t="str">
        <f ca="1">IFERROR(__xludf.DUMMYFUNCTION("""COMPUTED_VALUE"""),"210 Võ Nguyên Giáp, Phước Mỹ, Sơn Trà")</f>
        <v>210 Võ Nguyên Giáp, Phước Mỹ, Sơn Trà</v>
      </c>
      <c r="N165" s="23" t="str">
        <f ca="1">IFERROR(__xludf.DUMMYFUNCTION("""COMPUTED_VALUE"""),"Đà Nẵng")</f>
        <v>Đà Nẵng</v>
      </c>
      <c r="O165" s="23" t="str">
        <f ca="1">IFERROR(__xludf.DUMMYFUNCTION("""COMPUTED_VALUE"""),"Nhà hàng")</f>
        <v>Nhà hàng</v>
      </c>
      <c r="P165" s="23"/>
      <c r="Q165" s="23" t="str">
        <f ca="1">IFERROR(__xludf.DUMMYFUNCTION("""COMPUTED_VALUE"""),"4/2/2025")</f>
        <v>4/2/2025</v>
      </c>
      <c r="R165" s="23" t="str">
        <f ca="1">IFERROR(__xludf.DUMMYFUNCTION("""COMPUTED_VALUE"""),"cam kết")</f>
        <v>cam kết</v>
      </c>
      <c r="S165" s="23" t="str">
        <f ca="1">IFERROR(__xludf.DUMMYFUNCTION("""COMPUTED_VALUE"""),"Chuyên đề")</f>
        <v>Chuyên đề</v>
      </c>
      <c r="T165" s="23" t="str">
        <f ca="1">IFERROR(__xludf.DUMMYFUNCTION("""COMPUTED_VALUE"""),"Dương Thị Xuân Diệu")</f>
        <v>Dương Thị Xuân Diệu</v>
      </c>
      <c r="U165" s="27">
        <f ca="1">IFERROR(__xludf.DUMMYFUNCTION("""COMPUTED_VALUE"""),45698)</f>
        <v>45698</v>
      </c>
      <c r="V165" s="27">
        <f ca="1">IFERROR(__xludf.DUMMYFUNCTION("""COMPUTED_VALUE"""),45787)</f>
        <v>45787</v>
      </c>
      <c r="W165" s="23">
        <f ca="1">IFERROR(__xludf.DUMMYFUNCTION("""COMPUTED_VALUE"""),164)</f>
        <v>164</v>
      </c>
      <c r="X165" s="28">
        <f ca="1">IFERROR(__xludf.DUMMYFUNCTION("""COMPUTED_VALUE"""),45810)</f>
        <v>45810</v>
      </c>
      <c r="Y165" s="23" t="str">
        <f ca="1">IFERROR(__xludf.DUMMYFUNCTION("""COMPUTED_VALUE"""),"DUYỆT")</f>
        <v>DUYỆT</v>
      </c>
      <c r="Z165" s="28">
        <f ca="1">IFERROR(__xludf.DUMMYFUNCTION("""COMPUTED_VALUE"""),45749)</f>
        <v>45749</v>
      </c>
      <c r="AA165" s="23" t="str">
        <f ca="1">IFERROR(__xludf.DUMMYFUNCTION("""COMPUTED_VALUE"""),"Chicland Hotel")</f>
        <v>Chicland Hotel</v>
      </c>
      <c r="AB165" s="23" t="str">
        <f ca="1">IFERROR(__xludf.DUMMYFUNCTION("""COMPUTED_VALUE"""),"Nhà hàng")</f>
        <v>Nhà hàng</v>
      </c>
      <c r="AC165" s="23"/>
      <c r="AD165" s="23"/>
      <c r="AE165" s="23" t="str">
        <f ca="1">IFERROR(__xludf.DUMMYFUNCTION("""COMPUTED_VALUE"""),"")</f>
        <v/>
      </c>
      <c r="AF165" s="23" t="str">
        <f ca="1">IFERROR(__xludf.DUMMYFUNCTION("""COMPUTED_VALUE"""),"không đủ điều kiện")</f>
        <v>không đủ điều kiện</v>
      </c>
      <c r="AG165" s="23"/>
    </row>
    <row r="166" spans="1:33" ht="12.75" x14ac:dyDescent="0.2">
      <c r="A166" s="26">
        <f ca="1">IFERROR(__xludf.DUMMYFUNCTION("""COMPUTED_VALUE"""),45692.6402435416)</f>
        <v>45692.640243541602</v>
      </c>
      <c r="B166" s="23" t="str">
        <f ca="1">IFERROR(__xludf.DUMMYFUNCTION("""COMPUTED_VALUE"""),"duongkhanhvycmg@gmail.com")</f>
        <v>duongkhanhvycmg@gmail.com</v>
      </c>
      <c r="C166" s="23">
        <f ca="1">IFERROR(__xludf.DUMMYFUNCTION("""COMPUTED_VALUE"""),27207237015)</f>
        <v>27207237015</v>
      </c>
      <c r="D166" s="23" t="str">
        <f ca="1">IFERROR(__xludf.DUMMYFUNCTION("""COMPUTED_VALUE"""),"Dương Khánh Vy")</f>
        <v>Dương Khánh Vy</v>
      </c>
      <c r="E166" s="27">
        <f ca="1">IFERROR(__xludf.DUMMYFUNCTION("""COMPUTED_VALUE"""),37904)</f>
        <v>37904</v>
      </c>
      <c r="F166" s="23" t="str">
        <f ca="1">IFERROR(__xludf.DUMMYFUNCTION("""COMPUTED_VALUE"""),"K27DLK1")</f>
        <v>K27DLK1</v>
      </c>
      <c r="G166" s="23" t="str">
        <f ca="1">IFERROR(__xludf.DUMMYFUNCTION("""COMPUTED_VALUE"""),"Quản trị Du lịch &amp; Khách sạn")</f>
        <v>Quản trị Du lịch &amp; Khách sạn</v>
      </c>
      <c r="H166" s="23">
        <f ca="1">IFERROR(__xludf.DUMMYFUNCTION("""COMPUTED_VALUE"""),27)</f>
        <v>27</v>
      </c>
      <c r="I166" s="23" t="str">
        <f ca="1">IFERROR(__xludf.DUMMYFUNCTION("""COMPUTED_VALUE"""),"0354100151")</f>
        <v>0354100151</v>
      </c>
      <c r="J166" s="23" t="str">
        <f ca="1">IFERROR(__xludf.DUMMYFUNCTION("""COMPUTED_VALUE"""),"Chuyên đề")</f>
        <v>Chuyên đề</v>
      </c>
      <c r="K166" s="23" t="str">
        <f ca="1">IFERROR(__xludf.DUMMYFUNCTION("""COMPUTED_VALUE"""),"Grand Mercure Đà Nẵng")</f>
        <v>Grand Mercure Đà Nẵng</v>
      </c>
      <c r="L166" s="23"/>
      <c r="M166" s="23" t="str">
        <f ca="1">IFERROR(__xludf.DUMMYFUNCTION("""COMPUTED_VALUE"""),"Lô A1, Khụ biệt thự Đảo Xanh, Phường Hòa Cường Bắc, Quận Hải Châu, Thành phố Đà Nẵng")</f>
        <v>Lô A1, Khụ biệt thự Đảo Xanh, Phường Hòa Cường Bắc, Quận Hải Châu, Thành phố Đà Nẵng</v>
      </c>
      <c r="N166" s="23" t="str">
        <f ca="1">IFERROR(__xludf.DUMMYFUNCTION("""COMPUTED_VALUE"""),"Đà Nẵng ")</f>
        <v xml:space="preserve">Đà Nẵng </v>
      </c>
      <c r="O166" s="23" t="str">
        <f ca="1">IFERROR(__xludf.DUMMYFUNCTION("""COMPUTED_VALUE"""),"Nhà hàng")</f>
        <v>Nhà hàng</v>
      </c>
      <c r="P166" s="23"/>
      <c r="Q166" s="23" t="str">
        <f ca="1">IFERROR(__xludf.DUMMYFUNCTION("""COMPUTED_VALUE"""),"5/2/2025")</f>
        <v>5/2/2025</v>
      </c>
      <c r="R166" s="23" t="str">
        <f ca="1">IFERROR(__xludf.DUMMYFUNCTION("""COMPUTED_VALUE"""),"cam kết")</f>
        <v>cam kết</v>
      </c>
      <c r="S166" s="23" t="str">
        <f ca="1">IFERROR(__xludf.DUMMYFUNCTION("""COMPUTED_VALUE"""),"Chuyên đề")</f>
        <v>Chuyên đề</v>
      </c>
      <c r="T166" s="23"/>
      <c r="U166" s="27">
        <f ca="1">IFERROR(__xludf.DUMMYFUNCTION("""COMPUTED_VALUE"""),45698)</f>
        <v>45698</v>
      </c>
      <c r="V166" s="27">
        <f ca="1">IFERROR(__xludf.DUMMYFUNCTION("""COMPUTED_VALUE"""),45787)</f>
        <v>45787</v>
      </c>
      <c r="W166" s="23">
        <f ca="1">IFERROR(__xludf.DUMMYFUNCTION("""COMPUTED_VALUE"""),165)</f>
        <v>165</v>
      </c>
      <c r="X166" s="28">
        <f ca="1">IFERROR(__xludf.DUMMYFUNCTION("""COMPUTED_VALUE"""),45810)</f>
        <v>45810</v>
      </c>
      <c r="Y166" s="23" t="str">
        <f ca="1">IFERROR(__xludf.DUMMYFUNCTION("""COMPUTED_VALUE"""),"DUYỆT")</f>
        <v>DUYỆT</v>
      </c>
      <c r="Z166" s="28">
        <f ca="1">IFERROR(__xludf.DUMMYFUNCTION("""COMPUTED_VALUE"""),45779)</f>
        <v>45779</v>
      </c>
      <c r="AA166" s="23" t="str">
        <f ca="1">IFERROR(__xludf.DUMMYFUNCTION("""COMPUTED_VALUE"""),"Grand Mercure Đà Nẵng")</f>
        <v>Grand Mercure Đà Nẵng</v>
      </c>
      <c r="AB166" s="23" t="str">
        <f ca="1">IFERROR(__xludf.DUMMYFUNCTION("""COMPUTED_VALUE"""),"Nhà hàng")</f>
        <v>Nhà hàng</v>
      </c>
      <c r="AC166" s="23"/>
      <c r="AD166" s="23" t="str">
        <f ca="1">IFERROR(__xludf.DUMMYFUNCTION("""COMPUTED_VALUE"""),"SV đến nhận lại Thỏa thuận thực tập")</f>
        <v>SV đến nhận lại Thỏa thuận thực tập</v>
      </c>
      <c r="AE166" s="23" t="str">
        <f ca="1">IFERROR(__xludf.DUMMYFUNCTION("""COMPUTED_VALUE"""),"")</f>
        <v/>
      </c>
      <c r="AF166" s="23" t="str">
        <f ca="1">IFERROR(__xludf.DUMMYFUNCTION("""COMPUTED_VALUE"""),"CHUYÊN ĐỀ")</f>
        <v>CHUYÊN ĐỀ</v>
      </c>
      <c r="AG166" s="23" t="str">
        <f ca="1">IFERROR(__xludf.DUMMYFUNCTION("""COMPUTED_VALUE"""),"Võ Đức Hiếu")</f>
        <v>Võ Đức Hiếu</v>
      </c>
    </row>
    <row r="167" spans="1:33" ht="12.75" x14ac:dyDescent="0.2">
      <c r="A167" s="26">
        <f ca="1">IFERROR(__xludf.DUMMYFUNCTION("""COMPUTED_VALUE"""),45692.6402781828)</f>
        <v>45692.6402781828</v>
      </c>
      <c r="B167" s="23" t="str">
        <f ca="1">IFERROR(__xludf.DUMMYFUNCTION("""COMPUTED_VALUE"""),"dinhmo33@gmail.com")</f>
        <v>dinhmo33@gmail.com</v>
      </c>
      <c r="C167" s="23">
        <f ca="1">IFERROR(__xludf.DUMMYFUNCTION("""COMPUTED_VALUE"""),27217143497)</f>
        <v>27217143497</v>
      </c>
      <c r="D167" s="23" t="str">
        <f ca="1">IFERROR(__xludf.DUMMYFUNCTION("""COMPUTED_VALUE"""),"Đinh Hoàng Mơ")</f>
        <v>Đinh Hoàng Mơ</v>
      </c>
      <c r="E167" s="27">
        <f ca="1">IFERROR(__xludf.DUMMYFUNCTION("""COMPUTED_VALUE"""),37942)</f>
        <v>37942</v>
      </c>
      <c r="F167" s="23" t="str">
        <f ca="1">IFERROR(__xludf.DUMMYFUNCTION("""COMPUTED_VALUE"""),"K27DLK1")</f>
        <v>K27DLK1</v>
      </c>
      <c r="G167" s="23" t="str">
        <f ca="1">IFERROR(__xludf.DUMMYFUNCTION("""COMPUTED_VALUE"""),"Quản trị Du lịch &amp; Khách sạn")</f>
        <v>Quản trị Du lịch &amp; Khách sạn</v>
      </c>
      <c r="H167" s="23">
        <f ca="1">IFERROR(__xludf.DUMMYFUNCTION("""COMPUTED_VALUE"""),27)</f>
        <v>27</v>
      </c>
      <c r="I167" s="23" t="str">
        <f ca="1">IFERROR(__xludf.DUMMYFUNCTION("""COMPUTED_VALUE"""),"0377024521")</f>
        <v>0377024521</v>
      </c>
      <c r="J167" s="23" t="str">
        <f ca="1">IFERROR(__xludf.DUMMYFUNCTION("""COMPUTED_VALUE"""),"Chuyên đề")</f>
        <v>Chuyên đề</v>
      </c>
      <c r="K167" s="23" t="str">
        <f ca="1">IFERROR(__xludf.DUMMYFUNCTION("""COMPUTED_VALUE"""),"Sala Danang Beach Hotel")</f>
        <v>Sala Danang Beach Hotel</v>
      </c>
      <c r="L167" s="23"/>
      <c r="M167" s="23" t="str">
        <f ca="1">IFERROR(__xludf.DUMMYFUNCTION("""COMPUTED_VALUE"""),"36-38 Đ. Lâm Hoành, Phước Mỹ, Sơn Trà, Đà Nẵng ")</f>
        <v xml:space="preserve">36-38 Đ. Lâm Hoành, Phước Mỹ, Sơn Trà, Đà Nẵng </v>
      </c>
      <c r="N167" s="23" t="str">
        <f ca="1">IFERROR(__xludf.DUMMYFUNCTION("""COMPUTED_VALUE"""),"Đà Nẵng")</f>
        <v>Đà Nẵng</v>
      </c>
      <c r="O167" s="23" t="str">
        <f ca="1">IFERROR(__xludf.DUMMYFUNCTION("""COMPUTED_VALUE"""),"Nhà hàng")</f>
        <v>Nhà hàng</v>
      </c>
      <c r="P167" s="23"/>
      <c r="Q167" s="23" t="str">
        <f ca="1">IFERROR(__xludf.DUMMYFUNCTION("""COMPUTED_VALUE"""),"5/2/2025")</f>
        <v>5/2/2025</v>
      </c>
      <c r="R167" s="23" t="str">
        <f ca="1">IFERROR(__xludf.DUMMYFUNCTION("""COMPUTED_VALUE"""),"cam kết")</f>
        <v>cam kết</v>
      </c>
      <c r="S167" s="23" t="str">
        <f ca="1">IFERROR(__xludf.DUMMYFUNCTION("""COMPUTED_VALUE"""),"Chuyên đề")</f>
        <v>Chuyên đề</v>
      </c>
      <c r="T167" s="23"/>
      <c r="U167" s="27">
        <f ca="1">IFERROR(__xludf.DUMMYFUNCTION("""COMPUTED_VALUE"""),45663)</f>
        <v>45663</v>
      </c>
      <c r="V167" s="27">
        <f ca="1">IFERROR(__xludf.DUMMYFUNCTION("""COMPUTED_VALUE"""),45753)</f>
        <v>45753</v>
      </c>
      <c r="W167" s="23">
        <f ca="1">IFERROR(__xludf.DUMMYFUNCTION("""COMPUTED_VALUE"""),166)</f>
        <v>166</v>
      </c>
      <c r="X167" s="28">
        <f ca="1">IFERROR(__xludf.DUMMYFUNCTION("""COMPUTED_VALUE"""),45810)</f>
        <v>45810</v>
      </c>
      <c r="Y167" s="23" t="str">
        <f ca="1">IFERROR(__xludf.DUMMYFUNCTION("""COMPUTED_VALUE"""),"DUYỆT")</f>
        <v>DUYỆT</v>
      </c>
      <c r="Z167" s="28">
        <f ca="1">IFERROR(__xludf.DUMMYFUNCTION("""COMPUTED_VALUE"""),45779)</f>
        <v>45779</v>
      </c>
      <c r="AA167" s="23" t="str">
        <f ca="1">IFERROR(__xludf.DUMMYFUNCTION("""COMPUTED_VALUE"""),"Sala Danang Beach Hotel")</f>
        <v>Sala Danang Beach Hotel</v>
      </c>
      <c r="AB167" s="23" t="str">
        <f ca="1">IFERROR(__xludf.DUMMYFUNCTION("""COMPUTED_VALUE"""),"Nhà hàng")</f>
        <v>Nhà hàng</v>
      </c>
      <c r="AC167" s="23"/>
      <c r="AD167" s="23"/>
      <c r="AE167" s="23" t="str">
        <f ca="1">IFERROR(__xludf.DUMMYFUNCTION("""COMPUTED_VALUE"""),"")</f>
        <v/>
      </c>
      <c r="AF167" s="23" t="str">
        <f ca="1">IFERROR(__xludf.DUMMYFUNCTION("""COMPUTED_VALUE"""),"CHUYÊN ĐỀ")</f>
        <v>CHUYÊN ĐỀ</v>
      </c>
      <c r="AG167" s="23" t="str">
        <f ca="1">IFERROR(__xludf.DUMMYFUNCTION("""COMPUTED_VALUE"""),"Huỳnh Lý Thùy Linh")</f>
        <v>Huỳnh Lý Thùy Linh</v>
      </c>
    </row>
    <row r="168" spans="1:33" ht="12.75" x14ac:dyDescent="0.2">
      <c r="A168" s="26">
        <f ca="1">IFERROR(__xludf.DUMMYFUNCTION("""COMPUTED_VALUE"""),45692.9770360416)</f>
        <v>45692.977036041601</v>
      </c>
      <c r="B168" s="23" t="str">
        <f ca="1">IFERROR(__xludf.DUMMYFUNCTION("""COMPUTED_VALUE"""),"hoyennhi136@gmail.com")</f>
        <v>hoyennhi136@gmail.com</v>
      </c>
      <c r="C168" s="23">
        <f ca="1">IFERROR(__xludf.DUMMYFUNCTION("""COMPUTED_VALUE"""),27207100654)</f>
        <v>27207100654</v>
      </c>
      <c r="D168" s="23" t="str">
        <f ca="1">IFERROR(__xludf.DUMMYFUNCTION("""COMPUTED_VALUE"""),"Hồ Yến Nhi")</f>
        <v>Hồ Yến Nhi</v>
      </c>
      <c r="E168" s="27">
        <f ca="1">IFERROR(__xludf.DUMMYFUNCTION("""COMPUTED_VALUE"""),37785)</f>
        <v>37785</v>
      </c>
      <c r="F168" s="23" t="str">
        <f ca="1">IFERROR(__xludf.DUMMYFUNCTION("""COMPUTED_VALUE"""),"K27PSUDLK1")</f>
        <v>K27PSUDLK1</v>
      </c>
      <c r="G168" s="23" t="str">
        <f ca="1">IFERROR(__xludf.DUMMYFUNCTION("""COMPUTED_VALUE"""),"Quản trị Du lịch &amp; Khách sạn chuẩn PSU")</f>
        <v>Quản trị Du lịch &amp; Khách sạn chuẩn PSU</v>
      </c>
      <c r="H168" s="23">
        <f ca="1">IFERROR(__xludf.DUMMYFUNCTION("""COMPUTED_VALUE"""),27)</f>
        <v>27</v>
      </c>
      <c r="I168" s="23" t="str">
        <f ca="1">IFERROR(__xludf.DUMMYFUNCTION("""COMPUTED_VALUE"""),"0933850295")</f>
        <v>0933850295</v>
      </c>
      <c r="J168" s="23" t="str">
        <f ca="1">IFERROR(__xludf.DUMMYFUNCTION("""COMPUTED_VALUE"""),"Chuyên đề")</f>
        <v>Chuyên đề</v>
      </c>
      <c r="K168" s="23" t="str">
        <f ca="1">IFERROR(__xludf.DUMMYFUNCTION("""COMPUTED_VALUE"""),"Pullman Danang Beach Resort")</f>
        <v>Pullman Danang Beach Resort</v>
      </c>
      <c r="L168" s="23"/>
      <c r="M168" s="23" t="str">
        <f ca="1">IFERROR(__xludf.DUMMYFUNCTION("""COMPUTED_VALUE"""),"101 Võ Nguyên Giáp, Ngũ Hành Sơn, Đà Nẵng")</f>
        <v>101 Võ Nguyên Giáp, Ngũ Hành Sơn, Đà Nẵng</v>
      </c>
      <c r="N168" s="23" t="str">
        <f ca="1">IFERROR(__xludf.DUMMYFUNCTION("""COMPUTED_VALUE"""),"Đà Nẵng")</f>
        <v>Đà Nẵng</v>
      </c>
      <c r="O168" s="23" t="str">
        <f ca="1">IFERROR(__xludf.DUMMYFUNCTION("""COMPUTED_VALUE"""),"Nhà hàng")</f>
        <v>Nhà hàng</v>
      </c>
      <c r="P168" s="23"/>
      <c r="Q168" s="23" t="str">
        <f ca="1">IFERROR(__xludf.DUMMYFUNCTION("""COMPUTED_VALUE"""),"10/2/2025")</f>
        <v>10/2/2025</v>
      </c>
      <c r="R168" s="23" t="str">
        <f ca="1">IFERROR(__xludf.DUMMYFUNCTION("""COMPUTED_VALUE"""),"cam kết")</f>
        <v>cam kết</v>
      </c>
      <c r="S168" s="23" t="str">
        <f ca="1">IFERROR(__xludf.DUMMYFUNCTION("""COMPUTED_VALUE"""),"Chuyên đề")</f>
        <v>Chuyên đề</v>
      </c>
      <c r="T168" s="23"/>
      <c r="U168" s="27">
        <f ca="1">IFERROR(__xludf.DUMMYFUNCTION("""COMPUTED_VALUE"""),45694)</f>
        <v>45694</v>
      </c>
      <c r="V168" s="27">
        <f ca="1">IFERROR(__xludf.DUMMYFUNCTION("""COMPUTED_VALUE"""),45783)</f>
        <v>45783</v>
      </c>
      <c r="W168" s="23">
        <f ca="1">IFERROR(__xludf.DUMMYFUNCTION("""COMPUTED_VALUE"""),167)</f>
        <v>167</v>
      </c>
      <c r="X168" s="28">
        <f ca="1">IFERROR(__xludf.DUMMYFUNCTION("""COMPUTED_VALUE"""),45963)</f>
        <v>45963</v>
      </c>
      <c r="Y168" s="23" t="str">
        <f ca="1">IFERROR(__xludf.DUMMYFUNCTION("""COMPUTED_VALUE"""),"DUYỆT")</f>
        <v>DUYỆT</v>
      </c>
      <c r="Z168" s="28">
        <f ca="1">IFERROR(__xludf.DUMMYFUNCTION("""COMPUTED_VALUE"""),45779)</f>
        <v>45779</v>
      </c>
      <c r="AA168" s="23" t="str">
        <f ca="1">IFERROR(__xludf.DUMMYFUNCTION("""COMPUTED_VALUE"""),"Pullman Danang Beach Resort")</f>
        <v>Pullman Danang Beach Resort</v>
      </c>
      <c r="AB168" s="23" t="str">
        <f ca="1">IFERROR(__xludf.DUMMYFUNCTION("""COMPUTED_VALUE"""),"Nhà hàng")</f>
        <v>Nhà hàng</v>
      </c>
      <c r="AC168" s="23"/>
      <c r="AD168" s="23" t="str">
        <f ca="1">IFERROR(__xludf.DUMMYFUNCTION("""COMPUTED_VALUE"""),"Trưởng khoa đã duyệt đơn")</f>
        <v>Trưởng khoa đã duyệt đơn</v>
      </c>
      <c r="AE168" s="23" t="str">
        <f ca="1">IFERROR(__xludf.DUMMYFUNCTION("""COMPUTED_VALUE"""),"")</f>
        <v/>
      </c>
      <c r="AF168" s="23" t="str">
        <f ca="1">IFERROR(__xludf.DUMMYFUNCTION("""COMPUTED_VALUE"""),"CHUYÊN ĐỀ")</f>
        <v>CHUYÊN ĐỀ</v>
      </c>
      <c r="AG168" s="23" t="str">
        <f ca="1">IFERROR(__xludf.DUMMYFUNCTION("""COMPUTED_VALUE"""),"Phan Thị Hồng Hải")</f>
        <v>Phan Thị Hồng Hải</v>
      </c>
    </row>
    <row r="169" spans="1:33" ht="12.75" x14ac:dyDescent="0.2">
      <c r="A169" s="26">
        <f ca="1">IFERROR(__xludf.DUMMYFUNCTION("""COMPUTED_VALUE"""),45692.9745107175)</f>
        <v>45692.974510717497</v>
      </c>
      <c r="B169" s="23" t="str">
        <f ca="1">IFERROR(__xludf.DUMMYFUNCTION("""COMPUTED_VALUE"""),"dinhthivytam2003.vn@gmail.com")</f>
        <v>dinhthivytam2003.vn@gmail.com</v>
      </c>
      <c r="C169" s="23">
        <f ca="1">IFERROR(__xludf.DUMMYFUNCTION("""COMPUTED_VALUE"""),27202131041)</f>
        <v>27202131041</v>
      </c>
      <c r="D169" s="23" t="str">
        <f ca="1">IFERROR(__xludf.DUMMYFUNCTION("""COMPUTED_VALUE"""),"Đinh Thị Vỹ Tâm ")</f>
        <v xml:space="preserve">Đinh Thị Vỹ Tâm </v>
      </c>
      <c r="E169" s="27">
        <f ca="1">IFERROR(__xludf.DUMMYFUNCTION("""COMPUTED_VALUE"""),37935)</f>
        <v>37935</v>
      </c>
      <c r="F169" s="23" t="str">
        <f ca="1">IFERROR(__xludf.DUMMYFUNCTION("""COMPUTED_VALUE"""),"K27_PSU_DLK1")</f>
        <v>K27_PSU_DLK1</v>
      </c>
      <c r="G169" s="23" t="str">
        <f ca="1">IFERROR(__xludf.DUMMYFUNCTION("""COMPUTED_VALUE"""),"Quản trị Du lịch &amp; Khách sạn chuẩn PSU")</f>
        <v>Quản trị Du lịch &amp; Khách sạn chuẩn PSU</v>
      </c>
      <c r="H169" s="23">
        <f ca="1">IFERROR(__xludf.DUMMYFUNCTION("""COMPUTED_VALUE"""),27)</f>
        <v>27</v>
      </c>
      <c r="I169" s="23" t="str">
        <f ca="1">IFERROR(__xludf.DUMMYFUNCTION("""COMPUTED_VALUE"""),"0799318958")</f>
        <v>0799318958</v>
      </c>
      <c r="J169" s="23" t="str">
        <f ca="1">IFERROR(__xludf.DUMMYFUNCTION("""COMPUTED_VALUE"""),"Chuyên đề")</f>
        <v>Chuyên đề</v>
      </c>
      <c r="K169" s="23" t="str">
        <f ca="1">IFERROR(__xludf.DUMMYFUNCTION("""COMPUTED_VALUE"""),"Pullman Danang Beach Resort")</f>
        <v>Pullman Danang Beach Resort</v>
      </c>
      <c r="L169" s="23"/>
      <c r="M169" s="23" t="str">
        <f ca="1">IFERROR(__xludf.DUMMYFUNCTION("""COMPUTED_VALUE"""),"101 Võ Nguyên Giáp, Ngũ, Hành Sơn, Đà Nẵng")</f>
        <v>101 Võ Nguyên Giáp, Ngũ, Hành Sơn, Đà Nẵng</v>
      </c>
      <c r="N169" s="23" t="str">
        <f ca="1">IFERROR(__xludf.DUMMYFUNCTION("""COMPUTED_VALUE"""),"TP Đà Nẵng")</f>
        <v>TP Đà Nẵng</v>
      </c>
      <c r="O169" s="23" t="str">
        <f ca="1">IFERROR(__xludf.DUMMYFUNCTION("""COMPUTED_VALUE"""),"Nhà hàng")</f>
        <v>Nhà hàng</v>
      </c>
      <c r="P169" s="23"/>
      <c r="Q169" s="23" t="str">
        <f ca="1">IFERROR(__xludf.DUMMYFUNCTION("""COMPUTED_VALUE"""),"10/02/2025")</f>
        <v>10/02/2025</v>
      </c>
      <c r="R169" s="23" t="str">
        <f ca="1">IFERROR(__xludf.DUMMYFUNCTION("""COMPUTED_VALUE"""),"cam kết")</f>
        <v>cam kết</v>
      </c>
      <c r="S169" s="23" t="str">
        <f ca="1">IFERROR(__xludf.DUMMYFUNCTION("""COMPUTED_VALUE"""),"Chuyên đề")</f>
        <v>Chuyên đề</v>
      </c>
      <c r="T169" s="23"/>
      <c r="U169" s="27">
        <f ca="1">IFERROR(__xludf.DUMMYFUNCTION("""COMPUTED_VALUE"""),45694)</f>
        <v>45694</v>
      </c>
      <c r="V169" s="27">
        <f ca="1">IFERROR(__xludf.DUMMYFUNCTION("""COMPUTED_VALUE"""),45783)</f>
        <v>45783</v>
      </c>
      <c r="W169" s="23">
        <f ca="1">IFERROR(__xludf.DUMMYFUNCTION("""COMPUTED_VALUE"""),168)</f>
        <v>168</v>
      </c>
      <c r="X169" s="28">
        <f ca="1">IFERROR(__xludf.DUMMYFUNCTION("""COMPUTED_VALUE"""),45963)</f>
        <v>45963</v>
      </c>
      <c r="Y169" s="23" t="str">
        <f ca="1">IFERROR(__xludf.DUMMYFUNCTION("""COMPUTED_VALUE"""),"DUYỆT")</f>
        <v>DUYỆT</v>
      </c>
      <c r="Z169" s="28">
        <f ca="1">IFERROR(__xludf.DUMMYFUNCTION("""COMPUTED_VALUE"""),45779)</f>
        <v>45779</v>
      </c>
      <c r="AA169" s="23" t="str">
        <f ca="1">IFERROR(__xludf.DUMMYFUNCTION("""COMPUTED_VALUE"""),"Pullman Danang Beach Resort")</f>
        <v>Pullman Danang Beach Resort</v>
      </c>
      <c r="AB169" s="23" t="str">
        <f ca="1">IFERROR(__xludf.DUMMYFUNCTION("""COMPUTED_VALUE"""),"Nhà hàng")</f>
        <v>Nhà hàng</v>
      </c>
      <c r="AC169" s="23"/>
      <c r="AD169" s="23" t="str">
        <f ca="1">IFERROR(__xludf.DUMMYFUNCTION("""COMPUTED_VALUE"""),"Trưởng khoa đã duyệt đơn")</f>
        <v>Trưởng khoa đã duyệt đơn</v>
      </c>
      <c r="AE169" s="23" t="str">
        <f ca="1">IFERROR(__xludf.DUMMYFUNCTION("""COMPUTED_VALUE"""),"")</f>
        <v/>
      </c>
      <c r="AF169" s="23" t="str">
        <f ca="1">IFERROR(__xludf.DUMMYFUNCTION("""COMPUTED_VALUE"""),"CHUYÊN ĐỀ")</f>
        <v>CHUYÊN ĐỀ</v>
      </c>
      <c r="AG169" s="23" t="str">
        <f ca="1">IFERROR(__xludf.DUMMYFUNCTION("""COMPUTED_VALUE"""),"Phan Thị Hồng Hải")</f>
        <v>Phan Thị Hồng Hải</v>
      </c>
    </row>
    <row r="170" spans="1:33" ht="12.75" x14ac:dyDescent="0.2">
      <c r="A170" s="26">
        <f ca="1">IFERROR(__xludf.DUMMYFUNCTION("""COMPUTED_VALUE"""),45692.9824145601)</f>
        <v>45692.982414560101</v>
      </c>
      <c r="B170" s="23" t="str">
        <f ca="1">IFERROR(__xludf.DUMMYFUNCTION("""COMPUTED_VALUE"""),"vietvanthanh2003@gmail.com")</f>
        <v>vietvanthanh2003@gmail.com</v>
      </c>
      <c r="C170" s="23">
        <f ca="1">IFERROR(__xludf.DUMMYFUNCTION("""COMPUTED_VALUE"""),27217128905)</f>
        <v>27217128905</v>
      </c>
      <c r="D170" s="23" t="str">
        <f ca="1">IFERROR(__xludf.DUMMYFUNCTION("""COMPUTED_VALUE"""),"Văn Thanh Việt")</f>
        <v>Văn Thanh Việt</v>
      </c>
      <c r="E170" s="27">
        <f ca="1">IFERROR(__xludf.DUMMYFUNCTION("""COMPUTED_VALUE"""),37788)</f>
        <v>37788</v>
      </c>
      <c r="F170" s="23" t="str">
        <f ca="1">IFERROR(__xludf.DUMMYFUNCTION("""COMPUTED_VALUE"""),"K27PSU-DLK1")</f>
        <v>K27PSU-DLK1</v>
      </c>
      <c r="G170" s="23" t="str">
        <f ca="1">IFERROR(__xludf.DUMMYFUNCTION("""COMPUTED_VALUE"""),"Quản trị Du lịch &amp; Khách sạn chuẩn PSU")</f>
        <v>Quản trị Du lịch &amp; Khách sạn chuẩn PSU</v>
      </c>
      <c r="H170" s="23">
        <f ca="1">IFERROR(__xludf.DUMMYFUNCTION("""COMPUTED_VALUE"""),27)</f>
        <v>27</v>
      </c>
      <c r="I170" s="23" t="str">
        <f ca="1">IFERROR(__xludf.DUMMYFUNCTION("""COMPUTED_VALUE"""),"0915066334")</f>
        <v>0915066334</v>
      </c>
      <c r="J170" s="23" t="str">
        <f ca="1">IFERROR(__xludf.DUMMYFUNCTION("""COMPUTED_VALUE"""),"Chuyên đề")</f>
        <v>Chuyên đề</v>
      </c>
      <c r="K170" s="23" t="str">
        <f ca="1">IFERROR(__xludf.DUMMYFUNCTION("""COMPUTED_VALUE"""),"Pullman Danang Beach Resort")</f>
        <v>Pullman Danang Beach Resort</v>
      </c>
      <c r="L170" s="23"/>
      <c r="M170" s="23" t="str">
        <f ca="1">IFERROR(__xludf.DUMMYFUNCTION("""COMPUTED_VALUE"""),"101 Võ Nguyên Giáp, Street, Ngũ Hành Sơn, Đà Nẵng")</f>
        <v>101 Võ Nguyên Giáp, Street, Ngũ Hành Sơn, Đà Nẵng</v>
      </c>
      <c r="N170" s="23" t="str">
        <f ca="1">IFERROR(__xludf.DUMMYFUNCTION("""COMPUTED_VALUE"""),"Đà Nẵng")</f>
        <v>Đà Nẵng</v>
      </c>
      <c r="O170" s="23" t="str">
        <f ca="1">IFERROR(__xludf.DUMMYFUNCTION("""COMPUTED_VALUE"""),"Nhà hàng")</f>
        <v>Nhà hàng</v>
      </c>
      <c r="P170" s="23"/>
      <c r="Q170" s="23" t="str">
        <f ca="1">IFERROR(__xludf.DUMMYFUNCTION("""COMPUTED_VALUE"""),"10/02/2025")</f>
        <v>10/02/2025</v>
      </c>
      <c r="R170" s="23" t="str">
        <f ca="1">IFERROR(__xludf.DUMMYFUNCTION("""COMPUTED_VALUE"""),"cam kết")</f>
        <v>cam kết</v>
      </c>
      <c r="S170" s="23" t="str">
        <f ca="1">IFERROR(__xludf.DUMMYFUNCTION("""COMPUTED_VALUE"""),"Chuyên đề")</f>
        <v>Chuyên đề</v>
      </c>
      <c r="T170" s="23" t="str">
        <f ca="1">IFERROR(__xludf.DUMMYFUNCTION("""COMPUTED_VALUE"""),"Hồ Sử Minh Tài")</f>
        <v>Hồ Sử Minh Tài</v>
      </c>
      <c r="U170" s="27">
        <f ca="1">IFERROR(__xludf.DUMMYFUNCTION("""COMPUTED_VALUE"""),45694)</f>
        <v>45694</v>
      </c>
      <c r="V170" s="27">
        <f ca="1">IFERROR(__xludf.DUMMYFUNCTION("""COMPUTED_VALUE"""),45783)</f>
        <v>45783</v>
      </c>
      <c r="W170" s="23">
        <f ca="1">IFERROR(__xludf.DUMMYFUNCTION("""COMPUTED_VALUE"""),169)</f>
        <v>169</v>
      </c>
      <c r="X170" s="28">
        <f ca="1">IFERROR(__xludf.DUMMYFUNCTION("""COMPUTED_VALUE"""),45963)</f>
        <v>45963</v>
      </c>
      <c r="Y170" s="23" t="str">
        <f ca="1">IFERROR(__xludf.DUMMYFUNCTION("""COMPUTED_VALUE"""),"DUYỆT")</f>
        <v>DUYỆT</v>
      </c>
      <c r="Z170" s="28">
        <f ca="1">IFERROR(__xludf.DUMMYFUNCTION("""COMPUTED_VALUE"""),45779)</f>
        <v>45779</v>
      </c>
      <c r="AA170" s="23" t="str">
        <f ca="1">IFERROR(__xludf.DUMMYFUNCTION("""COMPUTED_VALUE"""),"Pullman Danang Beach Resort")</f>
        <v>Pullman Danang Beach Resort</v>
      </c>
      <c r="AB170" s="23" t="str">
        <f ca="1">IFERROR(__xludf.DUMMYFUNCTION("""COMPUTED_VALUE"""),"Nhà hàng")</f>
        <v>Nhà hàng</v>
      </c>
      <c r="AC170" s="23"/>
      <c r="AD170" s="23" t="str">
        <f ca="1">IFERROR(__xludf.DUMMYFUNCTION("""COMPUTED_VALUE"""),"Trưởng khoa đã duyệt đơn")</f>
        <v>Trưởng khoa đã duyệt đơn</v>
      </c>
      <c r="AE170" s="23" t="str">
        <f ca="1">IFERROR(__xludf.DUMMYFUNCTION("""COMPUTED_VALUE"""),"")</f>
        <v/>
      </c>
      <c r="AF170" s="23" t="str">
        <f ca="1">IFERROR(__xludf.DUMMYFUNCTION("""COMPUTED_VALUE"""),"không đủ điều kiện")</f>
        <v>không đủ điều kiện</v>
      </c>
      <c r="AG170" s="23"/>
    </row>
    <row r="171" spans="1:33" ht="12.75" x14ac:dyDescent="0.2">
      <c r="A171" s="26">
        <f ca="1">IFERROR(__xludf.DUMMYFUNCTION("""COMPUTED_VALUE"""),45693.4676755671)</f>
        <v>45693.467675567103</v>
      </c>
      <c r="B171" s="23" t="str">
        <f ca="1">IFERROR(__xludf.DUMMYFUNCTION("""COMPUTED_VALUE"""),"dohaithanhha@gmail.com")</f>
        <v>dohaithanhha@gmail.com</v>
      </c>
      <c r="C171" s="23">
        <f ca="1">IFERROR(__xludf.DUMMYFUNCTION("""COMPUTED_VALUE"""),26217142313)</f>
        <v>26217142313</v>
      </c>
      <c r="D171" s="23" t="str">
        <f ca="1">IFERROR(__xludf.DUMMYFUNCTION("""COMPUTED_VALUE"""),"Đỗ Hải Thanh Hà")</f>
        <v>Đỗ Hải Thanh Hà</v>
      </c>
      <c r="E171" s="27">
        <f ca="1">IFERROR(__xludf.DUMMYFUNCTION("""COMPUTED_VALUE"""),37304)</f>
        <v>37304</v>
      </c>
      <c r="F171" s="23" t="str">
        <f ca="1">IFERROR(__xludf.DUMMYFUNCTION("""COMPUTED_VALUE"""),"K26DLK 15")</f>
        <v>K26DLK 15</v>
      </c>
      <c r="G171" s="23" t="str">
        <f ca="1">IFERROR(__xludf.DUMMYFUNCTION("""COMPUTED_VALUE"""),"Quản trị Du lịch &amp; Khách sạn")</f>
        <v>Quản trị Du lịch &amp; Khách sạn</v>
      </c>
      <c r="H171" s="23">
        <f ca="1">IFERROR(__xludf.DUMMYFUNCTION("""COMPUTED_VALUE"""),26)</f>
        <v>26</v>
      </c>
      <c r="I171" s="23" t="str">
        <f ca="1">IFERROR(__xludf.DUMMYFUNCTION("""COMPUTED_VALUE"""),"0905900285")</f>
        <v>0905900285</v>
      </c>
      <c r="J171" s="23" t="str">
        <f ca="1">IFERROR(__xludf.DUMMYFUNCTION("""COMPUTED_VALUE"""),"Chuyên đề")</f>
        <v>Chuyên đề</v>
      </c>
      <c r="K171" s="23" t="str">
        <f ca="1">IFERROR(__xludf.DUMMYFUNCTION("""COMPUTED_VALUE"""),"Hotel Royal HoiAn")</f>
        <v>Hotel Royal HoiAn</v>
      </c>
      <c r="L171" s="23"/>
      <c r="M171" s="23" t="str">
        <f ca="1">IFERROR(__xludf.DUMMYFUNCTION("""COMPUTED_VALUE"""),"39 Đào Duy Từ")</f>
        <v>39 Đào Duy Từ</v>
      </c>
      <c r="N171" s="23" t="str">
        <f ca="1">IFERROR(__xludf.DUMMYFUNCTION("""COMPUTED_VALUE"""),"Hội An")</f>
        <v>Hội An</v>
      </c>
      <c r="O171" s="23" t="str">
        <f ca="1">IFERROR(__xludf.DUMMYFUNCTION("""COMPUTED_VALUE"""),"Buồng phòng")</f>
        <v>Buồng phòng</v>
      </c>
      <c r="P171" s="23"/>
      <c r="Q171" s="23" t="str">
        <f ca="1">IFERROR(__xludf.DUMMYFUNCTION("""COMPUTED_VALUE"""),"10/02/2025")</f>
        <v>10/02/2025</v>
      </c>
      <c r="R171" s="23" t="str">
        <f ca="1">IFERROR(__xludf.DUMMYFUNCTION("""COMPUTED_VALUE"""),"cam kết")</f>
        <v>cam kết</v>
      </c>
      <c r="S171" s="23" t="str">
        <f ca="1">IFERROR(__xludf.DUMMYFUNCTION("""COMPUTED_VALUE"""),"Chuyên đề")</f>
        <v>Chuyên đề</v>
      </c>
      <c r="T171" s="23" t="str">
        <f ca="1">IFERROR(__xludf.DUMMYFUNCTION("""COMPUTED_VALUE"""),"Dương Thị Xuân Diệu")</f>
        <v>Dương Thị Xuân Diệu</v>
      </c>
      <c r="U171" s="27">
        <f ca="1">IFERROR(__xludf.DUMMYFUNCTION("""COMPUTED_VALUE"""),45696)</f>
        <v>45696</v>
      </c>
      <c r="V171" s="27">
        <f ca="1">IFERROR(__xludf.DUMMYFUNCTION("""COMPUTED_VALUE"""),45785)</f>
        <v>45785</v>
      </c>
      <c r="W171" s="23">
        <f ca="1">IFERROR(__xludf.DUMMYFUNCTION("""COMPUTED_VALUE"""),170)</f>
        <v>170</v>
      </c>
      <c r="X171" s="28">
        <f ca="1">IFERROR(__xludf.DUMMYFUNCTION("""COMPUTED_VALUE"""),45963)</f>
        <v>45963</v>
      </c>
      <c r="Y171" s="23" t="str">
        <f ca="1">IFERROR(__xludf.DUMMYFUNCTION("""COMPUTED_VALUE"""),"DUYỆT")</f>
        <v>DUYỆT</v>
      </c>
      <c r="Z171" s="28">
        <f ca="1">IFERROR(__xludf.DUMMYFUNCTION("""COMPUTED_VALUE"""),45779)</f>
        <v>45779</v>
      </c>
      <c r="AA171" s="23" t="str">
        <f ca="1">IFERROR(__xludf.DUMMYFUNCTION("""COMPUTED_VALUE"""),"Hotel Royal HoiAn")</f>
        <v>Hotel Royal HoiAn</v>
      </c>
      <c r="AB171" s="23" t="str">
        <f ca="1">IFERROR(__xludf.DUMMYFUNCTION("""COMPUTED_VALUE"""),"Buồng phòng")</f>
        <v>Buồng phòng</v>
      </c>
      <c r="AC171" s="23" t="str">
        <f ca="1">IFERROR(__xludf.DUMMYFUNCTION("""COMPUTED_VALUE"""),"ĐÃ NỘP")</f>
        <v>ĐÃ NỘP</v>
      </c>
      <c r="AD171" s="23"/>
      <c r="AE171" s="23" t="str">
        <f ca="1">IFERROR(__xludf.DUMMYFUNCTION("""COMPUTED_VALUE"""),"")</f>
        <v/>
      </c>
      <c r="AF171" s="23" t="str">
        <f ca="1">IFERROR(__xludf.DUMMYFUNCTION("""COMPUTED_VALUE"""),"CHUYÊN ĐỀ")</f>
        <v>CHUYÊN ĐỀ</v>
      </c>
      <c r="AG171" s="23" t="str">
        <f ca="1">IFERROR(__xludf.DUMMYFUNCTION("""COMPUTED_VALUE"""),"Phạm Thị Thu Thủy")</f>
        <v>Phạm Thị Thu Thủy</v>
      </c>
    </row>
    <row r="172" spans="1:33" ht="12.75" x14ac:dyDescent="0.2">
      <c r="A172" s="26">
        <f ca="1">IFERROR(__xludf.DUMMYFUNCTION("""COMPUTED_VALUE"""),45693.4730721296)</f>
        <v>45693.4730721296</v>
      </c>
      <c r="B172" s="23" t="str">
        <f ca="1">IFERROR(__xludf.DUMMYFUNCTION("""COMPUTED_VALUE"""),"sus411053@gmail.com")</f>
        <v>sus411053@gmail.com</v>
      </c>
      <c r="C172" s="23">
        <f ca="1">IFERROR(__xludf.DUMMYFUNCTION("""COMPUTED_VALUE"""),27217133352)</f>
        <v>27217133352</v>
      </c>
      <c r="D172" s="23" t="str">
        <f ca="1">IFERROR(__xludf.DUMMYFUNCTION("""COMPUTED_VALUE"""),"Sử Hoàng Tú Quyên")</f>
        <v>Sử Hoàng Tú Quyên</v>
      </c>
      <c r="E172" s="27">
        <f ca="1">IFERROR(__xludf.DUMMYFUNCTION("""COMPUTED_VALUE"""),37646)</f>
        <v>37646</v>
      </c>
      <c r="F172" s="23" t="str">
        <f ca="1">IFERROR(__xludf.DUMMYFUNCTION("""COMPUTED_VALUE"""),"K27DLK5")</f>
        <v>K27DLK5</v>
      </c>
      <c r="G172" s="23" t="str">
        <f ca="1">IFERROR(__xludf.DUMMYFUNCTION("""COMPUTED_VALUE"""),"Quản trị Du lịch &amp; Khách sạn")</f>
        <v>Quản trị Du lịch &amp; Khách sạn</v>
      </c>
      <c r="H172" s="23">
        <f ca="1">IFERROR(__xludf.DUMMYFUNCTION("""COMPUTED_VALUE"""),27)</f>
        <v>27</v>
      </c>
      <c r="I172" s="23" t="str">
        <f ca="1">IFERROR(__xludf.DUMMYFUNCTION("""COMPUTED_VALUE"""),"0916501120")</f>
        <v>0916501120</v>
      </c>
      <c r="J172" s="23" t="str">
        <f ca="1">IFERROR(__xludf.DUMMYFUNCTION("""COMPUTED_VALUE"""),"Chuyên đề")</f>
        <v>Chuyên đề</v>
      </c>
      <c r="K172" s="23" t="str">
        <f ca="1">IFERROR(__xludf.DUMMYFUNCTION("""COMPUTED_VALUE"""),"Da Nang Mikazuki Japanese Resorts &amp; Spa")</f>
        <v>Da Nang Mikazuki Japanese Resorts &amp; Spa</v>
      </c>
      <c r="L172" s="23"/>
      <c r="M172" s="23" t="str">
        <f ca="1">IFERROR(__xludf.DUMMYFUNCTION("""COMPUTED_VALUE"""),"Khu du lịch Xuân Thiều, Đường Nguyễn Tất Thành, Đà Nẵng")</f>
        <v>Khu du lịch Xuân Thiều, Đường Nguyễn Tất Thành, Đà Nẵng</v>
      </c>
      <c r="N172" s="23" t="str">
        <f ca="1">IFERROR(__xludf.DUMMYFUNCTION("""COMPUTED_VALUE"""),"Đà Nẵng")</f>
        <v>Đà Nẵng</v>
      </c>
      <c r="O172" s="23" t="str">
        <f ca="1">IFERROR(__xludf.DUMMYFUNCTION("""COMPUTED_VALUE"""),"Buồng phòng")</f>
        <v>Buồng phòng</v>
      </c>
      <c r="P172" s="23"/>
      <c r="Q172" s="23" t="str">
        <f ca="1">IFERROR(__xludf.DUMMYFUNCTION("""COMPUTED_VALUE"""),"5/2/2025")</f>
        <v>5/2/2025</v>
      </c>
      <c r="R172" s="23" t="str">
        <f ca="1">IFERROR(__xludf.DUMMYFUNCTION("""COMPUTED_VALUE"""),"cam kết")</f>
        <v>cam kết</v>
      </c>
      <c r="S172" s="23" t="str">
        <f ca="1">IFERROR(__xludf.DUMMYFUNCTION("""COMPUTED_VALUE"""),"Chuyên đề")</f>
        <v>Chuyên đề</v>
      </c>
      <c r="T172" s="23" t="str">
        <f ca="1">IFERROR(__xludf.DUMMYFUNCTION("""COMPUTED_VALUE"""),"Mai Thị Thương")</f>
        <v>Mai Thị Thương</v>
      </c>
      <c r="U172" s="27">
        <f ca="1">IFERROR(__xludf.DUMMYFUNCTION("""COMPUTED_VALUE"""),45698)</f>
        <v>45698</v>
      </c>
      <c r="V172" s="27">
        <f ca="1">IFERROR(__xludf.DUMMYFUNCTION("""COMPUTED_VALUE"""),45787)</f>
        <v>45787</v>
      </c>
      <c r="W172" s="23">
        <f ca="1">IFERROR(__xludf.DUMMYFUNCTION("""COMPUTED_VALUE"""),171)</f>
        <v>171</v>
      </c>
      <c r="X172" s="28">
        <f ca="1">IFERROR(__xludf.DUMMYFUNCTION("""COMPUTED_VALUE"""),45810)</f>
        <v>45810</v>
      </c>
      <c r="Y172" s="23" t="str">
        <f ca="1">IFERROR(__xludf.DUMMYFUNCTION("""COMPUTED_VALUE"""),"DUYỆT")</f>
        <v>DUYỆT</v>
      </c>
      <c r="Z172" s="28">
        <f ca="1">IFERROR(__xludf.DUMMYFUNCTION("""COMPUTED_VALUE"""),45779)</f>
        <v>45779</v>
      </c>
      <c r="AA172" s="23" t="str">
        <f ca="1">IFERROR(__xludf.DUMMYFUNCTION("""COMPUTED_VALUE"""),"Da Nang Mikazuki Japanese Resorts &amp; Spa")</f>
        <v>Da Nang Mikazuki Japanese Resorts &amp; Spa</v>
      </c>
      <c r="AB172" s="23" t="str">
        <f ca="1">IFERROR(__xludf.DUMMYFUNCTION("""COMPUTED_VALUE"""),"Buồng phòng")</f>
        <v>Buồng phòng</v>
      </c>
      <c r="AC172" s="23"/>
      <c r="AD172" s="23"/>
      <c r="AE172" s="23" t="str">
        <f ca="1">IFERROR(__xludf.DUMMYFUNCTION("""COMPUTED_VALUE"""),"")</f>
        <v/>
      </c>
      <c r="AF172" s="23" t="str">
        <f ca="1">IFERROR(__xludf.DUMMYFUNCTION("""COMPUTED_VALUE"""),"CHUYÊN ĐỀ")</f>
        <v>CHUYÊN ĐỀ</v>
      </c>
      <c r="AG172" s="23" t="str">
        <f ca="1">IFERROR(__xludf.DUMMYFUNCTION("""COMPUTED_VALUE"""),"Phạm Thị Thu Thủy")</f>
        <v>Phạm Thị Thu Thủy</v>
      </c>
    </row>
    <row r="173" spans="1:33" ht="12.75" x14ac:dyDescent="0.2">
      <c r="A173" s="26">
        <f ca="1">IFERROR(__xludf.DUMMYFUNCTION("""COMPUTED_VALUE"""),45693.9208131944)</f>
        <v>45693.920813194403</v>
      </c>
      <c r="B173" s="23" t="str">
        <f ca="1">IFERROR(__xludf.DUMMYFUNCTION("""COMPUTED_VALUE"""),"leyennhi3333@gmail.com")</f>
        <v>leyennhi3333@gmail.com</v>
      </c>
      <c r="C173" s="23">
        <f ca="1">IFERROR(__xludf.DUMMYFUNCTION("""COMPUTED_VALUE"""),27207147400)</f>
        <v>27207147400</v>
      </c>
      <c r="D173" s="23" t="str">
        <f ca="1">IFERROR(__xludf.DUMMYFUNCTION("""COMPUTED_VALUE"""),"Lê Thị Yến Nhi")</f>
        <v>Lê Thị Yến Nhi</v>
      </c>
      <c r="E173" s="27">
        <f ca="1">IFERROR(__xludf.DUMMYFUNCTION("""COMPUTED_VALUE"""),37645)</f>
        <v>37645</v>
      </c>
      <c r="F173" s="23" t="str">
        <f ca="1">IFERROR(__xludf.DUMMYFUNCTION("""COMPUTED_VALUE"""),"K27DLK6")</f>
        <v>K27DLK6</v>
      </c>
      <c r="G173" s="23" t="str">
        <f ca="1">IFERROR(__xludf.DUMMYFUNCTION("""COMPUTED_VALUE"""),"Quản trị Du lịch &amp; Khách sạn")</f>
        <v>Quản trị Du lịch &amp; Khách sạn</v>
      </c>
      <c r="H173" s="23">
        <f ca="1">IFERROR(__xludf.DUMMYFUNCTION("""COMPUTED_VALUE"""),27)</f>
        <v>27</v>
      </c>
      <c r="I173" s="23" t="str">
        <f ca="1">IFERROR(__xludf.DUMMYFUNCTION("""COMPUTED_VALUE"""),"0396095413")</f>
        <v>0396095413</v>
      </c>
      <c r="J173" s="23" t="str">
        <f ca="1">IFERROR(__xludf.DUMMYFUNCTION("""COMPUTED_VALUE"""),"Chuyên đề")</f>
        <v>Chuyên đề</v>
      </c>
      <c r="K173" s="23" t="str">
        <f ca="1">IFERROR(__xludf.DUMMYFUNCTION("""COMPUTED_VALUE"""),"Radisson Hotel Danang")</f>
        <v>Radisson Hotel Danang</v>
      </c>
      <c r="L173" s="23" t="str">
        <f ca="1">IFERROR(__xludf.DUMMYFUNCTION("""COMPUTED_VALUE"""),"Radisson Hotel Danang")</f>
        <v>Radisson Hotel Danang</v>
      </c>
      <c r="M173" s="23" t="str">
        <f ca="1">IFERROR(__xludf.DUMMYFUNCTION("""COMPUTED_VALUE"""),"170 Võ Nguyên Giáp")</f>
        <v>170 Võ Nguyên Giáp</v>
      </c>
      <c r="N173" s="23" t="str">
        <f ca="1">IFERROR(__xludf.DUMMYFUNCTION("""COMPUTED_VALUE"""),"Đà Nẵng")</f>
        <v>Đà Nẵng</v>
      </c>
      <c r="O173" s="23" t="str">
        <f ca="1">IFERROR(__xludf.DUMMYFUNCTION("""COMPUTED_VALUE"""),"Nhà hàng")</f>
        <v>Nhà hàng</v>
      </c>
      <c r="P173" s="23"/>
      <c r="Q173" s="23" t="str">
        <f ca="1">IFERROR(__xludf.DUMMYFUNCTION("""COMPUTED_VALUE"""),"5/2/2025")</f>
        <v>5/2/2025</v>
      </c>
      <c r="R173" s="23" t="str">
        <f ca="1">IFERROR(__xludf.DUMMYFUNCTION("""COMPUTED_VALUE"""),"cam kết")</f>
        <v>cam kết</v>
      </c>
      <c r="S173" s="23" t="str">
        <f ca="1">IFERROR(__xludf.DUMMYFUNCTION("""COMPUTED_VALUE"""),"Chuyên đề")</f>
        <v>Chuyên đề</v>
      </c>
      <c r="T173" s="23"/>
      <c r="U173" s="27">
        <f ca="1">IFERROR(__xludf.DUMMYFUNCTION("""COMPUTED_VALUE"""),45698)</f>
        <v>45698</v>
      </c>
      <c r="V173" s="27">
        <f ca="1">IFERROR(__xludf.DUMMYFUNCTION("""COMPUTED_VALUE"""),45787)</f>
        <v>45787</v>
      </c>
      <c r="W173" s="23">
        <f ca="1">IFERROR(__xludf.DUMMYFUNCTION("""COMPUTED_VALUE"""),172)</f>
        <v>172</v>
      </c>
      <c r="X173" s="28">
        <f ca="1">IFERROR(__xludf.DUMMYFUNCTION("""COMPUTED_VALUE"""),45810)</f>
        <v>45810</v>
      </c>
      <c r="Y173" s="23" t="str">
        <f ca="1">IFERROR(__xludf.DUMMYFUNCTION("""COMPUTED_VALUE"""),"DUYỆT")</f>
        <v>DUYỆT</v>
      </c>
      <c r="Z173" s="28">
        <f ca="1">IFERROR(__xludf.DUMMYFUNCTION("""COMPUTED_VALUE"""),45810)</f>
        <v>45810</v>
      </c>
      <c r="AA173" s="23" t="str">
        <f ca="1">IFERROR(__xludf.DUMMYFUNCTION("""COMPUTED_VALUE"""),"Radisson Hotel Danang")</f>
        <v>Radisson Hotel Danang</v>
      </c>
      <c r="AB173" s="23" t="str">
        <f ca="1">IFERROR(__xludf.DUMMYFUNCTION("""COMPUTED_VALUE"""),"Nhà hàng")</f>
        <v>Nhà hàng</v>
      </c>
      <c r="AC173" s="23"/>
      <c r="AD173" s="23"/>
      <c r="AE173" s="23" t="str">
        <f ca="1">IFERROR(__xludf.DUMMYFUNCTION("""COMPUTED_VALUE"""),"")</f>
        <v/>
      </c>
      <c r="AF173" s="23" t="str">
        <f ca="1">IFERROR(__xludf.DUMMYFUNCTION("""COMPUTED_VALUE"""),"CHUYÊN ĐỀ")</f>
        <v>CHUYÊN ĐỀ</v>
      </c>
      <c r="AG173" s="23" t="str">
        <f ca="1">IFERROR(__xludf.DUMMYFUNCTION("""COMPUTED_VALUE"""),"Trần Thị Mỹ Linh")</f>
        <v>Trần Thị Mỹ Linh</v>
      </c>
    </row>
    <row r="174" spans="1:33" ht="12.75" x14ac:dyDescent="0.2">
      <c r="A174" s="26">
        <f ca="1">IFERROR(__xludf.DUMMYFUNCTION("""COMPUTED_VALUE"""),45693.9208186458)</f>
        <v>45693.920818645798</v>
      </c>
      <c r="B174" s="23" t="str">
        <f ca="1">IFERROR(__xludf.DUMMYFUNCTION("""COMPUTED_VALUE"""),"trungtran85200@gmail.com")</f>
        <v>trungtran85200@gmail.com</v>
      </c>
      <c r="C174" s="23">
        <f ca="1">IFERROR(__xludf.DUMMYFUNCTION("""COMPUTED_VALUE"""),27217123680)</f>
        <v>27217123680</v>
      </c>
      <c r="D174" s="23" t="str">
        <f ca="1">IFERROR(__xludf.DUMMYFUNCTION("""COMPUTED_VALUE"""),"Trần hữu chung")</f>
        <v>Trần hữu chung</v>
      </c>
      <c r="E174" s="27">
        <f ca="1">IFERROR(__xludf.DUMMYFUNCTION("""COMPUTED_VALUE"""),37971)</f>
        <v>37971</v>
      </c>
      <c r="F174" s="23" t="str">
        <f ca="1">IFERROR(__xludf.DUMMYFUNCTION("""COMPUTED_VALUE"""),"K27DLK 5")</f>
        <v>K27DLK 5</v>
      </c>
      <c r="G174" s="23" t="str">
        <f ca="1">IFERROR(__xludf.DUMMYFUNCTION("""COMPUTED_VALUE"""),"Quản trị Du lịch &amp; Khách sạn")</f>
        <v>Quản trị Du lịch &amp; Khách sạn</v>
      </c>
      <c r="H174" s="23">
        <f ca="1">IFERROR(__xludf.DUMMYFUNCTION("""COMPUTED_VALUE"""),27)</f>
        <v>27</v>
      </c>
      <c r="I174" s="23" t="str">
        <f ca="1">IFERROR(__xludf.DUMMYFUNCTION("""COMPUTED_VALUE"""),"0356485200")</f>
        <v>0356485200</v>
      </c>
      <c r="J174" s="23" t="str">
        <f ca="1">IFERROR(__xludf.DUMMYFUNCTION("""COMPUTED_VALUE"""),"Chuyên đề")</f>
        <v>Chuyên đề</v>
      </c>
      <c r="K174" s="23" t="str">
        <f ca="1">IFERROR(__xludf.DUMMYFUNCTION("""COMPUTED_VALUE"""),"Radisson hotel danang")</f>
        <v>Radisson hotel danang</v>
      </c>
      <c r="L174" s="23" t="str">
        <f ca="1">IFERROR(__xludf.DUMMYFUNCTION("""COMPUTED_VALUE"""),"Radisson hotel danang")</f>
        <v>Radisson hotel danang</v>
      </c>
      <c r="M174" s="23" t="str">
        <f ca="1">IFERROR(__xludf.DUMMYFUNCTION("""COMPUTED_VALUE"""),"170 Võ Nguyên Giáp")</f>
        <v>170 Võ Nguyên Giáp</v>
      </c>
      <c r="N174" s="23" t="str">
        <f ca="1">IFERROR(__xludf.DUMMYFUNCTION("""COMPUTED_VALUE"""),"Đà Nẵng")</f>
        <v>Đà Nẵng</v>
      </c>
      <c r="O174" s="23" t="str">
        <f ca="1">IFERROR(__xludf.DUMMYFUNCTION("""COMPUTED_VALUE"""),"Nhà hàng")</f>
        <v>Nhà hàng</v>
      </c>
      <c r="P174" s="23"/>
      <c r="Q174" s="23" t="str">
        <f ca="1">IFERROR(__xludf.DUMMYFUNCTION("""COMPUTED_VALUE"""),"5/2/2025")</f>
        <v>5/2/2025</v>
      </c>
      <c r="R174" s="23" t="str">
        <f ca="1">IFERROR(__xludf.DUMMYFUNCTION("""COMPUTED_VALUE"""),"cam kết")</f>
        <v>cam kết</v>
      </c>
      <c r="S174" s="23" t="str">
        <f ca="1">IFERROR(__xludf.DUMMYFUNCTION("""COMPUTED_VALUE"""),"Chuyên đề")</f>
        <v>Chuyên đề</v>
      </c>
      <c r="T174" s="23"/>
      <c r="U174" s="27">
        <f ca="1">IFERROR(__xludf.DUMMYFUNCTION("""COMPUTED_VALUE"""),45698)</f>
        <v>45698</v>
      </c>
      <c r="V174" s="27">
        <f ca="1">IFERROR(__xludf.DUMMYFUNCTION("""COMPUTED_VALUE"""),45787)</f>
        <v>45787</v>
      </c>
      <c r="W174" s="23">
        <f ca="1">IFERROR(__xludf.DUMMYFUNCTION("""COMPUTED_VALUE"""),173)</f>
        <v>173</v>
      </c>
      <c r="X174" s="28">
        <f ca="1">IFERROR(__xludf.DUMMYFUNCTION("""COMPUTED_VALUE"""),45810)</f>
        <v>45810</v>
      </c>
      <c r="Y174" s="23" t="str">
        <f ca="1">IFERROR(__xludf.DUMMYFUNCTION("""COMPUTED_VALUE"""),"DUYỆT")</f>
        <v>DUYỆT</v>
      </c>
      <c r="Z174" s="28">
        <f ca="1">IFERROR(__xludf.DUMMYFUNCTION("""COMPUTED_VALUE"""),45810)</f>
        <v>45810</v>
      </c>
      <c r="AA174" s="23" t="str">
        <f ca="1">IFERROR(__xludf.DUMMYFUNCTION("""COMPUTED_VALUE"""),"Radisson hotel danang")</f>
        <v>Radisson hotel danang</v>
      </c>
      <c r="AB174" s="23" t="str">
        <f ca="1">IFERROR(__xludf.DUMMYFUNCTION("""COMPUTED_VALUE"""),"Nhà hàng")</f>
        <v>Nhà hàng</v>
      </c>
      <c r="AC174" s="23"/>
      <c r="AD174" s="23"/>
      <c r="AE174" s="23" t="str">
        <f ca="1">IFERROR(__xludf.DUMMYFUNCTION("""COMPUTED_VALUE"""),"")</f>
        <v/>
      </c>
      <c r="AF174" s="23" t="str">
        <f ca="1">IFERROR(__xludf.DUMMYFUNCTION("""COMPUTED_VALUE"""),"CHUYÊN ĐỀ")</f>
        <v>CHUYÊN ĐỀ</v>
      </c>
      <c r="AG174" s="23" t="str">
        <f ca="1">IFERROR(__xludf.DUMMYFUNCTION("""COMPUTED_VALUE"""),"Trần Thị Mỹ Linh")</f>
        <v>Trần Thị Mỹ Linh</v>
      </c>
    </row>
    <row r="175" spans="1:33" ht="12.75" x14ac:dyDescent="0.2">
      <c r="A175" s="26">
        <f ca="1">IFERROR(__xludf.DUMMYFUNCTION("""COMPUTED_VALUE"""),45708.7020785879)</f>
        <v>45708.702078587899</v>
      </c>
      <c r="B175" s="23" t="str">
        <f ca="1">IFERROR(__xludf.DUMMYFUNCTION("""COMPUTED_VALUE"""),"nmy11.4m@gmail.com")</f>
        <v>nmy11.4m@gmail.com</v>
      </c>
      <c r="C175" s="23">
        <f ca="1">IFERROR(__xludf.DUMMYFUNCTION("""COMPUTED_VALUE"""),24207108486)</f>
        <v>24207108486</v>
      </c>
      <c r="D175" s="23" t="str">
        <f ca="1">IFERROR(__xludf.DUMMYFUNCTION("""COMPUTED_VALUE"""),"Nguyễn Thị Thùy Dương")</f>
        <v>Nguyễn Thị Thùy Dương</v>
      </c>
      <c r="E175" s="27">
        <f ca="1">IFERROR(__xludf.DUMMYFUNCTION("""COMPUTED_VALUE"""),36627)</f>
        <v>36627</v>
      </c>
      <c r="F175" s="23" t="str">
        <f ca="1">IFERROR(__xludf.DUMMYFUNCTION("""COMPUTED_VALUE"""),"K25DLK15")</f>
        <v>K25DLK15</v>
      </c>
      <c r="G175" s="23" t="str">
        <f ca="1">IFERROR(__xludf.DUMMYFUNCTION("""COMPUTED_VALUE"""),"Quản trị Du lịch &amp; Khách sạn chuẩn PSU")</f>
        <v>Quản trị Du lịch &amp; Khách sạn chuẩn PSU</v>
      </c>
      <c r="H175" s="23">
        <f ca="1">IFERROR(__xludf.DUMMYFUNCTION("""COMPUTED_VALUE"""),25)</f>
        <v>25</v>
      </c>
      <c r="I175" s="23" t="str">
        <f ca="1">IFERROR(__xludf.DUMMYFUNCTION("""COMPUTED_VALUE"""),"0373114140")</f>
        <v>0373114140</v>
      </c>
      <c r="J175" s="23" t="str">
        <f ca="1">IFERROR(__xludf.DUMMYFUNCTION("""COMPUTED_VALUE"""),"Chuyên đề")</f>
        <v>Chuyên đề</v>
      </c>
      <c r="K175" s="23" t="str">
        <f ca="1">IFERROR(__xludf.DUMMYFUNCTION("""COMPUTED_VALUE"""),"Bà Nà Hills")</f>
        <v>Bà Nà Hills</v>
      </c>
      <c r="L175" s="23" t="str">
        <f ca="1">IFERROR(__xludf.DUMMYFUNCTION("""COMPUTED_VALUE"""),"Bà Nà Hills")</f>
        <v>Bà Nà Hills</v>
      </c>
      <c r="M175" s="23" t="str">
        <f ca="1">IFERROR(__xludf.DUMMYFUNCTION("""COMPUTED_VALUE"""),"Xã Hòa Ninh, Huyện Hòa Vang, Thành phố Đà Nẵng, Việt Nam")</f>
        <v>Xã Hòa Ninh, Huyện Hòa Vang, Thành phố Đà Nẵng, Việt Nam</v>
      </c>
      <c r="N175" s="23" t="str">
        <f ca="1">IFERROR(__xludf.DUMMYFUNCTION("""COMPUTED_VALUE"""),"Đà Nẵng ")</f>
        <v xml:space="preserve">Đà Nẵng </v>
      </c>
      <c r="O175" s="23" t="str">
        <f ca="1">IFERROR(__xludf.DUMMYFUNCTION("""COMPUTED_VALUE"""),"Giải trí")</f>
        <v>Giải trí</v>
      </c>
      <c r="P175" s="23" t="str">
        <f ca="1">IFERROR(__xludf.DUMMYFUNCTION("""COMPUTED_VALUE"""),"Giải trí")</f>
        <v>Giải trí</v>
      </c>
      <c r="Q175" s="23" t="str">
        <f ca="1">IFERROR(__xludf.DUMMYFUNCTION("""COMPUTED_VALUE"""),"7/02/2025")</f>
        <v>7/02/2025</v>
      </c>
      <c r="R175" s="23" t="str">
        <f ca="1">IFERROR(__xludf.DUMMYFUNCTION("""COMPUTED_VALUE"""),"cam kết")</f>
        <v>cam kết</v>
      </c>
      <c r="S175" s="23" t="str">
        <f ca="1">IFERROR(__xludf.DUMMYFUNCTION("""COMPUTED_VALUE"""),"Chuyên đề")</f>
        <v>Chuyên đề</v>
      </c>
      <c r="T175" s="23" t="str">
        <f ca="1">IFERROR(__xludf.DUMMYFUNCTION("""COMPUTED_VALUE"""),"Hồ Sử Minh Tài")</f>
        <v>Hồ Sử Minh Tài</v>
      </c>
      <c r="U175" s="27">
        <f ca="1">IFERROR(__xludf.DUMMYFUNCTION("""COMPUTED_VALUE"""),45672)</f>
        <v>45672</v>
      </c>
      <c r="V175" s="27">
        <f ca="1">IFERROR(__xludf.DUMMYFUNCTION("""COMPUTED_VALUE"""),45762)</f>
        <v>45762</v>
      </c>
      <c r="W175" s="23">
        <f ca="1">IFERROR(__xludf.DUMMYFUNCTION("""COMPUTED_VALUE"""),174)</f>
        <v>174</v>
      </c>
      <c r="X175" s="23"/>
      <c r="Y175" s="23" t="str">
        <f ca="1">IFERROR(__xludf.DUMMYFUNCTION("""COMPUTED_VALUE"""),"DUYỆT")</f>
        <v>DUYỆT</v>
      </c>
      <c r="Z175" s="23" t="str">
        <f ca="1">IFERROR(__xludf.DUMMYFUNCTION("""COMPUTED_VALUE"""),"21/02/2025")</f>
        <v>21/02/2025</v>
      </c>
      <c r="AA175" s="23" t="str">
        <f ca="1">IFERROR(__xludf.DUMMYFUNCTION("""COMPUTED_VALUE"""),"Ba Na Hills")</f>
        <v>Ba Na Hills</v>
      </c>
      <c r="AB175" s="23" t="str">
        <f ca="1">IFERROR(__xludf.DUMMYFUNCTION("""COMPUTED_VALUE"""),"Giải trí")</f>
        <v>Giải trí</v>
      </c>
      <c r="AC175" s="23" t="str">
        <f ca="1">IFERROR(__xludf.DUMMYFUNCTION("""COMPUTED_VALUE"""),"ĐÃ NỘP")</f>
        <v>ĐÃ NỘP</v>
      </c>
      <c r="AD175" s="23"/>
      <c r="AE175" s="23" t="str">
        <f ca="1">IFERROR(__xludf.DUMMYFUNCTION("""COMPUTED_VALUE"""),"")</f>
        <v/>
      </c>
      <c r="AF175" s="23" t="str">
        <f ca="1">IFERROR(__xludf.DUMMYFUNCTION("""COMPUTED_VALUE"""),"CHUYÊN ĐỀ")</f>
        <v>CHUYÊN ĐỀ</v>
      </c>
      <c r="AG175" s="23" t="str">
        <f ca="1">IFERROR(__xludf.DUMMYFUNCTION("""COMPUTED_VALUE"""),"Ngô Thị Thanh Nga")</f>
        <v>Ngô Thị Thanh Nga</v>
      </c>
    </row>
    <row r="176" spans="1:33" ht="12.75" x14ac:dyDescent="0.2">
      <c r="A176" s="26">
        <f ca="1">IFERROR(__xludf.DUMMYFUNCTION("""COMPUTED_VALUE"""),45694.3791206828)</f>
        <v>45694.379120682803</v>
      </c>
      <c r="B176" s="23" t="str">
        <f ca="1">IFERROR(__xludf.DUMMYFUNCTION("""COMPUTED_VALUE"""),"truongthanhlong1809@gmail.com")</f>
        <v>truongthanhlong1809@gmail.com</v>
      </c>
      <c r="C176" s="23">
        <f ca="1">IFERROR(__xludf.DUMMYFUNCTION("""COMPUTED_VALUE"""),26211031383)</f>
        <v>26211031383</v>
      </c>
      <c r="D176" s="23" t="str">
        <f ca="1">IFERROR(__xludf.DUMMYFUNCTION("""COMPUTED_VALUE"""),"TRƯƠNG THÀNH LONG")</f>
        <v>TRƯƠNG THÀNH LONG</v>
      </c>
      <c r="E176" s="27">
        <f ca="1">IFERROR(__xludf.DUMMYFUNCTION("""COMPUTED_VALUE"""),37152)</f>
        <v>37152</v>
      </c>
      <c r="F176" s="23" t="str">
        <f ca="1">IFERROR(__xludf.DUMMYFUNCTION("""COMPUTED_VALUE"""),"K26DLK3")</f>
        <v>K26DLK3</v>
      </c>
      <c r="G176" s="23" t="str">
        <f ca="1">IFERROR(__xludf.DUMMYFUNCTION("""COMPUTED_VALUE"""),"Quản trị Du lịch &amp; Khách sạn")</f>
        <v>Quản trị Du lịch &amp; Khách sạn</v>
      </c>
      <c r="H176" s="23">
        <f ca="1">IFERROR(__xludf.DUMMYFUNCTION("""COMPUTED_VALUE"""),26)</f>
        <v>26</v>
      </c>
      <c r="I176" s="23" t="str">
        <f ca="1">IFERROR(__xludf.DUMMYFUNCTION("""COMPUTED_VALUE"""),"0522863461")</f>
        <v>0522863461</v>
      </c>
      <c r="J176" s="23" t="str">
        <f ca="1">IFERROR(__xludf.DUMMYFUNCTION("""COMPUTED_VALUE"""),"Chuyên đề")</f>
        <v>Chuyên đề</v>
      </c>
      <c r="K176" s="23" t="str">
        <f ca="1">IFERROR(__xludf.DUMMYFUNCTION("""COMPUTED_VALUE"""),"Crowne Plaza Danang")</f>
        <v>Crowne Plaza Danang</v>
      </c>
      <c r="L176" s="23"/>
      <c r="M176" s="23" t="str">
        <f ca="1">IFERROR(__xludf.DUMMYFUNCTION("""COMPUTED_VALUE"""),"08 võ nguyên giáp ")</f>
        <v xml:space="preserve">08 võ nguyên giáp </v>
      </c>
      <c r="N176" s="23" t="str">
        <f ca="1">IFERROR(__xludf.DUMMYFUNCTION("""COMPUTED_VALUE"""),"Đà Nẵng ")</f>
        <v xml:space="preserve">Đà Nẵng </v>
      </c>
      <c r="O176" s="23" t="str">
        <f ca="1">IFERROR(__xludf.DUMMYFUNCTION("""COMPUTED_VALUE"""),"Nhà hàng")</f>
        <v>Nhà hàng</v>
      </c>
      <c r="P176" s="23"/>
      <c r="Q176" s="23" t="str">
        <f ca="1">IFERROR(__xludf.DUMMYFUNCTION("""COMPUTED_VALUE"""),"6/2")</f>
        <v>6/2</v>
      </c>
      <c r="R176" s="23" t="str">
        <f ca="1">IFERROR(__xludf.DUMMYFUNCTION("""COMPUTED_VALUE"""),"cam kết")</f>
        <v>cam kết</v>
      </c>
      <c r="S176" s="23" t="str">
        <f ca="1">IFERROR(__xludf.DUMMYFUNCTION("""COMPUTED_VALUE"""),"Chuyên đề")</f>
        <v>Chuyên đề</v>
      </c>
      <c r="T176" s="23"/>
      <c r="U176" s="27">
        <f ca="1">IFERROR(__xludf.DUMMYFUNCTION("""COMPUTED_VALUE"""),45677)</f>
        <v>45677</v>
      </c>
      <c r="V176" s="27">
        <f ca="1">IFERROR(__xludf.DUMMYFUNCTION("""COMPUTED_VALUE"""),45753)</f>
        <v>45753</v>
      </c>
      <c r="W176" s="23">
        <f ca="1">IFERROR(__xludf.DUMMYFUNCTION("""COMPUTED_VALUE"""),175)</f>
        <v>175</v>
      </c>
      <c r="X176" s="23"/>
      <c r="Y176" s="23" t="str">
        <f ca="1">IFERROR(__xludf.DUMMYFUNCTION("""COMPUTED_VALUE"""),"DUYỆT")</f>
        <v>DUYỆT</v>
      </c>
      <c r="Z176" s="28">
        <f ca="1">IFERROR(__xludf.DUMMYFUNCTION("""COMPUTED_VALUE"""),45840)</f>
        <v>45840</v>
      </c>
      <c r="AA176" s="23" t="str">
        <f ca="1">IFERROR(__xludf.DUMMYFUNCTION("""COMPUTED_VALUE"""),"Crowne Plaza Danang")</f>
        <v>Crowne Plaza Danang</v>
      </c>
      <c r="AB176" s="23" t="str">
        <f ca="1">IFERROR(__xludf.DUMMYFUNCTION("""COMPUTED_VALUE"""),"Nhà hàng")</f>
        <v>Nhà hàng</v>
      </c>
      <c r="AC176" s="23" t="str">
        <f ca="1">IFERROR(__xludf.DUMMYFUNCTION("""COMPUTED_VALUE"""),"ĐÃ NỘP")</f>
        <v>ĐÃ NỘP</v>
      </c>
      <c r="AD176" s="23"/>
      <c r="AE176" s="23" t="str">
        <f ca="1">IFERROR(__xludf.DUMMYFUNCTION("""COMPUTED_VALUE"""),"")</f>
        <v/>
      </c>
      <c r="AF176" s="23" t="str">
        <f ca="1">IFERROR(__xludf.DUMMYFUNCTION("""COMPUTED_VALUE"""),"CHUYÊN ĐỀ")</f>
        <v>CHUYÊN ĐỀ</v>
      </c>
      <c r="AG176" s="23" t="str">
        <f ca="1">IFERROR(__xludf.DUMMYFUNCTION("""COMPUTED_VALUE"""),"Phạm Thị Thu Thủy")</f>
        <v>Phạm Thị Thu Thủy</v>
      </c>
    </row>
    <row r="177" spans="1:33" ht="12.75" x14ac:dyDescent="0.2">
      <c r="A177" s="26">
        <f ca="1">IFERROR(__xludf.DUMMYFUNCTION("""COMPUTED_VALUE"""),45694.4756897916)</f>
        <v>45694.475689791601</v>
      </c>
      <c r="B177" s="23" t="str">
        <f ca="1">IFERROR(__xludf.DUMMYFUNCTION("""COMPUTED_VALUE"""),"qto19082002@gmail.com")</f>
        <v>qto19082002@gmail.com</v>
      </c>
      <c r="C177" s="23">
        <f ca="1">IFERROR(__xludf.DUMMYFUNCTION("""COMPUTED_VALUE"""),26207142679)</f>
        <v>26207142679</v>
      </c>
      <c r="D177" s="23" t="str">
        <f ca="1">IFERROR(__xludf.DUMMYFUNCTION("""COMPUTED_VALUE"""),"Lê Trà Tố Quyên")</f>
        <v>Lê Trà Tố Quyên</v>
      </c>
      <c r="E177" s="27">
        <f ca="1">IFERROR(__xludf.DUMMYFUNCTION("""COMPUTED_VALUE"""),37487)</f>
        <v>37487</v>
      </c>
      <c r="F177" s="23" t="str">
        <f ca="1">IFERROR(__xludf.DUMMYFUNCTION("""COMPUTED_VALUE"""),"K26DLK 15")</f>
        <v>K26DLK 15</v>
      </c>
      <c r="G177" s="23" t="str">
        <f ca="1">IFERROR(__xludf.DUMMYFUNCTION("""COMPUTED_VALUE"""),"Quản trị Du lịch &amp; Khách sạn")</f>
        <v>Quản trị Du lịch &amp; Khách sạn</v>
      </c>
      <c r="H177" s="23">
        <f ca="1">IFERROR(__xludf.DUMMYFUNCTION("""COMPUTED_VALUE"""),26)</f>
        <v>26</v>
      </c>
      <c r="I177" s="23" t="str">
        <f ca="1">IFERROR(__xludf.DUMMYFUNCTION("""COMPUTED_VALUE"""),"0704644610")</f>
        <v>0704644610</v>
      </c>
      <c r="J177" s="23" t="str">
        <f ca="1">IFERROR(__xludf.DUMMYFUNCTION("""COMPUTED_VALUE"""),"Chuyên đề")</f>
        <v>Chuyên đề</v>
      </c>
      <c r="K177" s="23" t="str">
        <f ca="1">IFERROR(__xludf.DUMMYFUNCTION("""COMPUTED_VALUE"""),"Ussina Sky 77- Aging Beef &amp; Bar")</f>
        <v>Ussina Sky 77- Aging Beef &amp; Bar</v>
      </c>
      <c r="L177" s="23" t="str">
        <f ca="1">IFERROR(__xludf.DUMMYFUNCTION("""COMPUTED_VALUE"""),"Ussina Sky 77- Aging Beef &amp; Bar")</f>
        <v>Ussina Sky 77- Aging Beef &amp; Bar</v>
      </c>
      <c r="M177" s="23" t="str">
        <f ca="1">IFERROR(__xludf.DUMMYFUNCTION("""COMPUTED_VALUE"""),"Tầng 77- tòa Landmark 81, 720A Điện Biên Phủ, phường 22, Bình Thạnh, TP. Hồ Chí Minh")</f>
        <v>Tầng 77- tòa Landmark 81, 720A Điện Biên Phủ, phường 22, Bình Thạnh, TP. Hồ Chí Minh</v>
      </c>
      <c r="N177" s="23" t="str">
        <f ca="1">IFERROR(__xludf.DUMMYFUNCTION("""COMPUTED_VALUE"""),"Thành phố Hồ Chí Minh")</f>
        <v>Thành phố Hồ Chí Minh</v>
      </c>
      <c r="O177" s="23" t="str">
        <f ca="1">IFERROR(__xludf.DUMMYFUNCTION("""COMPUTED_VALUE"""),"Nhà hàng")</f>
        <v>Nhà hàng</v>
      </c>
      <c r="P177" s="23"/>
      <c r="Q177" s="23" t="str">
        <f ca="1">IFERROR(__xludf.DUMMYFUNCTION("""COMPUTED_VALUE"""),"06/02/2025")</f>
        <v>06/02/2025</v>
      </c>
      <c r="R177" s="23" t="str">
        <f ca="1">IFERROR(__xludf.DUMMYFUNCTION("""COMPUTED_VALUE"""),"cam kết")</f>
        <v>cam kết</v>
      </c>
      <c r="S177" s="23" t="str">
        <f ca="1">IFERROR(__xludf.DUMMYFUNCTION("""COMPUTED_VALUE"""),"Chuyên đề")</f>
        <v>Chuyên đề</v>
      </c>
      <c r="T177" s="23"/>
      <c r="U177" s="27">
        <f ca="1">IFERROR(__xludf.DUMMYFUNCTION("""COMPUTED_VALUE"""),45698)</f>
        <v>45698</v>
      </c>
      <c r="V177" s="27">
        <f ca="1">IFERROR(__xludf.DUMMYFUNCTION("""COMPUTED_VALUE"""),45787)</f>
        <v>45787</v>
      </c>
      <c r="W177" s="23">
        <f ca="1">IFERROR(__xludf.DUMMYFUNCTION("""COMPUTED_VALUE"""),176)</f>
        <v>176</v>
      </c>
      <c r="X177" s="28">
        <f ca="1">IFERROR(__xludf.DUMMYFUNCTION("""COMPUTED_VALUE"""),45963)</f>
        <v>45963</v>
      </c>
      <c r="Y177" s="23" t="str">
        <f ca="1">IFERROR(__xludf.DUMMYFUNCTION("""COMPUTED_VALUE"""),"DUYỆT")</f>
        <v>DUYỆT</v>
      </c>
      <c r="Z177" s="28">
        <f ca="1">IFERROR(__xludf.DUMMYFUNCTION("""COMPUTED_VALUE"""),45810)</f>
        <v>45810</v>
      </c>
      <c r="AA177" s="23" t="str">
        <f ca="1">IFERROR(__xludf.DUMMYFUNCTION("""COMPUTED_VALUE"""),"Ussina Sky 77- Aging Beef &amp; Bar")</f>
        <v>Ussina Sky 77- Aging Beef &amp; Bar</v>
      </c>
      <c r="AB177" s="23" t="str">
        <f ca="1">IFERROR(__xludf.DUMMYFUNCTION("""COMPUTED_VALUE"""),"Nhà hàng")</f>
        <v>Nhà hàng</v>
      </c>
      <c r="AC177" s="23" t="str">
        <f ca="1">IFERROR(__xludf.DUMMYFUNCTION("""COMPUTED_VALUE"""),"ĐÃ NỘP")</f>
        <v>ĐÃ NỘP</v>
      </c>
      <c r="AD177" s="23" t="str">
        <f ca="1">IFERROR(__xludf.DUMMYFUNCTION("""COMPUTED_VALUE"""),"đơn đã được trưởng khoa duyệt")</f>
        <v>đơn đã được trưởng khoa duyệt</v>
      </c>
      <c r="AE177" s="23" t="str">
        <f ca="1">IFERROR(__xludf.DUMMYFUNCTION("""COMPUTED_VALUE"""),"")</f>
        <v/>
      </c>
      <c r="AF177" s="23" t="str">
        <f ca="1">IFERROR(__xludf.DUMMYFUNCTION("""COMPUTED_VALUE"""),"CHUYÊN ĐỀ")</f>
        <v>CHUYÊN ĐỀ</v>
      </c>
      <c r="AG177" s="23" t="str">
        <f ca="1">IFERROR(__xludf.DUMMYFUNCTION("""COMPUTED_VALUE"""),"Huỳnh Lý Thùy Linh")</f>
        <v>Huỳnh Lý Thùy Linh</v>
      </c>
    </row>
    <row r="178" spans="1:33" ht="12.75" x14ac:dyDescent="0.2">
      <c r="A178" s="26">
        <f ca="1">IFERROR(__xludf.DUMMYFUNCTION("""COMPUTED_VALUE"""),45694.5498733564)</f>
        <v>45694.549873356402</v>
      </c>
      <c r="B178" s="23" t="str">
        <f ca="1">IFERROR(__xludf.DUMMYFUNCTION("""COMPUTED_VALUE"""),"ttri52278@gmail.com")</f>
        <v>ttri52278@gmail.com</v>
      </c>
      <c r="C178" s="23">
        <f ca="1">IFERROR(__xludf.DUMMYFUNCTION("""COMPUTED_VALUE"""),27217100378)</f>
        <v>27217100378</v>
      </c>
      <c r="D178" s="23" t="str">
        <f ca="1">IFERROR(__xludf.DUMMYFUNCTION("""COMPUTED_VALUE"""),"Trần Minh Trí")</f>
        <v>Trần Minh Trí</v>
      </c>
      <c r="E178" s="27">
        <f ca="1">IFERROR(__xludf.DUMMYFUNCTION("""COMPUTED_VALUE"""),37903)</f>
        <v>37903</v>
      </c>
      <c r="F178" s="23" t="str">
        <f ca="1">IFERROR(__xludf.DUMMYFUNCTION("""COMPUTED_VALUE"""),"K27DLK3")</f>
        <v>K27DLK3</v>
      </c>
      <c r="G178" s="23" t="str">
        <f ca="1">IFERROR(__xludf.DUMMYFUNCTION("""COMPUTED_VALUE"""),"Quản trị Du lịch &amp; Khách sạn")</f>
        <v>Quản trị Du lịch &amp; Khách sạn</v>
      </c>
      <c r="H178" s="23">
        <f ca="1">IFERROR(__xludf.DUMMYFUNCTION("""COMPUTED_VALUE"""),27)</f>
        <v>27</v>
      </c>
      <c r="I178" s="23" t="str">
        <f ca="1">IFERROR(__xludf.DUMMYFUNCTION("""COMPUTED_VALUE"""),"0914689322")</f>
        <v>0914689322</v>
      </c>
      <c r="J178" s="23" t="str">
        <f ca="1">IFERROR(__xludf.DUMMYFUNCTION("""COMPUTED_VALUE"""),"Chuyên đề")</f>
        <v>Chuyên đề</v>
      </c>
      <c r="K178" s="23" t="str">
        <f ca="1">IFERROR(__xludf.DUMMYFUNCTION("""COMPUTED_VALUE"""),"Khách sạn Hilton Đà Nẵng")</f>
        <v>Khách sạn Hilton Đà Nẵng</v>
      </c>
      <c r="L178" s="23"/>
      <c r="M178" s="23" t="str">
        <f ca="1">IFERROR(__xludf.DUMMYFUNCTION("""COMPUTED_VALUE"""),"50 Bạch Đằng")</f>
        <v>50 Bạch Đằng</v>
      </c>
      <c r="N178" s="23" t="str">
        <f ca="1">IFERROR(__xludf.DUMMYFUNCTION("""COMPUTED_VALUE"""),"Đà Nẵng")</f>
        <v>Đà Nẵng</v>
      </c>
      <c r="O178" s="23" t="str">
        <f ca="1">IFERROR(__xludf.DUMMYFUNCTION("""COMPUTED_VALUE"""),"Nhà hàng")</f>
        <v>Nhà hàng</v>
      </c>
      <c r="P178" s="23"/>
      <c r="Q178" s="23" t="str">
        <f ca="1">IFERROR(__xludf.DUMMYFUNCTION("""COMPUTED_VALUE"""),"06/02/2025")</f>
        <v>06/02/2025</v>
      </c>
      <c r="R178" s="23" t="str">
        <f ca="1">IFERROR(__xludf.DUMMYFUNCTION("""COMPUTED_VALUE"""),"cam kết")</f>
        <v>cam kết</v>
      </c>
      <c r="S178" s="23" t="str">
        <f ca="1">IFERROR(__xludf.DUMMYFUNCTION("""COMPUTED_VALUE"""),"Chuyên đề")</f>
        <v>Chuyên đề</v>
      </c>
      <c r="T178" s="23"/>
      <c r="U178" s="27">
        <f ca="1">IFERROR(__xludf.DUMMYFUNCTION("""COMPUTED_VALUE"""),45698)</f>
        <v>45698</v>
      </c>
      <c r="V178" s="27">
        <f ca="1">IFERROR(__xludf.DUMMYFUNCTION("""COMPUTED_VALUE"""),45787)</f>
        <v>45787</v>
      </c>
      <c r="W178" s="23">
        <f ca="1">IFERROR(__xludf.DUMMYFUNCTION("""COMPUTED_VALUE"""),177)</f>
        <v>177</v>
      </c>
      <c r="X178" s="28">
        <f ca="1">IFERROR(__xludf.DUMMYFUNCTION("""COMPUTED_VALUE"""),45840)</f>
        <v>45840</v>
      </c>
      <c r="Y178" s="23" t="str">
        <f ca="1">IFERROR(__xludf.DUMMYFUNCTION("""COMPUTED_VALUE"""),"DUYỆT")</f>
        <v>DUYỆT</v>
      </c>
      <c r="Z178" s="28">
        <f ca="1">IFERROR(__xludf.DUMMYFUNCTION("""COMPUTED_VALUE"""),45810)</f>
        <v>45810</v>
      </c>
      <c r="AA178" s="23" t="str">
        <f ca="1">IFERROR(__xludf.DUMMYFUNCTION("""COMPUTED_VALUE"""),"Khách sạn Hilton Đà Nẵng")</f>
        <v>Khách sạn Hilton Đà Nẵng</v>
      </c>
      <c r="AB178" s="23" t="str">
        <f ca="1">IFERROR(__xludf.DUMMYFUNCTION("""COMPUTED_VALUE"""),"Nhà hàng")</f>
        <v>Nhà hàng</v>
      </c>
      <c r="AC178" s="23"/>
      <c r="AD178" s="23"/>
      <c r="AE178" s="23" t="str">
        <f ca="1">IFERROR(__xludf.DUMMYFUNCTION("""COMPUTED_VALUE"""),"")</f>
        <v/>
      </c>
      <c r="AF178" s="23" t="str">
        <f ca="1">IFERROR(__xludf.DUMMYFUNCTION("""COMPUTED_VALUE"""),"CHUYÊN ĐỀ")</f>
        <v>CHUYÊN ĐỀ</v>
      </c>
      <c r="AG178" s="23" t="str">
        <f ca="1">IFERROR(__xludf.DUMMYFUNCTION("""COMPUTED_VALUE"""),"Nguyễn Thị Minh Thư")</f>
        <v>Nguyễn Thị Minh Thư</v>
      </c>
    </row>
    <row r="179" spans="1:33" ht="12.75" x14ac:dyDescent="0.2">
      <c r="A179" s="26">
        <f ca="1">IFERROR(__xludf.DUMMYFUNCTION("""COMPUTED_VALUE"""),45694.6055345949)</f>
        <v>45694.605534594899</v>
      </c>
      <c r="B179" s="23" t="str">
        <f ca="1">IFERROR(__xludf.DUMMYFUNCTION("""COMPUTED_VALUE"""),"hoangxuanphuoc6@gmail.com")</f>
        <v>hoangxuanphuoc6@gmail.com</v>
      </c>
      <c r="C179" s="23">
        <f ca="1">IFERROR(__xludf.DUMMYFUNCTION("""COMPUTED_VALUE"""),26217131257)</f>
        <v>26217131257</v>
      </c>
      <c r="D179" s="23" t="str">
        <f ca="1">IFERROR(__xludf.DUMMYFUNCTION("""COMPUTED_VALUE"""),"Hoàng Xuân Phước")</f>
        <v>Hoàng Xuân Phước</v>
      </c>
      <c r="E179" s="27">
        <f ca="1">IFERROR(__xludf.DUMMYFUNCTION("""COMPUTED_VALUE"""),36596)</f>
        <v>36596</v>
      </c>
      <c r="F179" s="23" t="str">
        <f ca="1">IFERROR(__xludf.DUMMYFUNCTION("""COMPUTED_VALUE"""),"K26PSUDLK1")</f>
        <v>K26PSUDLK1</v>
      </c>
      <c r="G179" s="23" t="str">
        <f ca="1">IFERROR(__xludf.DUMMYFUNCTION("""COMPUTED_VALUE"""),"Quản trị Du lịch &amp; Khách sạn chuẩn PSU")</f>
        <v>Quản trị Du lịch &amp; Khách sạn chuẩn PSU</v>
      </c>
      <c r="H179" s="23">
        <f ca="1">IFERROR(__xludf.DUMMYFUNCTION("""COMPUTED_VALUE"""),26)</f>
        <v>26</v>
      </c>
      <c r="I179" s="23" t="str">
        <f ca="1">IFERROR(__xludf.DUMMYFUNCTION("""COMPUTED_VALUE"""),"0769701103")</f>
        <v>0769701103</v>
      </c>
      <c r="J179" s="23" t="str">
        <f ca="1">IFERROR(__xludf.DUMMYFUNCTION("""COMPUTED_VALUE"""),"Chuyên đề")</f>
        <v>Chuyên đề</v>
      </c>
      <c r="K179" s="23" t="str">
        <f ca="1">IFERROR(__xludf.DUMMYFUNCTION("""COMPUTED_VALUE"""),"Meliá Danang Beach Resort")</f>
        <v>Meliá Danang Beach Resort</v>
      </c>
      <c r="L179" s="23" t="str">
        <f ca="1">IFERROR(__xludf.DUMMYFUNCTION("""COMPUTED_VALUE"""),"Meliá Danang Beach Resort")</f>
        <v>Meliá Danang Beach Resort</v>
      </c>
      <c r="M179" s="23" t="str">
        <f ca="1">IFERROR(__xludf.DUMMYFUNCTION("""COMPUTED_VALUE"""),"19 Trường Sa, Hoà Hải, Ngũ Hành Sơn, Đà Nẵng")</f>
        <v>19 Trường Sa, Hoà Hải, Ngũ Hành Sơn, Đà Nẵng</v>
      </c>
      <c r="N179" s="23" t="str">
        <f ca="1">IFERROR(__xludf.DUMMYFUNCTION("""COMPUTED_VALUE"""),"Đà Nẵng")</f>
        <v>Đà Nẵng</v>
      </c>
      <c r="O179" s="23" t="str">
        <f ca="1">IFERROR(__xludf.DUMMYFUNCTION("""COMPUTED_VALUE"""),"Nhà hàng")</f>
        <v>Nhà hàng</v>
      </c>
      <c r="P179" s="23"/>
      <c r="Q179" s="23" t="str">
        <f ca="1">IFERROR(__xludf.DUMMYFUNCTION("""COMPUTED_VALUE"""),"06/02/2025")</f>
        <v>06/02/2025</v>
      </c>
      <c r="R179" s="23" t="str">
        <f ca="1">IFERROR(__xludf.DUMMYFUNCTION("""COMPUTED_VALUE"""),"cam kết")</f>
        <v>cam kết</v>
      </c>
      <c r="S179" s="23" t="str">
        <f ca="1">IFERROR(__xludf.DUMMYFUNCTION("""COMPUTED_VALUE"""),"Chuyên đề")</f>
        <v>Chuyên đề</v>
      </c>
      <c r="T179" s="23" t="str">
        <f ca="1">IFERROR(__xludf.DUMMYFUNCTION("""COMPUTED_VALUE"""),"Hồ Sử Minh Tài")</f>
        <v>Hồ Sử Minh Tài</v>
      </c>
      <c r="U179" s="27">
        <f ca="1">IFERROR(__xludf.DUMMYFUNCTION("""COMPUTED_VALUE"""),45702)</f>
        <v>45702</v>
      </c>
      <c r="V179" s="27">
        <f ca="1">IFERROR(__xludf.DUMMYFUNCTION("""COMPUTED_VALUE"""),45791)</f>
        <v>45791</v>
      </c>
      <c r="W179" s="23">
        <f ca="1">IFERROR(__xludf.DUMMYFUNCTION("""COMPUTED_VALUE"""),178)</f>
        <v>178</v>
      </c>
      <c r="X179" s="28">
        <f ca="1">IFERROR(__xludf.DUMMYFUNCTION("""COMPUTED_VALUE"""),45810)</f>
        <v>45810</v>
      </c>
      <c r="Y179" s="23" t="str">
        <f ca="1">IFERROR(__xludf.DUMMYFUNCTION("""COMPUTED_VALUE"""),"DUYỆT")</f>
        <v>DUYỆT</v>
      </c>
      <c r="Z179" s="28">
        <f ca="1">IFERROR(__xludf.DUMMYFUNCTION("""COMPUTED_VALUE"""),45810)</f>
        <v>45810</v>
      </c>
      <c r="AA179" s="23" t="str">
        <f ca="1">IFERROR(__xludf.DUMMYFUNCTION("""COMPUTED_VALUE"""),"Meliá Danang Beach Resort")</f>
        <v>Meliá Danang Beach Resort</v>
      </c>
      <c r="AB179" s="23" t="str">
        <f ca="1">IFERROR(__xludf.DUMMYFUNCTION("""COMPUTED_VALUE"""),"Nhà hàng")</f>
        <v>Nhà hàng</v>
      </c>
      <c r="AC179" s="23" t="str">
        <f ca="1">IFERROR(__xludf.DUMMYFUNCTION("""COMPUTED_VALUE"""),"ĐÃ NỘP")</f>
        <v>ĐÃ NỘP</v>
      </c>
      <c r="AD179" s="23"/>
      <c r="AE179" s="23" t="str">
        <f ca="1">IFERROR(__xludf.DUMMYFUNCTION("""COMPUTED_VALUE"""),"")</f>
        <v/>
      </c>
      <c r="AF179" s="23" t="str">
        <f ca="1">IFERROR(__xludf.DUMMYFUNCTION("""COMPUTED_VALUE"""),"không đủ điều kiện")</f>
        <v>không đủ điều kiện</v>
      </c>
      <c r="AG179" s="23"/>
    </row>
    <row r="180" spans="1:33" ht="12.75" x14ac:dyDescent="0.2">
      <c r="A180" s="26">
        <f ca="1">IFERROR(__xludf.DUMMYFUNCTION("""COMPUTED_VALUE"""),45694.6056530208)</f>
        <v>45694.605653020801</v>
      </c>
      <c r="B180" s="23" t="str">
        <f ca="1">IFERROR(__xludf.DUMMYFUNCTION("""COMPUTED_VALUE"""),"ngong2507@gmail.com")</f>
        <v>ngong2507@gmail.com</v>
      </c>
      <c r="C180" s="23">
        <f ca="1">IFERROR(__xludf.DUMMYFUNCTION("""COMPUTED_VALUE"""),26217125586)</f>
        <v>26217125586</v>
      </c>
      <c r="D180" s="23" t="str">
        <f ca="1">IFERROR(__xludf.DUMMYFUNCTION("""COMPUTED_VALUE"""),"Nguyễn Ngọ")</f>
        <v>Nguyễn Ngọ</v>
      </c>
      <c r="E180" s="27">
        <f ca="1">IFERROR(__xludf.DUMMYFUNCTION("""COMPUTED_VALUE"""),37462)</f>
        <v>37462</v>
      </c>
      <c r="F180" s="23" t="str">
        <f ca="1">IFERROR(__xludf.DUMMYFUNCTION("""COMPUTED_VALUE"""),"K26PSUDLK1")</f>
        <v>K26PSUDLK1</v>
      </c>
      <c r="G180" s="23" t="str">
        <f ca="1">IFERROR(__xludf.DUMMYFUNCTION("""COMPUTED_VALUE"""),"Quản trị Du lịch &amp; Khách sạn chuẩn PSU")</f>
        <v>Quản trị Du lịch &amp; Khách sạn chuẩn PSU</v>
      </c>
      <c r="H180" s="23">
        <f ca="1">IFERROR(__xludf.DUMMYFUNCTION("""COMPUTED_VALUE"""),26)</f>
        <v>26</v>
      </c>
      <c r="I180" s="23" t="str">
        <f ca="1">IFERROR(__xludf.DUMMYFUNCTION("""COMPUTED_VALUE"""),"0901172893")</f>
        <v>0901172893</v>
      </c>
      <c r="J180" s="23" t="str">
        <f ca="1">IFERROR(__xludf.DUMMYFUNCTION("""COMPUTED_VALUE"""),"Khóa luận")</f>
        <v>Khóa luận</v>
      </c>
      <c r="K180" s="23" t="str">
        <f ca="1">IFERROR(__xludf.DUMMYFUNCTION("""COMPUTED_VALUE"""),"Premier Village Danang Resort")</f>
        <v>Premier Village Danang Resort</v>
      </c>
      <c r="L180" s="23"/>
      <c r="M180" s="23" t="str">
        <f ca="1">IFERROR(__xludf.DUMMYFUNCTION("""COMPUTED_VALUE"""),"99 Võ Nguyên Giáp, Mỹ An, Ngũ Hành Sơn, Đà Nẵng ")</f>
        <v xml:space="preserve">99 Võ Nguyên Giáp, Mỹ An, Ngũ Hành Sơn, Đà Nẵng </v>
      </c>
      <c r="N180" s="23" t="str">
        <f ca="1">IFERROR(__xludf.DUMMYFUNCTION("""COMPUTED_VALUE"""),"Đà Nẵng ")</f>
        <v xml:space="preserve">Đà Nẵng </v>
      </c>
      <c r="O180" s="23" t="str">
        <f ca="1">IFERROR(__xludf.DUMMYFUNCTION("""COMPUTED_VALUE"""),"Nhà hàng")</f>
        <v>Nhà hàng</v>
      </c>
      <c r="P180" s="23"/>
      <c r="Q180" s="23" t="str">
        <f ca="1">IFERROR(__xludf.DUMMYFUNCTION("""COMPUTED_VALUE"""),"06/02/2025")</f>
        <v>06/02/2025</v>
      </c>
      <c r="R180" s="23" t="str">
        <f ca="1">IFERROR(__xludf.DUMMYFUNCTION("""COMPUTED_VALUE"""),"cam kết")</f>
        <v>cam kết</v>
      </c>
      <c r="S180" s="23" t="str">
        <f ca="1">IFERROR(__xludf.DUMMYFUNCTION("""COMPUTED_VALUE"""),"Khóa luận")</f>
        <v>Khóa luận</v>
      </c>
      <c r="T180" s="23" t="str">
        <f ca="1">IFERROR(__xludf.DUMMYFUNCTION("""COMPUTED_VALUE"""),"Dương Thị Xuân Diệu")</f>
        <v>Dương Thị Xuân Diệu</v>
      </c>
      <c r="U180" s="27">
        <f ca="1">IFERROR(__xludf.DUMMYFUNCTION("""COMPUTED_VALUE"""),45698)</f>
        <v>45698</v>
      </c>
      <c r="V180" s="27">
        <f ca="1">IFERROR(__xludf.DUMMYFUNCTION("""COMPUTED_VALUE"""),45787)</f>
        <v>45787</v>
      </c>
      <c r="W180" s="23">
        <f ca="1">IFERROR(__xludf.DUMMYFUNCTION("""COMPUTED_VALUE"""),179)</f>
        <v>179</v>
      </c>
      <c r="X180" s="23" t="str">
        <f ca="1">IFERROR(__xludf.DUMMYFUNCTION("""COMPUTED_VALUE"""),"13/02/2025")</f>
        <v>13/02/2025</v>
      </c>
      <c r="Y180" s="23" t="str">
        <f ca="1">IFERROR(__xludf.DUMMYFUNCTION("""COMPUTED_VALUE"""),"DUYỆT")</f>
        <v>DUYỆT</v>
      </c>
      <c r="Z180" s="23" t="str">
        <f ca="1">IFERROR(__xludf.DUMMYFUNCTION("""COMPUTED_VALUE"""),"13/02/2025")</f>
        <v>13/02/2025</v>
      </c>
      <c r="AA180" s="23" t="str">
        <f ca="1">IFERROR(__xludf.DUMMYFUNCTION("""COMPUTED_VALUE"""),"Premier Village Danang Resort")</f>
        <v>Premier Village Danang Resort</v>
      </c>
      <c r="AB180" s="23" t="str">
        <f ca="1">IFERROR(__xludf.DUMMYFUNCTION("""COMPUTED_VALUE"""),"Nhà hàng")</f>
        <v>Nhà hàng</v>
      </c>
      <c r="AC180" s="23" t="str">
        <f ca="1">IFERROR(__xludf.DUMMYFUNCTION("""COMPUTED_VALUE"""),"ĐÃ NỘP")</f>
        <v>ĐÃ NỘP</v>
      </c>
      <c r="AD180" s="23"/>
      <c r="AE180" s="23" t="str">
        <f ca="1">IFERROR(__xludf.DUMMYFUNCTION("""COMPUTED_VALUE"""),"")</f>
        <v/>
      </c>
      <c r="AF180" s="23" t="str">
        <f ca="1">IFERROR(__xludf.DUMMYFUNCTION("""COMPUTED_VALUE"""),"KHÓA LUẬN")</f>
        <v>KHÓA LUẬN</v>
      </c>
      <c r="AG180" s="23" t="str">
        <f ca="1">IFERROR(__xludf.DUMMYFUNCTION("""COMPUTED_VALUE"""),"Dương Thị Xuân Diệu")</f>
        <v>Dương Thị Xuân Diệu</v>
      </c>
    </row>
    <row r="181" spans="1:33" ht="12.75" x14ac:dyDescent="0.2">
      <c r="A181" s="26">
        <f ca="1">IFERROR(__xludf.DUMMYFUNCTION("""COMPUTED_VALUE"""),45694.7300501851)</f>
        <v>45694.730050185099</v>
      </c>
      <c r="B181" s="23" t="str">
        <f ca="1">IFERROR(__xludf.DUMMYFUNCTION("""COMPUTED_VALUE"""),"thanhtuyenpro26072003@gmail.com")</f>
        <v>thanhtuyenpro26072003@gmail.com</v>
      </c>
      <c r="C181" s="23">
        <f ca="1">IFERROR(__xludf.DUMMYFUNCTION("""COMPUTED_VALUE"""),27207132631)</f>
        <v>27207132631</v>
      </c>
      <c r="D181" s="23" t="str">
        <f ca="1">IFERROR(__xludf.DUMMYFUNCTION("""COMPUTED_VALUE"""),"Võ Thị Thanh Tuyền")</f>
        <v>Võ Thị Thanh Tuyền</v>
      </c>
      <c r="E181" s="27">
        <f ca="1">IFERROR(__xludf.DUMMYFUNCTION("""COMPUTED_VALUE"""),37828)</f>
        <v>37828</v>
      </c>
      <c r="F181" s="23" t="str">
        <f ca="1">IFERROR(__xludf.DUMMYFUNCTION("""COMPUTED_VALUE"""),"K27 DLK6")</f>
        <v>K27 DLK6</v>
      </c>
      <c r="G181" s="23" t="str">
        <f ca="1">IFERROR(__xludf.DUMMYFUNCTION("""COMPUTED_VALUE"""),"Quản trị Du lịch &amp; Khách sạn")</f>
        <v>Quản trị Du lịch &amp; Khách sạn</v>
      </c>
      <c r="H181" s="23">
        <f ca="1">IFERROR(__xludf.DUMMYFUNCTION("""COMPUTED_VALUE"""),27)</f>
        <v>27</v>
      </c>
      <c r="I181" s="23" t="str">
        <f ca="1">IFERROR(__xludf.DUMMYFUNCTION("""COMPUTED_VALUE"""),"0779494325")</f>
        <v>0779494325</v>
      </c>
      <c r="J181" s="23" t="str">
        <f ca="1">IFERROR(__xludf.DUMMYFUNCTION("""COMPUTED_VALUE"""),"Chuyên đề")</f>
        <v>Chuyên đề</v>
      </c>
      <c r="K181" s="23" t="str">
        <f ca="1">IFERROR(__xludf.DUMMYFUNCTION("""COMPUTED_VALUE"""),"Cicilia Hotel &amp; Spa")</f>
        <v>Cicilia Hotel &amp; Spa</v>
      </c>
      <c r="L181" s="23"/>
      <c r="M181" s="23" t="str">
        <f ca="1">IFERROR(__xludf.DUMMYFUNCTION("""COMPUTED_VALUE"""),"6-8-10 Đỗ Bá ,Phường Mỹ An , Quận Ngũ Hành Sơn ")</f>
        <v xml:space="preserve">6-8-10 Đỗ Bá ,Phường Mỹ An , Quận Ngũ Hành Sơn </v>
      </c>
      <c r="N181" s="23" t="str">
        <f ca="1">IFERROR(__xludf.DUMMYFUNCTION("""COMPUTED_VALUE"""),"Thành phố Đà Nẵng")</f>
        <v>Thành phố Đà Nẵng</v>
      </c>
      <c r="O181" s="23" t="str">
        <f ca="1">IFERROR(__xludf.DUMMYFUNCTION("""COMPUTED_VALUE"""),"Nhà hàng")</f>
        <v>Nhà hàng</v>
      </c>
      <c r="P181" s="23"/>
      <c r="Q181" s="23" t="str">
        <f ca="1">IFERROR(__xludf.DUMMYFUNCTION("""COMPUTED_VALUE"""),"10-02-2025")</f>
        <v>10-02-2025</v>
      </c>
      <c r="R181" s="23" t="str">
        <f ca="1">IFERROR(__xludf.DUMMYFUNCTION("""COMPUTED_VALUE"""),"cam kết")</f>
        <v>cam kết</v>
      </c>
      <c r="S181" s="23" t="str">
        <f ca="1">IFERROR(__xludf.DUMMYFUNCTION("""COMPUTED_VALUE"""),"Chuyên đề")</f>
        <v>Chuyên đề</v>
      </c>
      <c r="T181" s="23"/>
      <c r="U181" s="27">
        <f ca="1">IFERROR(__xludf.DUMMYFUNCTION("""COMPUTED_VALUE"""),45698)</f>
        <v>45698</v>
      </c>
      <c r="V181" s="27">
        <f ca="1">IFERROR(__xludf.DUMMYFUNCTION("""COMPUTED_VALUE"""),45787)</f>
        <v>45787</v>
      </c>
      <c r="W181" s="23">
        <f ca="1">IFERROR(__xludf.DUMMYFUNCTION("""COMPUTED_VALUE"""),180)</f>
        <v>180</v>
      </c>
      <c r="X181" s="28">
        <f ca="1">IFERROR(__xludf.DUMMYFUNCTION("""COMPUTED_VALUE"""),45963)</f>
        <v>45963</v>
      </c>
      <c r="Y181" s="23" t="str">
        <f ca="1">IFERROR(__xludf.DUMMYFUNCTION("""COMPUTED_VALUE"""),"DUYỆT")</f>
        <v>DUYỆT</v>
      </c>
      <c r="Z181" s="28">
        <f ca="1">IFERROR(__xludf.DUMMYFUNCTION("""COMPUTED_VALUE"""),45932)</f>
        <v>45932</v>
      </c>
      <c r="AA181" s="23" t="str">
        <f ca="1">IFERROR(__xludf.DUMMYFUNCTION("""COMPUTED_VALUE"""),"Cicilia Hotel &amp; Spa")</f>
        <v>Cicilia Hotel &amp; Spa</v>
      </c>
      <c r="AB181" s="23" t="str">
        <f ca="1">IFERROR(__xludf.DUMMYFUNCTION("""COMPUTED_VALUE"""),"Nhà hàng")</f>
        <v>Nhà hàng</v>
      </c>
      <c r="AC181" s="23"/>
      <c r="AD181" s="23"/>
      <c r="AE181" s="23" t="str">
        <f ca="1">IFERROR(__xludf.DUMMYFUNCTION("""COMPUTED_VALUE"""),"")</f>
        <v/>
      </c>
      <c r="AF181" s="23" t="str">
        <f ca="1">IFERROR(__xludf.DUMMYFUNCTION("""COMPUTED_VALUE"""),"CHUYÊN ĐỀ")</f>
        <v>CHUYÊN ĐỀ</v>
      </c>
      <c r="AG181" s="23" t="str">
        <f ca="1">IFERROR(__xludf.DUMMYFUNCTION("""COMPUTED_VALUE"""),"Hồ Sử Minh Tài")</f>
        <v>Hồ Sử Minh Tài</v>
      </c>
    </row>
    <row r="182" spans="1:33" ht="12.75" x14ac:dyDescent="0.2">
      <c r="A182" s="26">
        <f ca="1">IFERROR(__xludf.DUMMYFUNCTION("""COMPUTED_VALUE"""),45694.7543707291)</f>
        <v>45694.754370729097</v>
      </c>
      <c r="B182" s="23" t="str">
        <f ca="1">IFERROR(__xludf.DUMMYFUNCTION("""COMPUTED_VALUE"""),"nhuquynhthqc@gmail.com")</f>
        <v>nhuquynhthqc@gmail.com</v>
      </c>
      <c r="C182" s="23">
        <f ca="1">IFERROR(__xludf.DUMMYFUNCTION("""COMPUTED_VALUE"""),26207125172)</f>
        <v>26207125172</v>
      </c>
      <c r="D182" s="23" t="str">
        <f ca="1">IFERROR(__xludf.DUMMYFUNCTION("""COMPUTED_VALUE"""),"Trần Nguyễn Quỳnh Như")</f>
        <v>Trần Nguyễn Quỳnh Như</v>
      </c>
      <c r="E182" s="27">
        <f ca="1">IFERROR(__xludf.DUMMYFUNCTION("""COMPUTED_VALUE"""),37270)</f>
        <v>37270</v>
      </c>
      <c r="F182" s="23" t="str">
        <f ca="1">IFERROR(__xludf.DUMMYFUNCTION("""COMPUTED_VALUE"""),"K26DLK13")</f>
        <v>K26DLK13</v>
      </c>
      <c r="G182" s="23" t="str">
        <f ca="1">IFERROR(__xludf.DUMMYFUNCTION("""COMPUTED_VALUE"""),"Quản trị Du lịch &amp; Khách sạn")</f>
        <v>Quản trị Du lịch &amp; Khách sạn</v>
      </c>
      <c r="H182" s="23">
        <f ca="1">IFERROR(__xludf.DUMMYFUNCTION("""COMPUTED_VALUE"""),26)</f>
        <v>26</v>
      </c>
      <c r="I182" s="23" t="str">
        <f ca="1">IFERROR(__xludf.DUMMYFUNCTION("""COMPUTED_VALUE"""),"0836487217")</f>
        <v>0836487217</v>
      </c>
      <c r="J182" s="23" t="str">
        <f ca="1">IFERROR(__xludf.DUMMYFUNCTION("""COMPUTED_VALUE"""),"Chuyên đề")</f>
        <v>Chuyên đề</v>
      </c>
      <c r="K182" s="23" t="str">
        <f ca="1">IFERROR(__xludf.DUMMYFUNCTION("""COMPUTED_VALUE"""),"Paris Deli Danang Beach Hotel")</f>
        <v>Paris Deli Danang Beach Hotel</v>
      </c>
      <c r="L182" s="23"/>
      <c r="M182" s="23" t="str">
        <f ca="1">IFERROR(__xludf.DUMMYFUNCTION("""COMPUTED_VALUE"""),"236 Võ Nguyên Giáp, phường Phước Mỹ, quận Sơn Trà, thành phố Đà Nẵng")</f>
        <v>236 Võ Nguyên Giáp, phường Phước Mỹ, quận Sơn Trà, thành phố Đà Nẵng</v>
      </c>
      <c r="N182" s="23" t="str">
        <f ca="1">IFERROR(__xludf.DUMMYFUNCTION("""COMPUTED_VALUE"""),"Đà Nẵng")</f>
        <v>Đà Nẵng</v>
      </c>
      <c r="O182" s="23" t="str">
        <f ca="1">IFERROR(__xludf.DUMMYFUNCTION("""COMPUTED_VALUE"""),"Nhà hàng")</f>
        <v>Nhà hàng</v>
      </c>
      <c r="P182" s="23"/>
      <c r="Q182" s="23" t="str">
        <f ca="1">IFERROR(__xludf.DUMMYFUNCTION("""COMPUTED_VALUE"""),"06/02/2025")</f>
        <v>06/02/2025</v>
      </c>
      <c r="R182" s="23" t="str">
        <f ca="1">IFERROR(__xludf.DUMMYFUNCTION("""COMPUTED_VALUE"""),"cam kết")</f>
        <v>cam kết</v>
      </c>
      <c r="S182" s="23" t="str">
        <f ca="1">IFERROR(__xludf.DUMMYFUNCTION("""COMPUTED_VALUE"""),"Chuyên đề")</f>
        <v>Chuyên đề</v>
      </c>
      <c r="T182" s="23"/>
      <c r="U182" s="27">
        <f ca="1">IFERROR(__xludf.DUMMYFUNCTION("""COMPUTED_VALUE"""),45694)</f>
        <v>45694</v>
      </c>
      <c r="V182" s="27">
        <f ca="1">IFERROR(__xludf.DUMMYFUNCTION("""COMPUTED_VALUE"""),45783)</f>
        <v>45783</v>
      </c>
      <c r="W182" s="23">
        <f ca="1">IFERROR(__xludf.DUMMYFUNCTION("""COMPUTED_VALUE"""),181)</f>
        <v>181</v>
      </c>
      <c r="X182" s="28">
        <f ca="1">IFERROR(__xludf.DUMMYFUNCTION("""COMPUTED_VALUE"""),45840)</f>
        <v>45840</v>
      </c>
      <c r="Y182" s="23" t="str">
        <f ca="1">IFERROR(__xludf.DUMMYFUNCTION("""COMPUTED_VALUE"""),"DUYỆT")</f>
        <v>DUYỆT</v>
      </c>
      <c r="Z182" s="28">
        <f ca="1">IFERROR(__xludf.DUMMYFUNCTION("""COMPUTED_VALUE"""),45932)</f>
        <v>45932</v>
      </c>
      <c r="AA182" s="23" t="str">
        <f ca="1">IFERROR(__xludf.DUMMYFUNCTION("""COMPUTED_VALUE"""),"Paris Deli Danang Beach Hotel")</f>
        <v>Paris Deli Danang Beach Hotel</v>
      </c>
      <c r="AB182" s="23" t="str">
        <f ca="1">IFERROR(__xludf.DUMMYFUNCTION("""COMPUTED_VALUE"""),"Nhà hàng")</f>
        <v>Nhà hàng</v>
      </c>
      <c r="AC182" s="23" t="str">
        <f ca="1">IFERROR(__xludf.DUMMYFUNCTION("""COMPUTED_VALUE"""),"ĐÃ NỘP")</f>
        <v>ĐÃ NỘP</v>
      </c>
      <c r="AD182" s="23"/>
      <c r="AE182" s="23" t="str">
        <f ca="1">IFERROR(__xludf.DUMMYFUNCTION("""COMPUTED_VALUE"""),"")</f>
        <v/>
      </c>
      <c r="AF182" s="23" t="str">
        <f ca="1">IFERROR(__xludf.DUMMYFUNCTION("""COMPUTED_VALUE"""),"CHUYÊN ĐỀ")</f>
        <v>CHUYÊN ĐỀ</v>
      </c>
      <c r="AG182" s="23" t="str">
        <f ca="1">IFERROR(__xludf.DUMMYFUNCTION("""COMPUTED_VALUE"""),"Phan Thị Hồng Hải")</f>
        <v>Phan Thị Hồng Hải</v>
      </c>
    </row>
    <row r="183" spans="1:33" ht="12.75" x14ac:dyDescent="0.2">
      <c r="A183" s="26">
        <f ca="1">IFERROR(__xludf.DUMMYFUNCTION("""COMPUTED_VALUE"""),45694.8390599884)</f>
        <v>45694.839059988401</v>
      </c>
      <c r="B183" s="23" t="str">
        <f ca="1">IFERROR(__xludf.DUMMYFUNCTION("""COMPUTED_VALUE"""),"nguyennhatlee22@gmail.com")</f>
        <v>nguyennhatlee22@gmail.com</v>
      </c>
      <c r="C183" s="23">
        <f ca="1">IFERROR(__xludf.DUMMYFUNCTION("""COMPUTED_VALUE"""),26207130140)</f>
        <v>26207130140</v>
      </c>
      <c r="D183" s="23" t="str">
        <f ca="1">IFERROR(__xludf.DUMMYFUNCTION("""COMPUTED_VALUE"""),"Nguyễn Thị Nhật Lệ")</f>
        <v>Nguyễn Thị Nhật Lệ</v>
      </c>
      <c r="E183" s="27">
        <f ca="1">IFERROR(__xludf.DUMMYFUNCTION("""COMPUTED_VALUE"""),37582)</f>
        <v>37582</v>
      </c>
      <c r="F183" s="23" t="str">
        <f ca="1">IFERROR(__xludf.DUMMYFUNCTION("""COMPUTED_VALUE"""),"K26DLK13")</f>
        <v>K26DLK13</v>
      </c>
      <c r="G183" s="23" t="str">
        <f ca="1">IFERROR(__xludf.DUMMYFUNCTION("""COMPUTED_VALUE"""),"Quản trị Du lịch &amp; Khách sạn")</f>
        <v>Quản trị Du lịch &amp; Khách sạn</v>
      </c>
      <c r="H183" s="23">
        <f ca="1">IFERROR(__xludf.DUMMYFUNCTION("""COMPUTED_VALUE"""),26)</f>
        <v>26</v>
      </c>
      <c r="I183" s="23" t="str">
        <f ca="1">IFERROR(__xludf.DUMMYFUNCTION("""COMPUTED_VALUE"""),"0775182166")</f>
        <v>0775182166</v>
      </c>
      <c r="J183" s="23" t="str">
        <f ca="1">IFERROR(__xludf.DUMMYFUNCTION("""COMPUTED_VALUE"""),"Chuyên đề")</f>
        <v>Chuyên đề</v>
      </c>
      <c r="K183" s="23" t="str">
        <f ca="1">IFERROR(__xludf.DUMMYFUNCTION("""COMPUTED_VALUE"""),"Satya Danang Hotel")</f>
        <v>Satya Danang Hotel</v>
      </c>
      <c r="L183" s="23"/>
      <c r="M183" s="23" t="str">
        <f ca="1">IFERROR(__xludf.DUMMYFUNCTION("""COMPUTED_VALUE"""),"155 Trần Phú , quận Hải Châu , TP Đà Nẵng")</f>
        <v>155 Trần Phú , quận Hải Châu , TP Đà Nẵng</v>
      </c>
      <c r="N183" s="23" t="str">
        <f ca="1">IFERROR(__xludf.DUMMYFUNCTION("""COMPUTED_VALUE"""),"Đà Nẵng")</f>
        <v>Đà Nẵng</v>
      </c>
      <c r="O183" s="23" t="str">
        <f ca="1">IFERROR(__xludf.DUMMYFUNCTION("""COMPUTED_VALUE"""),"Nhà hàng")</f>
        <v>Nhà hàng</v>
      </c>
      <c r="P183" s="23"/>
      <c r="Q183" s="23" t="str">
        <f ca="1">IFERROR(__xludf.DUMMYFUNCTION("""COMPUTED_VALUE"""),"6/2/2025")</f>
        <v>6/2/2025</v>
      </c>
      <c r="R183" s="23" t="str">
        <f ca="1">IFERROR(__xludf.DUMMYFUNCTION("""COMPUTED_VALUE"""),"cam kết")</f>
        <v>cam kết</v>
      </c>
      <c r="S183" s="23" t="str">
        <f ca="1">IFERROR(__xludf.DUMMYFUNCTION("""COMPUTED_VALUE"""),"Chuyên đề")</f>
        <v>Chuyên đề</v>
      </c>
      <c r="T183" s="23" t="str">
        <f ca="1">IFERROR(__xludf.DUMMYFUNCTION("""COMPUTED_VALUE"""),"Phạm Thị Thu Thủy")</f>
        <v>Phạm Thị Thu Thủy</v>
      </c>
      <c r="U183" s="27">
        <f ca="1">IFERROR(__xludf.DUMMYFUNCTION("""COMPUTED_VALUE"""),45698)</f>
        <v>45698</v>
      </c>
      <c r="V183" s="27">
        <f ca="1">IFERROR(__xludf.DUMMYFUNCTION("""COMPUTED_VALUE"""),45787)</f>
        <v>45787</v>
      </c>
      <c r="W183" s="23">
        <f ca="1">IFERROR(__xludf.DUMMYFUNCTION("""COMPUTED_VALUE"""),182)</f>
        <v>182</v>
      </c>
      <c r="X183" s="28">
        <f ca="1">IFERROR(__xludf.DUMMYFUNCTION("""COMPUTED_VALUE"""),45963)</f>
        <v>45963</v>
      </c>
      <c r="Y183" s="23" t="str">
        <f ca="1">IFERROR(__xludf.DUMMYFUNCTION("""COMPUTED_VALUE"""),"DUYỆT")</f>
        <v>DUYỆT</v>
      </c>
      <c r="Z183" s="28">
        <f ca="1">IFERROR(__xludf.DUMMYFUNCTION("""COMPUTED_VALUE"""),45932)</f>
        <v>45932</v>
      </c>
      <c r="AA183" s="23" t="str">
        <f ca="1">IFERROR(__xludf.DUMMYFUNCTION("""COMPUTED_VALUE"""),"Satya Danang Hotel")</f>
        <v>Satya Danang Hotel</v>
      </c>
      <c r="AB183" s="23" t="str">
        <f ca="1">IFERROR(__xludf.DUMMYFUNCTION("""COMPUTED_VALUE"""),"Nhà hàng")</f>
        <v>Nhà hàng</v>
      </c>
      <c r="AC183" s="23" t="str">
        <f ca="1">IFERROR(__xludf.DUMMYFUNCTION("""COMPUTED_VALUE"""),"ĐÃ NỘP")</f>
        <v>ĐÃ NỘP</v>
      </c>
      <c r="AD183" s="23"/>
      <c r="AE183" s="23" t="str">
        <f ca="1">IFERROR(__xludf.DUMMYFUNCTION("""COMPUTED_VALUE"""),"")</f>
        <v/>
      </c>
      <c r="AF183" s="23" t="str">
        <f ca="1">IFERROR(__xludf.DUMMYFUNCTION("""COMPUTED_VALUE"""),"CHUYÊN ĐỀ")</f>
        <v>CHUYÊN ĐỀ</v>
      </c>
      <c r="AG183" s="23" t="str">
        <f ca="1">IFERROR(__xludf.DUMMYFUNCTION("""COMPUTED_VALUE"""),"Huỳnh Lý Thùy Linh")</f>
        <v>Huỳnh Lý Thùy Linh</v>
      </c>
    </row>
    <row r="184" spans="1:33" ht="12.75" x14ac:dyDescent="0.2">
      <c r="A184" s="26">
        <f ca="1">IFERROR(__xludf.DUMMYFUNCTION("""COMPUTED_VALUE"""),45695.3679668865)</f>
        <v>45695.367966886501</v>
      </c>
      <c r="B184" s="23" t="str">
        <f ca="1">IFERROR(__xludf.DUMMYFUNCTION("""COMPUTED_VALUE"""),"phambichvan260601@gmail.com")</f>
        <v>phambichvan260601@gmail.com</v>
      </c>
      <c r="C184" s="23">
        <f ca="1">IFERROR(__xludf.DUMMYFUNCTION("""COMPUTED_VALUE"""),25207203604)</f>
        <v>25207203604</v>
      </c>
      <c r="D184" s="23" t="str">
        <f ca="1">IFERROR(__xludf.DUMMYFUNCTION("""COMPUTED_VALUE"""),"Phạm Thị Bích Vân")</f>
        <v>Phạm Thị Bích Vân</v>
      </c>
      <c r="E184" s="27">
        <f ca="1">IFERROR(__xludf.DUMMYFUNCTION("""COMPUTED_VALUE"""),37068)</f>
        <v>37068</v>
      </c>
      <c r="F184" s="23" t="str">
        <f ca="1">IFERROR(__xludf.DUMMYFUNCTION("""COMPUTED_VALUE"""),"K25DLK26")</f>
        <v>K25DLK26</v>
      </c>
      <c r="G184" s="23" t="str">
        <f ca="1">IFERROR(__xludf.DUMMYFUNCTION("""COMPUTED_VALUE"""),"Quản trị Du lịch &amp; Khách sạn")</f>
        <v>Quản trị Du lịch &amp; Khách sạn</v>
      </c>
      <c r="H184" s="23">
        <f ca="1">IFERROR(__xludf.DUMMYFUNCTION("""COMPUTED_VALUE"""),25)</f>
        <v>25</v>
      </c>
      <c r="I184" s="23" t="str">
        <f ca="1">IFERROR(__xludf.DUMMYFUNCTION("""COMPUTED_VALUE"""),"0777549728")</f>
        <v>0777549728</v>
      </c>
      <c r="J184" s="23" t="str">
        <f ca="1">IFERROR(__xludf.DUMMYFUNCTION("""COMPUTED_VALUE"""),"Khóa luận")</f>
        <v>Khóa luận</v>
      </c>
      <c r="K184" s="23" t="str">
        <f ca="1">IFERROR(__xludf.DUMMYFUNCTION("""COMPUTED_VALUE"""),"Rosamia Da Nang Hotel")</f>
        <v>Rosamia Da Nang Hotel</v>
      </c>
      <c r="L184" s="23" t="str">
        <f ca="1">IFERROR(__xludf.DUMMYFUNCTION("""COMPUTED_VALUE"""),"Rosamia Danang Hotel")</f>
        <v>Rosamia Danang Hotel</v>
      </c>
      <c r="M184" s="23" t="str">
        <f ca="1">IFERROR(__xludf.DUMMYFUNCTION("""COMPUTED_VALUE"""),"282 Võ Nguyên Giáp")</f>
        <v>282 Võ Nguyên Giáp</v>
      </c>
      <c r="N184" s="23" t="str">
        <f ca="1">IFERROR(__xludf.DUMMYFUNCTION("""COMPUTED_VALUE"""),"Đà Nẵng")</f>
        <v>Đà Nẵng</v>
      </c>
      <c r="O184" s="23" t="str">
        <f ca="1">IFERROR(__xludf.DUMMYFUNCTION("""COMPUTED_VALUE"""),"Nhà hàng")</f>
        <v>Nhà hàng</v>
      </c>
      <c r="P184" s="23"/>
      <c r="Q184" s="23" t="str">
        <f ca="1">IFERROR(__xludf.DUMMYFUNCTION("""COMPUTED_VALUE"""),"10.2.2025")</f>
        <v>10.2.2025</v>
      </c>
      <c r="R184" s="23" t="str">
        <f ca="1">IFERROR(__xludf.DUMMYFUNCTION("""COMPUTED_VALUE"""),"cam kết")</f>
        <v>cam kết</v>
      </c>
      <c r="S184" s="23" t="str">
        <f ca="1">IFERROR(__xludf.DUMMYFUNCTION("""COMPUTED_VALUE"""),"Khóa luận")</f>
        <v>Khóa luận</v>
      </c>
      <c r="T184" s="23"/>
      <c r="U184" s="27">
        <f ca="1">IFERROR(__xludf.DUMMYFUNCTION("""COMPUTED_VALUE"""),45726)</f>
        <v>45726</v>
      </c>
      <c r="V184" s="27">
        <f ca="1">IFERROR(__xludf.DUMMYFUNCTION("""COMPUTED_VALUE"""),45787)</f>
        <v>45787</v>
      </c>
      <c r="W184" s="23">
        <f ca="1">IFERROR(__xludf.DUMMYFUNCTION("""COMPUTED_VALUE"""),183)</f>
        <v>183</v>
      </c>
      <c r="X184" s="28">
        <f ca="1">IFERROR(__xludf.DUMMYFUNCTION("""COMPUTED_VALUE"""),45932)</f>
        <v>45932</v>
      </c>
      <c r="Y184" s="23" t="str">
        <f ca="1">IFERROR(__xludf.DUMMYFUNCTION("""COMPUTED_VALUE"""),"DUYỆT")</f>
        <v>DUYỆT</v>
      </c>
      <c r="Z184" s="28">
        <f ca="1">IFERROR(__xludf.DUMMYFUNCTION("""COMPUTED_VALUE"""),45932)</f>
        <v>45932</v>
      </c>
      <c r="AA184" s="23" t="str">
        <f ca="1">IFERROR(__xludf.DUMMYFUNCTION("""COMPUTED_VALUE"""),"Rosamia Da Nang Hotel")</f>
        <v>Rosamia Da Nang Hotel</v>
      </c>
      <c r="AB184" s="23" t="str">
        <f ca="1">IFERROR(__xludf.DUMMYFUNCTION("""COMPUTED_VALUE"""),"Nhà hàng")</f>
        <v>Nhà hàng</v>
      </c>
      <c r="AC184" s="23" t="str">
        <f ca="1">IFERROR(__xludf.DUMMYFUNCTION("""COMPUTED_VALUE"""),"ĐÃ NỘP")</f>
        <v>ĐÃ NỘP</v>
      </c>
      <c r="AD184" s="23"/>
      <c r="AE184" s="23" t="str">
        <f ca="1">IFERROR(__xludf.DUMMYFUNCTION("""COMPUTED_VALUE"""),"")</f>
        <v/>
      </c>
      <c r="AF184" s="23" t="str">
        <f ca="1">IFERROR(__xludf.DUMMYFUNCTION("""COMPUTED_VALUE"""),"CHUYÊN ĐỀ")</f>
        <v>CHUYÊN ĐỀ</v>
      </c>
      <c r="AG184" s="23" t="str">
        <f ca="1">IFERROR(__xludf.DUMMYFUNCTION("""COMPUTED_VALUE"""),"Huỳnh Lý Thùy Linh")</f>
        <v>Huỳnh Lý Thùy Linh</v>
      </c>
    </row>
    <row r="185" spans="1:33" ht="12.75" x14ac:dyDescent="0.2">
      <c r="A185" s="26">
        <f ca="1">IFERROR(__xludf.DUMMYFUNCTION("""COMPUTED_VALUE"""),45695.4290474537)</f>
        <v>45695.429047453697</v>
      </c>
      <c r="B185" s="23" t="str">
        <f ca="1">IFERROR(__xludf.DUMMYFUNCTION("""COMPUTED_VALUE"""),"huonggiang9.10pht@gmail.com")</f>
        <v>huonggiang9.10pht@gmail.com</v>
      </c>
      <c r="C185" s="23">
        <f ca="1">IFERROR(__xludf.DUMMYFUNCTION("""COMPUTED_VALUE"""),27207140430)</f>
        <v>27207140430</v>
      </c>
      <c r="D185" s="23" t="str">
        <f ca="1">IFERROR(__xludf.DUMMYFUNCTION("""COMPUTED_VALUE"""),"Vũ Bùi Hương Giang")</f>
        <v>Vũ Bùi Hương Giang</v>
      </c>
      <c r="E185" s="27">
        <f ca="1">IFERROR(__xludf.DUMMYFUNCTION("""COMPUTED_VALUE"""),37763)</f>
        <v>37763</v>
      </c>
      <c r="F185" s="23" t="str">
        <f ca="1">IFERROR(__xludf.DUMMYFUNCTION("""COMPUTED_VALUE"""),"K27PSUDLK2")</f>
        <v>K27PSUDLK2</v>
      </c>
      <c r="G185" s="23" t="str">
        <f ca="1">IFERROR(__xludf.DUMMYFUNCTION("""COMPUTED_VALUE"""),"Quản trị Du lịch &amp; Khách sạn chuẩn PSU")</f>
        <v>Quản trị Du lịch &amp; Khách sạn chuẩn PSU</v>
      </c>
      <c r="H185" s="23">
        <f ca="1">IFERROR(__xludf.DUMMYFUNCTION("""COMPUTED_VALUE"""),27)</f>
        <v>27</v>
      </c>
      <c r="I185" s="23" t="str">
        <f ca="1">IFERROR(__xludf.DUMMYFUNCTION("""COMPUTED_VALUE"""),"0942703069")</f>
        <v>0942703069</v>
      </c>
      <c r="J185" s="23" t="str">
        <f ca="1">IFERROR(__xludf.DUMMYFUNCTION("""COMPUTED_VALUE"""),"Chuyên đề")</f>
        <v>Chuyên đề</v>
      </c>
      <c r="K185" s="23" t="str">
        <f ca="1">IFERROR(__xludf.DUMMYFUNCTION("""COMPUTED_VALUE"""),"Premier Village Danang Resort")</f>
        <v>Premier Village Danang Resort</v>
      </c>
      <c r="L185" s="23"/>
      <c r="M185" s="23" t="str">
        <f ca="1">IFERROR(__xludf.DUMMYFUNCTION("""COMPUTED_VALUE"""),"99 Võ Nguyên Giáp, Mỹ An, Ngũ Hành Sơn, Đà Nẵng ")</f>
        <v xml:space="preserve">99 Võ Nguyên Giáp, Mỹ An, Ngũ Hành Sơn, Đà Nẵng </v>
      </c>
      <c r="N185" s="23" t="str">
        <f ca="1">IFERROR(__xludf.DUMMYFUNCTION("""COMPUTED_VALUE"""),"Đà Nẵng ")</f>
        <v xml:space="preserve">Đà Nẵng </v>
      </c>
      <c r="O185" s="23" t="str">
        <f ca="1">IFERROR(__xludf.DUMMYFUNCTION("""COMPUTED_VALUE"""),"Nhà hàng")</f>
        <v>Nhà hàng</v>
      </c>
      <c r="P185" s="23"/>
      <c r="Q185" s="23" t="str">
        <f ca="1">IFERROR(__xludf.DUMMYFUNCTION("""COMPUTED_VALUE"""),"7/2/2025")</f>
        <v>7/2/2025</v>
      </c>
      <c r="R185" s="23" t="str">
        <f ca="1">IFERROR(__xludf.DUMMYFUNCTION("""COMPUTED_VALUE"""),"cam kết")</f>
        <v>cam kết</v>
      </c>
      <c r="S185" s="23" t="str">
        <f ca="1">IFERROR(__xludf.DUMMYFUNCTION("""COMPUTED_VALUE"""),"Chuyên đề")</f>
        <v>Chuyên đề</v>
      </c>
      <c r="T185" s="23" t="str">
        <f ca="1">IFERROR(__xludf.DUMMYFUNCTION("""COMPUTED_VALUE"""),"Hồ Sử Minh Tài")</f>
        <v>Hồ Sử Minh Tài</v>
      </c>
      <c r="U185" s="27">
        <f ca="1">IFERROR(__xludf.DUMMYFUNCTION("""COMPUTED_VALUE"""),45698)</f>
        <v>45698</v>
      </c>
      <c r="V185" s="27">
        <f ca="1">IFERROR(__xludf.DUMMYFUNCTION("""COMPUTED_VALUE"""),45787)</f>
        <v>45787</v>
      </c>
      <c r="W185" s="23">
        <f ca="1">IFERROR(__xludf.DUMMYFUNCTION("""COMPUTED_VALUE"""),184)</f>
        <v>184</v>
      </c>
      <c r="X185" s="28">
        <f ca="1">IFERROR(__xludf.DUMMYFUNCTION("""COMPUTED_VALUE"""),45840)</f>
        <v>45840</v>
      </c>
      <c r="Y185" s="23" t="str">
        <f ca="1">IFERROR(__xludf.DUMMYFUNCTION("""COMPUTED_VALUE"""),"DUYỆT")</f>
        <v>DUYỆT</v>
      </c>
      <c r="Z185" s="28">
        <f ca="1">IFERROR(__xludf.DUMMYFUNCTION("""COMPUTED_VALUE"""),45932)</f>
        <v>45932</v>
      </c>
      <c r="AA185" s="23" t="str">
        <f ca="1">IFERROR(__xludf.DUMMYFUNCTION("""COMPUTED_VALUE"""),"Premier Village Danang Resort")</f>
        <v>Premier Village Danang Resort</v>
      </c>
      <c r="AB185" s="23" t="str">
        <f ca="1">IFERROR(__xludf.DUMMYFUNCTION("""COMPUTED_VALUE"""),"Nhà hàng")</f>
        <v>Nhà hàng</v>
      </c>
      <c r="AC185" s="23"/>
      <c r="AD185" s="23" t="str">
        <f ca="1">IFERROR(__xludf.DUMMYFUNCTION("""COMPUTED_VALUE"""),"SV phải đảm bảo không thực tập quá 5sv/nhà hàng")</f>
        <v>SV phải đảm bảo không thực tập quá 5sv/nhà hàng</v>
      </c>
      <c r="AE185" s="23" t="str">
        <f ca="1">IFERROR(__xludf.DUMMYFUNCTION("""COMPUTED_VALUE"""),"")</f>
        <v/>
      </c>
      <c r="AF185" s="23" t="str">
        <f ca="1">IFERROR(__xludf.DUMMYFUNCTION("""COMPUTED_VALUE"""),"CHUYÊN ĐỀ")</f>
        <v>CHUYÊN ĐỀ</v>
      </c>
      <c r="AG185" s="23" t="str">
        <f ca="1">IFERROR(__xludf.DUMMYFUNCTION("""COMPUTED_VALUE"""),"Trần Hoàng Anh")</f>
        <v>Trần Hoàng Anh</v>
      </c>
    </row>
    <row r="186" spans="1:33" ht="12.75" x14ac:dyDescent="0.2">
      <c r="A186" s="26">
        <f ca="1">IFERROR(__xludf.DUMMYFUNCTION("""COMPUTED_VALUE"""),45695.4302321412)</f>
        <v>45695.430232141203</v>
      </c>
      <c r="B186" s="23" t="str">
        <f ca="1">IFERROR(__xludf.DUMMYFUNCTION("""COMPUTED_VALUE"""),"miinhduc1311@gmail.com")</f>
        <v>miinhduc1311@gmail.com</v>
      </c>
      <c r="C186" s="23">
        <f ca="1">IFERROR(__xludf.DUMMYFUNCTION("""COMPUTED_VALUE"""),27217132174)</f>
        <v>27217132174</v>
      </c>
      <c r="D186" s="23" t="str">
        <f ca="1">IFERROR(__xludf.DUMMYFUNCTION("""COMPUTED_VALUE"""),"Nguyễn Minh Đức")</f>
        <v>Nguyễn Minh Đức</v>
      </c>
      <c r="E186" s="27">
        <f ca="1">IFERROR(__xludf.DUMMYFUNCTION("""COMPUTED_VALUE"""),37573)</f>
        <v>37573</v>
      </c>
      <c r="F186" s="23" t="str">
        <f ca="1">IFERROR(__xludf.DUMMYFUNCTION("""COMPUTED_VALUE"""),"K27PSUDLK2")</f>
        <v>K27PSUDLK2</v>
      </c>
      <c r="G186" s="23" t="str">
        <f ca="1">IFERROR(__xludf.DUMMYFUNCTION("""COMPUTED_VALUE"""),"Quản trị Du lịch &amp; Khách sạn chuẩn PSU")</f>
        <v>Quản trị Du lịch &amp; Khách sạn chuẩn PSU</v>
      </c>
      <c r="H186" s="23">
        <f ca="1">IFERROR(__xludf.DUMMYFUNCTION("""COMPUTED_VALUE"""),27)</f>
        <v>27</v>
      </c>
      <c r="I186" s="23" t="str">
        <f ca="1">IFERROR(__xludf.DUMMYFUNCTION("""COMPUTED_VALUE"""),"0974380500")</f>
        <v>0974380500</v>
      </c>
      <c r="J186" s="23" t="str">
        <f ca="1">IFERROR(__xludf.DUMMYFUNCTION("""COMPUTED_VALUE"""),"Chuyên đề")</f>
        <v>Chuyên đề</v>
      </c>
      <c r="K186" s="23" t="str">
        <f ca="1">IFERROR(__xludf.DUMMYFUNCTION("""COMPUTED_VALUE"""),"Meliá Danang Beach Resort")</f>
        <v>Meliá Danang Beach Resort</v>
      </c>
      <c r="L186" s="23"/>
      <c r="M186" s="23" t="str">
        <f ca="1">IFERROR(__xludf.DUMMYFUNCTION("""COMPUTED_VALUE"""),"19 Trường Sa, Hoà Hải, Ngũ Hành Sơn, Đà Nẵng")</f>
        <v>19 Trường Sa, Hoà Hải, Ngũ Hành Sơn, Đà Nẵng</v>
      </c>
      <c r="N186" s="23" t="str">
        <f ca="1">IFERROR(__xludf.DUMMYFUNCTION("""COMPUTED_VALUE"""),"Đà Nẵng")</f>
        <v>Đà Nẵng</v>
      </c>
      <c r="O186" s="23" t="str">
        <f ca="1">IFERROR(__xludf.DUMMYFUNCTION("""COMPUTED_VALUE"""),"Nhà hàng")</f>
        <v>Nhà hàng</v>
      </c>
      <c r="P186" s="23"/>
      <c r="Q186" s="23" t="str">
        <f ca="1">IFERROR(__xludf.DUMMYFUNCTION("""COMPUTED_VALUE"""),"07/02/2025")</f>
        <v>07/02/2025</v>
      </c>
      <c r="R186" s="23" t="str">
        <f ca="1">IFERROR(__xludf.DUMMYFUNCTION("""COMPUTED_VALUE"""),"cam kết")</f>
        <v>cam kết</v>
      </c>
      <c r="S186" s="23" t="str">
        <f ca="1">IFERROR(__xludf.DUMMYFUNCTION("""COMPUTED_VALUE"""),"Chuyên đề")</f>
        <v>Chuyên đề</v>
      </c>
      <c r="T186" s="23"/>
      <c r="U186" s="27">
        <f ca="1">IFERROR(__xludf.DUMMYFUNCTION("""COMPUTED_VALUE"""),45698)</f>
        <v>45698</v>
      </c>
      <c r="V186" s="27">
        <f ca="1">IFERROR(__xludf.DUMMYFUNCTION("""COMPUTED_VALUE"""),45787)</f>
        <v>45787</v>
      </c>
      <c r="W186" s="23">
        <f ca="1">IFERROR(__xludf.DUMMYFUNCTION("""COMPUTED_VALUE"""),185)</f>
        <v>185</v>
      </c>
      <c r="X186" s="23" t="str">
        <f ca="1">IFERROR(__xludf.DUMMYFUNCTION("""COMPUTED_VALUE"""),"20/02/2025")</f>
        <v>20/02/2025</v>
      </c>
      <c r="Y186" s="23" t="str">
        <f ca="1">IFERROR(__xludf.DUMMYFUNCTION("""COMPUTED_VALUE"""),"DUYỆT")</f>
        <v>DUYỆT</v>
      </c>
      <c r="Z186" s="23" t="str">
        <f ca="1">IFERROR(__xludf.DUMMYFUNCTION("""COMPUTED_VALUE"""),"20/02/2025")</f>
        <v>20/02/2025</v>
      </c>
      <c r="AA186" s="23" t="str">
        <f ca="1">IFERROR(__xludf.DUMMYFUNCTION("""COMPUTED_VALUE"""),"Meliá Danang Beach Resort")</f>
        <v>Meliá Danang Beach Resort</v>
      </c>
      <c r="AB186" s="23" t="str">
        <f ca="1">IFERROR(__xludf.DUMMYFUNCTION("""COMPUTED_VALUE"""),"Nhà hàng")</f>
        <v>Nhà hàng</v>
      </c>
      <c r="AC186" s="23"/>
      <c r="AD186" s="23" t="str">
        <f ca="1">IFERROR(__xludf.DUMMYFUNCTION("""COMPUTED_VALUE"""),"SV đổi đơn vị thực tập ngày 20/02/2025")</f>
        <v>SV đổi đơn vị thực tập ngày 20/02/2025</v>
      </c>
      <c r="AE186" s="23" t="str">
        <f ca="1">IFERROR(__xludf.DUMMYFUNCTION("""COMPUTED_VALUE"""),"")</f>
        <v/>
      </c>
      <c r="AF186" s="23" t="str">
        <f ca="1">IFERROR(__xludf.DUMMYFUNCTION("""COMPUTED_VALUE"""),"CHUYÊN ĐỀ")</f>
        <v>CHUYÊN ĐỀ</v>
      </c>
      <c r="AG186" s="23" t="str">
        <f ca="1">IFERROR(__xludf.DUMMYFUNCTION("""COMPUTED_VALUE"""),"Hồ Sử Minh Tài")</f>
        <v>Hồ Sử Minh Tài</v>
      </c>
    </row>
    <row r="187" spans="1:33" ht="12.75" x14ac:dyDescent="0.2">
      <c r="A187" s="26">
        <f ca="1">IFERROR(__xludf.DUMMYFUNCTION("""COMPUTED_VALUE"""),45695.7528842361)</f>
        <v>45695.752884236099</v>
      </c>
      <c r="B187" s="23" t="str">
        <f ca="1">IFERROR(__xludf.DUMMYFUNCTION("""COMPUTED_VALUE"""),"trannmo2k2@gmail.com")</f>
        <v>trannmo2k2@gmail.com</v>
      </c>
      <c r="C187" s="23">
        <f ca="1">IFERROR(__xludf.DUMMYFUNCTION("""COMPUTED_VALUE"""),27207140954)</f>
        <v>27207140954</v>
      </c>
      <c r="D187" s="23" t="str">
        <f ca="1">IFERROR(__xludf.DUMMYFUNCTION("""COMPUTED_VALUE"""),"Trần Thị Mơ")</f>
        <v>Trần Thị Mơ</v>
      </c>
      <c r="E187" s="27">
        <f ca="1">IFERROR(__xludf.DUMMYFUNCTION("""COMPUTED_VALUE"""),37937)</f>
        <v>37937</v>
      </c>
      <c r="F187" s="23" t="str">
        <f ca="1">IFERROR(__xludf.DUMMYFUNCTION("""COMPUTED_VALUE"""),"K27PSU-DLK2")</f>
        <v>K27PSU-DLK2</v>
      </c>
      <c r="G187" s="23" t="str">
        <f ca="1">IFERROR(__xludf.DUMMYFUNCTION("""COMPUTED_VALUE"""),"Quản trị Du lịch &amp; Khách sạn chuẩn PSU")</f>
        <v>Quản trị Du lịch &amp; Khách sạn chuẩn PSU</v>
      </c>
      <c r="H187" s="23">
        <f ca="1">IFERROR(__xludf.DUMMYFUNCTION("""COMPUTED_VALUE"""),27)</f>
        <v>27</v>
      </c>
      <c r="I187" s="23" t="str">
        <f ca="1">IFERROR(__xludf.DUMMYFUNCTION("""COMPUTED_VALUE"""),"0886632281")</f>
        <v>0886632281</v>
      </c>
      <c r="J187" s="23" t="str">
        <f ca="1">IFERROR(__xludf.DUMMYFUNCTION("""COMPUTED_VALUE"""),"Chuyên đề")</f>
        <v>Chuyên đề</v>
      </c>
      <c r="K187" s="23" t="str">
        <f ca="1">IFERROR(__xludf.DUMMYFUNCTION("""COMPUTED_VALUE"""),"Meliá Danang Beach Resort")</f>
        <v>Meliá Danang Beach Resort</v>
      </c>
      <c r="L187" s="23"/>
      <c r="M187" s="23" t="str">
        <f ca="1">IFERROR(__xludf.DUMMYFUNCTION("""COMPUTED_VALUE"""),"19 Trường Sa, Hoà Hải, Ngũ Hành Sơn, Đà Nẵng")</f>
        <v>19 Trường Sa, Hoà Hải, Ngũ Hành Sơn, Đà Nẵng</v>
      </c>
      <c r="N187" s="23" t="str">
        <f ca="1">IFERROR(__xludf.DUMMYFUNCTION("""COMPUTED_VALUE"""),"Đà Nẵng")</f>
        <v>Đà Nẵng</v>
      </c>
      <c r="O187" s="23" t="str">
        <f ca="1">IFERROR(__xludf.DUMMYFUNCTION("""COMPUTED_VALUE"""),"Nhà hàng")</f>
        <v>Nhà hàng</v>
      </c>
      <c r="P187" s="23"/>
      <c r="Q187" s="23" t="str">
        <f ca="1">IFERROR(__xludf.DUMMYFUNCTION("""COMPUTED_VALUE"""),"07/02/2025")</f>
        <v>07/02/2025</v>
      </c>
      <c r="R187" s="23" t="str">
        <f ca="1">IFERROR(__xludf.DUMMYFUNCTION("""COMPUTED_VALUE"""),"cam kết")</f>
        <v>cam kết</v>
      </c>
      <c r="S187" s="23" t="str">
        <f ca="1">IFERROR(__xludf.DUMMYFUNCTION("""COMPUTED_VALUE"""),"Chuyên đề")</f>
        <v>Chuyên đề</v>
      </c>
      <c r="T187" s="23" t="str">
        <f ca="1">IFERROR(__xludf.DUMMYFUNCTION("""COMPUTED_VALUE"""),"Hồ Sử Minh Tài")</f>
        <v>Hồ Sử Minh Tài</v>
      </c>
      <c r="U187" s="27">
        <f ca="1">IFERROR(__xludf.DUMMYFUNCTION("""COMPUTED_VALUE"""),45698)</f>
        <v>45698</v>
      </c>
      <c r="V187" s="27">
        <f ca="1">IFERROR(__xludf.DUMMYFUNCTION("""COMPUTED_VALUE"""),45787)</f>
        <v>45787</v>
      </c>
      <c r="W187" s="23">
        <f ca="1">IFERROR(__xludf.DUMMYFUNCTION("""COMPUTED_VALUE"""),186)</f>
        <v>186</v>
      </c>
      <c r="X187" s="23" t="str">
        <f ca="1">IFERROR(__xludf.DUMMYFUNCTION("""COMPUTED_VALUE"""),"19/02/2025")</f>
        <v>19/02/2025</v>
      </c>
      <c r="Y187" s="23" t="str">
        <f ca="1">IFERROR(__xludf.DUMMYFUNCTION("""COMPUTED_VALUE"""),"DUYỆT")</f>
        <v>DUYỆT</v>
      </c>
      <c r="Z187" s="23" t="str">
        <f ca="1">IFERROR(__xludf.DUMMYFUNCTION("""COMPUTED_VALUE"""),"19/02/2025")</f>
        <v>19/02/2025</v>
      </c>
      <c r="AA187" s="23" t="str">
        <f ca="1">IFERROR(__xludf.DUMMYFUNCTION("""COMPUTED_VALUE"""),"Meliá Danang Beach Resort")</f>
        <v>Meliá Danang Beach Resort</v>
      </c>
      <c r="AB187" s="23" t="str">
        <f ca="1">IFERROR(__xludf.DUMMYFUNCTION("""COMPUTED_VALUE"""),"Nhà hàng")</f>
        <v>Nhà hàng</v>
      </c>
      <c r="AC187" s="23"/>
      <c r="AD187" s="23" t="str">
        <f ca="1">IFERROR(__xludf.DUMMYFUNCTION("""COMPUTED_VALUE"""),"Sv thay đổi đơn vị tt")</f>
        <v>Sv thay đổi đơn vị tt</v>
      </c>
      <c r="AE187" s="23" t="str">
        <f ca="1">IFERROR(__xludf.DUMMYFUNCTION("""COMPUTED_VALUE"""),"")</f>
        <v/>
      </c>
      <c r="AF187" s="23" t="str">
        <f ca="1">IFERROR(__xludf.DUMMYFUNCTION("""COMPUTED_VALUE"""),"CHUYÊN ĐỀ")</f>
        <v>CHUYÊN ĐỀ</v>
      </c>
      <c r="AG187" s="23" t="str">
        <f ca="1">IFERROR(__xludf.DUMMYFUNCTION("""COMPUTED_VALUE"""),"Hồ Sử Minh Tài")</f>
        <v>Hồ Sử Minh Tài</v>
      </c>
    </row>
    <row r="188" spans="1:33" ht="12.75" x14ac:dyDescent="0.2">
      <c r="A188" s="26">
        <f ca="1">IFERROR(__xludf.DUMMYFUNCTION("""COMPUTED_VALUE"""),45695.4320640625)</f>
        <v>45695.432064062501</v>
      </c>
      <c r="B188" s="23" t="str">
        <f ca="1">IFERROR(__xludf.DUMMYFUNCTION("""COMPUTED_VALUE"""),"kieudiemahihi@gmail.com")</f>
        <v>kieudiemahihi@gmail.com</v>
      </c>
      <c r="C188" s="23">
        <f ca="1">IFERROR(__xludf.DUMMYFUNCTION("""COMPUTED_VALUE"""),27207128646)</f>
        <v>27207128646</v>
      </c>
      <c r="D188" s="23" t="str">
        <f ca="1">IFERROR(__xludf.DUMMYFUNCTION("""COMPUTED_VALUE"""),"Nguyễn Thị Kiều Diễm")</f>
        <v>Nguyễn Thị Kiều Diễm</v>
      </c>
      <c r="E188" s="27">
        <f ca="1">IFERROR(__xludf.DUMMYFUNCTION("""COMPUTED_VALUE"""),37968)</f>
        <v>37968</v>
      </c>
      <c r="F188" s="23" t="str">
        <f ca="1">IFERROR(__xludf.DUMMYFUNCTION("""COMPUTED_VALUE"""),"K27 PSU DLK1")</f>
        <v>K27 PSU DLK1</v>
      </c>
      <c r="G188" s="23" t="str">
        <f ca="1">IFERROR(__xludf.DUMMYFUNCTION("""COMPUTED_VALUE"""),"Quản trị Du lịch &amp; Khách sạn chuẩn PSU")</f>
        <v>Quản trị Du lịch &amp; Khách sạn chuẩn PSU</v>
      </c>
      <c r="H188" s="23">
        <f ca="1">IFERROR(__xludf.DUMMYFUNCTION("""COMPUTED_VALUE"""),27)</f>
        <v>27</v>
      </c>
      <c r="I188" s="23" t="str">
        <f ca="1">IFERROR(__xludf.DUMMYFUNCTION("""COMPUTED_VALUE"""),"0944066871")</f>
        <v>0944066871</v>
      </c>
      <c r="J188" s="23" t="str">
        <f ca="1">IFERROR(__xludf.DUMMYFUNCTION("""COMPUTED_VALUE"""),"Chuyên đề")</f>
        <v>Chuyên đề</v>
      </c>
      <c r="K188" s="23" t="str">
        <f ca="1">IFERROR(__xludf.DUMMYFUNCTION("""COMPUTED_VALUE"""),"Premier Village Danang Resort")</f>
        <v>Premier Village Danang Resort</v>
      </c>
      <c r="L188" s="23" t="str">
        <f ca="1">IFERROR(__xludf.DUMMYFUNCTION("""COMPUTED_VALUE"""),"không")</f>
        <v>không</v>
      </c>
      <c r="M188" s="23" t="str">
        <f ca="1">IFERROR(__xludf.DUMMYFUNCTION("""COMPUTED_VALUE"""),"99 Võ Nguyên Giáp, Mỹ An, Ngũ Hành Sơn, Đà Nẵng")</f>
        <v>99 Võ Nguyên Giáp, Mỹ An, Ngũ Hành Sơn, Đà Nẵng</v>
      </c>
      <c r="N188" s="23" t="str">
        <f ca="1">IFERROR(__xludf.DUMMYFUNCTION("""COMPUTED_VALUE"""),"Đà Nẵng")</f>
        <v>Đà Nẵng</v>
      </c>
      <c r="O188" s="23" t="str">
        <f ca="1">IFERROR(__xludf.DUMMYFUNCTION("""COMPUTED_VALUE"""),"Nhà hàng")</f>
        <v>Nhà hàng</v>
      </c>
      <c r="P188" s="23" t="str">
        <f ca="1">IFERROR(__xludf.DUMMYFUNCTION("""COMPUTED_VALUE"""),"không")</f>
        <v>không</v>
      </c>
      <c r="Q188" s="23" t="str">
        <f ca="1">IFERROR(__xludf.DUMMYFUNCTION("""COMPUTED_VALUE"""),"ngày 7/2/2025")</f>
        <v>ngày 7/2/2025</v>
      </c>
      <c r="R188" s="23" t="str">
        <f ca="1">IFERROR(__xludf.DUMMYFUNCTION("""COMPUTED_VALUE"""),"cam kết")</f>
        <v>cam kết</v>
      </c>
      <c r="S188" s="23" t="str">
        <f ca="1">IFERROR(__xludf.DUMMYFUNCTION("""COMPUTED_VALUE"""),"Chuyên đề")</f>
        <v>Chuyên đề</v>
      </c>
      <c r="T188" s="23"/>
      <c r="U188" s="27">
        <f ca="1">IFERROR(__xludf.DUMMYFUNCTION("""COMPUTED_VALUE"""),45698)</f>
        <v>45698</v>
      </c>
      <c r="V188" s="27">
        <f ca="1">IFERROR(__xludf.DUMMYFUNCTION("""COMPUTED_VALUE"""),45786)</f>
        <v>45786</v>
      </c>
      <c r="W188" s="23">
        <f ca="1">IFERROR(__xludf.DUMMYFUNCTION("""COMPUTED_VALUE"""),187)</f>
        <v>187</v>
      </c>
      <c r="X188" s="28">
        <f ca="1">IFERROR(__xludf.DUMMYFUNCTION("""COMPUTED_VALUE"""),45840)</f>
        <v>45840</v>
      </c>
      <c r="Y188" s="23" t="str">
        <f ca="1">IFERROR(__xludf.DUMMYFUNCTION("""COMPUTED_VALUE"""),"DUYỆT")</f>
        <v>DUYỆT</v>
      </c>
      <c r="Z188" s="28">
        <f ca="1">IFERROR(__xludf.DUMMYFUNCTION("""COMPUTED_VALUE"""),45932)</f>
        <v>45932</v>
      </c>
      <c r="AA188" s="23" t="str">
        <f ca="1">IFERROR(__xludf.DUMMYFUNCTION("""COMPUTED_VALUE"""),"Premier Village Danang Resort")</f>
        <v>Premier Village Danang Resort</v>
      </c>
      <c r="AB188" s="23" t="str">
        <f ca="1">IFERROR(__xludf.DUMMYFUNCTION("""COMPUTED_VALUE"""),"Nhà hàng")</f>
        <v>Nhà hàng</v>
      </c>
      <c r="AC188" s="23"/>
      <c r="AD188" s="23" t="str">
        <f ca="1">IFERROR(__xludf.DUMMYFUNCTION("""COMPUTED_VALUE"""),"SV phải đảm bảo không thực tập quá 5sv/nhà hàng")</f>
        <v>SV phải đảm bảo không thực tập quá 5sv/nhà hàng</v>
      </c>
      <c r="AE188" s="23" t="str">
        <f ca="1">IFERROR(__xludf.DUMMYFUNCTION("""COMPUTED_VALUE"""),"")</f>
        <v/>
      </c>
      <c r="AF188" s="23" t="str">
        <f ca="1">IFERROR(__xludf.DUMMYFUNCTION("""COMPUTED_VALUE"""),"CHUYÊN ĐỀ")</f>
        <v>CHUYÊN ĐỀ</v>
      </c>
      <c r="AG188" s="23" t="str">
        <f ca="1">IFERROR(__xludf.DUMMYFUNCTION("""COMPUTED_VALUE"""),"Trần Hoàng Anh")</f>
        <v>Trần Hoàng Anh</v>
      </c>
    </row>
    <row r="189" spans="1:33" ht="12.75" x14ac:dyDescent="0.2">
      <c r="A189" s="26">
        <f ca="1">IFERROR(__xludf.DUMMYFUNCTION("""COMPUTED_VALUE"""),45695.432091956)</f>
        <v>45695.432091955998</v>
      </c>
      <c r="B189" s="23" t="str">
        <f ca="1">IFERROR(__xludf.DUMMYFUNCTION("""COMPUTED_VALUE"""),"quy042017@gmail.com")</f>
        <v>quy042017@gmail.com</v>
      </c>
      <c r="C189" s="23">
        <f ca="1">IFERROR(__xludf.DUMMYFUNCTION("""COMPUTED_VALUE"""),27207128427)</f>
        <v>27207128427</v>
      </c>
      <c r="D189" s="23" t="str">
        <f ca="1">IFERROR(__xludf.DUMMYFUNCTION("""COMPUTED_VALUE"""),"Lê Kim Quy")</f>
        <v>Lê Kim Quy</v>
      </c>
      <c r="E189" s="27">
        <f ca="1">IFERROR(__xludf.DUMMYFUNCTION("""COMPUTED_VALUE"""),37724)</f>
        <v>37724</v>
      </c>
      <c r="F189" s="23" t="str">
        <f ca="1">IFERROR(__xludf.DUMMYFUNCTION("""COMPUTED_VALUE"""),"K27 PSU DLK2")</f>
        <v>K27 PSU DLK2</v>
      </c>
      <c r="G189" s="23" t="str">
        <f ca="1">IFERROR(__xludf.DUMMYFUNCTION("""COMPUTED_VALUE"""),"Quản trị Du lịch &amp; Khách sạn chuẩn PSU")</f>
        <v>Quản trị Du lịch &amp; Khách sạn chuẩn PSU</v>
      </c>
      <c r="H189" s="23">
        <f ca="1">IFERROR(__xludf.DUMMYFUNCTION("""COMPUTED_VALUE"""),27)</f>
        <v>27</v>
      </c>
      <c r="I189" s="23" t="str">
        <f ca="1">IFERROR(__xludf.DUMMYFUNCTION("""COMPUTED_VALUE"""),"0943742719")</f>
        <v>0943742719</v>
      </c>
      <c r="J189" s="23" t="str">
        <f ca="1">IFERROR(__xludf.DUMMYFUNCTION("""COMPUTED_VALUE"""),"Chuyên đề")</f>
        <v>Chuyên đề</v>
      </c>
      <c r="K189" s="23" t="str">
        <f ca="1">IFERROR(__xludf.DUMMYFUNCTION("""COMPUTED_VALUE"""),"Premier Village Danang Resort")</f>
        <v>Premier Village Danang Resort</v>
      </c>
      <c r="L189" s="23" t="str">
        <f ca="1">IFERROR(__xludf.DUMMYFUNCTION("""COMPUTED_VALUE"""),"Không")</f>
        <v>Không</v>
      </c>
      <c r="M189" s="23" t="str">
        <f ca="1">IFERROR(__xludf.DUMMYFUNCTION("""COMPUTED_VALUE"""),"99 Võ Nguyên Giáp, phường Mỹ An, quận Ngũ Hành Sơn, thành phố Đà Nẵng")</f>
        <v>99 Võ Nguyên Giáp, phường Mỹ An, quận Ngũ Hành Sơn, thành phố Đà Nẵng</v>
      </c>
      <c r="N189" s="23" t="str">
        <f ca="1">IFERROR(__xludf.DUMMYFUNCTION("""COMPUTED_VALUE"""),"Đà Nẵng")</f>
        <v>Đà Nẵng</v>
      </c>
      <c r="O189" s="23" t="str">
        <f ca="1">IFERROR(__xludf.DUMMYFUNCTION("""COMPUTED_VALUE"""),"Nhà hàng")</f>
        <v>Nhà hàng</v>
      </c>
      <c r="P189" s="23" t="str">
        <f ca="1">IFERROR(__xludf.DUMMYFUNCTION("""COMPUTED_VALUE"""),"Không")</f>
        <v>Không</v>
      </c>
      <c r="Q189" s="23" t="str">
        <f ca="1">IFERROR(__xludf.DUMMYFUNCTION("""COMPUTED_VALUE"""),"Ngày 7/2/2025")</f>
        <v>Ngày 7/2/2025</v>
      </c>
      <c r="R189" s="23" t="str">
        <f ca="1">IFERROR(__xludf.DUMMYFUNCTION("""COMPUTED_VALUE"""),"cam kết")</f>
        <v>cam kết</v>
      </c>
      <c r="S189" s="23" t="str">
        <f ca="1">IFERROR(__xludf.DUMMYFUNCTION("""COMPUTED_VALUE"""),"Chuyên đề")</f>
        <v>Chuyên đề</v>
      </c>
      <c r="T189" s="23"/>
      <c r="U189" s="27">
        <f ca="1">IFERROR(__xludf.DUMMYFUNCTION("""COMPUTED_VALUE"""),45698)</f>
        <v>45698</v>
      </c>
      <c r="V189" s="27">
        <f ca="1">IFERROR(__xludf.DUMMYFUNCTION("""COMPUTED_VALUE"""),45786)</f>
        <v>45786</v>
      </c>
      <c r="W189" s="23">
        <f ca="1">IFERROR(__xludf.DUMMYFUNCTION("""COMPUTED_VALUE"""),188)</f>
        <v>188</v>
      </c>
      <c r="X189" s="28">
        <f ca="1">IFERROR(__xludf.DUMMYFUNCTION("""COMPUTED_VALUE"""),45840)</f>
        <v>45840</v>
      </c>
      <c r="Y189" s="23" t="str">
        <f ca="1">IFERROR(__xludf.DUMMYFUNCTION("""COMPUTED_VALUE"""),"DUYỆT")</f>
        <v>DUYỆT</v>
      </c>
      <c r="Z189" s="28">
        <f ca="1">IFERROR(__xludf.DUMMYFUNCTION("""COMPUTED_VALUE"""),45932)</f>
        <v>45932</v>
      </c>
      <c r="AA189" s="23" t="str">
        <f ca="1">IFERROR(__xludf.DUMMYFUNCTION("""COMPUTED_VALUE"""),"Premier Village Danang Resort")</f>
        <v>Premier Village Danang Resort</v>
      </c>
      <c r="AB189" s="23" t="str">
        <f ca="1">IFERROR(__xludf.DUMMYFUNCTION("""COMPUTED_VALUE"""),"Nhà hàng")</f>
        <v>Nhà hàng</v>
      </c>
      <c r="AC189" s="23"/>
      <c r="AD189" s="23" t="str">
        <f ca="1">IFERROR(__xludf.DUMMYFUNCTION("""COMPUTED_VALUE"""),"SV phải đảm bảo không thực tập quá 5sv/nhà hàng")</f>
        <v>SV phải đảm bảo không thực tập quá 5sv/nhà hàng</v>
      </c>
      <c r="AE189" s="23" t="str">
        <f ca="1">IFERROR(__xludf.DUMMYFUNCTION("""COMPUTED_VALUE"""),"")</f>
        <v/>
      </c>
      <c r="AF189" s="23" t="str">
        <f ca="1">IFERROR(__xludf.DUMMYFUNCTION("""COMPUTED_VALUE"""),"CHUYÊN ĐỀ")</f>
        <v>CHUYÊN ĐỀ</v>
      </c>
      <c r="AG189" s="23" t="str">
        <f ca="1">IFERROR(__xludf.DUMMYFUNCTION("""COMPUTED_VALUE"""),"Trần Hoàng Anh")</f>
        <v>Trần Hoàng Anh</v>
      </c>
    </row>
    <row r="190" spans="1:33" ht="12.75" x14ac:dyDescent="0.2">
      <c r="A190" s="26">
        <f ca="1">IFERROR(__xludf.DUMMYFUNCTION("""COMPUTED_VALUE"""),45695.4324552199)</f>
        <v>45695.432455219903</v>
      </c>
      <c r="B190" s="23" t="str">
        <f ca="1">IFERROR(__xludf.DUMMYFUNCTION("""COMPUTED_VALUE"""),"thuynguyen.2011001@gmail.com")</f>
        <v>thuynguyen.2011001@gmail.com</v>
      </c>
      <c r="C190" s="23">
        <f ca="1">IFERROR(__xludf.DUMMYFUNCTION("""COMPUTED_VALUE"""),27207101932)</f>
        <v>27207101932</v>
      </c>
      <c r="D190" s="23" t="str">
        <f ca="1">IFERROR(__xludf.DUMMYFUNCTION("""COMPUTED_VALUE"""),"Nguyễn Thị Diễm Thuý")</f>
        <v>Nguyễn Thị Diễm Thuý</v>
      </c>
      <c r="E190" s="27">
        <f ca="1">IFERROR(__xludf.DUMMYFUNCTION("""COMPUTED_VALUE"""),37215)</f>
        <v>37215</v>
      </c>
      <c r="F190" s="23" t="str">
        <f ca="1">IFERROR(__xludf.DUMMYFUNCTION("""COMPUTED_VALUE"""),"K27PSUDLK 2")</f>
        <v>K27PSUDLK 2</v>
      </c>
      <c r="G190" s="23" t="str">
        <f ca="1">IFERROR(__xludf.DUMMYFUNCTION("""COMPUTED_VALUE"""),"Quản trị Du lịch &amp; Khách sạn chuẩn PSU")</f>
        <v>Quản trị Du lịch &amp; Khách sạn chuẩn PSU</v>
      </c>
      <c r="H190" s="23">
        <f ca="1">IFERROR(__xludf.DUMMYFUNCTION("""COMPUTED_VALUE"""),27)</f>
        <v>27</v>
      </c>
      <c r="I190" s="23" t="str">
        <f ca="1">IFERROR(__xludf.DUMMYFUNCTION("""COMPUTED_VALUE"""),"0387344662")</f>
        <v>0387344662</v>
      </c>
      <c r="J190" s="23" t="str">
        <f ca="1">IFERROR(__xludf.DUMMYFUNCTION("""COMPUTED_VALUE"""),"Chuyên đề")</f>
        <v>Chuyên đề</v>
      </c>
      <c r="K190" s="23" t="str">
        <f ca="1">IFERROR(__xludf.DUMMYFUNCTION("""COMPUTED_VALUE"""),"Meliá Danang Beach Resort")</f>
        <v>Meliá Danang Beach Resort</v>
      </c>
      <c r="L190" s="23"/>
      <c r="M190" s="23" t="str">
        <f ca="1">IFERROR(__xludf.DUMMYFUNCTION("""COMPUTED_VALUE"""),"19 Trường Sa, Hoà Hải, Ngũ Hành Sơn, Đà Nẵng")</f>
        <v>19 Trường Sa, Hoà Hải, Ngũ Hành Sơn, Đà Nẵng</v>
      </c>
      <c r="N190" s="23" t="str">
        <f ca="1">IFERROR(__xludf.DUMMYFUNCTION("""COMPUTED_VALUE"""),"Đà Nẵng")</f>
        <v>Đà Nẵng</v>
      </c>
      <c r="O190" s="23" t="str">
        <f ca="1">IFERROR(__xludf.DUMMYFUNCTION("""COMPUTED_VALUE"""),"Nhà hàng")</f>
        <v>Nhà hàng</v>
      </c>
      <c r="P190" s="23"/>
      <c r="Q190" s="23" t="str">
        <f ca="1">IFERROR(__xludf.DUMMYFUNCTION("""COMPUTED_VALUE"""),"07/02/2025")</f>
        <v>07/02/2025</v>
      </c>
      <c r="R190" s="23" t="str">
        <f ca="1">IFERROR(__xludf.DUMMYFUNCTION("""COMPUTED_VALUE"""),"cam kết")</f>
        <v>cam kết</v>
      </c>
      <c r="S190" s="23" t="str">
        <f ca="1">IFERROR(__xludf.DUMMYFUNCTION("""COMPUTED_VALUE"""),"Chuyên đề")</f>
        <v>Chuyên đề</v>
      </c>
      <c r="T190" s="23" t="str">
        <f ca="1">IFERROR(__xludf.DUMMYFUNCTION("""COMPUTED_VALUE"""),"Hồ Sử Minh Tài")</f>
        <v>Hồ Sử Minh Tài</v>
      </c>
      <c r="U190" s="27">
        <f ca="1">IFERROR(__xludf.DUMMYFUNCTION("""COMPUTED_VALUE"""),45698)</f>
        <v>45698</v>
      </c>
      <c r="V190" s="27">
        <f ca="1">IFERROR(__xludf.DUMMYFUNCTION("""COMPUTED_VALUE"""),45786)</f>
        <v>45786</v>
      </c>
      <c r="W190" s="23">
        <f ca="1">IFERROR(__xludf.DUMMYFUNCTION("""COMPUTED_VALUE"""),189)</f>
        <v>189</v>
      </c>
      <c r="X190" s="23" t="str">
        <f ca="1">IFERROR(__xludf.DUMMYFUNCTION("""COMPUTED_VALUE"""),"20/02/2025")</f>
        <v>20/02/2025</v>
      </c>
      <c r="Y190" s="23" t="str">
        <f ca="1">IFERROR(__xludf.DUMMYFUNCTION("""COMPUTED_VALUE"""),"DUYỆT")</f>
        <v>DUYỆT</v>
      </c>
      <c r="Z190" s="23" t="str">
        <f ca="1">IFERROR(__xludf.DUMMYFUNCTION("""COMPUTED_VALUE"""),"20/02/2025")</f>
        <v>20/02/2025</v>
      </c>
      <c r="AA190" s="23" t="str">
        <f ca="1">IFERROR(__xludf.DUMMYFUNCTION("""COMPUTED_VALUE"""),"Meliá Danang Beach Resort")</f>
        <v>Meliá Danang Beach Resort</v>
      </c>
      <c r="AB190" s="23" t="str">
        <f ca="1">IFERROR(__xludf.DUMMYFUNCTION("""COMPUTED_VALUE"""),"Nhà hàng")</f>
        <v>Nhà hàng</v>
      </c>
      <c r="AC190" s="23"/>
      <c r="AD190" s="23" t="str">
        <f ca="1">IFERROR(__xludf.DUMMYFUNCTION("""COMPUTED_VALUE"""),"SV đổi đơn vị thực tập ngày 20/02/2025")</f>
        <v>SV đổi đơn vị thực tập ngày 20/02/2025</v>
      </c>
      <c r="AE190" s="23" t="str">
        <f ca="1">IFERROR(__xludf.DUMMYFUNCTION("""COMPUTED_VALUE"""),"")</f>
        <v/>
      </c>
      <c r="AF190" s="23" t="str">
        <f ca="1">IFERROR(__xludf.DUMMYFUNCTION("""COMPUTED_VALUE"""),"CHUYÊN ĐỀ")</f>
        <v>CHUYÊN ĐỀ</v>
      </c>
      <c r="AG190" s="23" t="str">
        <f ca="1">IFERROR(__xludf.DUMMYFUNCTION("""COMPUTED_VALUE"""),"Hồ Sử Minh Tài")</f>
        <v>Hồ Sử Minh Tài</v>
      </c>
    </row>
    <row r="191" spans="1:33" ht="12.75" x14ac:dyDescent="0.2">
      <c r="A191" s="26">
        <f ca="1">IFERROR(__xludf.DUMMYFUNCTION("""COMPUTED_VALUE"""),45695.4331616782)</f>
        <v>45695.4331616782</v>
      </c>
      <c r="B191" s="23" t="str">
        <f ca="1">IFERROR(__xludf.DUMMYFUNCTION("""COMPUTED_VALUE"""),"thanhc2nct2021@gmail.com")</f>
        <v>thanhc2nct2021@gmail.com</v>
      </c>
      <c r="C191" s="23">
        <f ca="1">IFERROR(__xludf.DUMMYFUNCTION("""COMPUTED_VALUE"""),27217102897)</f>
        <v>27217102897</v>
      </c>
      <c r="D191" s="23" t="str">
        <f ca="1">IFERROR(__xludf.DUMMYFUNCTION("""COMPUTED_VALUE"""),"Đỗ Kim Thành")</f>
        <v>Đỗ Kim Thành</v>
      </c>
      <c r="E191" s="27">
        <f ca="1">IFERROR(__xludf.DUMMYFUNCTION("""COMPUTED_VALUE"""),37689)</f>
        <v>37689</v>
      </c>
      <c r="F191" s="23" t="str">
        <f ca="1">IFERROR(__xludf.DUMMYFUNCTION("""COMPUTED_VALUE"""),"K27PSUDLK 2")</f>
        <v>K27PSUDLK 2</v>
      </c>
      <c r="G191" s="23" t="str">
        <f ca="1">IFERROR(__xludf.DUMMYFUNCTION("""COMPUTED_VALUE"""),"Quản trị Du lịch &amp; Khách sạn chuẩn PSU")</f>
        <v>Quản trị Du lịch &amp; Khách sạn chuẩn PSU</v>
      </c>
      <c r="H191" s="23">
        <f ca="1">IFERROR(__xludf.DUMMYFUNCTION("""COMPUTED_VALUE"""),27)</f>
        <v>27</v>
      </c>
      <c r="I191" s="23" t="str">
        <f ca="1">IFERROR(__xludf.DUMMYFUNCTION("""COMPUTED_VALUE"""),"0339983767")</f>
        <v>0339983767</v>
      </c>
      <c r="J191" s="23" t="str">
        <f ca="1">IFERROR(__xludf.DUMMYFUNCTION("""COMPUTED_VALUE"""),"Khóa luận")</f>
        <v>Khóa luận</v>
      </c>
      <c r="K191" s="23" t="str">
        <f ca="1">IFERROR(__xludf.DUMMYFUNCTION("""COMPUTED_VALUE"""),"Premier Village Danang Resort")</f>
        <v>Premier Village Danang Resort</v>
      </c>
      <c r="L191" s="23"/>
      <c r="M191" s="23" t="str">
        <f ca="1">IFERROR(__xludf.DUMMYFUNCTION("""COMPUTED_VALUE"""),"99 Võ Nguyên Giáp, Mỹ An, Ngũ Hành Sơn, Đà Nẵng")</f>
        <v>99 Võ Nguyên Giáp, Mỹ An, Ngũ Hành Sơn, Đà Nẵng</v>
      </c>
      <c r="N191" s="23" t="str">
        <f ca="1">IFERROR(__xludf.DUMMYFUNCTION("""COMPUTED_VALUE"""),"Đà Nẵng")</f>
        <v>Đà Nẵng</v>
      </c>
      <c r="O191" s="23" t="str">
        <f ca="1">IFERROR(__xludf.DUMMYFUNCTION("""COMPUTED_VALUE"""),"Nhà hàng")</f>
        <v>Nhà hàng</v>
      </c>
      <c r="P191" s="23"/>
      <c r="Q191" s="23" t="str">
        <f ca="1">IFERROR(__xludf.DUMMYFUNCTION("""COMPUTED_VALUE"""),"07/02/2025")</f>
        <v>07/02/2025</v>
      </c>
      <c r="R191" s="23" t="str">
        <f ca="1">IFERROR(__xludf.DUMMYFUNCTION("""COMPUTED_VALUE"""),"cam kết")</f>
        <v>cam kết</v>
      </c>
      <c r="S191" s="23" t="str">
        <f ca="1">IFERROR(__xludf.DUMMYFUNCTION("""COMPUTED_VALUE"""),"Khóa luận")</f>
        <v>Khóa luận</v>
      </c>
      <c r="T191" s="23" t="str">
        <f ca="1">IFERROR(__xludf.DUMMYFUNCTION("""COMPUTED_VALUE"""),"Hồ Sử Minh Tài")</f>
        <v>Hồ Sử Minh Tài</v>
      </c>
      <c r="U191" s="27">
        <f ca="1">IFERROR(__xludf.DUMMYFUNCTION("""COMPUTED_VALUE"""),45698)</f>
        <v>45698</v>
      </c>
      <c r="V191" s="27">
        <f ca="1">IFERROR(__xludf.DUMMYFUNCTION("""COMPUTED_VALUE"""),45786)</f>
        <v>45786</v>
      </c>
      <c r="W191" s="23">
        <f ca="1">IFERROR(__xludf.DUMMYFUNCTION("""COMPUTED_VALUE"""),190)</f>
        <v>190</v>
      </c>
      <c r="X191" s="28">
        <f ca="1">IFERROR(__xludf.DUMMYFUNCTION("""COMPUTED_VALUE"""),45840)</f>
        <v>45840</v>
      </c>
      <c r="Y191" s="23" t="str">
        <f ca="1">IFERROR(__xludf.DUMMYFUNCTION("""COMPUTED_VALUE"""),"DUYỆT")</f>
        <v>DUYỆT</v>
      </c>
      <c r="Z191" s="28">
        <f ca="1">IFERROR(__xludf.DUMMYFUNCTION("""COMPUTED_VALUE"""),45932)</f>
        <v>45932</v>
      </c>
      <c r="AA191" s="23" t="str">
        <f ca="1">IFERROR(__xludf.DUMMYFUNCTION("""COMPUTED_VALUE"""),"Premier Village Danang Resort")</f>
        <v>Premier Village Danang Resort</v>
      </c>
      <c r="AB191" s="23" t="str">
        <f ca="1">IFERROR(__xludf.DUMMYFUNCTION("""COMPUTED_VALUE"""),"Nhà hàng")</f>
        <v>Nhà hàng</v>
      </c>
      <c r="AC191" s="23"/>
      <c r="AD191" s="23" t="str">
        <f ca="1">IFERROR(__xludf.DUMMYFUNCTION("""COMPUTED_VALUE"""),"SV phải đảm bảo không thực tập quá 5sv/nhà hàng")</f>
        <v>SV phải đảm bảo không thực tập quá 5sv/nhà hàng</v>
      </c>
      <c r="AE191" s="23" t="str">
        <f ca="1">IFERROR(__xludf.DUMMYFUNCTION("""COMPUTED_VALUE"""),"")</f>
        <v/>
      </c>
      <c r="AF191" s="23" t="str">
        <f ca="1">IFERROR(__xludf.DUMMYFUNCTION("""COMPUTED_VALUE"""),"KHÓA LUẬN")</f>
        <v>KHÓA LUẬN</v>
      </c>
      <c r="AG191" s="23" t="str">
        <f ca="1">IFERROR(__xludf.DUMMYFUNCTION("""COMPUTED_VALUE"""),"Hồ Sử Minh Tài")</f>
        <v>Hồ Sử Minh Tài</v>
      </c>
    </row>
    <row r="192" spans="1:33" ht="12.75" x14ac:dyDescent="0.2">
      <c r="A192" s="26">
        <f ca="1">IFERROR(__xludf.DUMMYFUNCTION("""COMPUTED_VALUE"""),45695.4340633564)</f>
        <v>45695.434063356399</v>
      </c>
      <c r="B192" s="23" t="str">
        <f ca="1">IFERROR(__xludf.DUMMYFUNCTION("""COMPUTED_VALUE"""),"thaovo.101198@gmail.com")</f>
        <v>thaovo.101198@gmail.com</v>
      </c>
      <c r="C192" s="23">
        <f ca="1">IFERROR(__xludf.DUMMYFUNCTION("""COMPUTED_VALUE"""),27207100430)</f>
        <v>27207100430</v>
      </c>
      <c r="D192" s="23" t="str">
        <f ca="1">IFERROR(__xludf.DUMMYFUNCTION("""COMPUTED_VALUE"""),"Võ Thị Thu Thảo")</f>
        <v>Võ Thị Thu Thảo</v>
      </c>
      <c r="E192" s="27">
        <f ca="1">IFERROR(__xludf.DUMMYFUNCTION("""COMPUTED_VALUE"""),37935)</f>
        <v>37935</v>
      </c>
      <c r="F192" s="23" t="str">
        <f ca="1">IFERROR(__xludf.DUMMYFUNCTION("""COMPUTED_VALUE"""),"K27PSUDLK 2")</f>
        <v>K27PSUDLK 2</v>
      </c>
      <c r="G192" s="23" t="str">
        <f ca="1">IFERROR(__xludf.DUMMYFUNCTION("""COMPUTED_VALUE"""),"Quản trị Du lịch &amp; Khách sạn chuẩn PSU")</f>
        <v>Quản trị Du lịch &amp; Khách sạn chuẩn PSU</v>
      </c>
      <c r="H192" s="23">
        <f ca="1">IFERROR(__xludf.DUMMYFUNCTION("""COMPUTED_VALUE"""),27)</f>
        <v>27</v>
      </c>
      <c r="I192" s="23" t="str">
        <f ca="1">IFERROR(__xludf.DUMMYFUNCTION("""COMPUTED_VALUE"""),"0384754700")</f>
        <v>0384754700</v>
      </c>
      <c r="J192" s="23" t="str">
        <f ca="1">IFERROR(__xludf.DUMMYFUNCTION("""COMPUTED_VALUE"""),"Chuyên đề")</f>
        <v>Chuyên đề</v>
      </c>
      <c r="K192" s="23" t="str">
        <f ca="1">IFERROR(__xludf.DUMMYFUNCTION("""COMPUTED_VALUE"""),"Premier Village Danang Resort")</f>
        <v>Premier Village Danang Resort</v>
      </c>
      <c r="L192" s="23"/>
      <c r="M192" s="23" t="str">
        <f ca="1">IFERROR(__xludf.DUMMYFUNCTION("""COMPUTED_VALUE"""),"99 Võ Nguyên Giáp/ Mỹ An/ Ngũ Hành Sơn/ Đà Nẵng")</f>
        <v>99 Võ Nguyên Giáp/ Mỹ An/ Ngũ Hành Sơn/ Đà Nẵng</v>
      </c>
      <c r="N192" s="23" t="str">
        <f ca="1">IFERROR(__xludf.DUMMYFUNCTION("""COMPUTED_VALUE"""),"Thành phố Đà Nẵng")</f>
        <v>Thành phố Đà Nẵng</v>
      </c>
      <c r="O192" s="23" t="str">
        <f ca="1">IFERROR(__xludf.DUMMYFUNCTION("""COMPUTED_VALUE"""),"Buồng phòng")</f>
        <v>Buồng phòng</v>
      </c>
      <c r="P192" s="23"/>
      <c r="Q192" s="23" t="str">
        <f ca="1">IFERROR(__xludf.DUMMYFUNCTION("""COMPUTED_VALUE"""),"07/02/2025")</f>
        <v>07/02/2025</v>
      </c>
      <c r="R192" s="23" t="str">
        <f ca="1">IFERROR(__xludf.DUMMYFUNCTION("""COMPUTED_VALUE"""),"cam kết")</f>
        <v>cam kết</v>
      </c>
      <c r="S192" s="23" t="str">
        <f ca="1">IFERROR(__xludf.DUMMYFUNCTION("""COMPUTED_VALUE"""),"Chuyên đề")</f>
        <v>Chuyên đề</v>
      </c>
      <c r="T192" s="23" t="str">
        <f ca="1">IFERROR(__xludf.DUMMYFUNCTION("""COMPUTED_VALUE"""),"Hồ Sử Minh Tài")</f>
        <v>Hồ Sử Minh Tài</v>
      </c>
      <c r="U192" s="27">
        <f ca="1">IFERROR(__xludf.DUMMYFUNCTION("""COMPUTED_VALUE"""),45698)</f>
        <v>45698</v>
      </c>
      <c r="V192" s="27">
        <f ca="1">IFERROR(__xludf.DUMMYFUNCTION("""COMPUTED_VALUE"""),45786)</f>
        <v>45786</v>
      </c>
      <c r="W192" s="23">
        <f ca="1">IFERROR(__xludf.DUMMYFUNCTION("""COMPUTED_VALUE"""),191)</f>
        <v>191</v>
      </c>
      <c r="X192" s="28">
        <f ca="1">IFERROR(__xludf.DUMMYFUNCTION("""COMPUTED_VALUE"""),45840)</f>
        <v>45840</v>
      </c>
      <c r="Y192" s="23" t="str">
        <f ca="1">IFERROR(__xludf.DUMMYFUNCTION("""COMPUTED_VALUE"""),"DUYỆT")</f>
        <v>DUYỆT</v>
      </c>
      <c r="Z192" s="28">
        <f ca="1">IFERROR(__xludf.DUMMYFUNCTION("""COMPUTED_VALUE"""),45932)</f>
        <v>45932</v>
      </c>
      <c r="AA192" s="23" t="str">
        <f ca="1">IFERROR(__xludf.DUMMYFUNCTION("""COMPUTED_VALUE"""),"Premier Village Danang Resort")</f>
        <v>Premier Village Danang Resort</v>
      </c>
      <c r="AB192" s="23" t="str">
        <f ca="1">IFERROR(__xludf.DUMMYFUNCTION("""COMPUTED_VALUE"""),"Buồng phòng")</f>
        <v>Buồng phòng</v>
      </c>
      <c r="AC192" s="23"/>
      <c r="AD192" s="23"/>
      <c r="AE192" s="23" t="str">
        <f ca="1">IFERROR(__xludf.DUMMYFUNCTION("""COMPUTED_VALUE"""),"")</f>
        <v/>
      </c>
      <c r="AF192" s="23" t="str">
        <f ca="1">IFERROR(__xludf.DUMMYFUNCTION("""COMPUTED_VALUE"""),"CHUYÊN ĐỀ")</f>
        <v>CHUYÊN ĐỀ</v>
      </c>
      <c r="AG192" s="23" t="str">
        <f ca="1">IFERROR(__xludf.DUMMYFUNCTION("""COMPUTED_VALUE"""),"Hồ Sử Minh Tài")</f>
        <v>Hồ Sử Minh Tài</v>
      </c>
    </row>
    <row r="193" spans="1:33" ht="12.75" x14ac:dyDescent="0.2">
      <c r="A193" s="26">
        <f ca="1">IFERROR(__xludf.DUMMYFUNCTION("""COMPUTED_VALUE"""),45695.4500148032)</f>
        <v>45695.450014803202</v>
      </c>
      <c r="B193" s="23" t="str">
        <f ca="1">IFERROR(__xludf.DUMMYFUNCTION("""COMPUTED_VALUE"""),"nguyenhoanganhtho0510@gmail.com")</f>
        <v>nguyenhoanganhtho0510@gmail.com</v>
      </c>
      <c r="C193" s="23">
        <f ca="1">IFERROR(__xludf.DUMMYFUNCTION("""COMPUTED_VALUE"""),25202108563)</f>
        <v>25202108563</v>
      </c>
      <c r="D193" s="23" t="str">
        <f ca="1">IFERROR(__xludf.DUMMYFUNCTION("""COMPUTED_VALUE"""),"Nguyễn Hoàng Anh Thơ")</f>
        <v>Nguyễn Hoàng Anh Thơ</v>
      </c>
      <c r="E193" s="27">
        <f ca="1">IFERROR(__xludf.DUMMYFUNCTION("""COMPUTED_VALUE"""),37021)</f>
        <v>37021</v>
      </c>
      <c r="F193" s="23" t="str">
        <f ca="1">IFERROR(__xludf.DUMMYFUNCTION("""COMPUTED_VALUE"""),"K27PSUDLK2")</f>
        <v>K27PSUDLK2</v>
      </c>
      <c r="G193" s="23" t="str">
        <f ca="1">IFERROR(__xludf.DUMMYFUNCTION("""COMPUTED_VALUE"""),"Quản trị Du lịch &amp; Khách sạn chuẩn PSU")</f>
        <v>Quản trị Du lịch &amp; Khách sạn chuẩn PSU</v>
      </c>
      <c r="H193" s="23">
        <f ca="1">IFERROR(__xludf.DUMMYFUNCTION("""COMPUTED_VALUE"""),27)</f>
        <v>27</v>
      </c>
      <c r="I193" s="23" t="str">
        <f ca="1">IFERROR(__xludf.DUMMYFUNCTION("""COMPUTED_VALUE"""),"0905830255")</f>
        <v>0905830255</v>
      </c>
      <c r="J193" s="23" t="str">
        <f ca="1">IFERROR(__xludf.DUMMYFUNCTION("""COMPUTED_VALUE"""),"Chuyên đề")</f>
        <v>Chuyên đề</v>
      </c>
      <c r="K193" s="23" t="str">
        <f ca="1">IFERROR(__xludf.DUMMYFUNCTION("""COMPUTED_VALUE"""),"Premier Village Danang Resort")</f>
        <v>Premier Village Danang Resort</v>
      </c>
      <c r="L193" s="23"/>
      <c r="M193" s="23" t="str">
        <f ca="1">IFERROR(__xludf.DUMMYFUNCTION("""COMPUTED_VALUE"""),"99 Võ Nguyên Giáp")</f>
        <v>99 Võ Nguyên Giáp</v>
      </c>
      <c r="N193" s="23" t="str">
        <f ca="1">IFERROR(__xludf.DUMMYFUNCTION("""COMPUTED_VALUE"""),"Đà Nẵng")</f>
        <v>Đà Nẵng</v>
      </c>
      <c r="O193" s="23" t="str">
        <f ca="1">IFERROR(__xludf.DUMMYFUNCTION("""COMPUTED_VALUE"""),"Nhà hàng")</f>
        <v>Nhà hàng</v>
      </c>
      <c r="P193" s="23"/>
      <c r="Q193" s="23" t="str">
        <f ca="1">IFERROR(__xludf.DUMMYFUNCTION("""COMPUTED_VALUE"""),"7/2/2025")</f>
        <v>7/2/2025</v>
      </c>
      <c r="R193" s="23" t="str">
        <f ca="1">IFERROR(__xludf.DUMMYFUNCTION("""COMPUTED_VALUE"""),"cam kết")</f>
        <v>cam kết</v>
      </c>
      <c r="S193" s="23" t="str">
        <f ca="1">IFERROR(__xludf.DUMMYFUNCTION("""COMPUTED_VALUE"""),"Chuyên đề")</f>
        <v>Chuyên đề</v>
      </c>
      <c r="T193" s="23"/>
      <c r="U193" s="27">
        <f ca="1">IFERROR(__xludf.DUMMYFUNCTION("""COMPUTED_VALUE"""),45932)</f>
        <v>45932</v>
      </c>
      <c r="V193" s="27">
        <f ca="1">IFERROR(__xludf.DUMMYFUNCTION("""COMPUTED_VALUE"""),45905)</f>
        <v>45905</v>
      </c>
      <c r="W193" s="23">
        <f ca="1">IFERROR(__xludf.DUMMYFUNCTION("""COMPUTED_VALUE"""),192)</f>
        <v>192</v>
      </c>
      <c r="X193" s="28">
        <f ca="1">IFERROR(__xludf.DUMMYFUNCTION("""COMPUTED_VALUE"""),45840)</f>
        <v>45840</v>
      </c>
      <c r="Y193" s="23" t="str">
        <f ca="1">IFERROR(__xludf.DUMMYFUNCTION("""COMPUTED_VALUE"""),"DUYỆT")</f>
        <v>DUYỆT</v>
      </c>
      <c r="Z193" s="28">
        <f ca="1">IFERROR(__xludf.DUMMYFUNCTION("""COMPUTED_VALUE"""),45932)</f>
        <v>45932</v>
      </c>
      <c r="AA193" s="23" t="str">
        <f ca="1">IFERROR(__xludf.DUMMYFUNCTION("""COMPUTED_VALUE"""),"Premier Village Danang Resort")</f>
        <v>Premier Village Danang Resort</v>
      </c>
      <c r="AB193" s="23" t="str">
        <f ca="1">IFERROR(__xludf.DUMMYFUNCTION("""COMPUTED_VALUE"""),"Nhà hàng")</f>
        <v>Nhà hàng</v>
      </c>
      <c r="AC193" s="23" t="str">
        <f ca="1">IFERROR(__xludf.DUMMYFUNCTION("""COMPUTED_VALUE"""),"ĐÃ NỘP")</f>
        <v>ĐÃ NỘP</v>
      </c>
      <c r="AD193" s="23" t="str">
        <f ca="1">IFERROR(__xludf.DUMMYFUNCTION("""COMPUTED_VALUE"""),"SV phải đảm bảo không thực tập quá 5sv/nhà hàng")</f>
        <v>SV phải đảm bảo không thực tập quá 5sv/nhà hàng</v>
      </c>
      <c r="AE193" s="23" t="str">
        <f ca="1">IFERROR(__xludf.DUMMYFUNCTION("""COMPUTED_VALUE"""),"")</f>
        <v/>
      </c>
      <c r="AF193" s="23" t="str">
        <f ca="1">IFERROR(__xludf.DUMMYFUNCTION("""COMPUTED_VALUE"""),"CHUYÊN ĐỀ")</f>
        <v>CHUYÊN ĐỀ</v>
      </c>
      <c r="AG193" s="23" t="str">
        <f ca="1">IFERROR(__xludf.DUMMYFUNCTION("""COMPUTED_VALUE"""),"Trần Hoàng Anh")</f>
        <v>Trần Hoàng Anh</v>
      </c>
    </row>
    <row r="194" spans="1:33" ht="12.75" x14ac:dyDescent="0.2">
      <c r="A194" s="26">
        <f ca="1">IFERROR(__xludf.DUMMYFUNCTION("""COMPUTED_VALUE"""),45695.4503512268)</f>
        <v>45695.450351226798</v>
      </c>
      <c r="B194" s="23" t="str">
        <f ca="1">IFERROR(__xludf.DUMMYFUNCTION("""COMPUTED_VALUE"""),"trandinhtanhao3@gmail.com")</f>
        <v>trandinhtanhao3@gmail.com</v>
      </c>
      <c r="C194" s="23">
        <f ca="1">IFERROR(__xludf.DUMMYFUNCTION("""COMPUTED_VALUE"""),25217207909)</f>
        <v>25217207909</v>
      </c>
      <c r="D194" s="23" t="str">
        <f ca="1">IFERROR(__xludf.DUMMYFUNCTION("""COMPUTED_VALUE"""),"Tran Dinh Tan Hao")</f>
        <v>Tran Dinh Tan Hao</v>
      </c>
      <c r="E194" s="27">
        <f ca="1">IFERROR(__xludf.DUMMYFUNCTION("""COMPUTED_VALUE"""),37227)</f>
        <v>37227</v>
      </c>
      <c r="F194" s="23" t="str">
        <f ca="1">IFERROR(__xludf.DUMMYFUNCTION("""COMPUTED_VALUE"""),"psu k27dlk2")</f>
        <v>psu k27dlk2</v>
      </c>
      <c r="G194" s="23" t="str">
        <f ca="1">IFERROR(__xludf.DUMMYFUNCTION("""COMPUTED_VALUE"""),"Quản trị Du lịch &amp; Khách sạn chuẩn PSU")</f>
        <v>Quản trị Du lịch &amp; Khách sạn chuẩn PSU</v>
      </c>
      <c r="H194" s="23">
        <f ca="1">IFERROR(__xludf.DUMMYFUNCTION("""COMPUTED_VALUE"""),25)</f>
        <v>25</v>
      </c>
      <c r="I194" s="23" t="str">
        <f ca="1">IFERROR(__xludf.DUMMYFUNCTION("""COMPUTED_VALUE"""),"0793643674")</f>
        <v>0793643674</v>
      </c>
      <c r="J194" s="23" t="str">
        <f ca="1">IFERROR(__xludf.DUMMYFUNCTION("""COMPUTED_VALUE"""),"Chuyên đề")</f>
        <v>Chuyên đề</v>
      </c>
      <c r="K194" s="23" t="str">
        <f ca="1">IFERROR(__xludf.DUMMYFUNCTION("""COMPUTED_VALUE"""),"Premier Village Danang Resort")</f>
        <v>Premier Village Danang Resort</v>
      </c>
      <c r="L194" s="23"/>
      <c r="M194" s="23" t="str">
        <f ca="1">IFERROR(__xludf.DUMMYFUNCTION("""COMPUTED_VALUE"""),"99 Võ Nguyên Giáp")</f>
        <v>99 Võ Nguyên Giáp</v>
      </c>
      <c r="N194" s="23" t="str">
        <f ca="1">IFERROR(__xludf.DUMMYFUNCTION("""COMPUTED_VALUE"""),"Đà Nẵng")</f>
        <v>Đà Nẵng</v>
      </c>
      <c r="O194" s="23" t="str">
        <f ca="1">IFERROR(__xludf.DUMMYFUNCTION("""COMPUTED_VALUE"""),"Nhà hàng")</f>
        <v>Nhà hàng</v>
      </c>
      <c r="P194" s="23"/>
      <c r="Q194" s="23" t="str">
        <f ca="1">IFERROR(__xludf.DUMMYFUNCTION("""COMPUTED_VALUE"""),"7/2/2025")</f>
        <v>7/2/2025</v>
      </c>
      <c r="R194" s="23" t="str">
        <f ca="1">IFERROR(__xludf.DUMMYFUNCTION("""COMPUTED_VALUE"""),"cam kết")</f>
        <v>cam kết</v>
      </c>
      <c r="S194" s="23" t="str">
        <f ca="1">IFERROR(__xludf.DUMMYFUNCTION("""COMPUTED_VALUE"""),"Chuyên đề")</f>
        <v>Chuyên đề</v>
      </c>
      <c r="T194" s="23"/>
      <c r="U194" s="27">
        <f ca="1">IFERROR(__xludf.DUMMYFUNCTION("""COMPUTED_VALUE"""),45698)</f>
        <v>45698</v>
      </c>
      <c r="V194" s="27">
        <f ca="1">IFERROR(__xludf.DUMMYFUNCTION("""COMPUTED_VALUE"""),45787)</f>
        <v>45787</v>
      </c>
      <c r="W194" s="23">
        <f ca="1">IFERROR(__xludf.DUMMYFUNCTION("""COMPUTED_VALUE"""),193)</f>
        <v>193</v>
      </c>
      <c r="X194" s="28">
        <f ca="1">IFERROR(__xludf.DUMMYFUNCTION("""COMPUTED_VALUE"""),45840)</f>
        <v>45840</v>
      </c>
      <c r="Y194" s="23" t="str">
        <f ca="1">IFERROR(__xludf.DUMMYFUNCTION("""COMPUTED_VALUE"""),"DUYỆT")</f>
        <v>DUYỆT</v>
      </c>
      <c r="Z194" s="28">
        <f ca="1">IFERROR(__xludf.DUMMYFUNCTION("""COMPUTED_VALUE"""),45932)</f>
        <v>45932</v>
      </c>
      <c r="AA194" s="23" t="str">
        <f ca="1">IFERROR(__xludf.DUMMYFUNCTION("""COMPUTED_VALUE"""),"Premier Village Danang Resort")</f>
        <v>Premier Village Danang Resort</v>
      </c>
      <c r="AB194" s="23" t="str">
        <f ca="1">IFERROR(__xludf.DUMMYFUNCTION("""COMPUTED_VALUE"""),"Nhà hàng")</f>
        <v>Nhà hàng</v>
      </c>
      <c r="AC194" s="23" t="str">
        <f ca="1">IFERROR(__xludf.DUMMYFUNCTION("""COMPUTED_VALUE"""),"ĐÃ NỘP")</f>
        <v>ĐÃ NỘP</v>
      </c>
      <c r="AD194" s="23" t="str">
        <f ca="1">IFERROR(__xludf.DUMMYFUNCTION("""COMPUTED_VALUE"""),"SV phải đảm bảo không thực tập quá 5sv/nhà hàng")</f>
        <v>SV phải đảm bảo không thực tập quá 5sv/nhà hàng</v>
      </c>
      <c r="AE194" s="23" t="str">
        <f ca="1">IFERROR(__xludf.DUMMYFUNCTION("""COMPUTED_VALUE"""),"")</f>
        <v/>
      </c>
      <c r="AF194" s="23" t="str">
        <f ca="1">IFERROR(__xludf.DUMMYFUNCTION("""COMPUTED_VALUE"""),"CHUYÊN ĐỀ")</f>
        <v>CHUYÊN ĐỀ</v>
      </c>
      <c r="AG194" s="23" t="str">
        <f ca="1">IFERROR(__xludf.DUMMYFUNCTION("""COMPUTED_VALUE"""),"Trần Hoàng Anh")</f>
        <v>Trần Hoàng Anh</v>
      </c>
    </row>
    <row r="195" spans="1:33" ht="12.75" x14ac:dyDescent="0.2">
      <c r="A195" s="26">
        <f ca="1">IFERROR(__xludf.DUMMYFUNCTION("""COMPUTED_VALUE"""),45695.6162950115)</f>
        <v>45695.616295011503</v>
      </c>
      <c r="B195" s="23" t="str">
        <f ca="1">IFERROR(__xludf.DUMMYFUNCTION("""COMPUTED_VALUE"""),"honglantrinhqn2003@gmail.com")</f>
        <v>honglantrinhqn2003@gmail.com</v>
      </c>
      <c r="C195" s="23">
        <f ca="1">IFERROR(__xludf.DUMMYFUNCTION("""COMPUTED_VALUE"""),27207100676)</f>
        <v>27207100676</v>
      </c>
      <c r="D195" s="23" t="str">
        <f ca="1">IFERROR(__xludf.DUMMYFUNCTION("""COMPUTED_VALUE"""),"Hồng Thị Lan Trinh")</f>
        <v>Hồng Thị Lan Trinh</v>
      </c>
      <c r="E195" s="27">
        <f ca="1">IFERROR(__xludf.DUMMYFUNCTION("""COMPUTED_VALUE"""),37907)</f>
        <v>37907</v>
      </c>
      <c r="F195" s="23" t="str">
        <f ca="1">IFERROR(__xludf.DUMMYFUNCTION("""COMPUTED_VALUE"""),"K27DLK5")</f>
        <v>K27DLK5</v>
      </c>
      <c r="G195" s="23" t="str">
        <f ca="1">IFERROR(__xludf.DUMMYFUNCTION("""COMPUTED_VALUE"""),"Quản trị Du lịch &amp; Khách sạn")</f>
        <v>Quản trị Du lịch &amp; Khách sạn</v>
      </c>
      <c r="H195" s="23">
        <f ca="1">IFERROR(__xludf.DUMMYFUNCTION("""COMPUTED_VALUE"""),27)</f>
        <v>27</v>
      </c>
      <c r="I195" s="23" t="str">
        <f ca="1">IFERROR(__xludf.DUMMYFUNCTION("""COMPUTED_VALUE"""),"0708542603")</f>
        <v>0708542603</v>
      </c>
      <c r="J195" s="23" t="str">
        <f ca="1">IFERROR(__xludf.DUMMYFUNCTION("""COMPUTED_VALUE"""),"Chuyên đề")</f>
        <v>Chuyên đề</v>
      </c>
      <c r="K195" s="23" t="str">
        <f ca="1">IFERROR(__xludf.DUMMYFUNCTION("""COMPUTED_VALUE"""),"Sheraton Grand Danang resort and Convention Center")</f>
        <v>Sheraton Grand Danang resort and Convention Center</v>
      </c>
      <c r="L195" s="23"/>
      <c r="M195" s="23" t="str">
        <f ca="1">IFERROR(__xludf.DUMMYFUNCTION("""COMPUTED_VALUE"""),"35 Trường Sa, Hoà Hải, Ngũ Hành Sơn, Đà Nẵng")</f>
        <v>35 Trường Sa, Hoà Hải, Ngũ Hành Sơn, Đà Nẵng</v>
      </c>
      <c r="N195" s="23" t="str">
        <f ca="1">IFERROR(__xludf.DUMMYFUNCTION("""COMPUTED_VALUE"""),"Đà Nẵng")</f>
        <v>Đà Nẵng</v>
      </c>
      <c r="O195" s="23" t="str">
        <f ca="1">IFERROR(__xludf.DUMMYFUNCTION("""COMPUTED_VALUE"""),"Nhà hàng")</f>
        <v>Nhà hàng</v>
      </c>
      <c r="P195" s="23"/>
      <c r="Q195" s="23" t="str">
        <f ca="1">IFERROR(__xludf.DUMMYFUNCTION("""COMPUTED_VALUE"""),"6/02/2025")</f>
        <v>6/02/2025</v>
      </c>
      <c r="R195" s="23" t="str">
        <f ca="1">IFERROR(__xludf.DUMMYFUNCTION("""COMPUTED_VALUE"""),"cam kết")</f>
        <v>cam kết</v>
      </c>
      <c r="S195" s="23" t="str">
        <f ca="1">IFERROR(__xludf.DUMMYFUNCTION("""COMPUTED_VALUE"""),"Chuyên đề")</f>
        <v>Chuyên đề</v>
      </c>
      <c r="T195" s="23"/>
      <c r="U195" s="27">
        <f ca="1">IFERROR(__xludf.DUMMYFUNCTION("""COMPUTED_VALUE"""),45698)</f>
        <v>45698</v>
      </c>
      <c r="V195" s="27">
        <f ca="1">IFERROR(__xludf.DUMMYFUNCTION("""COMPUTED_VALUE"""),45787)</f>
        <v>45787</v>
      </c>
      <c r="W195" s="23">
        <f ca="1">IFERROR(__xludf.DUMMYFUNCTION("""COMPUTED_VALUE"""),194)</f>
        <v>194</v>
      </c>
      <c r="X195" s="28">
        <f ca="1">IFERROR(__xludf.DUMMYFUNCTION("""COMPUTED_VALUE"""),45840)</f>
        <v>45840</v>
      </c>
      <c r="Y195" s="23" t="str">
        <f ca="1">IFERROR(__xludf.DUMMYFUNCTION("""COMPUTED_VALUE"""),"DUYỆT")</f>
        <v>DUYỆT</v>
      </c>
      <c r="Z195" s="28">
        <f ca="1">IFERROR(__xludf.DUMMYFUNCTION("""COMPUTED_VALUE"""),45932)</f>
        <v>45932</v>
      </c>
      <c r="AA195" s="23" t="str">
        <f ca="1">IFERROR(__xludf.DUMMYFUNCTION("""COMPUTED_VALUE"""),"Sheraton Grand Danang resort and Convention Center")</f>
        <v>Sheraton Grand Danang resort and Convention Center</v>
      </c>
      <c r="AB195" s="23" t="str">
        <f ca="1">IFERROR(__xludf.DUMMYFUNCTION("""COMPUTED_VALUE"""),"Nhà hàng")</f>
        <v>Nhà hàng</v>
      </c>
      <c r="AC195" s="23"/>
      <c r="AD195" s="23"/>
      <c r="AE195" s="23" t="str">
        <f ca="1">IFERROR(__xludf.DUMMYFUNCTION("""COMPUTED_VALUE"""),"")</f>
        <v/>
      </c>
      <c r="AF195" s="23" t="str">
        <f ca="1">IFERROR(__xludf.DUMMYFUNCTION("""COMPUTED_VALUE"""),"CHUYÊN ĐỀ")</f>
        <v>CHUYÊN ĐỀ</v>
      </c>
      <c r="AG195" s="23" t="str">
        <f ca="1">IFERROR(__xludf.DUMMYFUNCTION("""COMPUTED_VALUE"""),"Huỳnh Lý Thùy Linh")</f>
        <v>Huỳnh Lý Thùy Linh</v>
      </c>
    </row>
    <row r="196" spans="1:33" ht="12.75" x14ac:dyDescent="0.2">
      <c r="A196" s="26">
        <f ca="1">IFERROR(__xludf.DUMMYFUNCTION("""COMPUTED_VALUE"""),45695.6724061458)</f>
        <v>45695.672406145801</v>
      </c>
      <c r="B196" s="23" t="str">
        <f ca="1">IFERROR(__xludf.DUMMYFUNCTION("""COMPUTED_VALUE"""),"nnkk.262003@gmail.com")</f>
        <v>nnkk.262003@gmail.com</v>
      </c>
      <c r="C196" s="23">
        <f ca="1">IFERROR(__xludf.DUMMYFUNCTION("""COMPUTED_VALUE"""),27207141751)</f>
        <v>27207141751</v>
      </c>
      <c r="D196" s="23" t="str">
        <f ca="1">IFERROR(__xludf.DUMMYFUNCTION("""COMPUTED_VALUE"""),"Nguyễn Ngọc Kim Khánh ")</f>
        <v xml:space="preserve">Nguyễn Ngọc Kim Khánh </v>
      </c>
      <c r="E196" s="27">
        <f ca="1">IFERROR(__xludf.DUMMYFUNCTION("""COMPUTED_VALUE"""),37774)</f>
        <v>37774</v>
      </c>
      <c r="F196" s="23" t="str">
        <f ca="1">IFERROR(__xludf.DUMMYFUNCTION("""COMPUTED_VALUE"""),"K27DLK1")</f>
        <v>K27DLK1</v>
      </c>
      <c r="G196" s="23" t="str">
        <f ca="1">IFERROR(__xludf.DUMMYFUNCTION("""COMPUTED_VALUE"""),"Quản trị Du lịch &amp; Khách sạn")</f>
        <v>Quản trị Du lịch &amp; Khách sạn</v>
      </c>
      <c r="H196" s="23">
        <f ca="1">IFERROR(__xludf.DUMMYFUNCTION("""COMPUTED_VALUE"""),27)</f>
        <v>27</v>
      </c>
      <c r="I196" s="23" t="str">
        <f ca="1">IFERROR(__xludf.DUMMYFUNCTION("""COMPUTED_VALUE"""),"0905807687")</f>
        <v>0905807687</v>
      </c>
      <c r="J196" s="23" t="str">
        <f ca="1">IFERROR(__xludf.DUMMYFUNCTION("""COMPUTED_VALUE"""),"Chuyên đề")</f>
        <v>Chuyên đề</v>
      </c>
      <c r="K196" s="23" t="str">
        <f ca="1">IFERROR(__xludf.DUMMYFUNCTION("""COMPUTED_VALUE"""),"Meliá Vinpearl Danang Riverfront")</f>
        <v>Meliá Vinpearl Danang Riverfront</v>
      </c>
      <c r="L196" s="23"/>
      <c r="M196" s="23" t="str">
        <f ca="1">IFERROR(__xludf.DUMMYFUNCTION("""COMPUTED_VALUE"""),"341 trần hưng đạo ")</f>
        <v xml:space="preserve">341 trần hưng đạo </v>
      </c>
      <c r="N196" s="23" t="str">
        <f ca="1">IFERROR(__xludf.DUMMYFUNCTION("""COMPUTED_VALUE"""),"Đà nẵng ")</f>
        <v xml:space="preserve">Đà nẵng </v>
      </c>
      <c r="O196" s="23" t="str">
        <f ca="1">IFERROR(__xludf.DUMMYFUNCTION("""COMPUTED_VALUE"""),"Nhà hàng")</f>
        <v>Nhà hàng</v>
      </c>
      <c r="P196" s="23"/>
      <c r="Q196" s="23" t="str">
        <f ca="1">IFERROR(__xludf.DUMMYFUNCTION("""COMPUTED_VALUE"""),"7/2/2025")</f>
        <v>7/2/2025</v>
      </c>
      <c r="R196" s="23" t="str">
        <f ca="1">IFERROR(__xludf.DUMMYFUNCTION("""COMPUTED_VALUE"""),"cam kết")</f>
        <v>cam kết</v>
      </c>
      <c r="S196" s="23" t="str">
        <f ca="1">IFERROR(__xludf.DUMMYFUNCTION("""COMPUTED_VALUE"""),"Chuyên đề")</f>
        <v>Chuyên đề</v>
      </c>
      <c r="T196" s="23"/>
      <c r="U196" s="27">
        <f ca="1">IFERROR(__xludf.DUMMYFUNCTION("""COMPUTED_VALUE"""),45698)</f>
        <v>45698</v>
      </c>
      <c r="V196" s="27">
        <f ca="1">IFERROR(__xludf.DUMMYFUNCTION("""COMPUTED_VALUE"""),45787)</f>
        <v>45787</v>
      </c>
      <c r="W196" s="23">
        <f ca="1">IFERROR(__xludf.DUMMYFUNCTION("""COMPUTED_VALUE"""),195)</f>
        <v>195</v>
      </c>
      <c r="X196" s="28">
        <f ca="1">IFERROR(__xludf.DUMMYFUNCTION("""COMPUTED_VALUE"""),45871)</f>
        <v>45871</v>
      </c>
      <c r="Y196" s="23" t="str">
        <f ca="1">IFERROR(__xludf.DUMMYFUNCTION("""COMPUTED_VALUE"""),"DUYỆT")</f>
        <v>DUYỆT</v>
      </c>
      <c r="Z196" s="28">
        <f ca="1">IFERROR(__xludf.DUMMYFUNCTION("""COMPUTED_VALUE"""),45932)</f>
        <v>45932</v>
      </c>
      <c r="AA196" s="23" t="str">
        <f ca="1">IFERROR(__xludf.DUMMYFUNCTION("""COMPUTED_VALUE"""),"Meliá Vinpearl Danang Riverfront")</f>
        <v>Meliá Vinpearl Danang Riverfront</v>
      </c>
      <c r="AB196" s="23" t="str">
        <f ca="1">IFERROR(__xludf.DUMMYFUNCTION("""COMPUTED_VALUE"""),"Nhà hàng")</f>
        <v>Nhà hàng</v>
      </c>
      <c r="AC196" s="23"/>
      <c r="AD196" s="23" t="str">
        <f ca="1">IFERROR(__xludf.DUMMYFUNCTION("""COMPUTED_VALUE"""),"sinh viên phải đảm bảo không quá 5sv/nhà hàng")</f>
        <v>sinh viên phải đảm bảo không quá 5sv/nhà hàng</v>
      </c>
      <c r="AE196" s="23" t="str">
        <f ca="1">IFERROR(__xludf.DUMMYFUNCTION("""COMPUTED_VALUE"""),"")</f>
        <v/>
      </c>
      <c r="AF196" s="23" t="str">
        <f ca="1">IFERROR(__xludf.DUMMYFUNCTION("""COMPUTED_VALUE"""),"CHUYÊN ĐỀ")</f>
        <v>CHUYÊN ĐỀ</v>
      </c>
      <c r="AG196" s="23" t="str">
        <f ca="1">IFERROR(__xludf.DUMMYFUNCTION("""COMPUTED_VALUE"""),"Ngô Thị Thanh Nga")</f>
        <v>Ngô Thị Thanh Nga</v>
      </c>
    </row>
    <row r="197" spans="1:33" ht="12.75" x14ac:dyDescent="0.2">
      <c r="A197" s="26">
        <f ca="1">IFERROR(__xludf.DUMMYFUNCTION("""COMPUTED_VALUE"""),45696.4737214467)</f>
        <v>45696.473721446702</v>
      </c>
      <c r="B197" s="23" t="str">
        <f ca="1">IFERROR(__xludf.DUMMYFUNCTION("""COMPUTED_VALUE"""),"mhuyen903@gmail.com")</f>
        <v>mhuyen903@gmail.com</v>
      </c>
      <c r="C197" s="23">
        <f ca="1">IFERROR(__xludf.DUMMYFUNCTION("""COMPUTED_VALUE"""),27207122720)</f>
        <v>27207122720</v>
      </c>
      <c r="D197" s="23" t="str">
        <f ca="1">IFERROR(__xludf.DUMMYFUNCTION("""COMPUTED_VALUE"""),"Nguyễn Thị Huyền My")</f>
        <v>Nguyễn Thị Huyền My</v>
      </c>
      <c r="E197" s="27">
        <f ca="1">IFERROR(__xludf.DUMMYFUNCTION("""COMPUTED_VALUE"""),37984)</f>
        <v>37984</v>
      </c>
      <c r="F197" s="23" t="str">
        <f ca="1">IFERROR(__xludf.DUMMYFUNCTION("""COMPUTED_VALUE"""),"K27DLK4")</f>
        <v>K27DLK4</v>
      </c>
      <c r="G197" s="23" t="str">
        <f ca="1">IFERROR(__xludf.DUMMYFUNCTION("""COMPUTED_VALUE"""),"Quản trị Du lịch &amp; Khách sạn")</f>
        <v>Quản trị Du lịch &amp; Khách sạn</v>
      </c>
      <c r="H197" s="23">
        <f ca="1">IFERROR(__xludf.DUMMYFUNCTION("""COMPUTED_VALUE"""),27)</f>
        <v>27</v>
      </c>
      <c r="I197" s="23" t="str">
        <f ca="1">IFERROR(__xludf.DUMMYFUNCTION("""COMPUTED_VALUE"""),"0392095189")</f>
        <v>0392095189</v>
      </c>
      <c r="J197" s="23" t="str">
        <f ca="1">IFERROR(__xludf.DUMMYFUNCTION("""COMPUTED_VALUE"""),"Chuyên đề")</f>
        <v>Chuyên đề</v>
      </c>
      <c r="K197" s="23" t="str">
        <f ca="1">IFERROR(__xludf.DUMMYFUNCTION("""COMPUTED_VALUE"""),"Grand Tourane Hotel")</f>
        <v>Grand Tourane Hotel</v>
      </c>
      <c r="L197" s="23"/>
      <c r="M197" s="23" t="str">
        <f ca="1">IFERROR(__xludf.DUMMYFUNCTION("""COMPUTED_VALUE"""),"252 Võ Nguyên Giáp, Phước Mỹ, Sơn Trà, Đà nẵng")</f>
        <v>252 Võ Nguyên Giáp, Phước Mỹ, Sơn Trà, Đà nẵng</v>
      </c>
      <c r="N197" s="23" t="str">
        <f ca="1">IFERROR(__xludf.DUMMYFUNCTION("""COMPUTED_VALUE"""),"Đà Nẵng")</f>
        <v>Đà Nẵng</v>
      </c>
      <c r="O197" s="23" t="str">
        <f ca="1">IFERROR(__xludf.DUMMYFUNCTION("""COMPUTED_VALUE"""),"Nhà hàng")</f>
        <v>Nhà hàng</v>
      </c>
      <c r="P197" s="23"/>
      <c r="Q197" s="23" t="str">
        <f ca="1">IFERROR(__xludf.DUMMYFUNCTION("""COMPUTED_VALUE"""),"10/02/2025")</f>
        <v>10/02/2025</v>
      </c>
      <c r="R197" s="23" t="str">
        <f ca="1">IFERROR(__xludf.DUMMYFUNCTION("""COMPUTED_VALUE"""),"cam kết")</f>
        <v>cam kết</v>
      </c>
      <c r="S197" s="23" t="str">
        <f ca="1">IFERROR(__xludf.DUMMYFUNCTION("""COMPUTED_VALUE"""),"Chuyên đề")</f>
        <v>Chuyên đề</v>
      </c>
      <c r="T197" s="23"/>
      <c r="U197" s="27">
        <f ca="1">IFERROR(__xludf.DUMMYFUNCTION("""COMPUTED_VALUE"""),45698)</f>
        <v>45698</v>
      </c>
      <c r="V197" s="27">
        <f ca="1">IFERROR(__xludf.DUMMYFUNCTION("""COMPUTED_VALUE"""),45787)</f>
        <v>45787</v>
      </c>
      <c r="W197" s="23">
        <f ca="1">IFERROR(__xludf.DUMMYFUNCTION("""COMPUTED_VALUE"""),196)</f>
        <v>196</v>
      </c>
      <c r="X197" s="28">
        <f ca="1">IFERROR(__xludf.DUMMYFUNCTION("""COMPUTED_VALUE"""),45871)</f>
        <v>45871</v>
      </c>
      <c r="Y197" s="23" t="str">
        <f ca="1">IFERROR(__xludf.DUMMYFUNCTION("""COMPUTED_VALUE"""),"DUYỆT")</f>
        <v>DUYỆT</v>
      </c>
      <c r="Z197" s="28">
        <f ca="1">IFERROR(__xludf.DUMMYFUNCTION("""COMPUTED_VALUE"""),45932)</f>
        <v>45932</v>
      </c>
      <c r="AA197" s="23" t="str">
        <f ca="1">IFERROR(__xludf.DUMMYFUNCTION("""COMPUTED_VALUE"""),"Grand Tourane Hotel")</f>
        <v>Grand Tourane Hotel</v>
      </c>
      <c r="AB197" s="23" t="str">
        <f ca="1">IFERROR(__xludf.DUMMYFUNCTION("""COMPUTED_VALUE"""),"Nhà hàng")</f>
        <v>Nhà hàng</v>
      </c>
      <c r="AC197" s="23"/>
      <c r="AD197" s="23"/>
      <c r="AE197" s="23" t="str">
        <f ca="1">IFERROR(__xludf.DUMMYFUNCTION("""COMPUTED_VALUE"""),"")</f>
        <v/>
      </c>
      <c r="AF197" s="23" t="str">
        <f ca="1">IFERROR(__xludf.DUMMYFUNCTION("""COMPUTED_VALUE"""),"CHUYÊN ĐỀ")</f>
        <v>CHUYÊN ĐỀ</v>
      </c>
      <c r="AG197" s="23" t="str">
        <f ca="1">IFERROR(__xludf.DUMMYFUNCTION("""COMPUTED_VALUE"""),"Trần Thị Mỹ Linh")</f>
        <v>Trần Thị Mỹ Linh</v>
      </c>
    </row>
    <row r="198" spans="1:33" ht="12.75" x14ac:dyDescent="0.2">
      <c r="A198" s="26">
        <f ca="1">IFERROR(__xludf.DUMMYFUNCTION("""COMPUTED_VALUE"""),45695.6756842361)</f>
        <v>45695.675684236099</v>
      </c>
      <c r="B198" s="23" t="str">
        <f ca="1">IFERROR(__xludf.DUMMYFUNCTION("""COMPUTED_VALUE"""),"kieunhuks1@gmail.com")</f>
        <v>kieunhuks1@gmail.com</v>
      </c>
      <c r="C198" s="23">
        <f ca="1">IFERROR(__xludf.DUMMYFUNCTION("""COMPUTED_VALUE"""),27207100650)</f>
        <v>27207100650</v>
      </c>
      <c r="D198" s="23" t="str">
        <f ca="1">IFERROR(__xludf.DUMMYFUNCTION("""COMPUTED_VALUE"""),"Lê Thị Kiều Như")</f>
        <v>Lê Thị Kiều Như</v>
      </c>
      <c r="E198" s="27">
        <f ca="1">IFERROR(__xludf.DUMMYFUNCTION("""COMPUTED_VALUE"""),37178)</f>
        <v>37178</v>
      </c>
      <c r="F198" s="23" t="str">
        <f ca="1">IFERROR(__xludf.DUMMYFUNCTION("""COMPUTED_VALUE"""),"K27DLK5")</f>
        <v>K27DLK5</v>
      </c>
      <c r="G198" s="23" t="str">
        <f ca="1">IFERROR(__xludf.DUMMYFUNCTION("""COMPUTED_VALUE"""),"Quản trị Du lịch &amp; Khách sạn")</f>
        <v>Quản trị Du lịch &amp; Khách sạn</v>
      </c>
      <c r="H198" s="23">
        <f ca="1">IFERROR(__xludf.DUMMYFUNCTION("""COMPUTED_VALUE"""),27)</f>
        <v>27</v>
      </c>
      <c r="I198" s="23" t="str">
        <f ca="1">IFERROR(__xludf.DUMMYFUNCTION("""COMPUTED_VALUE"""),"0352916132")</f>
        <v>0352916132</v>
      </c>
      <c r="J198" s="23" t="str">
        <f ca="1">IFERROR(__xludf.DUMMYFUNCTION("""COMPUTED_VALUE"""),"Chuyên đề")</f>
        <v>Chuyên đề</v>
      </c>
      <c r="K198" s="23" t="str">
        <f ca="1">IFERROR(__xludf.DUMMYFUNCTION("""COMPUTED_VALUE"""),"Chicland Hotel")</f>
        <v>Chicland Hotel</v>
      </c>
      <c r="L198" s="23"/>
      <c r="M198" s="23" t="str">
        <f ca="1">IFERROR(__xludf.DUMMYFUNCTION("""COMPUTED_VALUE"""),"210 Võ Nguyên Giáp")</f>
        <v>210 Võ Nguyên Giáp</v>
      </c>
      <c r="N198" s="23" t="str">
        <f ca="1">IFERROR(__xludf.DUMMYFUNCTION("""COMPUTED_VALUE"""),"Đà Nẵng")</f>
        <v>Đà Nẵng</v>
      </c>
      <c r="O198" s="23" t="str">
        <f ca="1">IFERROR(__xludf.DUMMYFUNCTION("""COMPUTED_VALUE"""),"Buồng phòng")</f>
        <v>Buồng phòng</v>
      </c>
      <c r="P198" s="23"/>
      <c r="Q198" s="23" t="str">
        <f ca="1">IFERROR(__xludf.DUMMYFUNCTION("""COMPUTED_VALUE"""),"7/2/2025")</f>
        <v>7/2/2025</v>
      </c>
      <c r="R198" s="23" t="str">
        <f ca="1">IFERROR(__xludf.DUMMYFUNCTION("""COMPUTED_VALUE"""),"cam kết")</f>
        <v>cam kết</v>
      </c>
      <c r="S198" s="23" t="str">
        <f ca="1">IFERROR(__xludf.DUMMYFUNCTION("""COMPUTED_VALUE"""),"Chuyên đề")</f>
        <v>Chuyên đề</v>
      </c>
      <c r="T198" s="23" t="str">
        <f ca="1">IFERROR(__xludf.DUMMYFUNCTION("""COMPUTED_VALUE"""),"Dương Thị Xuân Diệu")</f>
        <v>Dương Thị Xuân Diệu</v>
      </c>
      <c r="U198" s="27">
        <f ca="1">IFERROR(__xludf.DUMMYFUNCTION("""COMPUTED_VALUE"""),45698)</f>
        <v>45698</v>
      </c>
      <c r="V198" s="27">
        <f ca="1">IFERROR(__xludf.DUMMYFUNCTION("""COMPUTED_VALUE"""),45787)</f>
        <v>45787</v>
      </c>
      <c r="W198" s="23">
        <f ca="1">IFERROR(__xludf.DUMMYFUNCTION("""COMPUTED_VALUE"""),197)</f>
        <v>197</v>
      </c>
      <c r="X198" s="28">
        <f ca="1">IFERROR(__xludf.DUMMYFUNCTION("""COMPUTED_VALUE"""),45932)</f>
        <v>45932</v>
      </c>
      <c r="Y198" s="23" t="str">
        <f ca="1">IFERROR(__xludf.DUMMYFUNCTION("""COMPUTED_VALUE"""),"DUYỆT")</f>
        <v>DUYỆT</v>
      </c>
      <c r="Z198" s="28">
        <f ca="1">IFERROR(__xludf.DUMMYFUNCTION("""COMPUTED_VALUE"""),45932)</f>
        <v>45932</v>
      </c>
      <c r="AA198" s="23" t="str">
        <f ca="1">IFERROR(__xludf.DUMMYFUNCTION("""COMPUTED_VALUE"""),"Chicland Hotel")</f>
        <v>Chicland Hotel</v>
      </c>
      <c r="AB198" s="23" t="str">
        <f ca="1">IFERROR(__xludf.DUMMYFUNCTION("""COMPUTED_VALUE"""),"Buồng phòng")</f>
        <v>Buồng phòng</v>
      </c>
      <c r="AC198" s="23"/>
      <c r="AD198" s="23"/>
      <c r="AE198" s="23" t="str">
        <f ca="1">IFERROR(__xludf.DUMMYFUNCTION("""COMPUTED_VALUE"""),"")</f>
        <v/>
      </c>
      <c r="AF198" s="23" t="str">
        <f ca="1">IFERROR(__xludf.DUMMYFUNCTION("""COMPUTED_VALUE"""),"CHUYÊN ĐỀ")</f>
        <v>CHUYÊN ĐỀ</v>
      </c>
      <c r="AG198" s="23" t="str">
        <f ca="1">IFERROR(__xludf.DUMMYFUNCTION("""COMPUTED_VALUE"""),"Phạm Thị Thu Thủy")</f>
        <v>Phạm Thị Thu Thủy</v>
      </c>
    </row>
    <row r="199" spans="1:33" ht="12.75" x14ac:dyDescent="0.2">
      <c r="A199" s="26">
        <f ca="1">IFERROR(__xludf.DUMMYFUNCTION("""COMPUTED_VALUE"""),45696.423484375)</f>
        <v>45696.423484375002</v>
      </c>
      <c r="B199" s="23" t="str">
        <f ca="1">IFERROR(__xludf.DUMMYFUNCTION("""COMPUTED_VALUE"""),"thanhthao19092003@gmail.com")</f>
        <v>thanhthao19092003@gmail.com</v>
      </c>
      <c r="C199" s="23">
        <f ca="1">IFERROR(__xludf.DUMMYFUNCTION("""COMPUTED_VALUE"""),27207120879)</f>
        <v>27207120879</v>
      </c>
      <c r="D199" s="23" t="str">
        <f ca="1">IFERROR(__xludf.DUMMYFUNCTION("""COMPUTED_VALUE"""),"Nguyễn Thị Thanh Thảo")</f>
        <v>Nguyễn Thị Thanh Thảo</v>
      </c>
      <c r="E199" s="27">
        <f ca="1">IFERROR(__xludf.DUMMYFUNCTION("""COMPUTED_VALUE"""),37883)</f>
        <v>37883</v>
      </c>
      <c r="F199" s="23" t="str">
        <f ca="1">IFERROR(__xludf.DUMMYFUNCTION("""COMPUTED_VALUE"""),"K27DLK2")</f>
        <v>K27DLK2</v>
      </c>
      <c r="G199" s="23" t="str">
        <f ca="1">IFERROR(__xludf.DUMMYFUNCTION("""COMPUTED_VALUE"""),"Quản trị Du lịch &amp; Khách sạn")</f>
        <v>Quản trị Du lịch &amp; Khách sạn</v>
      </c>
      <c r="H199" s="23">
        <f ca="1">IFERROR(__xludf.DUMMYFUNCTION("""COMPUTED_VALUE"""),27)</f>
        <v>27</v>
      </c>
      <c r="I199" s="23" t="str">
        <f ca="1">IFERROR(__xludf.DUMMYFUNCTION("""COMPUTED_VALUE"""),"0708061703")</f>
        <v>0708061703</v>
      </c>
      <c r="J199" s="23" t="str">
        <f ca="1">IFERROR(__xludf.DUMMYFUNCTION("""COMPUTED_VALUE"""),"Chuyên đề")</f>
        <v>Chuyên đề</v>
      </c>
      <c r="K199" s="23" t="str">
        <f ca="1">IFERROR(__xludf.DUMMYFUNCTION("""COMPUTED_VALUE"""),"Meliá Vinpearl Danang Riverfront")</f>
        <v>Meliá Vinpearl Danang Riverfront</v>
      </c>
      <c r="L199" s="23"/>
      <c r="M199" s="23" t="str">
        <f ca="1">IFERROR(__xludf.DUMMYFUNCTION("""COMPUTED_VALUE"""),"341 Trần Hưng Đạo")</f>
        <v>341 Trần Hưng Đạo</v>
      </c>
      <c r="N199" s="23" t="str">
        <f ca="1">IFERROR(__xludf.DUMMYFUNCTION("""COMPUTED_VALUE"""),"Đà nẵng")</f>
        <v>Đà nẵng</v>
      </c>
      <c r="O199" s="23" t="str">
        <f ca="1">IFERROR(__xludf.DUMMYFUNCTION("""COMPUTED_VALUE"""),"Nhà hàng")</f>
        <v>Nhà hàng</v>
      </c>
      <c r="P199" s="23"/>
      <c r="Q199" s="23" t="str">
        <f ca="1">IFERROR(__xludf.DUMMYFUNCTION("""COMPUTED_VALUE"""),"7/2/2025")</f>
        <v>7/2/2025</v>
      </c>
      <c r="R199" s="23" t="str">
        <f ca="1">IFERROR(__xludf.DUMMYFUNCTION("""COMPUTED_VALUE"""),"cam kết")</f>
        <v>cam kết</v>
      </c>
      <c r="S199" s="23" t="str">
        <f ca="1">IFERROR(__xludf.DUMMYFUNCTION("""COMPUTED_VALUE"""),"Chuyên đề")</f>
        <v>Chuyên đề</v>
      </c>
      <c r="T199" s="23"/>
      <c r="U199" s="27">
        <f ca="1">IFERROR(__xludf.DUMMYFUNCTION("""COMPUTED_VALUE"""),45698)</f>
        <v>45698</v>
      </c>
      <c r="V199" s="27">
        <f ca="1">IFERROR(__xludf.DUMMYFUNCTION("""COMPUTED_VALUE"""),45787)</f>
        <v>45787</v>
      </c>
      <c r="W199" s="23">
        <f ca="1">IFERROR(__xludf.DUMMYFUNCTION("""COMPUTED_VALUE"""),198)</f>
        <v>198</v>
      </c>
      <c r="X199" s="28">
        <f ca="1">IFERROR(__xludf.DUMMYFUNCTION("""COMPUTED_VALUE"""),45932)</f>
        <v>45932</v>
      </c>
      <c r="Y199" s="23" t="str">
        <f ca="1">IFERROR(__xludf.DUMMYFUNCTION("""COMPUTED_VALUE"""),"DUYỆT")</f>
        <v>DUYỆT</v>
      </c>
      <c r="Z199" s="28">
        <f ca="1">IFERROR(__xludf.DUMMYFUNCTION("""COMPUTED_VALUE"""),45932)</f>
        <v>45932</v>
      </c>
      <c r="AA199" s="23" t="str">
        <f ca="1">IFERROR(__xludf.DUMMYFUNCTION("""COMPUTED_VALUE"""),"Meliá Vinpearl Danang Riverfront")</f>
        <v>Meliá Vinpearl Danang Riverfront</v>
      </c>
      <c r="AB199" s="23" t="str">
        <f ca="1">IFERROR(__xludf.DUMMYFUNCTION("""COMPUTED_VALUE"""),"Nhà hàng")</f>
        <v>Nhà hàng</v>
      </c>
      <c r="AC199" s="23"/>
      <c r="AD199" s="23" t="str">
        <f ca="1">IFERROR(__xludf.DUMMYFUNCTION("""COMPUTED_VALUE"""),"sinh viên phải đảm bảo không quá 5sv/nhà hàng")</f>
        <v>sinh viên phải đảm bảo không quá 5sv/nhà hàng</v>
      </c>
      <c r="AE199" s="23" t="str">
        <f ca="1">IFERROR(__xludf.DUMMYFUNCTION("""COMPUTED_VALUE"""),"")</f>
        <v/>
      </c>
      <c r="AF199" s="23" t="str">
        <f ca="1">IFERROR(__xludf.DUMMYFUNCTION("""COMPUTED_VALUE"""),"CHUYÊN ĐỀ")</f>
        <v>CHUYÊN ĐỀ</v>
      </c>
      <c r="AG199" s="23" t="str">
        <f ca="1">IFERROR(__xludf.DUMMYFUNCTION("""COMPUTED_VALUE"""),"Ngô Thị Thanh Nga")</f>
        <v>Ngô Thị Thanh Nga</v>
      </c>
    </row>
    <row r="200" spans="1:33" ht="12.75" x14ac:dyDescent="0.2">
      <c r="A200" s="26">
        <f ca="1">IFERROR(__xludf.DUMMYFUNCTION("""COMPUTED_VALUE"""),45695.6733458564)</f>
        <v>45695.673345856398</v>
      </c>
      <c r="B200" s="23" t="str">
        <f ca="1">IFERROR(__xludf.DUMMYFUNCTION("""COMPUTED_VALUE"""),"nguyenthingocnhi12092003@gmail.com")</f>
        <v>nguyenthingocnhi12092003@gmail.com</v>
      </c>
      <c r="C200" s="23">
        <f ca="1">IFERROR(__xludf.DUMMYFUNCTION("""COMPUTED_VALUE"""),27207128195)</f>
        <v>27207128195</v>
      </c>
      <c r="D200" s="23" t="str">
        <f ca="1">IFERROR(__xludf.DUMMYFUNCTION("""COMPUTED_VALUE"""),"Nguyễn Thị Ngọc Nhi")</f>
        <v>Nguyễn Thị Ngọc Nhi</v>
      </c>
      <c r="E200" s="27">
        <f ca="1">IFERROR(__xludf.DUMMYFUNCTION("""COMPUTED_VALUE"""),37876)</f>
        <v>37876</v>
      </c>
      <c r="F200" s="23" t="str">
        <f ca="1">IFERROR(__xludf.DUMMYFUNCTION("""COMPUTED_VALUE"""),"K27DLK5")</f>
        <v>K27DLK5</v>
      </c>
      <c r="G200" s="23" t="str">
        <f ca="1">IFERROR(__xludf.DUMMYFUNCTION("""COMPUTED_VALUE"""),"Quản trị Du lịch &amp; Khách sạn")</f>
        <v>Quản trị Du lịch &amp; Khách sạn</v>
      </c>
      <c r="H200" s="23">
        <f ca="1">IFERROR(__xludf.DUMMYFUNCTION("""COMPUTED_VALUE"""),27)</f>
        <v>27</v>
      </c>
      <c r="I200" s="23" t="str">
        <f ca="1">IFERROR(__xludf.DUMMYFUNCTION("""COMPUTED_VALUE"""),"0898450230")</f>
        <v>0898450230</v>
      </c>
      <c r="J200" s="23" t="str">
        <f ca="1">IFERROR(__xludf.DUMMYFUNCTION("""COMPUTED_VALUE"""),"Chuyên đề")</f>
        <v>Chuyên đề</v>
      </c>
      <c r="K200" s="23" t="str">
        <f ca="1">IFERROR(__xludf.DUMMYFUNCTION("""COMPUTED_VALUE"""),"New Orient Hotel Đà Nẵng")</f>
        <v>New Orient Hotel Đà Nẵng</v>
      </c>
      <c r="L200" s="23"/>
      <c r="M200" s="23" t="str">
        <f ca="1">IFERROR(__xludf.DUMMYFUNCTION("""COMPUTED_VALUE"""),"20 Đống Đa")</f>
        <v>20 Đống Đa</v>
      </c>
      <c r="N200" s="23" t="str">
        <f ca="1">IFERROR(__xludf.DUMMYFUNCTION("""COMPUTED_VALUE"""),"Đà Nẵng")</f>
        <v>Đà Nẵng</v>
      </c>
      <c r="O200" s="23" t="str">
        <f ca="1">IFERROR(__xludf.DUMMYFUNCTION("""COMPUTED_VALUE"""),"Tiền sảnh")</f>
        <v>Tiền sảnh</v>
      </c>
      <c r="P200" s="23"/>
      <c r="Q200" s="23" t="str">
        <f ca="1">IFERROR(__xludf.DUMMYFUNCTION("""COMPUTED_VALUE"""),"7/2/2025")</f>
        <v>7/2/2025</v>
      </c>
      <c r="R200" s="23" t="str">
        <f ca="1">IFERROR(__xludf.DUMMYFUNCTION("""COMPUTED_VALUE"""),"cam kết")</f>
        <v>cam kết</v>
      </c>
      <c r="S200" s="23" t="str">
        <f ca="1">IFERROR(__xludf.DUMMYFUNCTION("""COMPUTED_VALUE"""),"Chuyên đề")</f>
        <v>Chuyên đề</v>
      </c>
      <c r="T200" s="23" t="str">
        <f ca="1">IFERROR(__xludf.DUMMYFUNCTION("""COMPUTED_VALUE"""),"Dương Thị Xuân Diệu")</f>
        <v>Dương Thị Xuân Diệu</v>
      </c>
      <c r="U200" s="27">
        <f ca="1">IFERROR(__xludf.DUMMYFUNCTION("""COMPUTED_VALUE"""),45698)</f>
        <v>45698</v>
      </c>
      <c r="V200" s="27">
        <f ca="1">IFERROR(__xludf.DUMMYFUNCTION("""COMPUTED_VALUE"""),45787)</f>
        <v>45787</v>
      </c>
      <c r="W200" s="23">
        <f ca="1">IFERROR(__xludf.DUMMYFUNCTION("""COMPUTED_VALUE"""),199)</f>
        <v>199</v>
      </c>
      <c r="X200" s="28">
        <f ca="1">IFERROR(__xludf.DUMMYFUNCTION("""COMPUTED_VALUE"""),45932)</f>
        <v>45932</v>
      </c>
      <c r="Y200" s="23" t="str">
        <f ca="1">IFERROR(__xludf.DUMMYFUNCTION("""COMPUTED_VALUE"""),"DUYỆT")</f>
        <v>DUYỆT</v>
      </c>
      <c r="Z200" s="28">
        <f ca="1">IFERROR(__xludf.DUMMYFUNCTION("""COMPUTED_VALUE"""),45932)</f>
        <v>45932</v>
      </c>
      <c r="AA200" s="23" t="str">
        <f ca="1">IFERROR(__xludf.DUMMYFUNCTION("""COMPUTED_VALUE"""),"New Orient Hotel Đà Nẵng")</f>
        <v>New Orient Hotel Đà Nẵng</v>
      </c>
      <c r="AB200" s="23" t="str">
        <f ca="1">IFERROR(__xludf.DUMMYFUNCTION("""COMPUTED_VALUE"""),"Tiền sảnh")</f>
        <v>Tiền sảnh</v>
      </c>
      <c r="AC200" s="23"/>
      <c r="AD200" s="23"/>
      <c r="AE200" s="23" t="str">
        <f ca="1">IFERROR(__xludf.DUMMYFUNCTION("""COMPUTED_VALUE"""),"")</f>
        <v/>
      </c>
      <c r="AF200" s="23" t="str">
        <f ca="1">IFERROR(__xludf.DUMMYFUNCTION("""COMPUTED_VALUE"""),"CHUYÊN ĐỀ")</f>
        <v>CHUYÊN ĐỀ</v>
      </c>
      <c r="AG200" s="23" t="str">
        <f ca="1">IFERROR(__xludf.DUMMYFUNCTION("""COMPUTED_VALUE"""),"Ngô Thị Thanh Nga")</f>
        <v>Ngô Thị Thanh Nga</v>
      </c>
    </row>
    <row r="201" spans="1:33" ht="12.75" x14ac:dyDescent="0.2">
      <c r="A201" s="26">
        <f ca="1">IFERROR(__xludf.DUMMYFUNCTION("""COMPUTED_VALUE"""),45695.6922629051)</f>
        <v>45695.692262905097</v>
      </c>
      <c r="B201" s="23" t="str">
        <f ca="1">IFERROR(__xludf.DUMMYFUNCTION("""COMPUTED_VALUE"""),"bngoc280803@gmail.com")</f>
        <v>bngoc280803@gmail.com</v>
      </c>
      <c r="C201" s="23">
        <f ca="1">IFERROR(__xludf.DUMMYFUNCTION("""COMPUTED_VALUE"""),27207122888)</f>
        <v>27207122888</v>
      </c>
      <c r="D201" s="23" t="str">
        <f ca="1">IFERROR(__xludf.DUMMYFUNCTION("""COMPUTED_VALUE"""),"Võ Thị Bích Ngọc ")</f>
        <v xml:space="preserve">Võ Thị Bích Ngọc </v>
      </c>
      <c r="E201" s="27">
        <f ca="1">IFERROR(__xludf.DUMMYFUNCTION("""COMPUTED_VALUE"""),37861)</f>
        <v>37861</v>
      </c>
      <c r="F201" s="23" t="str">
        <f ca="1">IFERROR(__xludf.DUMMYFUNCTION("""COMPUTED_VALUE"""),"K27DLK 4")</f>
        <v>K27DLK 4</v>
      </c>
      <c r="G201" s="23" t="str">
        <f ca="1">IFERROR(__xludf.DUMMYFUNCTION("""COMPUTED_VALUE"""),"Quản trị Du lịch &amp; Khách sạn")</f>
        <v>Quản trị Du lịch &amp; Khách sạn</v>
      </c>
      <c r="H201" s="23">
        <f ca="1">IFERROR(__xludf.DUMMYFUNCTION("""COMPUTED_VALUE"""),27)</f>
        <v>27</v>
      </c>
      <c r="I201" s="23" t="str">
        <f ca="1">IFERROR(__xludf.DUMMYFUNCTION("""COMPUTED_VALUE"""),"0334809597")</f>
        <v>0334809597</v>
      </c>
      <c r="J201" s="23" t="str">
        <f ca="1">IFERROR(__xludf.DUMMYFUNCTION("""COMPUTED_VALUE"""),"Chuyên đề")</f>
        <v>Chuyên đề</v>
      </c>
      <c r="K201" s="23" t="str">
        <f ca="1">IFERROR(__xludf.DUMMYFUNCTION("""COMPUTED_VALUE"""),"Novotel DaNang Premier Han River")</f>
        <v>Novotel DaNang Premier Han River</v>
      </c>
      <c r="L201" s="23"/>
      <c r="M201" s="23" t="str">
        <f ca="1">IFERROR(__xludf.DUMMYFUNCTION("""COMPUTED_VALUE"""),"36 Bạch Đằng - Thạch Thang - Hải Châu - Đà Nẵng")</f>
        <v>36 Bạch Đằng - Thạch Thang - Hải Châu - Đà Nẵng</v>
      </c>
      <c r="N201" s="23" t="str">
        <f ca="1">IFERROR(__xludf.DUMMYFUNCTION("""COMPUTED_VALUE""")," Đà Nẵng")</f>
        <v xml:space="preserve"> Đà Nẵng</v>
      </c>
      <c r="O201" s="23" t="str">
        <f ca="1">IFERROR(__xludf.DUMMYFUNCTION("""COMPUTED_VALUE"""),"Nhà hàng")</f>
        <v>Nhà hàng</v>
      </c>
      <c r="P201" s="23"/>
      <c r="Q201" s="23" t="str">
        <f ca="1">IFERROR(__xludf.DUMMYFUNCTION("""COMPUTED_VALUE"""),"07/02/2025")</f>
        <v>07/02/2025</v>
      </c>
      <c r="R201" s="23" t="str">
        <f ca="1">IFERROR(__xludf.DUMMYFUNCTION("""COMPUTED_VALUE"""),"cam kết")</f>
        <v>cam kết</v>
      </c>
      <c r="S201" s="23" t="str">
        <f ca="1">IFERROR(__xludf.DUMMYFUNCTION("""COMPUTED_VALUE"""),"Chuyên đề")</f>
        <v>Chuyên đề</v>
      </c>
      <c r="T201" s="23"/>
      <c r="U201" s="27">
        <f ca="1">IFERROR(__xludf.DUMMYFUNCTION("""COMPUTED_VALUE"""),45698)</f>
        <v>45698</v>
      </c>
      <c r="V201" s="27">
        <f ca="1">IFERROR(__xludf.DUMMYFUNCTION("""COMPUTED_VALUE"""),45787)</f>
        <v>45787</v>
      </c>
      <c r="W201" s="23">
        <f ca="1">IFERROR(__xludf.DUMMYFUNCTION("""COMPUTED_VALUE"""),200)</f>
        <v>200</v>
      </c>
      <c r="X201" s="28">
        <f ca="1">IFERROR(__xludf.DUMMYFUNCTION("""COMPUTED_VALUE"""),45871)</f>
        <v>45871</v>
      </c>
      <c r="Y201" s="23" t="str">
        <f ca="1">IFERROR(__xludf.DUMMYFUNCTION("""COMPUTED_VALUE"""),"DUYỆT")</f>
        <v>DUYỆT</v>
      </c>
      <c r="Z201" s="28">
        <f ca="1">IFERROR(__xludf.DUMMYFUNCTION("""COMPUTED_VALUE"""),45932)</f>
        <v>45932</v>
      </c>
      <c r="AA201" s="23" t="str">
        <f ca="1">IFERROR(__xludf.DUMMYFUNCTION("""COMPUTED_VALUE"""),"Novotel DaNang Premier Han River")</f>
        <v>Novotel DaNang Premier Han River</v>
      </c>
      <c r="AB201" s="23" t="str">
        <f ca="1">IFERROR(__xludf.DUMMYFUNCTION("""COMPUTED_VALUE"""),"Nhà hàng")</f>
        <v>Nhà hàng</v>
      </c>
      <c r="AC201" s="23"/>
      <c r="AD201" s="23"/>
      <c r="AE201" s="23" t="str">
        <f ca="1">IFERROR(__xludf.DUMMYFUNCTION("""COMPUTED_VALUE"""),"")</f>
        <v/>
      </c>
      <c r="AF201" s="23" t="str">
        <f ca="1">IFERROR(__xludf.DUMMYFUNCTION("""COMPUTED_VALUE"""),"CHUYÊN ĐỀ")</f>
        <v>CHUYÊN ĐỀ</v>
      </c>
      <c r="AG201" s="23" t="str">
        <f ca="1">IFERROR(__xludf.DUMMYFUNCTION("""COMPUTED_VALUE"""),"Nguyễn Thị Minh Thư")</f>
        <v>Nguyễn Thị Minh Thư</v>
      </c>
    </row>
    <row r="202" spans="1:33" ht="12.75" x14ac:dyDescent="0.2">
      <c r="A202" s="26">
        <f ca="1">IFERROR(__xludf.DUMMYFUNCTION("""COMPUTED_VALUE"""),45695.6924473611)</f>
        <v>45695.6924473611</v>
      </c>
      <c r="B202" s="23" t="str">
        <f ca="1">IFERROR(__xludf.DUMMYFUNCTION("""COMPUTED_VALUE"""),"yennhinguyenthi241@gmail.com")</f>
        <v>yennhinguyenthi241@gmail.com</v>
      </c>
      <c r="C202" s="23">
        <f ca="1">IFERROR(__xludf.DUMMYFUNCTION("""COMPUTED_VALUE"""),27217100922)</f>
        <v>27217100922</v>
      </c>
      <c r="D202" s="23" t="str">
        <f ca="1">IFERROR(__xludf.DUMMYFUNCTION("""COMPUTED_VALUE"""),"Nguyễn Thị Yến Nhi ")</f>
        <v xml:space="preserve">Nguyễn Thị Yến Nhi </v>
      </c>
      <c r="E202" s="27">
        <f ca="1">IFERROR(__xludf.DUMMYFUNCTION("""COMPUTED_VALUE"""),37841)</f>
        <v>37841</v>
      </c>
      <c r="F202" s="23" t="str">
        <f ca="1">IFERROR(__xludf.DUMMYFUNCTION("""COMPUTED_VALUE"""),"K27DLK4")</f>
        <v>K27DLK4</v>
      </c>
      <c r="G202" s="23" t="str">
        <f ca="1">IFERROR(__xludf.DUMMYFUNCTION("""COMPUTED_VALUE"""),"Quản trị Du lịch &amp; Khách sạn")</f>
        <v>Quản trị Du lịch &amp; Khách sạn</v>
      </c>
      <c r="H202" s="23">
        <f ca="1">IFERROR(__xludf.DUMMYFUNCTION("""COMPUTED_VALUE"""),27)</f>
        <v>27</v>
      </c>
      <c r="I202" s="23" t="str">
        <f ca="1">IFERROR(__xludf.DUMMYFUNCTION("""COMPUTED_VALUE"""),"0357884586")</f>
        <v>0357884586</v>
      </c>
      <c r="J202" s="23" t="str">
        <f ca="1">IFERROR(__xludf.DUMMYFUNCTION("""COMPUTED_VALUE"""),"Chuyên đề")</f>
        <v>Chuyên đề</v>
      </c>
      <c r="K202" s="23" t="str">
        <f ca="1">IFERROR(__xludf.DUMMYFUNCTION("""COMPUTED_VALUE"""),"Novotel DaNang Premier Han River")</f>
        <v>Novotel DaNang Premier Han River</v>
      </c>
      <c r="L202" s="23"/>
      <c r="M202" s="23" t="str">
        <f ca="1">IFERROR(__xludf.DUMMYFUNCTION("""COMPUTED_VALUE"""),"36 Bạch Đằng - Thạch Thang - Hải Châu - Đà Nẵng ")</f>
        <v xml:space="preserve">36 Bạch Đằng - Thạch Thang - Hải Châu - Đà Nẵng </v>
      </c>
      <c r="N202" s="23" t="str">
        <f ca="1">IFERROR(__xludf.DUMMYFUNCTION("""COMPUTED_VALUE"""),"Đà Nẵng ")</f>
        <v xml:space="preserve">Đà Nẵng </v>
      </c>
      <c r="O202" s="23" t="str">
        <f ca="1">IFERROR(__xludf.DUMMYFUNCTION("""COMPUTED_VALUE"""),"Nhà hàng")</f>
        <v>Nhà hàng</v>
      </c>
      <c r="P202" s="23"/>
      <c r="Q202" s="23" t="str">
        <f ca="1">IFERROR(__xludf.DUMMYFUNCTION("""COMPUTED_VALUE"""),"07/02/2025")</f>
        <v>07/02/2025</v>
      </c>
      <c r="R202" s="23" t="str">
        <f ca="1">IFERROR(__xludf.DUMMYFUNCTION("""COMPUTED_VALUE"""),"cam kết")</f>
        <v>cam kết</v>
      </c>
      <c r="S202" s="23" t="str">
        <f ca="1">IFERROR(__xludf.DUMMYFUNCTION("""COMPUTED_VALUE"""),"Chuyên đề")</f>
        <v>Chuyên đề</v>
      </c>
      <c r="T202" s="23"/>
      <c r="U202" s="27">
        <f ca="1">IFERROR(__xludf.DUMMYFUNCTION("""COMPUTED_VALUE"""),45698)</f>
        <v>45698</v>
      </c>
      <c r="V202" s="27">
        <f ca="1">IFERROR(__xludf.DUMMYFUNCTION("""COMPUTED_VALUE"""),45787)</f>
        <v>45787</v>
      </c>
      <c r="W202" s="23">
        <f ca="1">IFERROR(__xludf.DUMMYFUNCTION("""COMPUTED_VALUE"""),201)</f>
        <v>201</v>
      </c>
      <c r="X202" s="28">
        <f ca="1">IFERROR(__xludf.DUMMYFUNCTION("""COMPUTED_VALUE"""),45871)</f>
        <v>45871</v>
      </c>
      <c r="Y202" s="23" t="str">
        <f ca="1">IFERROR(__xludf.DUMMYFUNCTION("""COMPUTED_VALUE"""),"DUYỆT")</f>
        <v>DUYỆT</v>
      </c>
      <c r="Z202" s="28">
        <f ca="1">IFERROR(__xludf.DUMMYFUNCTION("""COMPUTED_VALUE"""),45932)</f>
        <v>45932</v>
      </c>
      <c r="AA202" s="23" t="str">
        <f ca="1">IFERROR(__xludf.DUMMYFUNCTION("""COMPUTED_VALUE"""),"Novotel DaNang Premier Han River")</f>
        <v>Novotel DaNang Premier Han River</v>
      </c>
      <c r="AB202" s="23" t="str">
        <f ca="1">IFERROR(__xludf.DUMMYFUNCTION("""COMPUTED_VALUE"""),"Nhà hàng")</f>
        <v>Nhà hàng</v>
      </c>
      <c r="AC202" s="23"/>
      <c r="AD202" s="23"/>
      <c r="AE202" s="23" t="str">
        <f ca="1">IFERROR(__xludf.DUMMYFUNCTION("""COMPUTED_VALUE"""),"")</f>
        <v/>
      </c>
      <c r="AF202" s="23" t="str">
        <f ca="1">IFERROR(__xludf.DUMMYFUNCTION("""COMPUTED_VALUE"""),"không đủ điều kiện")</f>
        <v>không đủ điều kiện</v>
      </c>
      <c r="AG202" s="23"/>
    </row>
    <row r="203" spans="1:33" ht="12.75" x14ac:dyDescent="0.2">
      <c r="A203" s="26">
        <f ca="1">IFERROR(__xludf.DUMMYFUNCTION("""COMPUTED_VALUE"""),45695.7022931944)</f>
        <v>45695.702293194401</v>
      </c>
      <c r="B203" s="23" t="str">
        <f ca="1">IFERROR(__xludf.DUMMYFUNCTION("""COMPUTED_VALUE"""),"vyngan2001@gmail.com")</f>
        <v>vyngan2001@gmail.com</v>
      </c>
      <c r="C203" s="23">
        <f ca="1">IFERROR(__xludf.DUMMYFUNCTION("""COMPUTED_VALUE"""),27207146875)</f>
        <v>27207146875</v>
      </c>
      <c r="D203" s="23" t="str">
        <f ca="1">IFERROR(__xludf.DUMMYFUNCTION("""COMPUTED_VALUE"""),"Võ Thị Y Ngân")</f>
        <v>Võ Thị Y Ngân</v>
      </c>
      <c r="E203" s="27">
        <f ca="1">IFERROR(__xludf.DUMMYFUNCTION("""COMPUTED_VALUE"""),37731)</f>
        <v>37731</v>
      </c>
      <c r="F203" s="23" t="str">
        <f ca="1">IFERROR(__xludf.DUMMYFUNCTION("""COMPUTED_VALUE"""),"K27DLK7")</f>
        <v>K27DLK7</v>
      </c>
      <c r="G203" s="23" t="str">
        <f ca="1">IFERROR(__xludf.DUMMYFUNCTION("""COMPUTED_VALUE"""),"Quản trị Du lịch &amp; Khách sạn")</f>
        <v>Quản trị Du lịch &amp; Khách sạn</v>
      </c>
      <c r="H203" s="23">
        <f ca="1">IFERROR(__xludf.DUMMYFUNCTION("""COMPUTED_VALUE"""),27)</f>
        <v>27</v>
      </c>
      <c r="I203" s="23" t="str">
        <f ca="1">IFERROR(__xludf.DUMMYFUNCTION("""COMPUTED_VALUE"""),"0787483403")</f>
        <v>0787483403</v>
      </c>
      <c r="J203" s="23" t="str">
        <f ca="1">IFERROR(__xludf.DUMMYFUNCTION("""COMPUTED_VALUE"""),"Chuyên đề")</f>
        <v>Chuyên đề</v>
      </c>
      <c r="K203" s="23" t="str">
        <f ca="1">IFERROR(__xludf.DUMMYFUNCTION("""COMPUTED_VALUE"""),"Meliá Vinpearl Danang Riverfront")</f>
        <v>Meliá Vinpearl Danang Riverfront</v>
      </c>
      <c r="L203" s="23"/>
      <c r="M203" s="23" t="str">
        <f ca="1">IFERROR(__xludf.DUMMYFUNCTION("""COMPUTED_VALUE"""),"341 Trần Hưng Đạo, Đà Nẵng")</f>
        <v>341 Trần Hưng Đạo, Đà Nẵng</v>
      </c>
      <c r="N203" s="23" t="str">
        <f ca="1">IFERROR(__xludf.DUMMYFUNCTION("""COMPUTED_VALUE"""),"Đà Nẵng")</f>
        <v>Đà Nẵng</v>
      </c>
      <c r="O203" s="23" t="str">
        <f ca="1">IFERROR(__xludf.DUMMYFUNCTION("""COMPUTED_VALUE"""),"Tiền sảnh")</f>
        <v>Tiền sảnh</v>
      </c>
      <c r="P203" s="23"/>
      <c r="Q203" s="23" t="str">
        <f ca="1">IFERROR(__xludf.DUMMYFUNCTION("""COMPUTED_VALUE"""),"7/2/2025")</f>
        <v>7/2/2025</v>
      </c>
      <c r="R203" s="23" t="str">
        <f ca="1">IFERROR(__xludf.DUMMYFUNCTION("""COMPUTED_VALUE"""),"cam kết")</f>
        <v>cam kết</v>
      </c>
      <c r="S203" s="23" t="str">
        <f ca="1">IFERROR(__xludf.DUMMYFUNCTION("""COMPUTED_VALUE"""),"Chuyên đề")</f>
        <v>Chuyên đề</v>
      </c>
      <c r="T203" s="23"/>
      <c r="U203" s="27">
        <f ca="1">IFERROR(__xludf.DUMMYFUNCTION("""COMPUTED_VALUE"""),45691)</f>
        <v>45691</v>
      </c>
      <c r="V203" s="27">
        <f ca="1">IFERROR(__xludf.DUMMYFUNCTION("""COMPUTED_VALUE"""),45780)</f>
        <v>45780</v>
      </c>
      <c r="W203" s="23">
        <f ca="1">IFERROR(__xludf.DUMMYFUNCTION("""COMPUTED_VALUE"""),202)</f>
        <v>202</v>
      </c>
      <c r="X203" s="28">
        <f ca="1">IFERROR(__xludf.DUMMYFUNCTION("""COMPUTED_VALUE"""),45932)</f>
        <v>45932</v>
      </c>
      <c r="Y203" s="23" t="str">
        <f ca="1">IFERROR(__xludf.DUMMYFUNCTION("""COMPUTED_VALUE"""),"DUYỆT")</f>
        <v>DUYỆT</v>
      </c>
      <c r="Z203" s="28">
        <f ca="1">IFERROR(__xludf.DUMMYFUNCTION("""COMPUTED_VALUE"""),45932)</f>
        <v>45932</v>
      </c>
      <c r="AA203" s="23" t="str">
        <f ca="1">IFERROR(__xludf.DUMMYFUNCTION("""COMPUTED_VALUE"""),"Meliá Vinpearl Danang Riverfront")</f>
        <v>Meliá Vinpearl Danang Riverfront</v>
      </c>
      <c r="AB203" s="23" t="str">
        <f ca="1">IFERROR(__xludf.DUMMYFUNCTION("""COMPUTED_VALUE"""),"Tiền sảnh")</f>
        <v>Tiền sảnh</v>
      </c>
      <c r="AC203" s="23"/>
      <c r="AD203" s="23"/>
      <c r="AE203" s="23" t="str">
        <f ca="1">IFERROR(__xludf.DUMMYFUNCTION("""COMPUTED_VALUE"""),"")</f>
        <v/>
      </c>
      <c r="AF203" s="23" t="str">
        <f ca="1">IFERROR(__xludf.DUMMYFUNCTION("""COMPUTED_VALUE"""),"CHUYÊN ĐỀ")</f>
        <v>CHUYÊN ĐỀ</v>
      </c>
      <c r="AG203" s="23" t="str">
        <f ca="1">IFERROR(__xludf.DUMMYFUNCTION("""COMPUTED_VALUE"""),"Ngô Thị Thanh Nga")</f>
        <v>Ngô Thị Thanh Nga</v>
      </c>
    </row>
    <row r="204" spans="1:33" ht="12.75" x14ac:dyDescent="0.2">
      <c r="A204" s="26">
        <f ca="1">IFERROR(__xludf.DUMMYFUNCTION("""COMPUTED_VALUE"""),45695.7025907523)</f>
        <v>45695.702590752298</v>
      </c>
      <c r="B204" s="23" t="str">
        <f ca="1">IFERROR(__xludf.DUMMYFUNCTION("""COMPUTED_VALUE"""),"nthuphuong1509@gmail.com")</f>
        <v>nthuphuong1509@gmail.com</v>
      </c>
      <c r="C204" s="23">
        <f ca="1">IFERROR(__xludf.DUMMYFUNCTION("""COMPUTED_VALUE"""),27207147747)</f>
        <v>27207147747</v>
      </c>
      <c r="D204" s="23" t="str">
        <f ca="1">IFERROR(__xludf.DUMMYFUNCTION("""COMPUTED_VALUE"""),"Nguyễn Thu Phương ")</f>
        <v xml:space="preserve">Nguyễn Thu Phương </v>
      </c>
      <c r="E204" s="27">
        <f ca="1">IFERROR(__xludf.DUMMYFUNCTION("""COMPUTED_VALUE"""),37879)</f>
        <v>37879</v>
      </c>
      <c r="F204" s="23" t="str">
        <f ca="1">IFERROR(__xludf.DUMMYFUNCTION("""COMPUTED_VALUE"""),"K27DLK7")</f>
        <v>K27DLK7</v>
      </c>
      <c r="G204" s="23" t="str">
        <f ca="1">IFERROR(__xludf.DUMMYFUNCTION("""COMPUTED_VALUE"""),"Quản trị Du lịch &amp; Khách sạn")</f>
        <v>Quản trị Du lịch &amp; Khách sạn</v>
      </c>
      <c r="H204" s="23">
        <f ca="1">IFERROR(__xludf.DUMMYFUNCTION("""COMPUTED_VALUE"""),27)</f>
        <v>27</v>
      </c>
      <c r="I204" s="23" t="str">
        <f ca="1">IFERROR(__xludf.DUMMYFUNCTION("""COMPUTED_VALUE"""),"0376988620")</f>
        <v>0376988620</v>
      </c>
      <c r="J204" s="23" t="str">
        <f ca="1">IFERROR(__xludf.DUMMYFUNCTION("""COMPUTED_VALUE"""),"Chuyên đề")</f>
        <v>Chuyên đề</v>
      </c>
      <c r="K204" s="23" t="str">
        <f ca="1">IFERROR(__xludf.DUMMYFUNCTION("""COMPUTED_VALUE"""),"Meliá Vinpearl Danang Riverfront")</f>
        <v>Meliá Vinpearl Danang Riverfront</v>
      </c>
      <c r="L204" s="23"/>
      <c r="M204" s="23" t="str">
        <f ca="1">IFERROR(__xludf.DUMMYFUNCTION("""COMPUTED_VALUE"""),"341 Trần Hưng Đạo, Phường An Hải Bắc, Quận Sơn Trà, Thành phố Đà Nẵng")</f>
        <v>341 Trần Hưng Đạo, Phường An Hải Bắc, Quận Sơn Trà, Thành phố Đà Nẵng</v>
      </c>
      <c r="N204" s="23" t="str">
        <f ca="1">IFERROR(__xludf.DUMMYFUNCTION("""COMPUTED_VALUE"""),"Đà Nẵng ")</f>
        <v xml:space="preserve">Đà Nẵng </v>
      </c>
      <c r="O204" s="23" t="str">
        <f ca="1">IFERROR(__xludf.DUMMYFUNCTION("""COMPUTED_VALUE"""),"Tiền sảnh")</f>
        <v>Tiền sảnh</v>
      </c>
      <c r="P204" s="23"/>
      <c r="Q204" s="23" t="str">
        <f ca="1">IFERROR(__xludf.DUMMYFUNCTION("""COMPUTED_VALUE"""),"07/02/2025")</f>
        <v>07/02/2025</v>
      </c>
      <c r="R204" s="23" t="str">
        <f ca="1">IFERROR(__xludf.DUMMYFUNCTION("""COMPUTED_VALUE"""),"cam kết")</f>
        <v>cam kết</v>
      </c>
      <c r="S204" s="23" t="str">
        <f ca="1">IFERROR(__xludf.DUMMYFUNCTION("""COMPUTED_VALUE"""),"Chuyên đề")</f>
        <v>Chuyên đề</v>
      </c>
      <c r="T204" s="23"/>
      <c r="U204" s="27">
        <f ca="1">IFERROR(__xludf.DUMMYFUNCTION("""COMPUTED_VALUE"""),45698)</f>
        <v>45698</v>
      </c>
      <c r="V204" s="27">
        <f ca="1">IFERROR(__xludf.DUMMYFUNCTION("""COMPUTED_VALUE"""),45787)</f>
        <v>45787</v>
      </c>
      <c r="W204" s="23">
        <f ca="1">IFERROR(__xludf.DUMMYFUNCTION("""COMPUTED_VALUE"""),203)</f>
        <v>203</v>
      </c>
      <c r="X204" s="28">
        <f ca="1">IFERROR(__xludf.DUMMYFUNCTION("""COMPUTED_VALUE"""),45932)</f>
        <v>45932</v>
      </c>
      <c r="Y204" s="23" t="str">
        <f ca="1">IFERROR(__xludf.DUMMYFUNCTION("""COMPUTED_VALUE"""),"DUYỆT")</f>
        <v>DUYỆT</v>
      </c>
      <c r="Z204" s="28">
        <f ca="1">IFERROR(__xludf.DUMMYFUNCTION("""COMPUTED_VALUE"""),45932)</f>
        <v>45932</v>
      </c>
      <c r="AA204" s="23" t="str">
        <f ca="1">IFERROR(__xludf.DUMMYFUNCTION("""COMPUTED_VALUE"""),"Meliá Vinpearl Danang Riverfront")</f>
        <v>Meliá Vinpearl Danang Riverfront</v>
      </c>
      <c r="AB204" s="23" t="str">
        <f ca="1">IFERROR(__xludf.DUMMYFUNCTION("""COMPUTED_VALUE"""),"Tiền sảnh")</f>
        <v>Tiền sảnh</v>
      </c>
      <c r="AC204" s="23"/>
      <c r="AD204" s="23"/>
      <c r="AE204" s="23" t="str">
        <f ca="1">IFERROR(__xludf.DUMMYFUNCTION("""COMPUTED_VALUE"""),"")</f>
        <v/>
      </c>
      <c r="AF204" s="23" t="str">
        <f ca="1">IFERROR(__xludf.DUMMYFUNCTION("""COMPUTED_VALUE"""),"CHUYÊN ĐỀ")</f>
        <v>CHUYÊN ĐỀ</v>
      </c>
      <c r="AG204" s="23" t="str">
        <f ca="1">IFERROR(__xludf.DUMMYFUNCTION("""COMPUTED_VALUE"""),"Ngô Thị Thanh Nga")</f>
        <v>Ngô Thị Thanh Nga</v>
      </c>
    </row>
    <row r="205" spans="1:33" ht="12.75" x14ac:dyDescent="0.2">
      <c r="A205" s="26">
        <f ca="1">IFERROR(__xludf.DUMMYFUNCTION("""COMPUTED_VALUE"""),45695.7369666898)</f>
        <v>45695.736966689801</v>
      </c>
      <c r="B205" s="23" t="str">
        <f ca="1">IFERROR(__xludf.DUMMYFUNCTION("""COMPUTED_VALUE"""),"dotu2k03@gmail.com")</f>
        <v>dotu2k03@gmail.com</v>
      </c>
      <c r="C205" s="23">
        <f ca="1">IFERROR(__xludf.DUMMYFUNCTION("""COMPUTED_VALUE"""),27217129069)</f>
        <v>27217129069</v>
      </c>
      <c r="D205" s="23" t="str">
        <f ca="1">IFERROR(__xludf.DUMMYFUNCTION("""COMPUTED_VALUE"""),"Đỗ Anh Tú")</f>
        <v>Đỗ Anh Tú</v>
      </c>
      <c r="E205" s="27">
        <f ca="1">IFERROR(__xludf.DUMMYFUNCTION("""COMPUTED_VALUE"""),37676)</f>
        <v>37676</v>
      </c>
      <c r="F205" s="23" t="str">
        <f ca="1">IFERROR(__xludf.DUMMYFUNCTION("""COMPUTED_VALUE"""),"K27DLK6")</f>
        <v>K27DLK6</v>
      </c>
      <c r="G205" s="23" t="str">
        <f ca="1">IFERROR(__xludf.DUMMYFUNCTION("""COMPUTED_VALUE"""),"Quản trị Du lịch &amp; Khách sạn")</f>
        <v>Quản trị Du lịch &amp; Khách sạn</v>
      </c>
      <c r="H205" s="23">
        <f ca="1">IFERROR(__xludf.DUMMYFUNCTION("""COMPUTED_VALUE"""),27)</f>
        <v>27</v>
      </c>
      <c r="I205" s="23" t="str">
        <f ca="1">IFERROR(__xludf.DUMMYFUNCTION("""COMPUTED_VALUE"""),"0363879316")</f>
        <v>0363879316</v>
      </c>
      <c r="J205" s="23" t="str">
        <f ca="1">IFERROR(__xludf.DUMMYFUNCTION("""COMPUTED_VALUE"""),"Chuyên đề")</f>
        <v>Chuyên đề</v>
      </c>
      <c r="K205" s="23" t="str">
        <f ca="1">IFERROR(__xludf.DUMMYFUNCTION("""COMPUTED_VALUE"""),"Diamond Sea Hotel")</f>
        <v>Diamond Sea Hotel</v>
      </c>
      <c r="L205" s="23"/>
      <c r="M205" s="23" t="str">
        <f ca="1">IFERROR(__xludf.DUMMYFUNCTION("""COMPUTED_VALUE"""),"232 Võ Nguyên Giáp, Sơn Trà, Đà Nẵng")</f>
        <v>232 Võ Nguyên Giáp, Sơn Trà, Đà Nẵng</v>
      </c>
      <c r="N205" s="23" t="str">
        <f ca="1">IFERROR(__xludf.DUMMYFUNCTION("""COMPUTED_VALUE"""),"Đà Nẵng")</f>
        <v>Đà Nẵng</v>
      </c>
      <c r="O205" s="23" t="str">
        <f ca="1">IFERROR(__xludf.DUMMYFUNCTION("""COMPUTED_VALUE"""),"Buồng phòng")</f>
        <v>Buồng phòng</v>
      </c>
      <c r="P205" s="23"/>
      <c r="Q205" s="23" t="str">
        <f ca="1">IFERROR(__xludf.DUMMYFUNCTION("""COMPUTED_VALUE"""),"07/02/2025")</f>
        <v>07/02/2025</v>
      </c>
      <c r="R205" s="23" t="str">
        <f ca="1">IFERROR(__xludf.DUMMYFUNCTION("""COMPUTED_VALUE"""),"cam kết")</f>
        <v>cam kết</v>
      </c>
      <c r="S205" s="23" t="str">
        <f ca="1">IFERROR(__xludf.DUMMYFUNCTION("""COMPUTED_VALUE"""),"Chuyên đề")</f>
        <v>Chuyên đề</v>
      </c>
      <c r="T205" s="23"/>
      <c r="U205" s="27">
        <f ca="1">IFERROR(__xludf.DUMMYFUNCTION("""COMPUTED_VALUE"""),45698)</f>
        <v>45698</v>
      </c>
      <c r="V205" s="27">
        <f ca="1">IFERROR(__xludf.DUMMYFUNCTION("""COMPUTED_VALUE"""),45781)</f>
        <v>45781</v>
      </c>
      <c r="W205" s="23">
        <f ca="1">IFERROR(__xludf.DUMMYFUNCTION("""COMPUTED_VALUE"""),204)</f>
        <v>204</v>
      </c>
      <c r="X205" s="28">
        <f ca="1">IFERROR(__xludf.DUMMYFUNCTION("""COMPUTED_VALUE"""),45871)</f>
        <v>45871</v>
      </c>
      <c r="Y205" s="23" t="str">
        <f ca="1">IFERROR(__xludf.DUMMYFUNCTION("""COMPUTED_VALUE"""),"DUYỆT")</f>
        <v>DUYỆT</v>
      </c>
      <c r="Z205" s="28">
        <f ca="1">IFERROR(__xludf.DUMMYFUNCTION("""COMPUTED_VALUE"""),45932)</f>
        <v>45932</v>
      </c>
      <c r="AA205" s="23" t="str">
        <f ca="1">IFERROR(__xludf.DUMMYFUNCTION("""COMPUTED_VALUE"""),"Diamond Sea Hotel")</f>
        <v>Diamond Sea Hotel</v>
      </c>
      <c r="AB205" s="23" t="str">
        <f ca="1">IFERROR(__xludf.DUMMYFUNCTION("""COMPUTED_VALUE"""),"Buồng phòng")</f>
        <v>Buồng phòng</v>
      </c>
      <c r="AC205" s="23"/>
      <c r="AD205" s="23"/>
      <c r="AE205" s="23" t="str">
        <f ca="1">IFERROR(__xludf.DUMMYFUNCTION("""COMPUTED_VALUE"""),"")</f>
        <v/>
      </c>
      <c r="AF205" s="23" t="str">
        <f ca="1">IFERROR(__xludf.DUMMYFUNCTION("""COMPUTED_VALUE"""),"CHUYÊN ĐỀ")</f>
        <v>CHUYÊN ĐỀ</v>
      </c>
      <c r="AG205" s="23" t="str">
        <f ca="1">IFERROR(__xludf.DUMMYFUNCTION("""COMPUTED_VALUE"""),"Dương Thị Xuân Diệu")</f>
        <v>Dương Thị Xuân Diệu</v>
      </c>
    </row>
    <row r="206" spans="1:33" ht="12.75" x14ac:dyDescent="0.2">
      <c r="A206" s="26">
        <f ca="1">IFERROR(__xludf.DUMMYFUNCTION("""COMPUTED_VALUE"""),45695.7521803472)</f>
        <v>45695.752180347197</v>
      </c>
      <c r="B206" s="23" t="str">
        <f ca="1">IFERROR(__xludf.DUMMYFUNCTION("""COMPUTED_VALUE"""),"Hoangthaopbc@gmail.com")</f>
        <v>Hoangthaopbc@gmail.com</v>
      </c>
      <c r="C206" s="23">
        <f ca="1">IFERROR(__xludf.DUMMYFUNCTION("""COMPUTED_VALUE"""),26207231869)</f>
        <v>26207231869</v>
      </c>
      <c r="D206" s="23" t="str">
        <f ca="1">IFERROR(__xludf.DUMMYFUNCTION("""COMPUTED_VALUE"""),"Hoàng Thanh Thảo")</f>
        <v>Hoàng Thanh Thảo</v>
      </c>
      <c r="E206" s="27">
        <f ca="1">IFERROR(__xludf.DUMMYFUNCTION("""COMPUTED_VALUE"""),37620)</f>
        <v>37620</v>
      </c>
      <c r="F206" s="23" t="str">
        <f ca="1">IFERROR(__xludf.DUMMYFUNCTION("""COMPUTED_VALUE"""),"K26DLK9 ")</f>
        <v xml:space="preserve">K26DLK9 </v>
      </c>
      <c r="G206" s="23" t="str">
        <f ca="1">IFERROR(__xludf.DUMMYFUNCTION("""COMPUTED_VALUE"""),"Quản trị Du lịch &amp; Khách sạn")</f>
        <v>Quản trị Du lịch &amp; Khách sạn</v>
      </c>
      <c r="H206" s="23">
        <f ca="1">IFERROR(__xludf.DUMMYFUNCTION("""COMPUTED_VALUE"""),26)</f>
        <v>26</v>
      </c>
      <c r="I206" s="23" t="str">
        <f ca="1">IFERROR(__xludf.DUMMYFUNCTION("""COMPUTED_VALUE"""),"0774800237")</f>
        <v>0774800237</v>
      </c>
      <c r="J206" s="23" t="str">
        <f ca="1">IFERROR(__xludf.DUMMYFUNCTION("""COMPUTED_VALUE"""),"Chuyên đề")</f>
        <v>Chuyên đề</v>
      </c>
      <c r="K206" s="23" t="str">
        <f ca="1">IFERROR(__xludf.DUMMYFUNCTION("""COMPUTED_VALUE"""),"Sherwood Residence ")</f>
        <v xml:space="preserve">Sherwood Residence </v>
      </c>
      <c r="L206" s="23" t="str">
        <f ca="1">IFERROR(__xludf.DUMMYFUNCTION("""COMPUTED_VALUE"""),"Sherwood Residence ")</f>
        <v xml:space="preserve">Sherwood Residence </v>
      </c>
      <c r="M206" s="23" t="str">
        <f ca="1">IFERROR(__xludf.DUMMYFUNCTION("""COMPUTED_VALUE"""),"127 Pasteur, phường Võ Thị Sáu, Quận 3")</f>
        <v>127 Pasteur, phường Võ Thị Sáu, Quận 3</v>
      </c>
      <c r="N206" s="23" t="str">
        <f ca="1">IFERROR(__xludf.DUMMYFUNCTION("""COMPUTED_VALUE"""),"Hồ Chí Minh")</f>
        <v>Hồ Chí Minh</v>
      </c>
      <c r="O206" s="23" t="str">
        <f ca="1">IFERROR(__xludf.DUMMYFUNCTION("""COMPUTED_VALUE"""),"Nhà hàng")</f>
        <v>Nhà hàng</v>
      </c>
      <c r="P206" s="23"/>
      <c r="Q206" s="23" t="str">
        <f ca="1">IFERROR(__xludf.DUMMYFUNCTION("""COMPUTED_VALUE"""),"7/2/2025")</f>
        <v>7/2/2025</v>
      </c>
      <c r="R206" s="23" t="str">
        <f ca="1">IFERROR(__xludf.DUMMYFUNCTION("""COMPUTED_VALUE"""),"cam kết")</f>
        <v>cam kết</v>
      </c>
      <c r="S206" s="23" t="str">
        <f ca="1">IFERROR(__xludf.DUMMYFUNCTION("""COMPUTED_VALUE"""),"Chuyên đề")</f>
        <v>Chuyên đề</v>
      </c>
      <c r="T206" s="23" t="str">
        <f ca="1">IFERROR(__xludf.DUMMYFUNCTION("""COMPUTED_VALUE"""),"Mai Thị Thương")</f>
        <v>Mai Thị Thương</v>
      </c>
      <c r="U206" s="27">
        <f ca="1">IFERROR(__xludf.DUMMYFUNCTION("""COMPUTED_VALUE"""),45695)</f>
        <v>45695</v>
      </c>
      <c r="V206" s="27">
        <f ca="1">IFERROR(__xludf.DUMMYFUNCTION("""COMPUTED_VALUE"""),45784)</f>
        <v>45784</v>
      </c>
      <c r="W206" s="23">
        <f ca="1">IFERROR(__xludf.DUMMYFUNCTION("""COMPUTED_VALUE"""),205)</f>
        <v>205</v>
      </c>
      <c r="X206" s="28">
        <f ca="1">IFERROR(__xludf.DUMMYFUNCTION("""COMPUTED_VALUE"""),45963)</f>
        <v>45963</v>
      </c>
      <c r="Y206" s="23" t="str">
        <f ca="1">IFERROR(__xludf.DUMMYFUNCTION("""COMPUTED_VALUE"""),"DUYỆT")</f>
        <v>DUYỆT</v>
      </c>
      <c r="Z206" s="28">
        <f ca="1">IFERROR(__xludf.DUMMYFUNCTION("""COMPUTED_VALUE"""),45932)</f>
        <v>45932</v>
      </c>
      <c r="AA206" s="23" t="str">
        <f ca="1">IFERROR(__xludf.DUMMYFUNCTION("""COMPUTED_VALUE"""),"Sherwood Residence ")</f>
        <v xml:space="preserve">Sherwood Residence </v>
      </c>
      <c r="AB206" s="23" t="str">
        <f ca="1">IFERROR(__xludf.DUMMYFUNCTION("""COMPUTED_VALUE"""),"Nhà hàng")</f>
        <v>Nhà hàng</v>
      </c>
      <c r="AC206" s="23" t="str">
        <f ca="1">IFERROR(__xludf.DUMMYFUNCTION("""COMPUTED_VALUE"""),"ĐÃ NỘP")</f>
        <v>ĐÃ NỘP</v>
      </c>
      <c r="AD206" s="23"/>
      <c r="AE206" s="23" t="str">
        <f ca="1">IFERROR(__xludf.DUMMYFUNCTION("""COMPUTED_VALUE"""),"")</f>
        <v/>
      </c>
      <c r="AF206" s="23" t="str">
        <f ca="1">IFERROR(__xludf.DUMMYFUNCTION("""COMPUTED_VALUE"""),"CHUYÊN ĐỀ")</f>
        <v>CHUYÊN ĐỀ</v>
      </c>
      <c r="AG206" s="23" t="str">
        <f ca="1">IFERROR(__xludf.DUMMYFUNCTION("""COMPUTED_VALUE"""),"Huỳnh Lý Thùy Linh")</f>
        <v>Huỳnh Lý Thùy Linh</v>
      </c>
    </row>
    <row r="207" spans="1:33" ht="12.75" x14ac:dyDescent="0.2">
      <c r="A207" s="26">
        <f ca="1">IFERROR(__xludf.DUMMYFUNCTION("""COMPUTED_VALUE"""),45695.7503898379)</f>
        <v>45695.7503898379</v>
      </c>
      <c r="B207" s="23" t="str">
        <f ca="1">IFERROR(__xludf.DUMMYFUNCTION("""COMPUTED_VALUE"""),"bachhuynhngoctran22032003@gmail.com")</f>
        <v>bachhuynhngoctran22032003@gmail.com</v>
      </c>
      <c r="C207" s="23">
        <f ca="1">IFERROR(__xludf.DUMMYFUNCTION("""COMPUTED_VALUE"""),27207120791)</f>
        <v>27207120791</v>
      </c>
      <c r="D207" s="23" t="str">
        <f ca="1">IFERROR(__xludf.DUMMYFUNCTION("""COMPUTED_VALUE"""),"Bạch Huỳnh Ngọc Trân")</f>
        <v>Bạch Huỳnh Ngọc Trân</v>
      </c>
      <c r="E207" s="27">
        <f ca="1">IFERROR(__xludf.DUMMYFUNCTION("""COMPUTED_VALUE"""),37702)</f>
        <v>37702</v>
      </c>
      <c r="F207" s="23" t="str">
        <f ca="1">IFERROR(__xludf.DUMMYFUNCTION("""COMPUTED_VALUE"""),"K27DLK 4")</f>
        <v>K27DLK 4</v>
      </c>
      <c r="G207" s="23" t="str">
        <f ca="1">IFERROR(__xludf.DUMMYFUNCTION("""COMPUTED_VALUE"""),"Quản trị Du lịch &amp; Khách sạn")</f>
        <v>Quản trị Du lịch &amp; Khách sạn</v>
      </c>
      <c r="H207" s="23">
        <f ca="1">IFERROR(__xludf.DUMMYFUNCTION("""COMPUTED_VALUE"""),27)</f>
        <v>27</v>
      </c>
      <c r="I207" s="23" t="str">
        <f ca="1">IFERROR(__xludf.DUMMYFUNCTION("""COMPUTED_VALUE"""),"0813939317")</f>
        <v>0813939317</v>
      </c>
      <c r="J207" s="23" t="str">
        <f ca="1">IFERROR(__xludf.DUMMYFUNCTION("""COMPUTED_VALUE"""),"Chuyên đề")</f>
        <v>Chuyên đề</v>
      </c>
      <c r="K207" s="23" t="str">
        <f ca="1">IFERROR(__xludf.DUMMYFUNCTION("""COMPUTED_VALUE"""),"Khách sạn Như Minh Plaza")</f>
        <v>Khách sạn Như Minh Plaza</v>
      </c>
      <c r="L207" s="23"/>
      <c r="M207" s="23" t="str">
        <f ca="1">IFERROR(__xludf.DUMMYFUNCTION("""COMPUTED_VALUE"""),"29-33 Lê Văn Quý, An Hải Bắc, Sơn Trà, Đà Nẵng")</f>
        <v>29-33 Lê Văn Quý, An Hải Bắc, Sơn Trà, Đà Nẵng</v>
      </c>
      <c r="N207" s="23" t="str">
        <f ca="1">IFERROR(__xludf.DUMMYFUNCTION("""COMPUTED_VALUE"""),"Đà Nẵng")</f>
        <v>Đà Nẵng</v>
      </c>
      <c r="O207" s="23" t="str">
        <f ca="1">IFERROR(__xludf.DUMMYFUNCTION("""COMPUTED_VALUE"""),"Tiền sảnh")</f>
        <v>Tiền sảnh</v>
      </c>
      <c r="P207" s="23"/>
      <c r="Q207" s="23" t="str">
        <f ca="1">IFERROR(__xludf.DUMMYFUNCTION("""COMPUTED_VALUE"""),"07/02/2025")</f>
        <v>07/02/2025</v>
      </c>
      <c r="R207" s="23" t="str">
        <f ca="1">IFERROR(__xludf.DUMMYFUNCTION("""COMPUTED_VALUE"""),"cam kết")</f>
        <v>cam kết</v>
      </c>
      <c r="S207" s="23" t="str">
        <f ca="1">IFERROR(__xludf.DUMMYFUNCTION("""COMPUTED_VALUE"""),"Chuyên đề")</f>
        <v>Chuyên đề</v>
      </c>
      <c r="T207" s="23"/>
      <c r="U207" s="27">
        <f ca="1">IFERROR(__xludf.DUMMYFUNCTION("""COMPUTED_VALUE"""),45698)</f>
        <v>45698</v>
      </c>
      <c r="V207" s="27">
        <f ca="1">IFERROR(__xludf.DUMMYFUNCTION("""COMPUTED_VALUE"""),45787)</f>
        <v>45787</v>
      </c>
      <c r="W207" s="23">
        <f ca="1">IFERROR(__xludf.DUMMYFUNCTION("""COMPUTED_VALUE"""),206)</f>
        <v>206</v>
      </c>
      <c r="X207" s="28">
        <f ca="1">IFERROR(__xludf.DUMMYFUNCTION("""COMPUTED_VALUE"""),45963)</f>
        <v>45963</v>
      </c>
      <c r="Y207" s="23" t="str">
        <f ca="1">IFERROR(__xludf.DUMMYFUNCTION("""COMPUTED_VALUE"""),"DUYỆT")</f>
        <v>DUYỆT</v>
      </c>
      <c r="Z207" s="28">
        <f ca="1">IFERROR(__xludf.DUMMYFUNCTION("""COMPUTED_VALUE"""),45963)</f>
        <v>45963</v>
      </c>
      <c r="AA207" s="23" t="str">
        <f ca="1">IFERROR(__xludf.DUMMYFUNCTION("""COMPUTED_VALUE"""),"Khách sạn Như Minh Plaza")</f>
        <v>Khách sạn Như Minh Plaza</v>
      </c>
      <c r="AB207" s="23" t="str">
        <f ca="1">IFERROR(__xludf.DUMMYFUNCTION("""COMPUTED_VALUE"""),"Tiền sảnh")</f>
        <v>Tiền sảnh</v>
      </c>
      <c r="AC207" s="23"/>
      <c r="AD207" s="23"/>
      <c r="AE207" s="23" t="str">
        <f ca="1">IFERROR(__xludf.DUMMYFUNCTION("""COMPUTED_VALUE"""),"")</f>
        <v/>
      </c>
      <c r="AF207" s="23" t="str">
        <f ca="1">IFERROR(__xludf.DUMMYFUNCTION("""COMPUTED_VALUE"""),"CHUYÊN ĐỀ")</f>
        <v>CHUYÊN ĐỀ</v>
      </c>
      <c r="AG207" s="23" t="str">
        <f ca="1">IFERROR(__xludf.DUMMYFUNCTION("""COMPUTED_VALUE"""),"Bùi Lê Anh Phương")</f>
        <v>Bùi Lê Anh Phương</v>
      </c>
    </row>
    <row r="208" spans="1:33" ht="12.75" x14ac:dyDescent="0.2">
      <c r="A208" s="26">
        <f ca="1">IFERROR(__xludf.DUMMYFUNCTION("""COMPUTED_VALUE"""),45695.8494689699)</f>
        <v>45695.8494689699</v>
      </c>
      <c r="B208" s="23" t="str">
        <f ca="1">IFERROR(__xludf.DUMMYFUNCTION("""COMPUTED_VALUE"""),"nguyenthitrang150805@gmail.com")</f>
        <v>nguyenthitrang150805@gmail.com</v>
      </c>
      <c r="C208" s="23">
        <f ca="1">IFERROR(__xludf.DUMMYFUNCTION("""COMPUTED_VALUE"""),27207100837)</f>
        <v>27207100837</v>
      </c>
      <c r="D208" s="23" t="str">
        <f ca="1">IFERROR(__xludf.DUMMYFUNCTION("""COMPUTED_VALUE"""),"Nguyễn Thị Trang")</f>
        <v>Nguyễn Thị Trang</v>
      </c>
      <c r="E208" s="27">
        <f ca="1">IFERROR(__xludf.DUMMYFUNCTION("""COMPUTED_VALUE"""),37749)</f>
        <v>37749</v>
      </c>
      <c r="F208" s="23" t="str">
        <f ca="1">IFERROR(__xludf.DUMMYFUNCTION("""COMPUTED_VALUE"""),"K27DLK4")</f>
        <v>K27DLK4</v>
      </c>
      <c r="G208" s="23" t="str">
        <f ca="1">IFERROR(__xludf.DUMMYFUNCTION("""COMPUTED_VALUE"""),"Quản trị Du lịch &amp; Khách sạn")</f>
        <v>Quản trị Du lịch &amp; Khách sạn</v>
      </c>
      <c r="H208" s="23">
        <f ca="1">IFERROR(__xludf.DUMMYFUNCTION("""COMPUTED_VALUE"""),27)</f>
        <v>27</v>
      </c>
      <c r="I208" s="23" t="str">
        <f ca="1">IFERROR(__xludf.DUMMYFUNCTION("""COMPUTED_VALUE"""),"0346787402")</f>
        <v>0346787402</v>
      </c>
      <c r="J208" s="23" t="str">
        <f ca="1">IFERROR(__xludf.DUMMYFUNCTION("""COMPUTED_VALUE"""),"Chuyên đề")</f>
        <v>Chuyên đề</v>
      </c>
      <c r="K208" s="23" t="str">
        <f ca="1">IFERROR(__xludf.DUMMYFUNCTION("""COMPUTED_VALUE"""),"The Nalod Đà Năng ")</f>
        <v xml:space="preserve">The Nalod Đà Năng </v>
      </c>
      <c r="L208" s="23" t="str">
        <f ca="1">IFERROR(__xludf.DUMMYFUNCTION("""COMPUTED_VALUE"""),"The Nalod Đà Năng ")</f>
        <v xml:space="preserve">The Nalod Đà Năng </v>
      </c>
      <c r="M208" s="23" t="str">
        <f ca="1">IFERROR(__xludf.DUMMYFUNCTION("""COMPUTED_VALUE"""),"192 Võ Nguyên Giáp")</f>
        <v>192 Võ Nguyên Giáp</v>
      </c>
      <c r="N208" s="23" t="str">
        <f ca="1">IFERROR(__xludf.DUMMYFUNCTION("""COMPUTED_VALUE"""),"Đà Nẵng")</f>
        <v>Đà Nẵng</v>
      </c>
      <c r="O208" s="23" t="str">
        <f ca="1">IFERROR(__xludf.DUMMYFUNCTION("""COMPUTED_VALUE"""),"Nhà hàng")</f>
        <v>Nhà hàng</v>
      </c>
      <c r="P208" s="23"/>
      <c r="Q208" s="23" t="str">
        <f ca="1">IFERROR(__xludf.DUMMYFUNCTION("""COMPUTED_VALUE"""),"7/2")</f>
        <v>7/2</v>
      </c>
      <c r="R208" s="23" t="str">
        <f ca="1">IFERROR(__xludf.DUMMYFUNCTION("""COMPUTED_VALUE"""),"cam kết")</f>
        <v>cam kết</v>
      </c>
      <c r="S208" s="23" t="str">
        <f ca="1">IFERROR(__xludf.DUMMYFUNCTION("""COMPUTED_VALUE"""),"Chuyên đề")</f>
        <v>Chuyên đề</v>
      </c>
      <c r="T208" s="23"/>
      <c r="U208" s="27">
        <f ca="1">IFERROR(__xludf.DUMMYFUNCTION("""COMPUTED_VALUE"""),45698)</f>
        <v>45698</v>
      </c>
      <c r="V208" s="27">
        <f ca="1">IFERROR(__xludf.DUMMYFUNCTION("""COMPUTED_VALUE"""),45787)</f>
        <v>45787</v>
      </c>
      <c r="W208" s="23">
        <f ca="1">IFERROR(__xludf.DUMMYFUNCTION("""COMPUTED_VALUE"""),207)</f>
        <v>207</v>
      </c>
      <c r="X208" s="23"/>
      <c r="Y208" s="23" t="str">
        <f ca="1">IFERROR(__xludf.DUMMYFUNCTION("""COMPUTED_VALUE"""),"KHÔNG DUYỆT")</f>
        <v>KHÔNG DUYỆT</v>
      </c>
      <c r="Z208" s="28">
        <f ca="1">IFERROR(__xludf.DUMMYFUNCTION("""COMPUTED_VALUE"""),45932)</f>
        <v>45932</v>
      </c>
      <c r="AA208" s="23" t="str">
        <f ca="1">IFERROR(__xludf.DUMMYFUNCTION("""COMPUTED_VALUE"""),"The Nalod Đà Năng ")</f>
        <v xml:space="preserve">The Nalod Đà Năng </v>
      </c>
      <c r="AB208" s="23" t="str">
        <f ca="1">IFERROR(__xludf.DUMMYFUNCTION("""COMPUTED_VALUE"""),"Nhà hàng")</f>
        <v>Nhà hàng</v>
      </c>
      <c r="AC208" s="23"/>
      <c r="AD208" s="23" t="str">
        <f ca="1">IFERROR(__xludf.DUMMYFUNCTION("""COMPUTED_VALUE"""),"10/02/2025: không thấy thông tin tại CSDL")</f>
        <v>10/02/2025: không thấy thông tin tại CSDL</v>
      </c>
      <c r="AE208" s="23" t="str">
        <f ca="1">IFERROR(__xludf.DUMMYFUNCTION("""COMPUTED_VALUE"""),"")</f>
        <v/>
      </c>
      <c r="AF208" s="23" t="str">
        <f ca="1">IFERROR(__xludf.DUMMYFUNCTION("""COMPUTED_VALUE"""),"CHUYÊN ĐỀ")</f>
        <v>CHUYÊN ĐỀ</v>
      </c>
      <c r="AG208" s="23" t="str">
        <f ca="1">IFERROR(__xludf.DUMMYFUNCTION("""COMPUTED_VALUE"""),"Huỳnh Lý Thùy Linh")</f>
        <v>Huỳnh Lý Thùy Linh</v>
      </c>
    </row>
    <row r="209" spans="1:33" ht="12.75" x14ac:dyDescent="0.2">
      <c r="A209" s="26">
        <f ca="1">IFERROR(__xludf.DUMMYFUNCTION("""COMPUTED_VALUE"""),45695.9161136805)</f>
        <v>45695.916113680498</v>
      </c>
      <c r="B209" s="23" t="str">
        <f ca="1">IFERROR(__xludf.DUMMYFUNCTION("""COMPUTED_VALUE"""),"nhudtq3003@gmail.com")</f>
        <v>nhudtq3003@gmail.com</v>
      </c>
      <c r="C209" s="23">
        <f ca="1">IFERROR(__xludf.DUMMYFUNCTION("""COMPUTED_VALUE"""),27207142512)</f>
        <v>27207142512</v>
      </c>
      <c r="D209" s="23" t="str">
        <f ca="1">IFERROR(__xludf.DUMMYFUNCTION("""COMPUTED_VALUE"""),"Đặng Thị Quỳnh Như")</f>
        <v>Đặng Thị Quỳnh Như</v>
      </c>
      <c r="E209" s="27">
        <f ca="1">IFERROR(__xludf.DUMMYFUNCTION("""COMPUTED_VALUE"""),37749)</f>
        <v>37749</v>
      </c>
      <c r="F209" s="23" t="str">
        <f ca="1">IFERROR(__xludf.DUMMYFUNCTION("""COMPUTED_VALUE"""),"K27ldk2")</f>
        <v>K27ldk2</v>
      </c>
      <c r="G209" s="23" t="str">
        <f ca="1">IFERROR(__xludf.DUMMYFUNCTION("""COMPUTED_VALUE"""),"Quản trị Du lịch &amp; Khách sạn")</f>
        <v>Quản trị Du lịch &amp; Khách sạn</v>
      </c>
      <c r="H209" s="23">
        <f ca="1">IFERROR(__xludf.DUMMYFUNCTION("""COMPUTED_VALUE"""),27)</f>
        <v>27</v>
      </c>
      <c r="I209" s="23" t="str">
        <f ca="1">IFERROR(__xludf.DUMMYFUNCTION("""COMPUTED_VALUE"""),"0975277852")</f>
        <v>0975277852</v>
      </c>
      <c r="J209" s="23" t="str">
        <f ca="1">IFERROR(__xludf.DUMMYFUNCTION("""COMPUTED_VALUE"""),"Chuyên đề")</f>
        <v>Chuyên đề</v>
      </c>
      <c r="K209" s="23" t="str">
        <f ca="1">IFERROR(__xludf.DUMMYFUNCTION("""COMPUTED_VALUE"""),"Minh Toàn Galaxy Hotel Đà Nẵng")</f>
        <v>Minh Toàn Galaxy Hotel Đà Nẵng</v>
      </c>
      <c r="L209" s="23"/>
      <c r="M209" s="23" t="str">
        <f ca="1">IFERROR(__xludf.DUMMYFUNCTION("""COMPUTED_VALUE"""),"162 đường 2/9 phường Hoà Thuận Đông quận Hải Châu , tp Đà Nẵng")</f>
        <v>162 đường 2/9 phường Hoà Thuận Đông quận Hải Châu , tp Đà Nẵng</v>
      </c>
      <c r="N209" s="23" t="str">
        <f ca="1">IFERROR(__xludf.DUMMYFUNCTION("""COMPUTED_VALUE"""),"Đà Nẵng")</f>
        <v>Đà Nẵng</v>
      </c>
      <c r="O209" s="23" t="str">
        <f ca="1">IFERROR(__xludf.DUMMYFUNCTION("""COMPUTED_VALUE"""),"Buồng phòng")</f>
        <v>Buồng phòng</v>
      </c>
      <c r="P209" s="23"/>
      <c r="Q209" s="23" t="str">
        <f ca="1">IFERROR(__xludf.DUMMYFUNCTION("""COMPUTED_VALUE"""),"8/2/2025")</f>
        <v>8/2/2025</v>
      </c>
      <c r="R209" s="23" t="str">
        <f ca="1">IFERROR(__xludf.DUMMYFUNCTION("""COMPUTED_VALUE"""),"cam kết")</f>
        <v>cam kết</v>
      </c>
      <c r="S209" s="23" t="str">
        <f ca="1">IFERROR(__xludf.DUMMYFUNCTION("""COMPUTED_VALUE"""),"Chuyên đề")</f>
        <v>Chuyên đề</v>
      </c>
      <c r="T209" s="23"/>
      <c r="U209" s="27">
        <f ca="1">IFERROR(__xludf.DUMMYFUNCTION("""COMPUTED_VALUE"""),45698)</f>
        <v>45698</v>
      </c>
      <c r="V209" s="27">
        <f ca="1">IFERROR(__xludf.DUMMYFUNCTION("""COMPUTED_VALUE"""),45787)</f>
        <v>45787</v>
      </c>
      <c r="W209" s="23">
        <f ca="1">IFERROR(__xludf.DUMMYFUNCTION("""COMPUTED_VALUE"""),208)</f>
        <v>208</v>
      </c>
      <c r="X209" s="28">
        <f ca="1">IFERROR(__xludf.DUMMYFUNCTION("""COMPUTED_VALUE"""),45963)</f>
        <v>45963</v>
      </c>
      <c r="Y209" s="23" t="str">
        <f ca="1">IFERROR(__xludf.DUMMYFUNCTION("""COMPUTED_VALUE"""),"DUYỆT")</f>
        <v>DUYỆT</v>
      </c>
      <c r="Z209" s="28">
        <f ca="1">IFERROR(__xludf.DUMMYFUNCTION("""COMPUTED_VALUE"""),45932)</f>
        <v>45932</v>
      </c>
      <c r="AA209" s="23" t="str">
        <f ca="1">IFERROR(__xludf.DUMMYFUNCTION("""COMPUTED_VALUE"""),"Minh Toàn Galaxy Hotel Đà Nẵng")</f>
        <v>Minh Toàn Galaxy Hotel Đà Nẵng</v>
      </c>
      <c r="AB209" s="23" t="str">
        <f ca="1">IFERROR(__xludf.DUMMYFUNCTION("""COMPUTED_VALUE"""),"Buồng phòng")</f>
        <v>Buồng phòng</v>
      </c>
      <c r="AC209" s="23"/>
      <c r="AD209" s="23"/>
      <c r="AE209" s="23" t="str">
        <f ca="1">IFERROR(__xludf.DUMMYFUNCTION("""COMPUTED_VALUE"""),"")</f>
        <v/>
      </c>
      <c r="AF209" s="23" t="str">
        <f ca="1">IFERROR(__xludf.DUMMYFUNCTION("""COMPUTED_VALUE"""),"CHUYÊN ĐỀ")</f>
        <v>CHUYÊN ĐỀ</v>
      </c>
      <c r="AG209" s="23" t="str">
        <f ca="1">IFERROR(__xludf.DUMMYFUNCTION("""COMPUTED_VALUE"""),"Mai Thị Thương")</f>
        <v>Mai Thị Thương</v>
      </c>
    </row>
    <row r="210" spans="1:33" ht="12.75" x14ac:dyDescent="0.2">
      <c r="A210" s="26">
        <f ca="1">IFERROR(__xludf.DUMMYFUNCTION("""COMPUTED_VALUE"""),45695.9516737384)</f>
        <v>45695.951673738396</v>
      </c>
      <c r="B210" s="23" t="str">
        <f ca="1">IFERROR(__xludf.DUMMYFUNCTION("""COMPUTED_VALUE"""),"tntnguyen0303@gmail.com")</f>
        <v>tntnguyen0303@gmail.com</v>
      </c>
      <c r="C210" s="23">
        <f ca="1">IFERROR(__xludf.DUMMYFUNCTION("""COMPUTED_VALUE"""),27207121852)</f>
        <v>27207121852</v>
      </c>
      <c r="D210" s="23" t="str">
        <f ca="1">IFERROR(__xludf.DUMMYFUNCTION("""COMPUTED_VALUE"""),"Trương Ngọc Thảo Nguyên ")</f>
        <v xml:space="preserve">Trương Ngọc Thảo Nguyên </v>
      </c>
      <c r="E210" s="27">
        <f ca="1">IFERROR(__xludf.DUMMYFUNCTION("""COMPUTED_VALUE"""),37683)</f>
        <v>37683</v>
      </c>
      <c r="F210" s="23" t="str">
        <f ca="1">IFERROR(__xludf.DUMMYFUNCTION("""COMPUTED_VALUE"""),"K27DLK6")</f>
        <v>K27DLK6</v>
      </c>
      <c r="G210" s="23" t="str">
        <f ca="1">IFERROR(__xludf.DUMMYFUNCTION("""COMPUTED_VALUE"""),"Quản trị Du lịch &amp; Khách sạn")</f>
        <v>Quản trị Du lịch &amp; Khách sạn</v>
      </c>
      <c r="H210" s="23">
        <f ca="1">IFERROR(__xludf.DUMMYFUNCTION("""COMPUTED_VALUE"""),27)</f>
        <v>27</v>
      </c>
      <c r="I210" s="23" t="str">
        <f ca="1">IFERROR(__xludf.DUMMYFUNCTION("""COMPUTED_VALUE"""),"0356775953")</f>
        <v>0356775953</v>
      </c>
      <c r="J210" s="23" t="str">
        <f ca="1">IFERROR(__xludf.DUMMYFUNCTION("""COMPUTED_VALUE"""),"Chuyên đề")</f>
        <v>Chuyên đề</v>
      </c>
      <c r="K210" s="23" t="str">
        <f ca="1">IFERROR(__xludf.DUMMYFUNCTION("""COMPUTED_VALUE"""),"Khách sạn Mandila Beach Đà Nẵng")</f>
        <v>Khách sạn Mandila Beach Đà Nẵng</v>
      </c>
      <c r="L210" s="23"/>
      <c r="M210" s="23" t="str">
        <f ca="1">IFERROR(__xludf.DUMMYFUNCTION("""COMPUTED_VALUE"""),"218 Võ Nguyên Giáp, Phước Mỹ, Sơn Trà, Đà Nẵng ")</f>
        <v xml:space="preserve">218 Võ Nguyên Giáp, Phước Mỹ, Sơn Trà, Đà Nẵng </v>
      </c>
      <c r="N210" s="23" t="str">
        <f ca="1">IFERROR(__xludf.DUMMYFUNCTION("""COMPUTED_VALUE"""),"Đà Nẵng ")</f>
        <v xml:space="preserve">Đà Nẵng </v>
      </c>
      <c r="O210" s="23" t="str">
        <f ca="1">IFERROR(__xludf.DUMMYFUNCTION("""COMPUTED_VALUE"""),"Nhà hàng")</f>
        <v>Nhà hàng</v>
      </c>
      <c r="P210" s="23"/>
      <c r="Q210" s="23" t="str">
        <f ca="1">IFERROR(__xludf.DUMMYFUNCTION("""COMPUTED_VALUE"""),"8/2/2025")</f>
        <v>8/2/2025</v>
      </c>
      <c r="R210" s="23" t="str">
        <f ca="1">IFERROR(__xludf.DUMMYFUNCTION("""COMPUTED_VALUE"""),"cam kết")</f>
        <v>cam kết</v>
      </c>
      <c r="S210" s="23" t="str">
        <f ca="1">IFERROR(__xludf.DUMMYFUNCTION("""COMPUTED_VALUE"""),"Chuyên đề")</f>
        <v>Chuyên đề</v>
      </c>
      <c r="T210" s="23" t="str">
        <f ca="1">IFERROR(__xludf.DUMMYFUNCTION("""COMPUTED_VALUE"""),"Trần Hoàng Anh")</f>
        <v>Trần Hoàng Anh</v>
      </c>
      <c r="U210" s="27">
        <f ca="1">IFERROR(__xludf.DUMMYFUNCTION("""COMPUTED_VALUE"""),45694)</f>
        <v>45694</v>
      </c>
      <c r="V210" s="27">
        <f ca="1">IFERROR(__xludf.DUMMYFUNCTION("""COMPUTED_VALUE"""),45787)</f>
        <v>45787</v>
      </c>
      <c r="W210" s="23">
        <f ca="1">IFERROR(__xludf.DUMMYFUNCTION("""COMPUTED_VALUE"""),209)</f>
        <v>209</v>
      </c>
      <c r="X210" s="28">
        <f ca="1">IFERROR(__xludf.DUMMYFUNCTION("""COMPUTED_VALUE"""),45963)</f>
        <v>45963</v>
      </c>
      <c r="Y210" s="23" t="str">
        <f ca="1">IFERROR(__xludf.DUMMYFUNCTION("""COMPUTED_VALUE"""),"DUYỆT")</f>
        <v>DUYỆT</v>
      </c>
      <c r="Z210" s="28">
        <f ca="1">IFERROR(__xludf.DUMMYFUNCTION("""COMPUTED_VALUE"""),45932)</f>
        <v>45932</v>
      </c>
      <c r="AA210" s="23" t="str">
        <f ca="1">IFERROR(__xludf.DUMMYFUNCTION("""COMPUTED_VALUE"""),"Khách sạn Mandila Beach Đà Nẵng")</f>
        <v>Khách sạn Mandila Beach Đà Nẵng</v>
      </c>
      <c r="AB210" s="23" t="str">
        <f ca="1">IFERROR(__xludf.DUMMYFUNCTION("""COMPUTED_VALUE"""),"Nhà hàng")</f>
        <v>Nhà hàng</v>
      </c>
      <c r="AC210" s="23"/>
      <c r="AD210" s="23"/>
      <c r="AE210" s="23" t="str">
        <f ca="1">IFERROR(__xludf.DUMMYFUNCTION("""COMPUTED_VALUE"""),"")</f>
        <v/>
      </c>
      <c r="AF210" s="23" t="str">
        <f ca="1">IFERROR(__xludf.DUMMYFUNCTION("""COMPUTED_VALUE"""),"CHUYÊN ĐỀ")</f>
        <v>CHUYÊN ĐỀ</v>
      </c>
      <c r="AG210" s="23" t="str">
        <f ca="1">IFERROR(__xludf.DUMMYFUNCTION("""COMPUTED_VALUE"""),"Huỳnh Lý Thùy Linh")</f>
        <v>Huỳnh Lý Thùy Linh</v>
      </c>
    </row>
    <row r="211" spans="1:33" ht="12.75" x14ac:dyDescent="0.2">
      <c r="A211" s="26">
        <f ca="1">IFERROR(__xludf.DUMMYFUNCTION("""COMPUTED_VALUE"""),45696.3263218981)</f>
        <v>45696.326321898101</v>
      </c>
      <c r="B211" s="23" t="str">
        <f ca="1">IFERROR(__xludf.DUMMYFUNCTION("""COMPUTED_VALUE"""),"kimhieunguyen281@gmail.com")</f>
        <v>kimhieunguyen281@gmail.com</v>
      </c>
      <c r="C211" s="23">
        <f ca="1">IFERROR(__xludf.DUMMYFUNCTION("""COMPUTED_VALUE"""),25212715759)</f>
        <v>25212715759</v>
      </c>
      <c r="D211" s="23" t="str">
        <f ca="1">IFERROR(__xludf.DUMMYFUNCTION("""COMPUTED_VALUE"""),"Nguyễn Kim Hiếu")</f>
        <v>Nguyễn Kim Hiếu</v>
      </c>
      <c r="E211" s="27">
        <f ca="1">IFERROR(__xludf.DUMMYFUNCTION("""COMPUTED_VALUE"""),36919)</f>
        <v>36919</v>
      </c>
      <c r="F211" s="23" t="str">
        <f ca="1">IFERROR(__xludf.DUMMYFUNCTION("""COMPUTED_VALUE"""),"K26DLK9")</f>
        <v>K26DLK9</v>
      </c>
      <c r="G211" s="23" t="str">
        <f ca="1">IFERROR(__xludf.DUMMYFUNCTION("""COMPUTED_VALUE"""),"Quản trị Du lịch &amp; Khách sạn")</f>
        <v>Quản trị Du lịch &amp; Khách sạn</v>
      </c>
      <c r="H211" s="23">
        <f ca="1">IFERROR(__xludf.DUMMYFUNCTION("""COMPUTED_VALUE"""),26)</f>
        <v>26</v>
      </c>
      <c r="I211" s="23" t="str">
        <f ca="1">IFERROR(__xludf.DUMMYFUNCTION("""COMPUTED_VALUE"""),"0795534765")</f>
        <v>0795534765</v>
      </c>
      <c r="J211" s="23" t="str">
        <f ca="1">IFERROR(__xludf.DUMMYFUNCTION("""COMPUTED_VALUE"""),"Chuyên đề")</f>
        <v>Chuyên đề</v>
      </c>
      <c r="K211" s="23" t="str">
        <f ca="1">IFERROR(__xludf.DUMMYFUNCTION("""COMPUTED_VALUE"""),"Silk Sense Hoi An River Resort")</f>
        <v>Silk Sense Hoi An River Resort</v>
      </c>
      <c r="L211" s="23" t="str">
        <f ca="1">IFERROR(__xludf.DUMMYFUNCTION("""COMPUTED_VALUE"""),"Silk Sense Hoi An River Resort")</f>
        <v>Silk Sense Hoi An River Resort</v>
      </c>
      <c r="M211" s="23" t="str">
        <f ca="1">IFERROR(__xludf.DUMMYFUNCTION("""COMPUTED_VALUE"""),"01 Đống Đa, Cẩm An, Hội An, Quảng Nam")</f>
        <v>01 Đống Đa, Cẩm An, Hội An, Quảng Nam</v>
      </c>
      <c r="N211" s="23" t="str">
        <f ca="1">IFERROR(__xludf.DUMMYFUNCTION("""COMPUTED_VALUE"""),"Hội An, Quảng Nam")</f>
        <v>Hội An, Quảng Nam</v>
      </c>
      <c r="O211" s="23" t="str">
        <f ca="1">IFERROR(__xludf.DUMMYFUNCTION("""COMPUTED_VALUE"""),"Buồng phòng")</f>
        <v>Buồng phòng</v>
      </c>
      <c r="P211" s="23"/>
      <c r="Q211" s="23" t="str">
        <f ca="1">IFERROR(__xludf.DUMMYFUNCTION("""COMPUTED_VALUE"""),"20/09/2024")</f>
        <v>20/09/2024</v>
      </c>
      <c r="R211" s="23" t="str">
        <f ca="1">IFERROR(__xludf.DUMMYFUNCTION("""COMPUTED_VALUE"""),"cam kết")</f>
        <v>cam kết</v>
      </c>
      <c r="S211" s="23" t="str">
        <f ca="1">IFERROR(__xludf.DUMMYFUNCTION("""COMPUTED_VALUE"""),"Chuyên đề")</f>
        <v>Chuyên đề</v>
      </c>
      <c r="T211" s="23" t="str">
        <f ca="1">IFERROR(__xludf.DUMMYFUNCTION("""COMPUTED_VALUE"""),"Phạm Thị Thu Thủy")</f>
        <v>Phạm Thị Thu Thủy</v>
      </c>
      <c r="U211" s="27">
        <f ca="1">IFERROR(__xludf.DUMMYFUNCTION("""COMPUTED_VALUE"""),45553)</f>
        <v>45553</v>
      </c>
      <c r="V211" s="27">
        <f ca="1">IFERROR(__xludf.DUMMYFUNCTION("""COMPUTED_VALUE"""),45644)</f>
        <v>45644</v>
      </c>
      <c r="W211" s="23">
        <f ca="1">IFERROR(__xludf.DUMMYFUNCTION("""COMPUTED_VALUE"""),210)</f>
        <v>210</v>
      </c>
      <c r="X211" s="23"/>
      <c r="Y211" s="23" t="str">
        <f ca="1">IFERROR(__xludf.DUMMYFUNCTION("""COMPUTED_VALUE"""),"DUYỆT")</f>
        <v>DUYỆT</v>
      </c>
      <c r="Z211" s="28">
        <f ca="1">IFERROR(__xludf.DUMMYFUNCTION("""COMPUTED_VALUE"""),45932)</f>
        <v>45932</v>
      </c>
      <c r="AA211" s="23" t="str">
        <f ca="1">IFERROR(__xludf.DUMMYFUNCTION("""COMPUTED_VALUE"""),"Silk Sense Hoi An River Resort")</f>
        <v>Silk Sense Hoi An River Resort</v>
      </c>
      <c r="AB211" s="23" t="str">
        <f ca="1">IFERROR(__xludf.DUMMYFUNCTION("""COMPUTED_VALUE"""),"Buồng phòng")</f>
        <v>Buồng phòng</v>
      </c>
      <c r="AC211" s="23" t="str">
        <f ca="1">IFERROR(__xludf.DUMMYFUNCTION("""COMPUTED_VALUE"""),"ĐÃ NỘP")</f>
        <v>ĐÃ NỘP</v>
      </c>
      <c r="AD211" s="23"/>
      <c r="AE211" s="23" t="str">
        <f ca="1">IFERROR(__xludf.DUMMYFUNCTION("""COMPUTED_VALUE"""),"")</f>
        <v/>
      </c>
      <c r="AF211" s="23" t="str">
        <f ca="1">IFERROR(__xludf.DUMMYFUNCTION("""COMPUTED_VALUE"""),"CHUYÊN ĐỀ")</f>
        <v>CHUYÊN ĐỀ</v>
      </c>
      <c r="AG211" s="23" t="str">
        <f ca="1">IFERROR(__xludf.DUMMYFUNCTION("""COMPUTED_VALUE"""),"Phạm Thị Thu Thủy")</f>
        <v>Phạm Thị Thu Thủy</v>
      </c>
    </row>
    <row r="212" spans="1:33" ht="12.75" x14ac:dyDescent="0.2">
      <c r="A212" s="26">
        <f ca="1">IFERROR(__xludf.DUMMYFUNCTION("""COMPUTED_VALUE"""),45696.4267281481)</f>
        <v>45696.426728148101</v>
      </c>
      <c r="B212" s="23" t="str">
        <f ca="1">IFERROR(__xludf.DUMMYFUNCTION("""COMPUTED_VALUE"""),"kieuduyen081003@gmail.com")</f>
        <v>kieuduyen081003@gmail.com</v>
      </c>
      <c r="C212" s="23">
        <f ca="1">IFERROR(__xludf.DUMMYFUNCTION("""COMPUTED_VALUE"""),27207103184)</f>
        <v>27207103184</v>
      </c>
      <c r="D212" s="23" t="str">
        <f ca="1">IFERROR(__xludf.DUMMYFUNCTION("""COMPUTED_VALUE"""),"Trần Thị Kiều Duyên")</f>
        <v>Trần Thị Kiều Duyên</v>
      </c>
      <c r="E212" s="27">
        <f ca="1">IFERROR(__xludf.DUMMYFUNCTION("""COMPUTED_VALUE"""),37902)</f>
        <v>37902</v>
      </c>
      <c r="F212" s="23" t="str">
        <f ca="1">IFERROR(__xludf.DUMMYFUNCTION("""COMPUTED_VALUE"""),"K27DLK7")</f>
        <v>K27DLK7</v>
      </c>
      <c r="G212" s="23" t="str">
        <f ca="1">IFERROR(__xludf.DUMMYFUNCTION("""COMPUTED_VALUE"""),"Quản trị Du lịch &amp; Khách sạn")</f>
        <v>Quản trị Du lịch &amp; Khách sạn</v>
      </c>
      <c r="H212" s="23">
        <f ca="1">IFERROR(__xludf.DUMMYFUNCTION("""COMPUTED_VALUE"""),27)</f>
        <v>27</v>
      </c>
      <c r="I212" s="23" t="str">
        <f ca="1">IFERROR(__xludf.DUMMYFUNCTION("""COMPUTED_VALUE"""),"0906571524")</f>
        <v>0906571524</v>
      </c>
      <c r="J212" s="23" t="str">
        <f ca="1">IFERROR(__xludf.DUMMYFUNCTION("""COMPUTED_VALUE"""),"Chuyên đề")</f>
        <v>Chuyên đề</v>
      </c>
      <c r="K212" s="23" t="str">
        <f ca="1">IFERROR(__xludf.DUMMYFUNCTION("""COMPUTED_VALUE"""),"Hoi An Historic Hotel")</f>
        <v>Hoi An Historic Hotel</v>
      </c>
      <c r="L212" s="23" t="str">
        <f ca="1">IFERROR(__xludf.DUMMYFUNCTION("""COMPUTED_VALUE"""),"Hoi An Historic Hotel")</f>
        <v>Hoi An Historic Hotel</v>
      </c>
      <c r="M212" s="23" t="str">
        <f ca="1">IFERROR(__xludf.DUMMYFUNCTION("""COMPUTED_VALUE"""),"Số 10 Trần Hưng Đạo, Phường Minh An, Thành phố Hội An, Quảng Nam")</f>
        <v>Số 10 Trần Hưng Đạo, Phường Minh An, Thành phố Hội An, Quảng Nam</v>
      </c>
      <c r="N212" s="23" t="str">
        <f ca="1">IFERROR(__xludf.DUMMYFUNCTION("""COMPUTED_VALUE"""),"Thành phố Hội An, Quảng Nam")</f>
        <v>Thành phố Hội An, Quảng Nam</v>
      </c>
      <c r="O212" s="23" t="str">
        <f ca="1">IFERROR(__xludf.DUMMYFUNCTION("""COMPUTED_VALUE"""),"Tiền sảnh")</f>
        <v>Tiền sảnh</v>
      </c>
      <c r="P212" s="23"/>
      <c r="Q212" s="23" t="str">
        <f ca="1">IFERROR(__xludf.DUMMYFUNCTION("""COMPUTED_VALUE"""),"08/02/2025")</f>
        <v>08/02/2025</v>
      </c>
      <c r="R212" s="23" t="str">
        <f ca="1">IFERROR(__xludf.DUMMYFUNCTION("""COMPUTED_VALUE"""),"cam kết")</f>
        <v>cam kết</v>
      </c>
      <c r="S212" s="23" t="str">
        <f ca="1">IFERROR(__xludf.DUMMYFUNCTION("""COMPUTED_VALUE"""),"Chuyên đề")</f>
        <v>Chuyên đề</v>
      </c>
      <c r="T212" s="23"/>
      <c r="U212" s="27">
        <f ca="1">IFERROR(__xludf.DUMMYFUNCTION("""COMPUTED_VALUE"""),45684)</f>
        <v>45684</v>
      </c>
      <c r="V212" s="27">
        <f ca="1">IFERROR(__xludf.DUMMYFUNCTION("""COMPUTED_VALUE"""),45774)</f>
        <v>45774</v>
      </c>
      <c r="W212" s="23">
        <f ca="1">IFERROR(__xludf.DUMMYFUNCTION("""COMPUTED_VALUE"""),211)</f>
        <v>211</v>
      </c>
      <c r="X212" s="28">
        <f ca="1">IFERROR(__xludf.DUMMYFUNCTION("""COMPUTED_VALUE"""),45963)</f>
        <v>45963</v>
      </c>
      <c r="Y212" s="23" t="str">
        <f ca="1">IFERROR(__xludf.DUMMYFUNCTION("""COMPUTED_VALUE"""),"DUYỆT")</f>
        <v>DUYỆT</v>
      </c>
      <c r="Z212" s="28">
        <f ca="1">IFERROR(__xludf.DUMMYFUNCTION("""COMPUTED_VALUE"""),45932)</f>
        <v>45932</v>
      </c>
      <c r="AA212" s="23" t="str">
        <f ca="1">IFERROR(__xludf.DUMMYFUNCTION("""COMPUTED_VALUE"""),"Hoi An Historic Hotel")</f>
        <v>Hoi An Historic Hotel</v>
      </c>
      <c r="AB212" s="23" t="str">
        <f ca="1">IFERROR(__xludf.DUMMYFUNCTION("""COMPUTED_VALUE"""),"Tiền sảnh")</f>
        <v>Tiền sảnh</v>
      </c>
      <c r="AC212" s="23"/>
      <c r="AD212" s="23"/>
      <c r="AE212" s="23" t="str">
        <f ca="1">IFERROR(__xludf.DUMMYFUNCTION("""COMPUTED_VALUE"""),"")</f>
        <v/>
      </c>
      <c r="AF212" s="23" t="str">
        <f ca="1">IFERROR(__xludf.DUMMYFUNCTION("""COMPUTED_VALUE"""),"CHUYÊN ĐỀ")</f>
        <v>CHUYÊN ĐỀ</v>
      </c>
      <c r="AG212" s="23" t="str">
        <f ca="1">IFERROR(__xludf.DUMMYFUNCTION("""COMPUTED_VALUE"""),"Huỳnh Lý Thùy Linh")</f>
        <v>Huỳnh Lý Thùy Linh</v>
      </c>
    </row>
    <row r="213" spans="1:33" ht="12.75" x14ac:dyDescent="0.2">
      <c r="A213" s="26">
        <f ca="1">IFERROR(__xludf.DUMMYFUNCTION("""COMPUTED_VALUE"""),45696.4283300694)</f>
        <v>45696.428330069401</v>
      </c>
      <c r="B213" s="23" t="str">
        <f ca="1">IFERROR(__xludf.DUMMYFUNCTION("""COMPUTED_VALUE"""),"nguyenphuongphuong2104@gmail.com")</f>
        <v>nguyenphuongphuong2104@gmail.com</v>
      </c>
      <c r="C213" s="23">
        <f ca="1">IFERROR(__xludf.DUMMYFUNCTION("""COMPUTED_VALUE"""),27207152769)</f>
        <v>27207152769</v>
      </c>
      <c r="D213" s="23" t="str">
        <f ca="1">IFERROR(__xludf.DUMMYFUNCTION("""COMPUTED_VALUE"""),"Nguyễn Thị Ngọc Phương")</f>
        <v>Nguyễn Thị Ngọc Phương</v>
      </c>
      <c r="E213" s="27">
        <f ca="1">IFERROR(__xludf.DUMMYFUNCTION("""COMPUTED_VALUE"""),37732)</f>
        <v>37732</v>
      </c>
      <c r="F213" s="23" t="str">
        <f ca="1">IFERROR(__xludf.DUMMYFUNCTION("""COMPUTED_VALUE"""),"K27DLK7")</f>
        <v>K27DLK7</v>
      </c>
      <c r="G213" s="23" t="str">
        <f ca="1">IFERROR(__xludf.DUMMYFUNCTION("""COMPUTED_VALUE"""),"Quản trị Du lịch &amp; Khách sạn")</f>
        <v>Quản trị Du lịch &amp; Khách sạn</v>
      </c>
      <c r="H213" s="23">
        <f ca="1">IFERROR(__xludf.DUMMYFUNCTION("""COMPUTED_VALUE"""),27)</f>
        <v>27</v>
      </c>
      <c r="I213" s="23" t="str">
        <f ca="1">IFERROR(__xludf.DUMMYFUNCTION("""COMPUTED_VALUE"""),"0399662145")</f>
        <v>0399662145</v>
      </c>
      <c r="J213" s="23" t="str">
        <f ca="1">IFERROR(__xludf.DUMMYFUNCTION("""COMPUTED_VALUE"""),"Chuyên đề")</f>
        <v>Chuyên đề</v>
      </c>
      <c r="K213" s="23" t="str">
        <f ca="1">IFERROR(__xludf.DUMMYFUNCTION("""COMPUTED_VALUE"""),"Minh Toàn Galaxy Hotel Đà Nẵng")</f>
        <v>Minh Toàn Galaxy Hotel Đà Nẵng</v>
      </c>
      <c r="L213" s="23"/>
      <c r="M213" s="23" t="str">
        <f ca="1">IFERROR(__xludf.DUMMYFUNCTION("""COMPUTED_VALUE"""),"306 đường 2/9, Hải Châu, Đà Nẵng ")</f>
        <v xml:space="preserve">306 đường 2/9, Hải Châu, Đà Nẵng </v>
      </c>
      <c r="N213" s="23" t="str">
        <f ca="1">IFERROR(__xludf.DUMMYFUNCTION("""COMPUTED_VALUE"""),"Đà Nẵng ")</f>
        <v xml:space="preserve">Đà Nẵng </v>
      </c>
      <c r="O213" s="23" t="str">
        <f ca="1">IFERROR(__xludf.DUMMYFUNCTION("""COMPUTED_VALUE"""),"Tiền sảnh")</f>
        <v>Tiền sảnh</v>
      </c>
      <c r="P213" s="23"/>
      <c r="Q213" s="23" t="str">
        <f ca="1">IFERROR(__xludf.DUMMYFUNCTION("""COMPUTED_VALUE"""),"08/02/2025")</f>
        <v>08/02/2025</v>
      </c>
      <c r="R213" s="23" t="str">
        <f ca="1">IFERROR(__xludf.DUMMYFUNCTION("""COMPUTED_VALUE"""),"cam kết")</f>
        <v>cam kết</v>
      </c>
      <c r="S213" s="23" t="str">
        <f ca="1">IFERROR(__xludf.DUMMYFUNCTION("""COMPUTED_VALUE"""),"Chuyên đề")</f>
        <v>Chuyên đề</v>
      </c>
      <c r="T213" s="23"/>
      <c r="U213" s="27">
        <f ca="1">IFERROR(__xludf.DUMMYFUNCTION("""COMPUTED_VALUE"""),45698)</f>
        <v>45698</v>
      </c>
      <c r="V213" s="27">
        <f ca="1">IFERROR(__xludf.DUMMYFUNCTION("""COMPUTED_VALUE"""),45787)</f>
        <v>45787</v>
      </c>
      <c r="W213" s="23">
        <f ca="1">IFERROR(__xludf.DUMMYFUNCTION("""COMPUTED_VALUE"""),212)</f>
        <v>212</v>
      </c>
      <c r="X213" s="28">
        <f ca="1">IFERROR(__xludf.DUMMYFUNCTION("""COMPUTED_VALUE"""),45932)</f>
        <v>45932</v>
      </c>
      <c r="Y213" s="23" t="str">
        <f ca="1">IFERROR(__xludf.DUMMYFUNCTION("""COMPUTED_VALUE"""),"DUYỆT")</f>
        <v>DUYỆT</v>
      </c>
      <c r="Z213" s="28">
        <f ca="1">IFERROR(__xludf.DUMMYFUNCTION("""COMPUTED_VALUE"""),45932)</f>
        <v>45932</v>
      </c>
      <c r="AA213" s="23" t="str">
        <f ca="1">IFERROR(__xludf.DUMMYFUNCTION("""COMPUTED_VALUE"""),"Minh Toàn Galaxy Hotel Đà Nẵng")</f>
        <v>Minh Toàn Galaxy Hotel Đà Nẵng</v>
      </c>
      <c r="AB213" s="23" t="str">
        <f ca="1">IFERROR(__xludf.DUMMYFUNCTION("""COMPUTED_VALUE"""),"Tiền sảnh")</f>
        <v>Tiền sảnh</v>
      </c>
      <c r="AC213" s="23"/>
      <c r="AD213" s="23"/>
      <c r="AE213" s="23" t="str">
        <f ca="1">IFERROR(__xludf.DUMMYFUNCTION("""COMPUTED_VALUE"""),"")</f>
        <v/>
      </c>
      <c r="AF213" s="23" t="str">
        <f ca="1">IFERROR(__xludf.DUMMYFUNCTION("""COMPUTED_VALUE"""),"CHUYÊN ĐỀ")</f>
        <v>CHUYÊN ĐỀ</v>
      </c>
      <c r="AG213" s="23" t="str">
        <f ca="1">IFERROR(__xludf.DUMMYFUNCTION("""COMPUTED_VALUE"""),"Mai Thị Thương")</f>
        <v>Mai Thị Thương</v>
      </c>
    </row>
    <row r="214" spans="1:33" ht="12.75" x14ac:dyDescent="0.2">
      <c r="A214" s="26">
        <f ca="1">IFERROR(__xludf.DUMMYFUNCTION("""COMPUTED_VALUE"""),45696.4287841782)</f>
        <v>45696.428784178199</v>
      </c>
      <c r="B214" s="23" t="str">
        <f ca="1">IFERROR(__xludf.DUMMYFUNCTION("""COMPUTED_VALUE"""),"meltuyettrantn@gmail.com")</f>
        <v>meltuyettrantn@gmail.com</v>
      </c>
      <c r="C214" s="23">
        <f ca="1">IFERROR(__xludf.DUMMYFUNCTION("""COMPUTED_VALUE"""),27207147439)</f>
        <v>27207147439</v>
      </c>
      <c r="D214" s="23" t="str">
        <f ca="1">IFERROR(__xludf.DUMMYFUNCTION("""COMPUTED_VALUE"""),"Trần Tuyết Nhi")</f>
        <v>Trần Tuyết Nhi</v>
      </c>
      <c r="E214" s="27">
        <f ca="1">IFERROR(__xludf.DUMMYFUNCTION("""COMPUTED_VALUE"""),37872)</f>
        <v>37872</v>
      </c>
      <c r="F214" s="23" t="str">
        <f ca="1">IFERROR(__xludf.DUMMYFUNCTION("""COMPUTED_VALUE"""),"K27DLK4")</f>
        <v>K27DLK4</v>
      </c>
      <c r="G214" s="23" t="str">
        <f ca="1">IFERROR(__xludf.DUMMYFUNCTION("""COMPUTED_VALUE"""),"Quản trị Du lịch &amp; Khách sạn")</f>
        <v>Quản trị Du lịch &amp; Khách sạn</v>
      </c>
      <c r="H214" s="23">
        <f ca="1">IFERROR(__xludf.DUMMYFUNCTION("""COMPUTED_VALUE"""),27)</f>
        <v>27</v>
      </c>
      <c r="I214" s="23" t="str">
        <f ca="1">IFERROR(__xludf.DUMMYFUNCTION("""COMPUTED_VALUE"""),"0941145005")</f>
        <v>0941145005</v>
      </c>
      <c r="J214" s="23" t="str">
        <f ca="1">IFERROR(__xludf.DUMMYFUNCTION("""COMPUTED_VALUE"""),"Khóa luận")</f>
        <v>Khóa luận</v>
      </c>
      <c r="K214" s="23" t="str">
        <f ca="1">IFERROR(__xludf.DUMMYFUNCTION("""COMPUTED_VALUE"""),"Khách sạn Như Minh Plaza")</f>
        <v>Khách sạn Như Minh Plaza</v>
      </c>
      <c r="L214" s="23"/>
      <c r="M214" s="23"/>
      <c r="N214" s="23" t="str">
        <f ca="1">IFERROR(__xludf.DUMMYFUNCTION("""COMPUTED_VALUE"""),"Đà Nẵng")</f>
        <v>Đà Nẵng</v>
      </c>
      <c r="O214" s="23" t="str">
        <f ca="1">IFERROR(__xludf.DUMMYFUNCTION("""COMPUTED_VALUE"""),"Nhà hàng")</f>
        <v>Nhà hàng</v>
      </c>
      <c r="P214" s="23"/>
      <c r="Q214" s="23" t="str">
        <f ca="1">IFERROR(__xludf.DUMMYFUNCTION("""COMPUTED_VALUE"""),"07/02/2025")</f>
        <v>07/02/2025</v>
      </c>
      <c r="R214" s="23" t="str">
        <f ca="1">IFERROR(__xludf.DUMMYFUNCTION("""COMPUTED_VALUE"""),"cam kết")</f>
        <v>cam kết</v>
      </c>
      <c r="S214" s="23" t="str">
        <f ca="1">IFERROR(__xludf.DUMMYFUNCTION("""COMPUTED_VALUE"""),"Khóa luận")</f>
        <v>Khóa luận</v>
      </c>
      <c r="T214" s="23" t="str">
        <f ca="1">IFERROR(__xludf.DUMMYFUNCTION("""COMPUTED_VALUE"""),"Dương Thị Xuân Diệu")</f>
        <v>Dương Thị Xuân Diệu</v>
      </c>
      <c r="U214" s="27">
        <f ca="1">IFERROR(__xludf.DUMMYFUNCTION("""COMPUTED_VALUE"""),45698)</f>
        <v>45698</v>
      </c>
      <c r="V214" s="27">
        <f ca="1">IFERROR(__xludf.DUMMYFUNCTION("""COMPUTED_VALUE"""),45787)</f>
        <v>45787</v>
      </c>
      <c r="W214" s="23">
        <f ca="1">IFERROR(__xludf.DUMMYFUNCTION("""COMPUTED_VALUE"""),213)</f>
        <v>213</v>
      </c>
      <c r="X214" s="28">
        <f ca="1">IFERROR(__xludf.DUMMYFUNCTION("""COMPUTED_VALUE"""),45963)</f>
        <v>45963</v>
      </c>
      <c r="Y214" s="23" t="str">
        <f ca="1">IFERROR(__xludf.DUMMYFUNCTION("""COMPUTED_VALUE"""),"DUYỆT")</f>
        <v>DUYỆT</v>
      </c>
      <c r="Z214" s="28">
        <f ca="1">IFERROR(__xludf.DUMMYFUNCTION("""COMPUTED_VALUE"""),45963)</f>
        <v>45963</v>
      </c>
      <c r="AA214" s="23" t="str">
        <f ca="1">IFERROR(__xludf.DUMMYFUNCTION("""COMPUTED_VALUE"""),"Khách sạn Như Minh Plaza")</f>
        <v>Khách sạn Như Minh Plaza</v>
      </c>
      <c r="AB214" s="23" t="str">
        <f ca="1">IFERROR(__xludf.DUMMYFUNCTION("""COMPUTED_VALUE"""),"Nhà hàng")</f>
        <v>Nhà hàng</v>
      </c>
      <c r="AC214" s="23"/>
      <c r="AD214" s="23"/>
      <c r="AE214" s="23" t="str">
        <f ca="1">IFERROR(__xludf.DUMMYFUNCTION("""COMPUTED_VALUE"""),"")</f>
        <v/>
      </c>
      <c r="AF214" s="23" t="str">
        <f ca="1">IFERROR(__xludf.DUMMYFUNCTION("""COMPUTED_VALUE"""),"không đủ điều kiện")</f>
        <v>không đủ điều kiện</v>
      </c>
      <c r="AG214" s="23"/>
    </row>
    <row r="215" spans="1:33" ht="12.75" x14ac:dyDescent="0.2">
      <c r="A215" s="26">
        <f ca="1">IFERROR(__xludf.DUMMYFUNCTION("""COMPUTED_VALUE"""),45696.4355831134)</f>
        <v>45696.435583113402</v>
      </c>
      <c r="B215" s="23" t="str">
        <f ca="1">IFERROR(__xludf.DUMMYFUNCTION("""COMPUTED_VALUE"""),"trieutran5473@gmail.com")</f>
        <v>trieutran5473@gmail.com</v>
      </c>
      <c r="C215" s="23">
        <f ca="1">IFERROR(__xludf.DUMMYFUNCTION("""COMPUTED_VALUE"""),25217102808)</f>
        <v>25217102808</v>
      </c>
      <c r="D215" s="23" t="str">
        <f ca="1">IFERROR(__xludf.DUMMYFUNCTION("""COMPUTED_VALUE"""),"Trần Thanh Triều")</f>
        <v>Trần Thanh Triều</v>
      </c>
      <c r="E215" s="27">
        <f ca="1">IFERROR(__xludf.DUMMYFUNCTION("""COMPUTED_VALUE"""),37134)</f>
        <v>37134</v>
      </c>
      <c r="F215" s="23" t="str">
        <f ca="1">IFERROR(__xludf.DUMMYFUNCTION("""COMPUTED_VALUE"""),"K26DLK6")</f>
        <v>K26DLK6</v>
      </c>
      <c r="G215" s="23" t="str">
        <f ca="1">IFERROR(__xludf.DUMMYFUNCTION("""COMPUTED_VALUE"""),"Quản trị Du lịch &amp; Khách sạn")</f>
        <v>Quản trị Du lịch &amp; Khách sạn</v>
      </c>
      <c r="H215" s="23">
        <f ca="1">IFERROR(__xludf.DUMMYFUNCTION("""COMPUTED_VALUE"""),26)</f>
        <v>26</v>
      </c>
      <c r="I215" s="23" t="str">
        <f ca="1">IFERROR(__xludf.DUMMYFUNCTION("""COMPUTED_VALUE"""),"0976065160")</f>
        <v>0976065160</v>
      </c>
      <c r="J215" s="23" t="str">
        <f ca="1">IFERROR(__xludf.DUMMYFUNCTION("""COMPUTED_VALUE"""),"Chuyên đề")</f>
        <v>Chuyên đề</v>
      </c>
      <c r="K215" s="23" t="str">
        <f ca="1">IFERROR(__xludf.DUMMYFUNCTION("""COMPUTED_VALUE"""),"Chicland Hotel")</f>
        <v>Chicland Hotel</v>
      </c>
      <c r="L215" s="23"/>
      <c r="M215" s="23" t="str">
        <f ca="1">IFERROR(__xludf.DUMMYFUNCTION("""COMPUTED_VALUE"""),"210 Võ Nguyên Giáp - Phước Mỹ - Sơn Trà - Đà Nẵng")</f>
        <v>210 Võ Nguyên Giáp - Phước Mỹ - Sơn Trà - Đà Nẵng</v>
      </c>
      <c r="N215" s="23" t="str">
        <f ca="1">IFERROR(__xludf.DUMMYFUNCTION("""COMPUTED_VALUE"""),"Đà Nẵng")</f>
        <v>Đà Nẵng</v>
      </c>
      <c r="O215" s="23" t="str">
        <f ca="1">IFERROR(__xludf.DUMMYFUNCTION("""COMPUTED_VALUE"""),"Buồng phòng")</f>
        <v>Buồng phòng</v>
      </c>
      <c r="P215" s="23"/>
      <c r="Q215" s="23" t="str">
        <f ca="1">IFERROR(__xludf.DUMMYFUNCTION("""COMPUTED_VALUE"""),"8/2/2025")</f>
        <v>8/2/2025</v>
      </c>
      <c r="R215" s="23" t="str">
        <f ca="1">IFERROR(__xludf.DUMMYFUNCTION("""COMPUTED_VALUE"""),"cam kết")</f>
        <v>cam kết</v>
      </c>
      <c r="S215" s="23" t="str">
        <f ca="1">IFERROR(__xludf.DUMMYFUNCTION("""COMPUTED_VALUE"""),"Chuyên đề")</f>
        <v>Chuyên đề</v>
      </c>
      <c r="T215" s="23"/>
      <c r="U215" s="27">
        <f ca="1">IFERROR(__xludf.DUMMYFUNCTION("""COMPUTED_VALUE"""),45698)</f>
        <v>45698</v>
      </c>
      <c r="V215" s="27">
        <f ca="1">IFERROR(__xludf.DUMMYFUNCTION("""COMPUTED_VALUE"""),45787)</f>
        <v>45787</v>
      </c>
      <c r="W215" s="23">
        <f ca="1">IFERROR(__xludf.DUMMYFUNCTION("""COMPUTED_VALUE"""),214)</f>
        <v>214</v>
      </c>
      <c r="X215" s="28">
        <f ca="1">IFERROR(__xludf.DUMMYFUNCTION("""COMPUTED_VALUE"""),45963)</f>
        <v>45963</v>
      </c>
      <c r="Y215" s="23" t="str">
        <f ca="1">IFERROR(__xludf.DUMMYFUNCTION("""COMPUTED_VALUE"""),"DUYỆT")</f>
        <v>DUYỆT</v>
      </c>
      <c r="Z215" s="28">
        <f ca="1">IFERROR(__xludf.DUMMYFUNCTION("""COMPUTED_VALUE"""),45932)</f>
        <v>45932</v>
      </c>
      <c r="AA215" s="23" t="str">
        <f ca="1">IFERROR(__xludf.DUMMYFUNCTION("""COMPUTED_VALUE"""),"Chicland Hotel")</f>
        <v>Chicland Hotel</v>
      </c>
      <c r="AB215" s="23" t="str">
        <f ca="1">IFERROR(__xludf.DUMMYFUNCTION("""COMPUTED_VALUE"""),"Buồng phòng")</f>
        <v>Buồng phòng</v>
      </c>
      <c r="AC215" s="23" t="str">
        <f ca="1">IFERROR(__xludf.DUMMYFUNCTION("""COMPUTED_VALUE"""),"ĐÃ NỘP")</f>
        <v>ĐÃ NỘP</v>
      </c>
      <c r="AD215" s="23"/>
      <c r="AE215" s="23" t="str">
        <f ca="1">IFERROR(__xludf.DUMMYFUNCTION("""COMPUTED_VALUE"""),"")</f>
        <v/>
      </c>
      <c r="AF215" s="23" t="str">
        <f ca="1">IFERROR(__xludf.DUMMYFUNCTION("""COMPUTED_VALUE"""),"không đủ điều kiện")</f>
        <v>không đủ điều kiện</v>
      </c>
      <c r="AG215" s="23"/>
    </row>
    <row r="216" spans="1:33" ht="12.75" x14ac:dyDescent="0.2">
      <c r="A216" s="26">
        <f ca="1">IFERROR(__xludf.DUMMYFUNCTION("""COMPUTED_VALUE"""),45696.5300660532)</f>
        <v>45696.530066053201</v>
      </c>
      <c r="B216" s="23" t="str">
        <f ca="1">IFERROR(__xludf.DUMMYFUNCTION("""COMPUTED_VALUE"""),"hientran.051003@gmail.com")</f>
        <v>hientran.051003@gmail.com</v>
      </c>
      <c r="C216" s="23">
        <f ca="1">IFERROR(__xludf.DUMMYFUNCTION("""COMPUTED_VALUE"""),27217133018)</f>
        <v>27217133018</v>
      </c>
      <c r="D216" s="23" t="str">
        <f ca="1">IFERROR(__xludf.DUMMYFUNCTION("""COMPUTED_VALUE"""),"Trần Nguyễn Thu Huyền")</f>
        <v>Trần Nguyễn Thu Huyền</v>
      </c>
      <c r="E216" s="27">
        <f ca="1">IFERROR(__xludf.DUMMYFUNCTION("""COMPUTED_VALUE"""),37899)</f>
        <v>37899</v>
      </c>
      <c r="F216" s="23" t="str">
        <f ca="1">IFERROR(__xludf.DUMMYFUNCTION("""COMPUTED_VALUE"""),"K27 DLK6")</f>
        <v>K27 DLK6</v>
      </c>
      <c r="G216" s="23" t="str">
        <f ca="1">IFERROR(__xludf.DUMMYFUNCTION("""COMPUTED_VALUE"""),"Quản trị Du lịch &amp; Khách sạn")</f>
        <v>Quản trị Du lịch &amp; Khách sạn</v>
      </c>
      <c r="H216" s="23">
        <f ca="1">IFERROR(__xludf.DUMMYFUNCTION("""COMPUTED_VALUE"""),27)</f>
        <v>27</v>
      </c>
      <c r="I216" s="23" t="str">
        <f ca="1">IFERROR(__xludf.DUMMYFUNCTION("""COMPUTED_VALUE"""),"0935663316")</f>
        <v>0935663316</v>
      </c>
      <c r="J216" s="23" t="str">
        <f ca="1">IFERROR(__xludf.DUMMYFUNCTION("""COMPUTED_VALUE"""),"Chuyên đề")</f>
        <v>Chuyên đề</v>
      </c>
      <c r="K216" s="23" t="str">
        <f ca="1">IFERROR(__xludf.DUMMYFUNCTION("""COMPUTED_VALUE"""),"Khách sạn Mandila Beach Đà Nẵng")</f>
        <v>Khách sạn Mandila Beach Đà Nẵng</v>
      </c>
      <c r="L216" s="23"/>
      <c r="M216" s="23" t="str">
        <f ca="1">IFERROR(__xludf.DUMMYFUNCTION("""COMPUTED_VALUE"""),"218 Võ Nguyên Giáp,Phước Mỹ,Sơn Trà,Đà Nẵng")</f>
        <v>218 Võ Nguyên Giáp,Phước Mỹ,Sơn Trà,Đà Nẵng</v>
      </c>
      <c r="N216" s="23" t="str">
        <f ca="1">IFERROR(__xludf.DUMMYFUNCTION("""COMPUTED_VALUE"""),"Đà Nẵng")</f>
        <v>Đà Nẵng</v>
      </c>
      <c r="O216" s="23" t="str">
        <f ca="1">IFERROR(__xludf.DUMMYFUNCTION("""COMPUTED_VALUE"""),"Buồng phòng")</f>
        <v>Buồng phòng</v>
      </c>
      <c r="P216" s="23"/>
      <c r="Q216" s="23" t="str">
        <f ca="1">IFERROR(__xludf.DUMMYFUNCTION("""COMPUTED_VALUE"""),"08/02/2025")</f>
        <v>08/02/2025</v>
      </c>
      <c r="R216" s="23" t="str">
        <f ca="1">IFERROR(__xludf.DUMMYFUNCTION("""COMPUTED_VALUE"""),"cam kết")</f>
        <v>cam kết</v>
      </c>
      <c r="S216" s="23" t="str">
        <f ca="1">IFERROR(__xludf.DUMMYFUNCTION("""COMPUTED_VALUE"""),"Chuyên đề")</f>
        <v>Chuyên đề</v>
      </c>
      <c r="T216" s="23"/>
      <c r="U216" s="27">
        <f ca="1">IFERROR(__xludf.DUMMYFUNCTION("""COMPUTED_VALUE"""),45698)</f>
        <v>45698</v>
      </c>
      <c r="V216" s="27">
        <f ca="1">IFERROR(__xludf.DUMMYFUNCTION("""COMPUTED_VALUE"""),45787)</f>
        <v>45787</v>
      </c>
      <c r="W216" s="23">
        <f ca="1">IFERROR(__xludf.DUMMYFUNCTION("""COMPUTED_VALUE"""),215)</f>
        <v>215</v>
      </c>
      <c r="X216" s="28">
        <f ca="1">IFERROR(__xludf.DUMMYFUNCTION("""COMPUTED_VALUE"""),45963)</f>
        <v>45963</v>
      </c>
      <c r="Y216" s="23" t="str">
        <f ca="1">IFERROR(__xludf.DUMMYFUNCTION("""COMPUTED_VALUE"""),"DUYỆT")</f>
        <v>DUYỆT</v>
      </c>
      <c r="Z216" s="28">
        <f ca="1">IFERROR(__xludf.DUMMYFUNCTION("""COMPUTED_VALUE"""),45932)</f>
        <v>45932</v>
      </c>
      <c r="AA216" s="23" t="str">
        <f ca="1">IFERROR(__xludf.DUMMYFUNCTION("""COMPUTED_VALUE"""),"Khách sạn Mandila Beach Đà Nẵng")</f>
        <v>Khách sạn Mandila Beach Đà Nẵng</v>
      </c>
      <c r="AB216" s="23" t="str">
        <f ca="1">IFERROR(__xludf.DUMMYFUNCTION("""COMPUTED_VALUE"""),"Buồng phòng")</f>
        <v>Buồng phòng</v>
      </c>
      <c r="AC216" s="23"/>
      <c r="AD216" s="23"/>
      <c r="AE216" s="23" t="str">
        <f ca="1">IFERROR(__xludf.DUMMYFUNCTION("""COMPUTED_VALUE"""),"")</f>
        <v/>
      </c>
      <c r="AF216" s="23" t="str">
        <f ca="1">IFERROR(__xludf.DUMMYFUNCTION("""COMPUTED_VALUE"""),"CHUYÊN ĐỀ")</f>
        <v>CHUYÊN ĐỀ</v>
      </c>
      <c r="AG216" s="23" t="str">
        <f ca="1">IFERROR(__xludf.DUMMYFUNCTION("""COMPUTED_VALUE"""),"Huỳnh Lý Thùy Linh")</f>
        <v>Huỳnh Lý Thùy Linh</v>
      </c>
    </row>
    <row r="217" spans="1:33" ht="12.75" x14ac:dyDescent="0.2">
      <c r="A217" s="26">
        <f ca="1">IFERROR(__xludf.DUMMYFUNCTION("""COMPUTED_VALUE"""),45696.9730699768)</f>
        <v>45696.973069976797</v>
      </c>
      <c r="B217" s="23" t="str">
        <f ca="1">IFERROR(__xludf.DUMMYFUNCTION("""COMPUTED_VALUE"""),"vyvylove123234@gmail.com")</f>
        <v>vyvylove123234@gmail.com</v>
      </c>
      <c r="C217" s="23">
        <f ca="1">IFERROR(__xludf.DUMMYFUNCTION("""COMPUTED_VALUE"""),25207103269)</f>
        <v>25207103269</v>
      </c>
      <c r="D217" s="23" t="str">
        <f ca="1">IFERROR(__xludf.DUMMYFUNCTION("""COMPUTED_VALUE"""),"Nguyễn Thị Tường Vi")</f>
        <v>Nguyễn Thị Tường Vi</v>
      </c>
      <c r="E217" s="27">
        <f ca="1">IFERROR(__xludf.DUMMYFUNCTION("""COMPUTED_VALUE"""),36967)</f>
        <v>36967</v>
      </c>
      <c r="F217" s="23" t="str">
        <f ca="1">IFERROR(__xludf.DUMMYFUNCTION("""COMPUTED_VALUE"""),"K27DLK 5")</f>
        <v>K27DLK 5</v>
      </c>
      <c r="G217" s="23" t="str">
        <f ca="1">IFERROR(__xludf.DUMMYFUNCTION("""COMPUTED_VALUE"""),"Quản trị Du lịch &amp; Khách sạn")</f>
        <v>Quản trị Du lịch &amp; Khách sạn</v>
      </c>
      <c r="H217" s="23">
        <f ca="1">IFERROR(__xludf.DUMMYFUNCTION("""COMPUTED_VALUE"""),27)</f>
        <v>27</v>
      </c>
      <c r="I217" s="23" t="str">
        <f ca="1">IFERROR(__xludf.DUMMYFUNCTION("""COMPUTED_VALUE"""),"0352048667")</f>
        <v>0352048667</v>
      </c>
      <c r="J217" s="23" t="str">
        <f ca="1">IFERROR(__xludf.DUMMYFUNCTION("""COMPUTED_VALUE"""),"Chuyên đề")</f>
        <v>Chuyên đề</v>
      </c>
      <c r="K217" s="23" t="str">
        <f ca="1">IFERROR(__xludf.DUMMYFUNCTION("""COMPUTED_VALUE"""),"Làng lụa Hội An - HoiAn Silk Village Resort &amp; Spa")</f>
        <v>Làng lụa Hội An - HoiAn Silk Village Resort &amp; Spa</v>
      </c>
      <c r="L217" s="23" t="str">
        <f ca="1">IFERROR(__xludf.DUMMYFUNCTION("""COMPUTED_VALUE"""),"Làng lụa Hội An - HoiAn Silk Village Resort &amp; Spa")</f>
        <v>Làng lụa Hội An - HoiAn Silk Village Resort &amp; Spa</v>
      </c>
      <c r="M217" s="23" t="str">
        <f ca="1">IFERROR(__xludf.DUMMYFUNCTION("""COMPUTED_VALUE"""),"28 Nguyễn Tất Thành, Phường Minh An, Thành phố Hội An, Quảng Nam")</f>
        <v>28 Nguyễn Tất Thành, Phường Minh An, Thành phố Hội An, Quảng Nam</v>
      </c>
      <c r="N217" s="23" t="str">
        <f ca="1">IFERROR(__xludf.DUMMYFUNCTION("""COMPUTED_VALUE"""),"Thành phố Hội An, Quảng Nam")</f>
        <v>Thành phố Hội An, Quảng Nam</v>
      </c>
      <c r="O217" s="23" t="str">
        <f ca="1">IFERROR(__xludf.DUMMYFUNCTION("""COMPUTED_VALUE"""),"Tiền sảnh")</f>
        <v>Tiền sảnh</v>
      </c>
      <c r="P217" s="23"/>
      <c r="Q217" s="23" t="str">
        <f ca="1">IFERROR(__xludf.DUMMYFUNCTION("""COMPUTED_VALUE"""),"07/02/2025")</f>
        <v>07/02/2025</v>
      </c>
      <c r="R217" s="23" t="str">
        <f ca="1">IFERROR(__xludf.DUMMYFUNCTION("""COMPUTED_VALUE"""),"cam kết")</f>
        <v>cam kết</v>
      </c>
      <c r="S217" s="23" t="str">
        <f ca="1">IFERROR(__xludf.DUMMYFUNCTION("""COMPUTED_VALUE"""),"Chuyên đề")</f>
        <v>Chuyên đề</v>
      </c>
      <c r="T217" s="23"/>
      <c r="U217" s="27">
        <f ca="1">IFERROR(__xludf.DUMMYFUNCTION("""COMPUTED_VALUE"""),45698)</f>
        <v>45698</v>
      </c>
      <c r="V217" s="27">
        <f ca="1">IFERROR(__xludf.DUMMYFUNCTION("""COMPUTED_VALUE"""),45787)</f>
        <v>45787</v>
      </c>
      <c r="W217" s="23">
        <f ca="1">IFERROR(__xludf.DUMMYFUNCTION("""COMPUTED_VALUE"""),216)</f>
        <v>216</v>
      </c>
      <c r="X217" s="28">
        <f ca="1">IFERROR(__xludf.DUMMYFUNCTION("""COMPUTED_VALUE"""),45932)</f>
        <v>45932</v>
      </c>
      <c r="Y217" s="23" t="str">
        <f ca="1">IFERROR(__xludf.DUMMYFUNCTION("""COMPUTED_VALUE"""),"KHÔNG DUYỆT")</f>
        <v>KHÔNG DUYỆT</v>
      </c>
      <c r="Z217" s="28">
        <f ca="1">IFERROR(__xludf.DUMMYFUNCTION("""COMPUTED_VALUE"""),45932)</f>
        <v>45932</v>
      </c>
      <c r="AA217" s="23" t="str">
        <f ca="1">IFERROR(__xludf.DUMMYFUNCTION("""COMPUTED_VALUE"""),"Làng lụa Hội An - HoiAn Silk Village Resort &amp; Spa")</f>
        <v>Làng lụa Hội An - HoiAn Silk Village Resort &amp; Spa</v>
      </c>
      <c r="AB217" s="23" t="str">
        <f ca="1">IFERROR(__xludf.DUMMYFUNCTION("""COMPUTED_VALUE"""),"Tiền sảnh")</f>
        <v>Tiền sảnh</v>
      </c>
      <c r="AC217" s="23"/>
      <c r="AD217" s="23" t="str">
        <f ca="1">IFERROR(__xludf.DUMMYFUNCTION("""COMPUTED_VALUE"""),"tại csdl: khách sạn 3*")</f>
        <v>tại csdl: khách sạn 3*</v>
      </c>
      <c r="AE217" s="23" t="str">
        <f ca="1">IFERROR(__xludf.DUMMYFUNCTION("""COMPUTED_VALUE"""),"")</f>
        <v/>
      </c>
      <c r="AF217" s="23" t="str">
        <f ca="1">IFERROR(__xludf.DUMMYFUNCTION("""COMPUTED_VALUE"""),"CHUYÊN ĐỀ")</f>
        <v>CHUYÊN ĐỀ</v>
      </c>
      <c r="AG217" s="23" t="str">
        <f ca="1">IFERROR(__xludf.DUMMYFUNCTION("""COMPUTED_VALUE"""),"Huỳnh Lý Thùy Linh")</f>
        <v>Huỳnh Lý Thùy Linh</v>
      </c>
    </row>
    <row r="218" spans="1:33" ht="12.75" x14ac:dyDescent="0.2">
      <c r="A218" s="26">
        <f ca="1">IFERROR(__xludf.DUMMYFUNCTION("""COMPUTED_VALUE"""),45697.974932581)</f>
        <v>45697.974932580997</v>
      </c>
      <c r="B218" s="23" t="str">
        <f ca="1">IFERROR(__xludf.DUMMYFUNCTION("""COMPUTED_VALUE"""),"kimyhoang2107@gmail.com")</f>
        <v>kimyhoang2107@gmail.com</v>
      </c>
      <c r="C218" s="23">
        <f ca="1">IFERROR(__xludf.DUMMYFUNCTION("""COMPUTED_VALUE"""),27207128316)</f>
        <v>27207128316</v>
      </c>
      <c r="D218" s="23" t="str">
        <f ca="1">IFERROR(__xludf.DUMMYFUNCTION("""COMPUTED_VALUE"""),"Hoàng Thị Kim Ý")</f>
        <v>Hoàng Thị Kim Ý</v>
      </c>
      <c r="E218" s="27">
        <f ca="1">IFERROR(__xludf.DUMMYFUNCTION("""COMPUTED_VALUE"""),37823)</f>
        <v>37823</v>
      </c>
      <c r="F218" s="23" t="str">
        <f ca="1">IFERROR(__xludf.DUMMYFUNCTION("""COMPUTED_VALUE"""),"K27DLK 7")</f>
        <v>K27DLK 7</v>
      </c>
      <c r="G218" s="23" t="str">
        <f ca="1">IFERROR(__xludf.DUMMYFUNCTION("""COMPUTED_VALUE"""),"Quản trị Du lịch &amp; Khách sạn")</f>
        <v>Quản trị Du lịch &amp; Khách sạn</v>
      </c>
      <c r="H218" s="23">
        <f ca="1">IFERROR(__xludf.DUMMYFUNCTION("""COMPUTED_VALUE"""),27)</f>
        <v>27</v>
      </c>
      <c r="I218" s="23" t="str">
        <f ca="1">IFERROR(__xludf.DUMMYFUNCTION("""COMPUTED_VALUE"""),"0779805613")</f>
        <v>0779805613</v>
      </c>
      <c r="J218" s="23" t="str">
        <f ca="1">IFERROR(__xludf.DUMMYFUNCTION("""COMPUTED_VALUE"""),"Chuyên đề")</f>
        <v>Chuyên đề</v>
      </c>
      <c r="K218" s="23" t="str">
        <f ca="1">IFERROR(__xludf.DUMMYFUNCTION("""COMPUTED_VALUE"""),"Crowne Plaza Danang City Centre")</f>
        <v>Crowne Plaza Danang City Centre</v>
      </c>
      <c r="L218" s="23" t="str">
        <f ca="1">IFERROR(__xludf.DUMMYFUNCTION("""COMPUTED_VALUE"""),"Crowne Plaza Danang City Centre")</f>
        <v>Crowne Plaza Danang City Centre</v>
      </c>
      <c r="M218" s="23" t="str">
        <f ca="1">IFERROR(__xludf.DUMMYFUNCTION("""COMPUTED_VALUE"""),"17 Quang Trung, Hai Chau 1 Ward, Hai Chau District Da Nang, Viet Nam")</f>
        <v>17 Quang Trung, Hai Chau 1 Ward, Hai Chau District Da Nang, Viet Nam</v>
      </c>
      <c r="N218" s="23" t="str">
        <f ca="1">IFERROR(__xludf.DUMMYFUNCTION("""COMPUTED_VALUE"""),"Đà Nẵng")</f>
        <v>Đà Nẵng</v>
      </c>
      <c r="O218" s="23" t="str">
        <f ca="1">IFERROR(__xludf.DUMMYFUNCTION("""COMPUTED_VALUE"""),"Nhà hàng")</f>
        <v>Nhà hàng</v>
      </c>
      <c r="P218" s="23" t="str">
        <f ca="1">IFERROR(__xludf.DUMMYFUNCTION("""COMPUTED_VALUE"""),"Nhà hàng + Banquet ")</f>
        <v xml:space="preserve">Nhà hàng + Banquet </v>
      </c>
      <c r="Q218" s="23" t="str">
        <f ca="1">IFERROR(__xludf.DUMMYFUNCTION("""COMPUTED_VALUE"""),"22/01/2025")</f>
        <v>22/01/2025</v>
      </c>
      <c r="R218" s="23" t="str">
        <f ca="1">IFERROR(__xludf.DUMMYFUNCTION("""COMPUTED_VALUE"""),"cam kết")</f>
        <v>cam kết</v>
      </c>
      <c r="S218" s="23" t="str">
        <f ca="1">IFERROR(__xludf.DUMMYFUNCTION("""COMPUTED_VALUE"""),"Chuyên đề")</f>
        <v>Chuyên đề</v>
      </c>
      <c r="T218" s="23" t="str">
        <f ca="1">IFERROR(__xludf.DUMMYFUNCTION("""COMPUTED_VALUE"""),"Phạm Thị Hoàng Dung")</f>
        <v>Phạm Thị Hoàng Dung</v>
      </c>
      <c r="U218" s="27">
        <f ca="1">IFERROR(__xludf.DUMMYFUNCTION("""COMPUTED_VALUE"""),45663)</f>
        <v>45663</v>
      </c>
      <c r="V218" s="27">
        <f ca="1">IFERROR(__xludf.DUMMYFUNCTION("""COMPUTED_VALUE"""),45753)</f>
        <v>45753</v>
      </c>
      <c r="W218" s="23">
        <f ca="1">IFERROR(__xludf.DUMMYFUNCTION("""COMPUTED_VALUE"""),217)</f>
        <v>217</v>
      </c>
      <c r="X218" s="28">
        <f ca="1">IFERROR(__xludf.DUMMYFUNCTION("""COMPUTED_VALUE"""),45932)</f>
        <v>45932</v>
      </c>
      <c r="Y218" s="23" t="str">
        <f ca="1">IFERROR(__xludf.DUMMYFUNCTION("""COMPUTED_VALUE"""),"DUYỆT")</f>
        <v>DUYỆT</v>
      </c>
      <c r="Z218" s="28">
        <f ca="1">IFERROR(__xludf.DUMMYFUNCTION("""COMPUTED_VALUE"""),45932)</f>
        <v>45932</v>
      </c>
      <c r="AA218" s="23" t="str">
        <f ca="1">IFERROR(__xludf.DUMMYFUNCTION("""COMPUTED_VALUE"""),"Crowne Plaza Danang City Centre")</f>
        <v>Crowne Plaza Danang City Centre</v>
      </c>
      <c r="AB218" s="23" t="str">
        <f ca="1">IFERROR(__xludf.DUMMYFUNCTION("""COMPUTED_VALUE"""),"Nhà hàng")</f>
        <v>Nhà hàng</v>
      </c>
      <c r="AC218" s="23"/>
      <c r="AD218" s="23"/>
      <c r="AE218" s="23" t="str">
        <f ca="1">IFERROR(__xludf.DUMMYFUNCTION("""COMPUTED_VALUE"""),"")</f>
        <v/>
      </c>
      <c r="AF218" s="23" t="str">
        <f ca="1">IFERROR(__xludf.DUMMYFUNCTION("""COMPUTED_VALUE"""),"CHUYÊN ĐỀ")</f>
        <v>CHUYÊN ĐỀ</v>
      </c>
      <c r="AG218" s="23" t="str">
        <f ca="1">IFERROR(__xludf.DUMMYFUNCTION("""COMPUTED_VALUE"""),"Phạm Thị Thu Thủy")</f>
        <v>Phạm Thị Thu Thủy</v>
      </c>
    </row>
    <row r="219" spans="1:33" ht="12.75" x14ac:dyDescent="0.2">
      <c r="A219" s="26">
        <f ca="1">IFERROR(__xludf.DUMMYFUNCTION("""COMPUTED_VALUE"""),45697.9775467245)</f>
        <v>45697.977546724498</v>
      </c>
      <c r="B219" s="23" t="str">
        <f ca="1">IFERROR(__xludf.DUMMYFUNCTION("""COMPUTED_VALUE"""),"uyennguyen.050203@gmail.com")</f>
        <v>uyennguyen.050203@gmail.com</v>
      </c>
      <c r="C219" s="23">
        <f ca="1">IFERROR(__xludf.DUMMYFUNCTION("""COMPUTED_VALUE"""),27207138757)</f>
        <v>27207138757</v>
      </c>
      <c r="D219" s="23" t="str">
        <f ca="1">IFERROR(__xludf.DUMMYFUNCTION("""COMPUTED_VALUE"""),"Nguyễn Thị Phương Uyên")</f>
        <v>Nguyễn Thị Phương Uyên</v>
      </c>
      <c r="E219" s="27">
        <f ca="1">IFERROR(__xludf.DUMMYFUNCTION("""COMPUTED_VALUE"""),37657)</f>
        <v>37657</v>
      </c>
      <c r="F219" s="23" t="str">
        <f ca="1">IFERROR(__xludf.DUMMYFUNCTION("""COMPUTED_VALUE"""),"K27DLK7")</f>
        <v>K27DLK7</v>
      </c>
      <c r="G219" s="23" t="str">
        <f ca="1">IFERROR(__xludf.DUMMYFUNCTION("""COMPUTED_VALUE"""),"Quản trị Du lịch &amp; Khách sạn")</f>
        <v>Quản trị Du lịch &amp; Khách sạn</v>
      </c>
      <c r="H219" s="23">
        <f ca="1">IFERROR(__xludf.DUMMYFUNCTION("""COMPUTED_VALUE"""),27)</f>
        <v>27</v>
      </c>
      <c r="I219" s="23" t="str">
        <f ca="1">IFERROR(__xludf.DUMMYFUNCTION("""COMPUTED_VALUE"""),"0787517656")</f>
        <v>0787517656</v>
      </c>
      <c r="J219" s="23" t="str">
        <f ca="1">IFERROR(__xludf.DUMMYFUNCTION("""COMPUTED_VALUE"""),"Chuyên đề")</f>
        <v>Chuyên đề</v>
      </c>
      <c r="K219" s="23" t="str">
        <f ca="1">IFERROR(__xludf.DUMMYFUNCTION("""COMPUTED_VALUE"""),"Crowne Plaza Danang City Centre")</f>
        <v>Crowne Plaza Danang City Centre</v>
      </c>
      <c r="L219" s="23" t="str">
        <f ca="1">IFERROR(__xludf.DUMMYFUNCTION("""COMPUTED_VALUE"""),"Crowne Plaza Danang City Centre")</f>
        <v>Crowne Plaza Danang City Centre</v>
      </c>
      <c r="M219" s="23" t="str">
        <f ca="1">IFERROR(__xludf.DUMMYFUNCTION("""COMPUTED_VALUE"""),"17 Quang Trung , Hai Chau 1 Ward , Hai Chau Dictrict")</f>
        <v>17 Quang Trung , Hai Chau 1 Ward , Hai Chau Dictrict</v>
      </c>
      <c r="N219" s="23" t="str">
        <f ca="1">IFERROR(__xludf.DUMMYFUNCTION("""COMPUTED_VALUE"""),"Đà Nẵng ")</f>
        <v xml:space="preserve">Đà Nẵng </v>
      </c>
      <c r="O219" s="23" t="str">
        <f ca="1">IFERROR(__xludf.DUMMYFUNCTION("""COMPUTED_VALUE"""),"Nhà hàng")</f>
        <v>Nhà hàng</v>
      </c>
      <c r="P219" s="23" t="str">
        <f ca="1">IFERROR(__xludf.DUMMYFUNCTION("""COMPUTED_VALUE"""),"Nhà hàng &amp; Banquet")</f>
        <v>Nhà hàng &amp; Banquet</v>
      </c>
      <c r="Q219" s="23" t="str">
        <f ca="1">IFERROR(__xludf.DUMMYFUNCTION("""COMPUTED_VALUE"""),"22/1/2025")</f>
        <v>22/1/2025</v>
      </c>
      <c r="R219" s="23" t="str">
        <f ca="1">IFERROR(__xludf.DUMMYFUNCTION("""COMPUTED_VALUE"""),"cam kết")</f>
        <v>cam kết</v>
      </c>
      <c r="S219" s="23" t="str">
        <f ca="1">IFERROR(__xludf.DUMMYFUNCTION("""COMPUTED_VALUE"""),"Chuyên đề")</f>
        <v>Chuyên đề</v>
      </c>
      <c r="T219" s="23" t="str">
        <f ca="1">IFERROR(__xludf.DUMMYFUNCTION("""COMPUTED_VALUE"""),"Phạm Thị Hoàng Dung")</f>
        <v>Phạm Thị Hoàng Dung</v>
      </c>
      <c r="U219" s="27">
        <f ca="1">IFERROR(__xludf.DUMMYFUNCTION("""COMPUTED_VALUE"""),45663)</f>
        <v>45663</v>
      </c>
      <c r="V219" s="27">
        <f ca="1">IFERROR(__xludf.DUMMYFUNCTION("""COMPUTED_VALUE"""),45753)</f>
        <v>45753</v>
      </c>
      <c r="W219" s="23">
        <f ca="1">IFERROR(__xludf.DUMMYFUNCTION("""COMPUTED_VALUE"""),218)</f>
        <v>218</v>
      </c>
      <c r="X219" s="28">
        <f ca="1">IFERROR(__xludf.DUMMYFUNCTION("""COMPUTED_VALUE"""),45932)</f>
        <v>45932</v>
      </c>
      <c r="Y219" s="23" t="str">
        <f ca="1">IFERROR(__xludf.DUMMYFUNCTION("""COMPUTED_VALUE"""),"DUYỆT")</f>
        <v>DUYỆT</v>
      </c>
      <c r="Z219" s="28">
        <f ca="1">IFERROR(__xludf.DUMMYFUNCTION("""COMPUTED_VALUE"""),45932)</f>
        <v>45932</v>
      </c>
      <c r="AA219" s="23" t="str">
        <f ca="1">IFERROR(__xludf.DUMMYFUNCTION("""COMPUTED_VALUE"""),"Crowne Plaza Danang City Centre")</f>
        <v>Crowne Plaza Danang City Centre</v>
      </c>
      <c r="AB219" s="23" t="str">
        <f ca="1">IFERROR(__xludf.DUMMYFUNCTION("""COMPUTED_VALUE"""),"Nhà hàng")</f>
        <v>Nhà hàng</v>
      </c>
      <c r="AC219" s="23"/>
      <c r="AD219" s="23"/>
      <c r="AE219" s="23" t="str">
        <f ca="1">IFERROR(__xludf.DUMMYFUNCTION("""COMPUTED_VALUE"""),"")</f>
        <v/>
      </c>
      <c r="AF219" s="23" t="str">
        <f ca="1">IFERROR(__xludf.DUMMYFUNCTION("""COMPUTED_VALUE"""),"CHUYÊN ĐỀ")</f>
        <v>CHUYÊN ĐỀ</v>
      </c>
      <c r="AG219" s="23" t="str">
        <f ca="1">IFERROR(__xludf.DUMMYFUNCTION("""COMPUTED_VALUE"""),"Phạm Thị Thu Thủy")</f>
        <v>Phạm Thị Thu Thủy</v>
      </c>
    </row>
    <row r="220" spans="1:33" ht="12.75" x14ac:dyDescent="0.2">
      <c r="A220" s="26">
        <f ca="1">IFERROR(__xludf.DUMMYFUNCTION("""COMPUTED_VALUE"""),45698.2612995601)</f>
        <v>45698.261299560101</v>
      </c>
      <c r="B220" s="23" t="str">
        <f ca="1">IFERROR(__xludf.DUMMYFUNCTION("""COMPUTED_VALUE"""),"nguyenminhphuong30121611@gmail.com")</f>
        <v>nguyenminhphuong30121611@gmail.com</v>
      </c>
      <c r="C220" s="23">
        <f ca="1">IFERROR(__xludf.DUMMYFUNCTION("""COMPUTED_VALUE"""),26207125830)</f>
        <v>26207125830</v>
      </c>
      <c r="D220" s="23" t="str">
        <f ca="1">IFERROR(__xludf.DUMMYFUNCTION("""COMPUTED_VALUE"""),"Nguyễn Minh Phương")</f>
        <v>Nguyễn Minh Phương</v>
      </c>
      <c r="E220" s="27">
        <f ca="1">IFERROR(__xludf.DUMMYFUNCTION("""COMPUTED_VALUE"""),37576)</f>
        <v>37576</v>
      </c>
      <c r="F220" s="23" t="str">
        <f ca="1">IFERROR(__xludf.DUMMYFUNCTION("""COMPUTED_VALUE"""),"K26-DLK10")</f>
        <v>K26-DLK10</v>
      </c>
      <c r="G220" s="23" t="str">
        <f ca="1">IFERROR(__xludf.DUMMYFUNCTION("""COMPUTED_VALUE"""),"Quản trị Du lịch &amp; Khách sạn")</f>
        <v>Quản trị Du lịch &amp; Khách sạn</v>
      </c>
      <c r="H220" s="23">
        <f ca="1">IFERROR(__xludf.DUMMYFUNCTION("""COMPUTED_VALUE"""),26)</f>
        <v>26</v>
      </c>
      <c r="I220" s="23" t="str">
        <f ca="1">IFERROR(__xludf.DUMMYFUNCTION("""COMPUTED_VALUE"""),"0775464998")</f>
        <v>0775464998</v>
      </c>
      <c r="J220" s="23" t="str">
        <f ca="1">IFERROR(__xludf.DUMMYFUNCTION("""COMPUTED_VALUE"""),"Chuyên đề")</f>
        <v>Chuyên đề</v>
      </c>
      <c r="K220" s="23" t="str">
        <f ca="1">IFERROR(__xludf.DUMMYFUNCTION("""COMPUTED_VALUE"""),"Premier Village Danang Resort")</f>
        <v>Premier Village Danang Resort</v>
      </c>
      <c r="L220" s="23"/>
      <c r="M220" s="23" t="str">
        <f ca="1">IFERROR(__xludf.DUMMYFUNCTION("""COMPUTED_VALUE"""),"99 Võ Nguyên Giáp, phường Mỹ An, Quận Ngũ Hành Sơn")</f>
        <v>99 Võ Nguyên Giáp, phường Mỹ An, Quận Ngũ Hành Sơn</v>
      </c>
      <c r="N220" s="23" t="str">
        <f ca="1">IFERROR(__xludf.DUMMYFUNCTION("""COMPUTED_VALUE"""),"Đà Nẵng")</f>
        <v>Đà Nẵng</v>
      </c>
      <c r="O220" s="23" t="str">
        <f ca="1">IFERROR(__xludf.DUMMYFUNCTION("""COMPUTED_VALUE"""),"Buồng phòng")</f>
        <v>Buồng phòng</v>
      </c>
      <c r="P220" s="23"/>
      <c r="Q220" s="23" t="str">
        <f ca="1">IFERROR(__xludf.DUMMYFUNCTION("""COMPUTED_VALUE"""),"10-2-2025")</f>
        <v>10-2-2025</v>
      </c>
      <c r="R220" s="23" t="str">
        <f ca="1">IFERROR(__xludf.DUMMYFUNCTION("""COMPUTED_VALUE"""),"cam kết")</f>
        <v>cam kết</v>
      </c>
      <c r="S220" s="23" t="str">
        <f ca="1">IFERROR(__xludf.DUMMYFUNCTION("""COMPUTED_VALUE"""),"Chuyên đề")</f>
        <v>Chuyên đề</v>
      </c>
      <c r="T220" s="23" t="str">
        <f ca="1">IFERROR(__xludf.DUMMYFUNCTION("""COMPUTED_VALUE"""),"Dương Thị Xuân Diệu")</f>
        <v>Dương Thị Xuân Diệu</v>
      </c>
      <c r="U220" s="27">
        <f ca="1">IFERROR(__xludf.DUMMYFUNCTION("""COMPUTED_VALUE"""),45698)</f>
        <v>45698</v>
      </c>
      <c r="V220" s="27">
        <f ca="1">IFERROR(__xludf.DUMMYFUNCTION("""COMPUTED_VALUE"""),45787)</f>
        <v>45787</v>
      </c>
      <c r="W220" s="23">
        <f ca="1">IFERROR(__xludf.DUMMYFUNCTION("""COMPUTED_VALUE"""),219)</f>
        <v>219</v>
      </c>
      <c r="X220" s="28">
        <f ca="1">IFERROR(__xludf.DUMMYFUNCTION("""COMPUTED_VALUE"""),45963)</f>
        <v>45963</v>
      </c>
      <c r="Y220" s="23" t="str">
        <f ca="1">IFERROR(__xludf.DUMMYFUNCTION("""COMPUTED_VALUE"""),"DUYỆT")</f>
        <v>DUYỆT</v>
      </c>
      <c r="Z220" s="28">
        <f ca="1">IFERROR(__xludf.DUMMYFUNCTION("""COMPUTED_VALUE"""),45932)</f>
        <v>45932</v>
      </c>
      <c r="AA220" s="23" t="str">
        <f ca="1">IFERROR(__xludf.DUMMYFUNCTION("""COMPUTED_VALUE"""),"Premier Village Danang Resort")</f>
        <v>Premier Village Danang Resort</v>
      </c>
      <c r="AB220" s="23" t="str">
        <f ca="1">IFERROR(__xludf.DUMMYFUNCTION("""COMPUTED_VALUE"""),"Buồng phòng")</f>
        <v>Buồng phòng</v>
      </c>
      <c r="AC220" s="23" t="str">
        <f ca="1">IFERROR(__xludf.DUMMYFUNCTION("""COMPUTED_VALUE"""),"ĐÃ NỘP")</f>
        <v>ĐÃ NỘP</v>
      </c>
      <c r="AD220" s="23"/>
      <c r="AE220" s="23" t="str">
        <f ca="1">IFERROR(__xludf.DUMMYFUNCTION("""COMPUTED_VALUE"""),"")</f>
        <v/>
      </c>
      <c r="AF220" s="23" t="str">
        <f ca="1">IFERROR(__xludf.DUMMYFUNCTION("""COMPUTED_VALUE"""),"CHUYÊN ĐỀ")</f>
        <v>CHUYÊN ĐỀ</v>
      </c>
      <c r="AG220" s="23" t="str">
        <f ca="1">IFERROR(__xludf.DUMMYFUNCTION("""COMPUTED_VALUE"""),"Hồ Sử Minh Tài")</f>
        <v>Hồ Sử Minh Tài</v>
      </c>
    </row>
    <row r="221" spans="1:33" ht="12.75" x14ac:dyDescent="0.2">
      <c r="A221" s="26">
        <f ca="1">IFERROR(__xludf.DUMMYFUNCTION("""COMPUTED_VALUE"""),45698.425731412)</f>
        <v>45698.425731411997</v>
      </c>
      <c r="B221" s="23" t="str">
        <f ca="1">IFERROR(__xludf.DUMMYFUNCTION("""COMPUTED_VALUE"""),"dngnguen123@gmail.com")</f>
        <v>dngnguen123@gmail.com</v>
      </c>
      <c r="C221" s="23">
        <f ca="1">IFERROR(__xludf.DUMMYFUNCTION("""COMPUTED_VALUE"""),2321714451)</f>
        <v>2321714451</v>
      </c>
      <c r="D221" s="23" t="str">
        <f ca="1">IFERROR(__xludf.DUMMYFUNCTION("""COMPUTED_VALUE"""),"Trần Như Phong")</f>
        <v>Trần Như Phong</v>
      </c>
      <c r="E221" s="27">
        <f ca="1">IFERROR(__xludf.DUMMYFUNCTION("""COMPUTED_VALUE"""),36301)</f>
        <v>36301</v>
      </c>
      <c r="F221" s="23" t="str">
        <f ca="1">IFERROR(__xludf.DUMMYFUNCTION("""COMPUTED_VALUE"""),"K25DLK13")</f>
        <v>K25DLK13</v>
      </c>
      <c r="G221" s="23" t="str">
        <f ca="1">IFERROR(__xludf.DUMMYFUNCTION("""COMPUTED_VALUE"""),"Quản trị Du lịch &amp; Khách sạn")</f>
        <v>Quản trị Du lịch &amp; Khách sạn</v>
      </c>
      <c r="H221" s="23">
        <f ca="1">IFERROR(__xludf.DUMMYFUNCTION("""COMPUTED_VALUE"""),25)</f>
        <v>25</v>
      </c>
      <c r="I221" s="23" t="str">
        <f ca="1">IFERROR(__xludf.DUMMYFUNCTION("""COMPUTED_VALUE"""),"0763676090")</f>
        <v>0763676090</v>
      </c>
      <c r="J221" s="23" t="str">
        <f ca="1">IFERROR(__xludf.DUMMYFUNCTION("""COMPUTED_VALUE"""),"Chuyên đề")</f>
        <v>Chuyên đề</v>
      </c>
      <c r="K221" s="23" t="str">
        <f ca="1">IFERROR(__xludf.DUMMYFUNCTION("""COMPUTED_VALUE"""),"Minh Toàn Galaxy Hotel Đà Nẵng")</f>
        <v>Minh Toàn Galaxy Hotel Đà Nẵng</v>
      </c>
      <c r="L221" s="23"/>
      <c r="M221" s="23" t="str">
        <f ca="1">IFERROR(__xludf.DUMMYFUNCTION("""COMPUTED_VALUE"""),"Số 306 đường 2 tháng 9, Hoà Cường Bắc, Hải Châu, Đà Nẵnv")</f>
        <v>Số 306 đường 2 tháng 9, Hoà Cường Bắc, Hải Châu, Đà Nẵnv</v>
      </c>
      <c r="N221" s="23" t="str">
        <f ca="1">IFERROR(__xludf.DUMMYFUNCTION("""COMPUTED_VALUE"""),"Đà Nẵng")</f>
        <v>Đà Nẵng</v>
      </c>
      <c r="O221" s="23" t="str">
        <f ca="1">IFERROR(__xludf.DUMMYFUNCTION("""COMPUTED_VALUE"""),"Tiền sảnh")</f>
        <v>Tiền sảnh</v>
      </c>
      <c r="P221" s="23" t="str">
        <f ca="1">IFERROR(__xludf.DUMMYFUNCTION("""COMPUTED_VALUE"""),"Lễ tân")</f>
        <v>Lễ tân</v>
      </c>
      <c r="Q221" s="23" t="str">
        <f ca="1">IFERROR(__xludf.DUMMYFUNCTION("""COMPUTED_VALUE"""),"10/2/2025")</f>
        <v>10/2/2025</v>
      </c>
      <c r="R221" s="23" t="str">
        <f ca="1">IFERROR(__xludf.DUMMYFUNCTION("""COMPUTED_VALUE"""),"cam kết")</f>
        <v>cam kết</v>
      </c>
      <c r="S221" s="23" t="str">
        <f ca="1">IFERROR(__xludf.DUMMYFUNCTION("""COMPUTED_VALUE"""),"Chuyên đề")</f>
        <v>Chuyên đề</v>
      </c>
      <c r="T221" s="23" t="str">
        <f ca="1">IFERROR(__xludf.DUMMYFUNCTION("""COMPUTED_VALUE"""),"Dương Thị Xuân Diệu")</f>
        <v>Dương Thị Xuân Diệu</v>
      </c>
      <c r="U221" s="27">
        <f ca="1">IFERROR(__xludf.DUMMYFUNCTION("""COMPUTED_VALUE"""),45726)</f>
        <v>45726</v>
      </c>
      <c r="V221" s="27">
        <f ca="1">IFERROR(__xludf.DUMMYFUNCTION("""COMPUTED_VALUE"""),45787)</f>
        <v>45787</v>
      </c>
      <c r="W221" s="23">
        <f ca="1">IFERROR(__xludf.DUMMYFUNCTION("""COMPUTED_VALUE"""),220)</f>
        <v>220</v>
      </c>
      <c r="X221" s="28">
        <f ca="1">IFERROR(__xludf.DUMMYFUNCTION("""COMPUTED_VALUE"""),45932)</f>
        <v>45932</v>
      </c>
      <c r="Y221" s="23" t="str">
        <f ca="1">IFERROR(__xludf.DUMMYFUNCTION("""COMPUTED_VALUE"""),"DUYỆT")</f>
        <v>DUYỆT</v>
      </c>
      <c r="Z221" s="28">
        <f ca="1">IFERROR(__xludf.DUMMYFUNCTION("""COMPUTED_VALUE"""),45932)</f>
        <v>45932</v>
      </c>
      <c r="AA221" s="23" t="str">
        <f ca="1">IFERROR(__xludf.DUMMYFUNCTION("""COMPUTED_VALUE"""),"Minh Toàn Galaxy Hotel Đà Nẵng")</f>
        <v>Minh Toàn Galaxy Hotel Đà Nẵng</v>
      </c>
      <c r="AB221" s="23" t="str">
        <f ca="1">IFERROR(__xludf.DUMMYFUNCTION("""COMPUTED_VALUE"""),"Tiền sảnh")</f>
        <v>Tiền sảnh</v>
      </c>
      <c r="AC221" s="23" t="str">
        <f ca="1">IFERROR(__xludf.DUMMYFUNCTION("""COMPUTED_VALUE"""),"ĐÃ NỘP")</f>
        <v>ĐÃ NỘP</v>
      </c>
      <c r="AD221" s="23"/>
      <c r="AE221" s="23" t="str">
        <f ca="1">IFERROR(__xludf.DUMMYFUNCTION("""COMPUTED_VALUE"""),"")</f>
        <v/>
      </c>
      <c r="AF221" s="23" t="str">
        <f ca="1">IFERROR(__xludf.DUMMYFUNCTION("""COMPUTED_VALUE"""),"CHUYÊN ĐỀ")</f>
        <v>CHUYÊN ĐỀ</v>
      </c>
      <c r="AG221" s="23" t="str">
        <f ca="1">IFERROR(__xludf.DUMMYFUNCTION("""COMPUTED_VALUE"""),"Mai Thị Thương")</f>
        <v>Mai Thị Thương</v>
      </c>
    </row>
    <row r="222" spans="1:33" ht="12.75" x14ac:dyDescent="0.2">
      <c r="A222" s="26">
        <f ca="1">IFERROR(__xludf.DUMMYFUNCTION("""COMPUTED_VALUE"""),45698.4543087847)</f>
        <v>45698.454308784698</v>
      </c>
      <c r="B222" s="23" t="str">
        <f ca="1">IFERROR(__xludf.DUMMYFUNCTION("""COMPUTED_VALUE"""),"vyverygood@gmail.com")</f>
        <v>vyverygood@gmail.com</v>
      </c>
      <c r="C222" s="23">
        <f ca="1">IFERROR(__xludf.DUMMYFUNCTION("""COMPUTED_VALUE"""),24207107852)</f>
        <v>24207107852</v>
      </c>
      <c r="D222" s="23" t="str">
        <f ca="1">IFERROR(__xludf.DUMMYFUNCTION("""COMPUTED_VALUE"""),"Lê Thị Thanh Vy")</f>
        <v>Lê Thị Thanh Vy</v>
      </c>
      <c r="E222" s="27">
        <f ca="1">IFERROR(__xludf.DUMMYFUNCTION("""COMPUTED_VALUE"""),36801)</f>
        <v>36801</v>
      </c>
      <c r="F222" s="23" t="str">
        <f ca="1">IFERROR(__xludf.DUMMYFUNCTION("""COMPUTED_VALUE"""),"K24PSUDLK1")</f>
        <v>K24PSUDLK1</v>
      </c>
      <c r="G222" s="23" t="str">
        <f ca="1">IFERROR(__xludf.DUMMYFUNCTION("""COMPUTED_VALUE"""),"Quản trị Du lịch &amp; Khách sạn chuẩn PSU")</f>
        <v>Quản trị Du lịch &amp; Khách sạn chuẩn PSU</v>
      </c>
      <c r="H222" s="23">
        <f ca="1">IFERROR(__xludf.DUMMYFUNCTION("""COMPUTED_VALUE"""),24)</f>
        <v>24</v>
      </c>
      <c r="I222" s="23" t="str">
        <f ca="1">IFERROR(__xludf.DUMMYFUNCTION("""COMPUTED_VALUE"""),"0901935738")</f>
        <v>0901935738</v>
      </c>
      <c r="J222" s="23" t="str">
        <f ca="1">IFERROR(__xludf.DUMMYFUNCTION("""COMPUTED_VALUE"""),"Chuyên đề")</f>
        <v>Chuyên đề</v>
      </c>
      <c r="K222" s="23" t="str">
        <f ca="1">IFERROR(__xludf.DUMMYFUNCTION("""COMPUTED_VALUE"""),"Khách sạn Shilla Monogram Quangnam Danang")</f>
        <v>Khách sạn Shilla Monogram Quangnam Danang</v>
      </c>
      <c r="L222" s="23"/>
      <c r="M222" s="23" t="str">
        <f ca="1">IFERROR(__xludf.DUMMYFUNCTION("""COMPUTED_VALUE"""),"Đường Lạc Long Quân , Xã Điện Ngọc , Huyện Điện Bàn , Tỉnh Quảng Nam")</f>
        <v>Đường Lạc Long Quân , Xã Điện Ngọc , Huyện Điện Bàn , Tỉnh Quảng Nam</v>
      </c>
      <c r="N222" s="23" t="str">
        <f ca="1">IFERROR(__xludf.DUMMYFUNCTION("""COMPUTED_VALUE"""),"Tỉnh Quảng Nam")</f>
        <v>Tỉnh Quảng Nam</v>
      </c>
      <c r="O222" s="23" t="str">
        <f ca="1">IFERROR(__xludf.DUMMYFUNCTION("""COMPUTED_VALUE"""),"Nhà hàng")</f>
        <v>Nhà hàng</v>
      </c>
      <c r="P222" s="23"/>
      <c r="Q222" s="23" t="str">
        <f ca="1">IFERROR(__xludf.DUMMYFUNCTION("""COMPUTED_VALUE"""),"10/02/2025")</f>
        <v>10/02/2025</v>
      </c>
      <c r="R222" s="23" t="str">
        <f ca="1">IFERROR(__xludf.DUMMYFUNCTION("""COMPUTED_VALUE"""),"cam kết")</f>
        <v>cam kết</v>
      </c>
      <c r="S222" s="23" t="str">
        <f ca="1">IFERROR(__xludf.DUMMYFUNCTION("""COMPUTED_VALUE"""),"Chuyên đề")</f>
        <v>Chuyên đề</v>
      </c>
      <c r="T222" s="23"/>
      <c r="U222" s="27">
        <f ca="1">IFERROR(__xludf.DUMMYFUNCTION("""COMPUTED_VALUE"""),45553)</f>
        <v>45553</v>
      </c>
      <c r="V222" s="27">
        <f ca="1">IFERROR(__xludf.DUMMYFUNCTION("""COMPUTED_VALUE"""),45657)</f>
        <v>45657</v>
      </c>
      <c r="W222" s="23">
        <f ca="1">IFERROR(__xludf.DUMMYFUNCTION("""COMPUTED_VALUE"""),221)</f>
        <v>221</v>
      </c>
      <c r="X222" s="28">
        <f ca="1">IFERROR(__xludf.DUMMYFUNCTION("""COMPUTED_VALUE"""),45932)</f>
        <v>45932</v>
      </c>
      <c r="Y222" s="23" t="str">
        <f ca="1">IFERROR(__xludf.DUMMYFUNCTION("""COMPUTED_VALUE"""),"DUYỆT")</f>
        <v>DUYỆT</v>
      </c>
      <c r="Z222" s="28">
        <f ca="1">IFERROR(__xludf.DUMMYFUNCTION("""COMPUTED_VALUE"""),45932)</f>
        <v>45932</v>
      </c>
      <c r="AA222" s="23" t="str">
        <f ca="1">IFERROR(__xludf.DUMMYFUNCTION("""COMPUTED_VALUE"""),"Khách sạn Shilla Monogram Quangnam Danang")</f>
        <v>Khách sạn Shilla Monogram Quangnam Danang</v>
      </c>
      <c r="AB222" s="23" t="str">
        <f ca="1">IFERROR(__xludf.DUMMYFUNCTION("""COMPUTED_VALUE"""),"Nhà hàng")</f>
        <v>Nhà hàng</v>
      </c>
      <c r="AC222" s="23" t="str">
        <f ca="1">IFERROR(__xludf.DUMMYFUNCTION("""COMPUTED_VALUE"""),"ĐÃ NỘP")</f>
        <v>ĐÃ NỘP</v>
      </c>
      <c r="AD222" s="23" t="str">
        <f ca="1">IFERROR(__xludf.DUMMYFUNCTION("""COMPUTED_VALUE"""),"trưởng khoa đã duyệt đơn")</f>
        <v>trưởng khoa đã duyệt đơn</v>
      </c>
      <c r="AE222" s="23" t="str">
        <f ca="1">IFERROR(__xludf.DUMMYFUNCTION("""COMPUTED_VALUE"""),"")</f>
        <v/>
      </c>
      <c r="AF222" s="23" t="str">
        <f ca="1">IFERROR(__xludf.DUMMYFUNCTION("""COMPUTED_VALUE"""),"CHUYÊN ĐỀ")</f>
        <v>CHUYÊN ĐỀ</v>
      </c>
      <c r="AG222" s="23" t="str">
        <f ca="1">IFERROR(__xludf.DUMMYFUNCTION("""COMPUTED_VALUE"""),"Đặng Thị Thùy Trang")</f>
        <v>Đặng Thị Thùy Trang</v>
      </c>
    </row>
    <row r="223" spans="1:33" ht="12.75" x14ac:dyDescent="0.2">
      <c r="A223" s="26">
        <f ca="1">IFERROR(__xludf.DUMMYFUNCTION("""COMPUTED_VALUE"""),45698.5939446064)</f>
        <v>45698.5939446064</v>
      </c>
      <c r="B223" s="23" t="str">
        <f ca="1">IFERROR(__xludf.DUMMYFUNCTION("""COMPUTED_VALUE"""),"nguyencaohoangkim.tk1@gmail.com")</f>
        <v>nguyencaohoangkim.tk1@gmail.com</v>
      </c>
      <c r="C223" s="23">
        <f ca="1">IFERROR(__xludf.DUMMYFUNCTION("""COMPUTED_VALUE"""),27207121356)</f>
        <v>27207121356</v>
      </c>
      <c r="D223" s="23" t="str">
        <f ca="1">IFERROR(__xludf.DUMMYFUNCTION("""COMPUTED_VALUE"""),"Nguyễn Cao Hoàng Kim")</f>
        <v>Nguyễn Cao Hoàng Kim</v>
      </c>
      <c r="E223" s="27">
        <f ca="1">IFERROR(__xludf.DUMMYFUNCTION("""COMPUTED_VALUE"""),37800)</f>
        <v>37800</v>
      </c>
      <c r="F223" s="23" t="str">
        <f ca="1">IFERROR(__xludf.DUMMYFUNCTION("""COMPUTED_VALUE"""),"K27 DLK5")</f>
        <v>K27 DLK5</v>
      </c>
      <c r="G223" s="23" t="str">
        <f ca="1">IFERROR(__xludf.DUMMYFUNCTION("""COMPUTED_VALUE"""),"Quản trị Du lịch &amp; Khách sạn")</f>
        <v>Quản trị Du lịch &amp; Khách sạn</v>
      </c>
      <c r="H223" s="23">
        <f ca="1">IFERROR(__xludf.DUMMYFUNCTION("""COMPUTED_VALUE"""),27)</f>
        <v>27</v>
      </c>
      <c r="I223" s="23" t="str">
        <f ca="1">IFERROR(__xludf.DUMMYFUNCTION("""COMPUTED_VALUE"""),"0707722091")</f>
        <v>0707722091</v>
      </c>
      <c r="J223" s="23" t="str">
        <f ca="1">IFERROR(__xludf.DUMMYFUNCTION("""COMPUTED_VALUE"""),"Chuyên đề")</f>
        <v>Chuyên đề</v>
      </c>
      <c r="K223" s="23" t="str">
        <f ca="1">IFERROR(__xludf.DUMMYFUNCTION("""COMPUTED_VALUE"""),"Maximilan Danang Beach Hotel")</f>
        <v>Maximilan Danang Beach Hotel</v>
      </c>
      <c r="L223" s="23"/>
      <c r="M223" s="23" t="str">
        <f ca="1">IFERROR(__xludf.DUMMYFUNCTION("""COMPUTED_VALUE"""),"222 Võ Nguyên Giáp ")</f>
        <v xml:space="preserve">222 Võ Nguyên Giáp </v>
      </c>
      <c r="N223" s="23" t="str">
        <f ca="1">IFERROR(__xludf.DUMMYFUNCTION("""COMPUTED_VALUE"""),"Đà Nẵng")</f>
        <v>Đà Nẵng</v>
      </c>
      <c r="O223" s="23" t="str">
        <f ca="1">IFERROR(__xludf.DUMMYFUNCTION("""COMPUTED_VALUE"""),"Nhà hàng")</f>
        <v>Nhà hàng</v>
      </c>
      <c r="P223" s="23"/>
      <c r="Q223" s="23" t="str">
        <f ca="1">IFERROR(__xludf.DUMMYFUNCTION("""COMPUTED_VALUE"""),"10/02/2025")</f>
        <v>10/02/2025</v>
      </c>
      <c r="R223" s="23" t="str">
        <f ca="1">IFERROR(__xludf.DUMMYFUNCTION("""COMPUTED_VALUE"""),"cam kết")</f>
        <v>cam kết</v>
      </c>
      <c r="S223" s="23" t="str">
        <f ca="1">IFERROR(__xludf.DUMMYFUNCTION("""COMPUTED_VALUE"""),"Chuyên đề")</f>
        <v>Chuyên đề</v>
      </c>
      <c r="T223" s="23" t="str">
        <f ca="1">IFERROR(__xludf.DUMMYFUNCTION("""COMPUTED_VALUE"""),"Dương Thị Xuân Diệu")</f>
        <v>Dương Thị Xuân Diệu</v>
      </c>
      <c r="U223" s="27">
        <f ca="1">IFERROR(__xludf.DUMMYFUNCTION("""COMPUTED_VALUE"""),45697)</f>
        <v>45697</v>
      </c>
      <c r="V223" s="27">
        <f ca="1">IFERROR(__xludf.DUMMYFUNCTION("""COMPUTED_VALUE"""),45786)</f>
        <v>45786</v>
      </c>
      <c r="W223" s="23">
        <f ca="1">IFERROR(__xludf.DUMMYFUNCTION("""COMPUTED_VALUE"""),222)</f>
        <v>222</v>
      </c>
      <c r="X223" s="28">
        <f ca="1">IFERROR(__xludf.DUMMYFUNCTION("""COMPUTED_VALUE"""),45963)</f>
        <v>45963</v>
      </c>
      <c r="Y223" s="23" t="str">
        <f ca="1">IFERROR(__xludf.DUMMYFUNCTION("""COMPUTED_VALUE"""),"DUYỆT")</f>
        <v>DUYỆT</v>
      </c>
      <c r="Z223" s="28">
        <f ca="1">IFERROR(__xludf.DUMMYFUNCTION("""COMPUTED_VALUE"""),45932)</f>
        <v>45932</v>
      </c>
      <c r="AA223" s="23" t="str">
        <f ca="1">IFERROR(__xludf.DUMMYFUNCTION("""COMPUTED_VALUE"""),"Maximilan Danang Beach Hotel")</f>
        <v>Maximilan Danang Beach Hotel</v>
      </c>
      <c r="AB223" s="23" t="str">
        <f ca="1">IFERROR(__xludf.DUMMYFUNCTION("""COMPUTED_VALUE"""),"Nhà hàng")</f>
        <v>Nhà hàng</v>
      </c>
      <c r="AC223" s="23"/>
      <c r="AD223" s="23"/>
      <c r="AE223" s="23" t="str">
        <f ca="1">IFERROR(__xludf.DUMMYFUNCTION("""COMPUTED_VALUE"""),"")</f>
        <v/>
      </c>
      <c r="AF223" s="23" t="str">
        <f ca="1">IFERROR(__xludf.DUMMYFUNCTION("""COMPUTED_VALUE"""),"CHUYÊN ĐỀ")</f>
        <v>CHUYÊN ĐỀ</v>
      </c>
      <c r="AG223" s="23" t="str">
        <f ca="1">IFERROR(__xludf.DUMMYFUNCTION("""COMPUTED_VALUE"""),"Phạm Thị Hoàng Dung")</f>
        <v>Phạm Thị Hoàng Dung</v>
      </c>
    </row>
    <row r="224" spans="1:33" ht="12.75" x14ac:dyDescent="0.2">
      <c r="A224" s="26">
        <f ca="1">IFERROR(__xludf.DUMMYFUNCTION("""COMPUTED_VALUE"""),45698.5986190046)</f>
        <v>45698.598619004602</v>
      </c>
      <c r="B224" s="23" t="str">
        <f ca="1">IFERROR(__xludf.DUMMYFUNCTION("""COMPUTED_VALUE"""),"vuhuynang2000@gmail.com")</f>
        <v>vuhuynang2000@gmail.com</v>
      </c>
      <c r="C224" s="23">
        <f ca="1">IFERROR(__xludf.DUMMYFUNCTION("""COMPUTED_VALUE"""),24212102088)</f>
        <v>24212102088</v>
      </c>
      <c r="D224" s="23" t="str">
        <f ca="1">IFERROR(__xludf.DUMMYFUNCTION("""COMPUTED_VALUE"""),"Vũ Huy Năng ")</f>
        <v xml:space="preserve">Vũ Huy Năng </v>
      </c>
      <c r="E224" s="27">
        <f ca="1">IFERROR(__xludf.DUMMYFUNCTION("""COMPUTED_VALUE"""),36817)</f>
        <v>36817</v>
      </c>
      <c r="F224" s="23" t="str">
        <f ca="1">IFERROR(__xludf.DUMMYFUNCTION("""COMPUTED_VALUE"""),"K25DLK15 ")</f>
        <v xml:space="preserve">K25DLK15 </v>
      </c>
      <c r="G224" s="23" t="str">
        <f ca="1">IFERROR(__xludf.DUMMYFUNCTION("""COMPUTED_VALUE"""),"Quản trị Du lịch &amp; Khách sạn")</f>
        <v>Quản trị Du lịch &amp; Khách sạn</v>
      </c>
      <c r="H224" s="23">
        <f ca="1">IFERROR(__xludf.DUMMYFUNCTION("""COMPUTED_VALUE"""),24)</f>
        <v>24</v>
      </c>
      <c r="I224" s="23">
        <f ca="1">IFERROR(__xludf.DUMMYFUNCTION("""COMPUTED_VALUE"""),337449773)</f>
        <v>337449773</v>
      </c>
      <c r="J224" s="23" t="str">
        <f ca="1">IFERROR(__xludf.DUMMYFUNCTION("""COMPUTED_VALUE"""),"Chuyên đề")</f>
        <v>Chuyên đề</v>
      </c>
      <c r="K224" s="23" t="str">
        <f ca="1">IFERROR(__xludf.DUMMYFUNCTION("""COMPUTED_VALUE"""),"Chicland Hotel")</f>
        <v>Chicland Hotel</v>
      </c>
      <c r="L224" s="23"/>
      <c r="M224" s="23" t="str">
        <f ca="1">IFERROR(__xludf.DUMMYFUNCTION("""COMPUTED_VALUE"""),"210 Võ Nguyên Giáp, biển Mỹ Khê, Ngũ Hành Sơn")</f>
        <v>210 Võ Nguyên Giáp, biển Mỹ Khê, Ngũ Hành Sơn</v>
      </c>
      <c r="N224" s="23" t="str">
        <f ca="1">IFERROR(__xludf.DUMMYFUNCTION("""COMPUTED_VALUE"""),"Đà Nẵng")</f>
        <v>Đà Nẵng</v>
      </c>
      <c r="O224" s="23" t="str">
        <f ca="1">IFERROR(__xludf.DUMMYFUNCTION("""COMPUTED_VALUE"""),"Nhà hàng")</f>
        <v>Nhà hàng</v>
      </c>
      <c r="P224" s="23"/>
      <c r="Q224" s="23" t="str">
        <f ca="1">IFERROR(__xludf.DUMMYFUNCTION("""COMPUTED_VALUE"""),"10/02/2025")</f>
        <v>10/02/2025</v>
      </c>
      <c r="R224" s="23" t="str">
        <f ca="1">IFERROR(__xludf.DUMMYFUNCTION("""COMPUTED_VALUE"""),"cam kết")</f>
        <v>cam kết</v>
      </c>
      <c r="S224" s="23" t="str">
        <f ca="1">IFERROR(__xludf.DUMMYFUNCTION("""COMPUTED_VALUE"""),"Chuyên đề")</f>
        <v>Chuyên đề</v>
      </c>
      <c r="T224" s="23"/>
      <c r="U224" s="27">
        <f ca="1">IFERROR(__xludf.DUMMYFUNCTION("""COMPUTED_VALUE"""),45699)</f>
        <v>45699</v>
      </c>
      <c r="V224" s="27">
        <f ca="1">IFERROR(__xludf.DUMMYFUNCTION("""COMPUTED_VALUE"""),45788)</f>
        <v>45788</v>
      </c>
      <c r="W224" s="23">
        <f ca="1">IFERROR(__xludf.DUMMYFUNCTION("""COMPUTED_VALUE"""),223)</f>
        <v>223</v>
      </c>
      <c r="X224" s="28">
        <f ca="1">IFERROR(__xludf.DUMMYFUNCTION("""COMPUTED_VALUE"""),45963)</f>
        <v>45963</v>
      </c>
      <c r="Y224" s="23" t="str">
        <f ca="1">IFERROR(__xludf.DUMMYFUNCTION("""COMPUTED_VALUE"""),"DUYỆT")</f>
        <v>DUYỆT</v>
      </c>
      <c r="Z224" s="28">
        <f ca="1">IFERROR(__xludf.DUMMYFUNCTION("""COMPUTED_VALUE"""),45932)</f>
        <v>45932</v>
      </c>
      <c r="AA224" s="23" t="str">
        <f ca="1">IFERROR(__xludf.DUMMYFUNCTION("""COMPUTED_VALUE"""),"Chicland Hotel")</f>
        <v>Chicland Hotel</v>
      </c>
      <c r="AB224" s="23" t="str">
        <f ca="1">IFERROR(__xludf.DUMMYFUNCTION("""COMPUTED_VALUE"""),"Nhà hàng")</f>
        <v>Nhà hàng</v>
      </c>
      <c r="AC224" s="23" t="str">
        <f ca="1">IFERROR(__xludf.DUMMYFUNCTION("""COMPUTED_VALUE"""),"ĐÃ NỘP")</f>
        <v>ĐÃ NỘP</v>
      </c>
      <c r="AD224" s="23"/>
      <c r="AE224" s="23" t="str">
        <f ca="1">IFERROR(__xludf.DUMMYFUNCTION("""COMPUTED_VALUE"""),"")</f>
        <v/>
      </c>
      <c r="AF224" s="23" t="str">
        <f ca="1">IFERROR(__xludf.DUMMYFUNCTION("""COMPUTED_VALUE"""),"CHUYÊN ĐỀ")</f>
        <v>CHUYÊN ĐỀ</v>
      </c>
      <c r="AG224" s="23" t="str">
        <f ca="1">IFERROR(__xludf.DUMMYFUNCTION("""COMPUTED_VALUE"""),"Phạm Thị Thu Thủy")</f>
        <v>Phạm Thị Thu Thủy</v>
      </c>
    </row>
    <row r="225" spans="1:33" ht="12.75" x14ac:dyDescent="0.2">
      <c r="A225" s="26">
        <f ca="1">IFERROR(__xludf.DUMMYFUNCTION("""COMPUTED_VALUE"""),45698.6309564467)</f>
        <v>45698.630956446701</v>
      </c>
      <c r="B225" s="23" t="str">
        <f ca="1">IFERROR(__xludf.DUMMYFUNCTION("""COMPUTED_VALUE"""),"truonghoangngocngi24052003@gmail.com")</f>
        <v>truonghoangngocngi24052003@gmail.com</v>
      </c>
      <c r="C225" s="23">
        <f ca="1">IFERROR(__xludf.DUMMYFUNCTION("""COMPUTED_VALUE"""),27217200882)</f>
        <v>27217200882</v>
      </c>
      <c r="D225" s="23" t="str">
        <f ca="1">IFERROR(__xludf.DUMMYFUNCTION("""COMPUTED_VALUE"""),"Trương Hoàng Ngọc Nhi")</f>
        <v>Trương Hoàng Ngọc Nhi</v>
      </c>
      <c r="E225" s="27">
        <f ca="1">IFERROR(__xludf.DUMMYFUNCTION("""COMPUTED_VALUE"""),37765)</f>
        <v>37765</v>
      </c>
      <c r="F225" s="23" t="str">
        <f ca="1">IFERROR(__xludf.DUMMYFUNCTION("""COMPUTED_VALUE"""),"K27DLK4")</f>
        <v>K27DLK4</v>
      </c>
      <c r="G225" s="23" t="str">
        <f ca="1">IFERROR(__xludf.DUMMYFUNCTION("""COMPUTED_VALUE"""),"Quản trị Du lịch &amp; Khách sạn")</f>
        <v>Quản trị Du lịch &amp; Khách sạn</v>
      </c>
      <c r="H225" s="23">
        <f ca="1">IFERROR(__xludf.DUMMYFUNCTION("""COMPUTED_VALUE"""),27)</f>
        <v>27</v>
      </c>
      <c r="I225" s="23" t="str">
        <f ca="1">IFERROR(__xludf.DUMMYFUNCTION("""COMPUTED_VALUE"""),"0826557727")</f>
        <v>0826557727</v>
      </c>
      <c r="J225" s="23" t="str">
        <f ca="1">IFERROR(__xludf.DUMMYFUNCTION("""COMPUTED_VALUE"""),"Chuyên đề")</f>
        <v>Chuyên đề</v>
      </c>
      <c r="K225" s="23" t="str">
        <f ca="1">IFERROR(__xludf.DUMMYFUNCTION("""COMPUTED_VALUE"""),"Paracel Danang Hotel")</f>
        <v>Paracel Danang Hotel</v>
      </c>
      <c r="L225" s="23"/>
      <c r="M225" s="23" t="str">
        <f ca="1">IFERROR(__xludf.DUMMYFUNCTION("""COMPUTED_VALUE"""),"204 Võ Nguyên Giáp")</f>
        <v>204 Võ Nguyên Giáp</v>
      </c>
      <c r="N225" s="23" t="str">
        <f ca="1">IFERROR(__xludf.DUMMYFUNCTION("""COMPUTED_VALUE"""),"Đà Nẵng")</f>
        <v>Đà Nẵng</v>
      </c>
      <c r="O225" s="23" t="str">
        <f ca="1">IFERROR(__xludf.DUMMYFUNCTION("""COMPUTED_VALUE"""),"Bếp")</f>
        <v>Bếp</v>
      </c>
      <c r="P225" s="23"/>
      <c r="Q225" s="23" t="str">
        <f ca="1">IFERROR(__xludf.DUMMYFUNCTION("""COMPUTED_VALUE"""),"10/02/2025")</f>
        <v>10/02/2025</v>
      </c>
      <c r="R225" s="23" t="str">
        <f ca="1">IFERROR(__xludf.DUMMYFUNCTION("""COMPUTED_VALUE"""),"cam kết")</f>
        <v>cam kết</v>
      </c>
      <c r="S225" s="23" t="str">
        <f ca="1">IFERROR(__xludf.DUMMYFUNCTION("""COMPUTED_VALUE"""),"Chuyên đề")</f>
        <v>Chuyên đề</v>
      </c>
      <c r="T225" s="23" t="str">
        <f ca="1">IFERROR(__xludf.DUMMYFUNCTION("""COMPUTED_VALUE"""),"Trần Hoàng Anh")</f>
        <v>Trần Hoàng Anh</v>
      </c>
      <c r="U225" s="27">
        <f ca="1">IFERROR(__xludf.DUMMYFUNCTION("""COMPUTED_VALUE"""),45698)</f>
        <v>45698</v>
      </c>
      <c r="V225" s="27">
        <f ca="1">IFERROR(__xludf.DUMMYFUNCTION("""COMPUTED_VALUE"""),45787)</f>
        <v>45787</v>
      </c>
      <c r="W225" s="23">
        <f ca="1">IFERROR(__xludf.DUMMYFUNCTION("""COMPUTED_VALUE"""),224)</f>
        <v>224</v>
      </c>
      <c r="X225" s="28">
        <f ca="1">IFERROR(__xludf.DUMMYFUNCTION("""COMPUTED_VALUE"""),45963)</f>
        <v>45963</v>
      </c>
      <c r="Y225" s="23" t="str">
        <f ca="1">IFERROR(__xludf.DUMMYFUNCTION("""COMPUTED_VALUE"""),"DUYỆT")</f>
        <v>DUYỆT</v>
      </c>
      <c r="Z225" s="28">
        <f ca="1">IFERROR(__xludf.DUMMYFUNCTION("""COMPUTED_VALUE"""),45932)</f>
        <v>45932</v>
      </c>
      <c r="AA225" s="23" t="str">
        <f ca="1">IFERROR(__xludf.DUMMYFUNCTION("""COMPUTED_VALUE"""),"Paracel Danang Hotel")</f>
        <v>Paracel Danang Hotel</v>
      </c>
      <c r="AB225" s="23" t="str">
        <f ca="1">IFERROR(__xludf.DUMMYFUNCTION("""COMPUTED_VALUE"""),"Bếp")</f>
        <v>Bếp</v>
      </c>
      <c r="AC225" s="23"/>
      <c r="AD225" s="23"/>
      <c r="AE225" s="23" t="str">
        <f ca="1">IFERROR(__xludf.DUMMYFUNCTION("""COMPUTED_VALUE"""),"")</f>
        <v/>
      </c>
      <c r="AF225" s="23" t="str">
        <f ca="1">IFERROR(__xludf.DUMMYFUNCTION("""COMPUTED_VALUE"""),"CHUYÊN ĐỀ")</f>
        <v>CHUYÊN ĐỀ</v>
      </c>
      <c r="AG225" s="23" t="str">
        <f ca="1">IFERROR(__xludf.DUMMYFUNCTION("""COMPUTED_VALUE"""),"Phan Thị Hồng Hải")</f>
        <v>Phan Thị Hồng Hải</v>
      </c>
    </row>
    <row r="226" spans="1:33" ht="12.75" x14ac:dyDescent="0.2">
      <c r="A226" s="26">
        <f ca="1">IFERROR(__xludf.DUMMYFUNCTION("""COMPUTED_VALUE"""),45701.4095029745)</f>
        <v>45701.4095029745</v>
      </c>
      <c r="B226" s="23" t="str">
        <f ca="1">IFERROR(__xludf.DUMMYFUNCTION("""COMPUTED_VALUE"""),"hongdan227@gmail.com")</f>
        <v>hongdan227@gmail.com</v>
      </c>
      <c r="C226" s="23">
        <f ca="1">IFERROR(__xludf.DUMMYFUNCTION("""COMPUTED_VALUE"""),26217135049)</f>
        <v>26217135049</v>
      </c>
      <c r="D226" s="23" t="str">
        <f ca="1">IFERROR(__xludf.DUMMYFUNCTION("""COMPUTED_VALUE"""),"Lê Hồng Dân ")</f>
        <v xml:space="preserve">Lê Hồng Dân </v>
      </c>
      <c r="E226" s="27">
        <f ca="1">IFERROR(__xludf.DUMMYFUNCTION("""COMPUTED_VALUE"""),37459)</f>
        <v>37459</v>
      </c>
      <c r="F226" s="23" t="str">
        <f ca="1">IFERROR(__xludf.DUMMYFUNCTION("""COMPUTED_VALUE"""),"K26DLK5")</f>
        <v>K26DLK5</v>
      </c>
      <c r="G226" s="23" t="str">
        <f ca="1">IFERROR(__xludf.DUMMYFUNCTION("""COMPUTED_VALUE"""),"Quản trị Du lịch &amp; Khách sạn")</f>
        <v>Quản trị Du lịch &amp; Khách sạn</v>
      </c>
      <c r="H226" s="23">
        <f ca="1">IFERROR(__xludf.DUMMYFUNCTION("""COMPUTED_VALUE"""),26)</f>
        <v>26</v>
      </c>
      <c r="I226" s="23" t="str">
        <f ca="1">IFERROR(__xludf.DUMMYFUNCTION("""COMPUTED_VALUE"""),"0366904742")</f>
        <v>0366904742</v>
      </c>
      <c r="J226" s="23" t="str">
        <f ca="1">IFERROR(__xludf.DUMMYFUNCTION("""COMPUTED_VALUE"""),"Chuyên đề")</f>
        <v>Chuyên đề</v>
      </c>
      <c r="K226" s="23" t="str">
        <f ca="1">IFERROR(__xludf.DUMMYFUNCTION("""COMPUTED_VALUE"""),"Royal Lotus Hotel Danang")</f>
        <v>Royal Lotus Hotel Danang</v>
      </c>
      <c r="L226" s="23"/>
      <c r="M226" s="23" t="str">
        <f ca="1">IFERROR(__xludf.DUMMYFUNCTION("""COMPUTED_VALUE"""),"120A Nguyễn Văn Thoại, Ngũ Hành Sơn, Đà Nẵng")</f>
        <v>120A Nguyễn Văn Thoại, Ngũ Hành Sơn, Đà Nẵng</v>
      </c>
      <c r="N226" s="23" t="str">
        <f ca="1">IFERROR(__xludf.DUMMYFUNCTION("""COMPUTED_VALUE"""),"Đà Nẵng ")</f>
        <v xml:space="preserve">Đà Nẵng </v>
      </c>
      <c r="O226" s="23" t="str">
        <f ca="1">IFERROR(__xludf.DUMMYFUNCTION("""COMPUTED_VALUE"""),"Nhà hàng")</f>
        <v>Nhà hàng</v>
      </c>
      <c r="P226" s="23"/>
      <c r="Q226" s="23" t="str">
        <f ca="1">IFERROR(__xludf.DUMMYFUNCTION("""COMPUTED_VALUE"""),"10/2/2025")</f>
        <v>10/2/2025</v>
      </c>
      <c r="R226" s="23" t="str">
        <f ca="1">IFERROR(__xludf.DUMMYFUNCTION("""COMPUTED_VALUE"""),"cam kết")</f>
        <v>cam kết</v>
      </c>
      <c r="S226" s="23" t="str">
        <f ca="1">IFERROR(__xludf.DUMMYFUNCTION("""COMPUTED_VALUE"""),"Chuyên đề")</f>
        <v>Chuyên đề</v>
      </c>
      <c r="T226" s="23"/>
      <c r="U226" s="27">
        <f ca="1">IFERROR(__xludf.DUMMYFUNCTION("""COMPUTED_VALUE"""),45698)</f>
        <v>45698</v>
      </c>
      <c r="V226" s="27">
        <f ca="1">IFERROR(__xludf.DUMMYFUNCTION("""COMPUTED_VALUE"""),45787)</f>
        <v>45787</v>
      </c>
      <c r="W226" s="23">
        <f ca="1">IFERROR(__xludf.DUMMYFUNCTION("""COMPUTED_VALUE"""),225)</f>
        <v>225</v>
      </c>
      <c r="X226" s="23" t="str">
        <f ca="1">IFERROR(__xludf.DUMMYFUNCTION("""COMPUTED_VALUE"""),"17/02/2025")</f>
        <v>17/02/2025</v>
      </c>
      <c r="Y226" s="23" t="str">
        <f ca="1">IFERROR(__xludf.DUMMYFUNCTION("""COMPUTED_VALUE"""),"DUYỆT")</f>
        <v>DUYỆT</v>
      </c>
      <c r="Z226" s="23" t="str">
        <f ca="1">IFERROR(__xludf.DUMMYFUNCTION("""COMPUTED_VALUE"""),"13/02/2025")</f>
        <v>13/02/2025</v>
      </c>
      <c r="AA226" s="23" t="str">
        <f ca="1">IFERROR(__xludf.DUMMYFUNCTION("""COMPUTED_VALUE"""),"Royal Lotus Hotel Danang")</f>
        <v>Royal Lotus Hotel Danang</v>
      </c>
      <c r="AB226" s="23" t="str">
        <f ca="1">IFERROR(__xludf.DUMMYFUNCTION("""COMPUTED_VALUE"""),"Nhà hàng")</f>
        <v>Nhà hàng</v>
      </c>
      <c r="AC226" s="23" t="str">
        <f ca="1">IFERROR(__xludf.DUMMYFUNCTION("""COMPUTED_VALUE"""),"ĐÃ NỘP")</f>
        <v>ĐÃ NỘP</v>
      </c>
      <c r="AD226" s="23"/>
      <c r="AE226" s="23" t="str">
        <f ca="1">IFERROR(__xludf.DUMMYFUNCTION("""COMPUTED_VALUE"""),"")</f>
        <v/>
      </c>
      <c r="AF226" s="23" t="str">
        <f ca="1">IFERROR(__xludf.DUMMYFUNCTION("""COMPUTED_VALUE"""),"CHUYÊN ĐỀ")</f>
        <v>CHUYÊN ĐỀ</v>
      </c>
      <c r="AG226" s="23" t="str">
        <f ca="1">IFERROR(__xludf.DUMMYFUNCTION("""COMPUTED_VALUE"""),"Huỳnh Lý Thùy Linh")</f>
        <v>Huỳnh Lý Thùy Linh</v>
      </c>
    </row>
    <row r="227" spans="1:33" ht="12.75" x14ac:dyDescent="0.2">
      <c r="A227" s="26">
        <f ca="1">IFERROR(__xludf.DUMMYFUNCTION("""COMPUTED_VALUE"""),45698.65589)</f>
        <v>45698.655890000002</v>
      </c>
      <c r="B227" s="23" t="str">
        <f ca="1">IFERROR(__xludf.DUMMYFUNCTION("""COMPUTED_VALUE"""),"lethihoaimy123@gmail.com")</f>
        <v>lethihoaimy123@gmail.com</v>
      </c>
      <c r="C227" s="23">
        <f ca="1">IFERROR(__xludf.DUMMYFUNCTION("""COMPUTED_VALUE"""),27207125326)</f>
        <v>27207125326</v>
      </c>
      <c r="D227" s="23" t="str">
        <f ca="1">IFERROR(__xludf.DUMMYFUNCTION("""COMPUTED_VALUE"""),"Lê Thị Hoài My")</f>
        <v>Lê Thị Hoài My</v>
      </c>
      <c r="E227" s="27">
        <f ca="1">IFERROR(__xludf.DUMMYFUNCTION("""COMPUTED_VALUE"""),37718)</f>
        <v>37718</v>
      </c>
      <c r="F227" s="23" t="str">
        <f ca="1">IFERROR(__xludf.DUMMYFUNCTION("""COMPUTED_VALUE"""),"K27DLK4")</f>
        <v>K27DLK4</v>
      </c>
      <c r="G227" s="23" t="str">
        <f ca="1">IFERROR(__xludf.DUMMYFUNCTION("""COMPUTED_VALUE"""),"Quản trị Du lịch &amp; Khách sạn")</f>
        <v>Quản trị Du lịch &amp; Khách sạn</v>
      </c>
      <c r="H227" s="23">
        <f ca="1">IFERROR(__xludf.DUMMYFUNCTION("""COMPUTED_VALUE"""),27)</f>
        <v>27</v>
      </c>
      <c r="I227" s="23" t="str">
        <f ca="1">IFERROR(__xludf.DUMMYFUNCTION("""COMPUTED_VALUE"""),"0348109804")</f>
        <v>0348109804</v>
      </c>
      <c r="J227" s="23" t="str">
        <f ca="1">IFERROR(__xludf.DUMMYFUNCTION("""COMPUTED_VALUE"""),"Chuyên đề")</f>
        <v>Chuyên đề</v>
      </c>
      <c r="K227" s="23" t="str">
        <f ca="1">IFERROR(__xludf.DUMMYFUNCTION("""COMPUTED_VALUE"""),"Cicilia Hotel &amp; Spa")</f>
        <v>Cicilia Hotel &amp; Spa</v>
      </c>
      <c r="L227" s="23"/>
      <c r="M227" s="23" t="str">
        <f ca="1">IFERROR(__xludf.DUMMYFUNCTION("""COMPUTED_VALUE"""),"6-8-10 đường Đỗ Bá, Phường Mỹ An, Quận Ngũ Hành Sơn, Thành phố Đà Nẵng ")</f>
        <v xml:space="preserve">6-8-10 đường Đỗ Bá, Phường Mỹ An, Quận Ngũ Hành Sơn, Thành phố Đà Nẵng </v>
      </c>
      <c r="N227" s="23" t="str">
        <f ca="1">IFERROR(__xludf.DUMMYFUNCTION("""COMPUTED_VALUE"""),"Đà Nẵng")</f>
        <v>Đà Nẵng</v>
      </c>
      <c r="O227" s="23" t="str">
        <f ca="1">IFERROR(__xludf.DUMMYFUNCTION("""COMPUTED_VALUE"""),"Nhân sự")</f>
        <v>Nhân sự</v>
      </c>
      <c r="P227" s="23"/>
      <c r="Q227" s="23" t="str">
        <f ca="1">IFERROR(__xludf.DUMMYFUNCTION("""COMPUTED_VALUE"""),"10/02/2025")</f>
        <v>10/02/2025</v>
      </c>
      <c r="R227" s="23" t="str">
        <f ca="1">IFERROR(__xludf.DUMMYFUNCTION("""COMPUTED_VALUE"""),"cam kết")</f>
        <v>cam kết</v>
      </c>
      <c r="S227" s="23" t="str">
        <f ca="1">IFERROR(__xludf.DUMMYFUNCTION("""COMPUTED_VALUE"""),"Chuyên đề")</f>
        <v>Chuyên đề</v>
      </c>
      <c r="T227" s="23"/>
      <c r="U227" s="27">
        <f ca="1">IFERROR(__xludf.DUMMYFUNCTION("""COMPUTED_VALUE"""),45694)</f>
        <v>45694</v>
      </c>
      <c r="V227" s="27">
        <f ca="1">IFERROR(__xludf.DUMMYFUNCTION("""COMPUTED_VALUE"""),45787)</f>
        <v>45787</v>
      </c>
      <c r="W227" s="23">
        <f ca="1">IFERROR(__xludf.DUMMYFUNCTION("""COMPUTED_VALUE"""),226)</f>
        <v>226</v>
      </c>
      <c r="X227" s="28">
        <f ca="1">IFERROR(__xludf.DUMMYFUNCTION("""COMPUTED_VALUE"""),45932)</f>
        <v>45932</v>
      </c>
      <c r="Y227" s="23" t="str">
        <f ca="1">IFERROR(__xludf.DUMMYFUNCTION("""COMPUTED_VALUE"""),"DUYỆT")</f>
        <v>DUYỆT</v>
      </c>
      <c r="Z227" s="28">
        <f ca="1">IFERROR(__xludf.DUMMYFUNCTION("""COMPUTED_VALUE"""),45932)</f>
        <v>45932</v>
      </c>
      <c r="AA227" s="23" t="str">
        <f ca="1">IFERROR(__xludf.DUMMYFUNCTION("""COMPUTED_VALUE"""),"Cicilia Hotel &amp; Spa")</f>
        <v>Cicilia Hotel &amp; Spa</v>
      </c>
      <c r="AB227" s="23" t="str">
        <f ca="1">IFERROR(__xludf.DUMMYFUNCTION("""COMPUTED_VALUE"""),"Nhân sự")</f>
        <v>Nhân sự</v>
      </c>
      <c r="AC227" s="23"/>
      <c r="AD227" s="23"/>
      <c r="AE227" s="23" t="str">
        <f ca="1">IFERROR(__xludf.DUMMYFUNCTION("""COMPUTED_VALUE"""),"")</f>
        <v/>
      </c>
      <c r="AF227" s="23" t="str">
        <f ca="1">IFERROR(__xludf.DUMMYFUNCTION("""COMPUTED_VALUE"""),"CHUYÊN ĐỀ")</f>
        <v>CHUYÊN ĐỀ</v>
      </c>
      <c r="AG227" s="23" t="str">
        <f ca="1">IFERROR(__xludf.DUMMYFUNCTION("""COMPUTED_VALUE"""),"Hồ Sử Minh Tài")</f>
        <v>Hồ Sử Minh Tài</v>
      </c>
    </row>
    <row r="228" spans="1:33" ht="12.75" x14ac:dyDescent="0.2">
      <c r="A228" s="26">
        <f ca="1">IFERROR(__xludf.DUMMYFUNCTION("""COMPUTED_VALUE"""),45707.6835702893)</f>
        <v>45707.6835702893</v>
      </c>
      <c r="B228" s="23" t="str">
        <f ca="1">IFERROR(__xludf.DUMMYFUNCTION("""COMPUTED_VALUE"""),"trinhthiaithuong2000@gmail.com")</f>
        <v>trinhthiaithuong2000@gmail.com</v>
      </c>
      <c r="C228" s="23">
        <f ca="1">IFERROR(__xludf.DUMMYFUNCTION("""COMPUTED_VALUE"""),24207201291)</f>
        <v>24207201291</v>
      </c>
      <c r="D228" s="23" t="str">
        <f ca="1">IFERROR(__xludf.DUMMYFUNCTION("""COMPUTED_VALUE"""),"Trịnh Thị Ý Thương")</f>
        <v>Trịnh Thị Ý Thương</v>
      </c>
      <c r="E228" s="27">
        <f ca="1">IFERROR(__xludf.DUMMYFUNCTION("""COMPUTED_VALUE"""),36715)</f>
        <v>36715</v>
      </c>
      <c r="F228" s="23" t="str">
        <f ca="1">IFERROR(__xludf.DUMMYFUNCTION("""COMPUTED_VALUE"""),"K24PSUDLH")</f>
        <v>K24PSUDLH</v>
      </c>
      <c r="G228" s="23" t="str">
        <f ca="1">IFERROR(__xludf.DUMMYFUNCTION("""COMPUTED_VALUE"""),"Quản trị Du lịch &amp; Nhà hàng chuẩn PSU")</f>
        <v>Quản trị Du lịch &amp; Nhà hàng chuẩn PSU</v>
      </c>
      <c r="H228" s="23">
        <f ca="1">IFERROR(__xludf.DUMMYFUNCTION("""COMPUTED_VALUE"""),24)</f>
        <v>24</v>
      </c>
      <c r="I228" s="23" t="str">
        <f ca="1">IFERROR(__xludf.DUMMYFUNCTION("""COMPUTED_VALUE"""),"0967611154")</f>
        <v>0967611154</v>
      </c>
      <c r="J228" s="23" t="str">
        <f ca="1">IFERROR(__xludf.DUMMYFUNCTION("""COMPUTED_VALUE"""),"Khóa luận")</f>
        <v>Khóa luận</v>
      </c>
      <c r="K228" s="23" t="str">
        <f ca="1">IFERROR(__xludf.DUMMYFUNCTION("""COMPUTED_VALUE"""),"Renaissance Hoi An Resort &amp; Spa")</f>
        <v>Renaissance Hoi An Resort &amp; Spa</v>
      </c>
      <c r="L228" s="23" t="str">
        <f ca="1">IFERROR(__xludf.DUMMYFUNCTION("""COMPUTED_VALUE"""),"RENAISSANCE HOI AN RESORT &amp; SPA")</f>
        <v>RENAISSANCE HOI AN RESORT &amp; SPA</v>
      </c>
      <c r="M228" s="23" t="str">
        <f ca="1">IFERROR(__xludf.DUMMYFUNCTION("""COMPUTED_VALUE"""),"377 cửa đại, Cẩm Châu, Hội An, Quảng Nam")</f>
        <v>377 cửa đại, Cẩm Châu, Hội An, Quảng Nam</v>
      </c>
      <c r="N228" s="23" t="str">
        <f ca="1">IFERROR(__xludf.DUMMYFUNCTION("""COMPUTED_VALUE"""),"Quảng Nam")</f>
        <v>Quảng Nam</v>
      </c>
      <c r="O228" s="23" t="str">
        <f ca="1">IFERROR(__xludf.DUMMYFUNCTION("""COMPUTED_VALUE"""),"Nhà hàng")</f>
        <v>Nhà hàng</v>
      </c>
      <c r="P228" s="23"/>
      <c r="Q228" s="23" t="str">
        <f ca="1">IFERROR(__xludf.DUMMYFUNCTION("""COMPUTED_VALUE"""),"Ngày 10/3/2025")</f>
        <v>Ngày 10/3/2025</v>
      </c>
      <c r="R228" s="23" t="str">
        <f ca="1">IFERROR(__xludf.DUMMYFUNCTION("""COMPUTED_VALUE"""),"cam kết")</f>
        <v>cam kết</v>
      </c>
      <c r="S228" s="23" t="str">
        <f ca="1">IFERROR(__xludf.DUMMYFUNCTION("""COMPUTED_VALUE"""),"Khóa luận")</f>
        <v>Khóa luận</v>
      </c>
      <c r="T228" s="23"/>
      <c r="U228" s="27">
        <f ca="1">IFERROR(__xludf.DUMMYFUNCTION("""COMPUTED_VALUE"""),45726)</f>
        <v>45726</v>
      </c>
      <c r="V228" s="27">
        <f ca="1">IFERROR(__xludf.DUMMYFUNCTION("""COMPUTED_VALUE"""),45818)</f>
        <v>45818</v>
      </c>
      <c r="W228" s="23">
        <f ca="1">IFERROR(__xludf.DUMMYFUNCTION("""COMPUTED_VALUE"""),227)</f>
        <v>227</v>
      </c>
      <c r="X228" s="23"/>
      <c r="Y228" s="23" t="str">
        <f ca="1">IFERROR(__xludf.DUMMYFUNCTION("""COMPUTED_VALUE"""),"DUYỆT")</f>
        <v>DUYỆT</v>
      </c>
      <c r="Z228" s="23" t="str">
        <f ca="1">IFERROR(__xludf.DUMMYFUNCTION("""COMPUTED_VALUE"""),"20/02/2025")</f>
        <v>20/02/2025</v>
      </c>
      <c r="AA228" s="23" t="str">
        <f ca="1">IFERROR(__xludf.DUMMYFUNCTION("""COMPUTED_VALUE"""),"Renaissance Hoi An Resort &amp; Spa")</f>
        <v>Renaissance Hoi An Resort &amp; Spa</v>
      </c>
      <c r="AB228" s="23" t="str">
        <f ca="1">IFERROR(__xludf.DUMMYFUNCTION("""COMPUTED_VALUE"""),"Nhà hàng")</f>
        <v>Nhà hàng</v>
      </c>
      <c r="AC228" s="23" t="str">
        <f ca="1">IFERROR(__xludf.DUMMYFUNCTION("""COMPUTED_VALUE"""),"ĐÃ NỘP")</f>
        <v>ĐÃ NỘP</v>
      </c>
      <c r="AD228" s="23"/>
      <c r="AE228" s="23" t="str">
        <f ca="1">IFERROR(__xludf.DUMMYFUNCTION("""COMPUTED_VALUE"""),"")</f>
        <v/>
      </c>
      <c r="AF228" s="23" t="str">
        <f ca="1">IFERROR(__xludf.DUMMYFUNCTION("""COMPUTED_VALUE"""),"KHÓA LUẬN")</f>
        <v>KHÓA LUẬN</v>
      </c>
      <c r="AG228" s="23" t="str">
        <f ca="1">IFERROR(__xludf.DUMMYFUNCTION("""COMPUTED_VALUE"""),"Dương Thị Xuân Diệu")</f>
        <v>Dương Thị Xuân Diệu</v>
      </c>
    </row>
    <row r="229" spans="1:33" ht="12.75" x14ac:dyDescent="0.2">
      <c r="A229" s="26">
        <f ca="1">IFERROR(__xludf.DUMMYFUNCTION("""COMPUTED_VALUE"""),45698.6936950463)</f>
        <v>45698.693695046299</v>
      </c>
      <c r="B229" s="23" t="str">
        <f ca="1">IFERROR(__xludf.DUMMYFUNCTION("""COMPUTED_VALUE"""),"giang186asd@gmail.com")</f>
        <v>giang186asd@gmail.com</v>
      </c>
      <c r="C229" s="23">
        <f ca="1">IFERROR(__xludf.DUMMYFUNCTION("""COMPUTED_VALUE"""),27207140437)</f>
        <v>27207140437</v>
      </c>
      <c r="D229" s="23" t="str">
        <f ca="1">IFERROR(__xludf.DUMMYFUNCTION("""COMPUTED_VALUE"""),"Huỳnh Phạm Hương Giang ")</f>
        <v xml:space="preserve">Huỳnh Phạm Hương Giang </v>
      </c>
      <c r="E229" s="27">
        <f ca="1">IFERROR(__xludf.DUMMYFUNCTION("""COMPUTED_VALUE"""),37790)</f>
        <v>37790</v>
      </c>
      <c r="F229" s="23" t="str">
        <f ca="1">IFERROR(__xludf.DUMMYFUNCTION("""COMPUTED_VALUE"""),"K27DLK3")</f>
        <v>K27DLK3</v>
      </c>
      <c r="G229" s="23" t="str">
        <f ca="1">IFERROR(__xludf.DUMMYFUNCTION("""COMPUTED_VALUE"""),"Quản trị Du lịch &amp; Khách sạn")</f>
        <v>Quản trị Du lịch &amp; Khách sạn</v>
      </c>
      <c r="H229" s="23">
        <f ca="1">IFERROR(__xludf.DUMMYFUNCTION("""COMPUTED_VALUE"""),27)</f>
        <v>27</v>
      </c>
      <c r="I229" s="23" t="str">
        <f ca="1">IFERROR(__xludf.DUMMYFUNCTION("""COMPUTED_VALUE"""),"0708010637")</f>
        <v>0708010637</v>
      </c>
      <c r="J229" s="23" t="str">
        <f ca="1">IFERROR(__xludf.DUMMYFUNCTION("""COMPUTED_VALUE"""),"Chuyên đề")</f>
        <v>Chuyên đề</v>
      </c>
      <c r="K229" s="23" t="str">
        <f ca="1">IFERROR(__xludf.DUMMYFUNCTION("""COMPUTED_VALUE"""),"Chicland Hotel")</f>
        <v>Chicland Hotel</v>
      </c>
      <c r="L229" s="23"/>
      <c r="M229" s="23" t="str">
        <f ca="1">IFERROR(__xludf.DUMMYFUNCTION("""COMPUTED_VALUE"""),"210 Võ Nguyên Giáp, Phước Mỹ, Sơn Trà, Đà Nẵng ")</f>
        <v xml:space="preserve">210 Võ Nguyên Giáp, Phước Mỹ, Sơn Trà, Đà Nẵng </v>
      </c>
      <c r="N229" s="23" t="str">
        <f ca="1">IFERROR(__xludf.DUMMYFUNCTION("""COMPUTED_VALUE"""),"Đà Nẵng")</f>
        <v>Đà Nẵng</v>
      </c>
      <c r="O229" s="23" t="str">
        <f ca="1">IFERROR(__xludf.DUMMYFUNCTION("""COMPUTED_VALUE"""),"Nhà hàng")</f>
        <v>Nhà hàng</v>
      </c>
      <c r="P229" s="23"/>
      <c r="Q229" s="23" t="str">
        <f ca="1">IFERROR(__xludf.DUMMYFUNCTION("""COMPUTED_VALUE"""),"10/02/2025")</f>
        <v>10/02/2025</v>
      </c>
      <c r="R229" s="23" t="str">
        <f ca="1">IFERROR(__xludf.DUMMYFUNCTION("""COMPUTED_VALUE"""),"cam kết")</f>
        <v>cam kết</v>
      </c>
      <c r="S229" s="23" t="str">
        <f ca="1">IFERROR(__xludf.DUMMYFUNCTION("""COMPUTED_VALUE"""),"Chuyên đề")</f>
        <v>Chuyên đề</v>
      </c>
      <c r="T229" s="23"/>
      <c r="U229" s="27">
        <f ca="1">IFERROR(__xludf.DUMMYFUNCTION("""COMPUTED_VALUE"""),45698)</f>
        <v>45698</v>
      </c>
      <c r="V229" s="27">
        <f ca="1">IFERROR(__xludf.DUMMYFUNCTION("""COMPUTED_VALUE"""),45787)</f>
        <v>45787</v>
      </c>
      <c r="W229" s="23">
        <f ca="1">IFERROR(__xludf.DUMMYFUNCTION("""COMPUTED_VALUE"""),228)</f>
        <v>228</v>
      </c>
      <c r="X229" s="28">
        <f ca="1">IFERROR(__xludf.DUMMYFUNCTION("""COMPUTED_VALUE"""),45963)</f>
        <v>45963</v>
      </c>
      <c r="Y229" s="23" t="str">
        <f ca="1">IFERROR(__xludf.DUMMYFUNCTION("""COMPUTED_VALUE"""),"DUYỆT")</f>
        <v>DUYỆT</v>
      </c>
      <c r="Z229" s="28">
        <f ca="1">IFERROR(__xludf.DUMMYFUNCTION("""COMPUTED_VALUE"""),45932)</f>
        <v>45932</v>
      </c>
      <c r="AA229" s="23" t="str">
        <f ca="1">IFERROR(__xludf.DUMMYFUNCTION("""COMPUTED_VALUE"""),"Chicland Hotel")</f>
        <v>Chicland Hotel</v>
      </c>
      <c r="AB229" s="23" t="str">
        <f ca="1">IFERROR(__xludf.DUMMYFUNCTION("""COMPUTED_VALUE"""),"Nhà hàng")</f>
        <v>Nhà hàng</v>
      </c>
      <c r="AC229" s="23"/>
      <c r="AD229" s="23"/>
      <c r="AE229" s="23" t="str">
        <f ca="1">IFERROR(__xludf.DUMMYFUNCTION("""COMPUTED_VALUE"""),"")</f>
        <v/>
      </c>
      <c r="AF229" s="23" t="str">
        <f ca="1">IFERROR(__xludf.DUMMYFUNCTION("""COMPUTED_VALUE"""),"CHUYÊN ĐỀ")</f>
        <v>CHUYÊN ĐỀ</v>
      </c>
      <c r="AG229" s="23" t="str">
        <f ca="1">IFERROR(__xludf.DUMMYFUNCTION("""COMPUTED_VALUE"""),"Phạm Thị Thu Thủy")</f>
        <v>Phạm Thị Thu Thủy</v>
      </c>
    </row>
    <row r="230" spans="1:33" ht="12.75" x14ac:dyDescent="0.2">
      <c r="A230" s="26">
        <f ca="1">IFERROR(__xludf.DUMMYFUNCTION("""COMPUTED_VALUE"""),45698.7405780208)</f>
        <v>45698.740578020799</v>
      </c>
      <c r="B230" s="23" t="str">
        <f ca="1">IFERROR(__xludf.DUMMYFUNCTION("""COMPUTED_VALUE"""),"nguyenhaphong04052002@gmail.com")</f>
        <v>nguyenhaphong04052002@gmail.com</v>
      </c>
      <c r="C230" s="23">
        <f ca="1">IFERROR(__xludf.DUMMYFUNCTION("""COMPUTED_VALUE"""),26217125462)</f>
        <v>26217125462</v>
      </c>
      <c r="D230" s="23" t="str">
        <f ca="1">IFERROR(__xludf.DUMMYFUNCTION("""COMPUTED_VALUE"""),"Nguyễn Hà Phong")</f>
        <v>Nguyễn Hà Phong</v>
      </c>
      <c r="E230" s="27">
        <f ca="1">IFERROR(__xludf.DUMMYFUNCTION("""COMPUTED_VALUE"""),37380)</f>
        <v>37380</v>
      </c>
      <c r="F230" s="23" t="str">
        <f ca="1">IFERROR(__xludf.DUMMYFUNCTION("""COMPUTED_VALUE"""),"K26DLK1")</f>
        <v>K26DLK1</v>
      </c>
      <c r="G230" s="23" t="str">
        <f ca="1">IFERROR(__xludf.DUMMYFUNCTION("""COMPUTED_VALUE"""),"Quản trị Du lịch &amp; Khách sạn chuẩn PSU")</f>
        <v>Quản trị Du lịch &amp; Khách sạn chuẩn PSU</v>
      </c>
      <c r="H230" s="23">
        <f ca="1">IFERROR(__xludf.DUMMYFUNCTION("""COMPUTED_VALUE"""),26)</f>
        <v>26</v>
      </c>
      <c r="I230" s="23" t="str">
        <f ca="1">IFERROR(__xludf.DUMMYFUNCTION("""COMPUTED_VALUE"""),"0923385166")</f>
        <v>0923385166</v>
      </c>
      <c r="J230" s="23" t="str">
        <f ca="1">IFERROR(__xludf.DUMMYFUNCTION("""COMPUTED_VALUE"""),"Chuyên đề")</f>
        <v>Chuyên đề</v>
      </c>
      <c r="K230" s="23" t="str">
        <f ca="1">IFERROR(__xludf.DUMMYFUNCTION("""COMPUTED_VALUE"""),"Meliá Danang Beach Resort")</f>
        <v>Meliá Danang Beach Resort</v>
      </c>
      <c r="L230" s="23" t="str">
        <f ca="1">IFERROR(__xludf.DUMMYFUNCTION("""COMPUTED_VALUE"""),"Meliá Danang Beach Resort")</f>
        <v>Meliá Danang Beach Resort</v>
      </c>
      <c r="M230" s="23" t="str">
        <f ca="1">IFERROR(__xludf.DUMMYFUNCTION("""COMPUTED_VALUE"""),"19 Trường Sa, Hoà Hải, Ngũ Hành Sơn, Đà Nẵng")</f>
        <v>19 Trường Sa, Hoà Hải, Ngũ Hành Sơn, Đà Nẵng</v>
      </c>
      <c r="N230" s="23" t="str">
        <f ca="1">IFERROR(__xludf.DUMMYFUNCTION("""COMPUTED_VALUE"""),"Đà Nẵng")</f>
        <v>Đà Nẵng</v>
      </c>
      <c r="O230" s="23" t="str">
        <f ca="1">IFERROR(__xludf.DUMMYFUNCTION("""COMPUTED_VALUE"""),"Tiền sảnh")</f>
        <v>Tiền sảnh</v>
      </c>
      <c r="P230" s="23"/>
      <c r="Q230" s="23" t="str">
        <f ca="1">IFERROR(__xludf.DUMMYFUNCTION("""COMPUTED_VALUE"""),"10/02/2025")</f>
        <v>10/02/2025</v>
      </c>
      <c r="R230" s="23" t="str">
        <f ca="1">IFERROR(__xludf.DUMMYFUNCTION("""COMPUTED_VALUE"""),"cam kết")</f>
        <v>cam kết</v>
      </c>
      <c r="S230" s="23" t="str">
        <f ca="1">IFERROR(__xludf.DUMMYFUNCTION("""COMPUTED_VALUE"""),"Chuyên đề")</f>
        <v>Chuyên đề</v>
      </c>
      <c r="T230" s="23"/>
      <c r="U230" s="27">
        <f ca="1">IFERROR(__xludf.DUMMYFUNCTION("""COMPUTED_VALUE"""),45698)</f>
        <v>45698</v>
      </c>
      <c r="V230" s="27">
        <f ca="1">IFERROR(__xludf.DUMMYFUNCTION("""COMPUTED_VALUE"""),45787)</f>
        <v>45787</v>
      </c>
      <c r="W230" s="23">
        <f ca="1">IFERROR(__xludf.DUMMYFUNCTION("""COMPUTED_VALUE"""),229)</f>
        <v>229</v>
      </c>
      <c r="X230" s="28">
        <f ca="1">IFERROR(__xludf.DUMMYFUNCTION("""COMPUTED_VALUE"""),45963)</f>
        <v>45963</v>
      </c>
      <c r="Y230" s="23" t="str">
        <f ca="1">IFERROR(__xludf.DUMMYFUNCTION("""COMPUTED_VALUE"""),"DUYỆT")</f>
        <v>DUYỆT</v>
      </c>
      <c r="Z230" s="28">
        <f ca="1">IFERROR(__xludf.DUMMYFUNCTION("""COMPUTED_VALUE"""),45963)</f>
        <v>45963</v>
      </c>
      <c r="AA230" s="23" t="str">
        <f ca="1">IFERROR(__xludf.DUMMYFUNCTION("""COMPUTED_VALUE"""),"Meliá Danang Beach Resort")</f>
        <v>Meliá Danang Beach Resort</v>
      </c>
      <c r="AB230" s="23" t="str">
        <f ca="1">IFERROR(__xludf.DUMMYFUNCTION("""COMPUTED_VALUE"""),"Tiền sảnh")</f>
        <v>Tiền sảnh</v>
      </c>
      <c r="AC230" s="23" t="str">
        <f ca="1">IFERROR(__xludf.DUMMYFUNCTION("""COMPUTED_VALUE"""),"ĐÃ NỘP")</f>
        <v>ĐÃ NỘP</v>
      </c>
      <c r="AD230" s="23"/>
      <c r="AE230" s="23" t="str">
        <f ca="1">IFERROR(__xludf.DUMMYFUNCTION("""COMPUTED_VALUE"""),"")</f>
        <v/>
      </c>
      <c r="AF230" s="23" t="str">
        <f ca="1">IFERROR(__xludf.DUMMYFUNCTION("""COMPUTED_VALUE"""),"CHUYÊN ĐỀ")</f>
        <v>CHUYÊN ĐỀ</v>
      </c>
      <c r="AG230" s="23" t="str">
        <f ca="1">IFERROR(__xludf.DUMMYFUNCTION("""COMPUTED_VALUE"""),"Bùi Lê Anh Phương")</f>
        <v>Bùi Lê Anh Phương</v>
      </c>
    </row>
    <row r="231" spans="1:33" ht="12.75" x14ac:dyDescent="0.2">
      <c r="A231" s="26">
        <f ca="1">IFERROR(__xludf.DUMMYFUNCTION("""COMPUTED_VALUE"""),45698.7527911574)</f>
        <v>45698.7527911574</v>
      </c>
      <c r="B231" s="23" t="str">
        <f ca="1">IFERROR(__xludf.DUMMYFUNCTION("""COMPUTED_VALUE"""),"chaupham.04022002@gmail.com")</f>
        <v>chaupham.04022002@gmail.com</v>
      </c>
      <c r="C231" s="23">
        <f ca="1">IFERROR(__xludf.DUMMYFUNCTION("""COMPUTED_VALUE"""),26207142039)</f>
        <v>26207142039</v>
      </c>
      <c r="D231" s="23" t="str">
        <f ca="1">IFERROR(__xludf.DUMMYFUNCTION("""COMPUTED_VALUE"""),"Phạm Ngọc Châu")</f>
        <v>Phạm Ngọc Châu</v>
      </c>
      <c r="E231" s="27">
        <f ca="1">IFERROR(__xludf.DUMMYFUNCTION("""COMPUTED_VALUE"""),37291)</f>
        <v>37291</v>
      </c>
      <c r="F231" s="23" t="str">
        <f ca="1">IFERROR(__xludf.DUMMYFUNCTION("""COMPUTED_VALUE"""),"K26 DLK15")</f>
        <v>K26 DLK15</v>
      </c>
      <c r="G231" s="23" t="str">
        <f ca="1">IFERROR(__xludf.DUMMYFUNCTION("""COMPUTED_VALUE"""),"Quản trị Du lịch &amp; Khách sạn")</f>
        <v>Quản trị Du lịch &amp; Khách sạn</v>
      </c>
      <c r="H231" s="23">
        <f ca="1">IFERROR(__xludf.DUMMYFUNCTION("""COMPUTED_VALUE"""),26)</f>
        <v>26</v>
      </c>
      <c r="I231" s="23" t="str">
        <f ca="1">IFERROR(__xludf.DUMMYFUNCTION("""COMPUTED_VALUE"""),"0905851600")</f>
        <v>0905851600</v>
      </c>
      <c r="J231" s="23" t="str">
        <f ca="1">IFERROR(__xludf.DUMMYFUNCTION("""COMPUTED_VALUE"""),"Chuyên đề")</f>
        <v>Chuyên đề</v>
      </c>
      <c r="K231" s="23" t="str">
        <f ca="1">IFERROR(__xludf.DUMMYFUNCTION("""COMPUTED_VALUE"""),"ÊMM Hotel Hoi An")</f>
        <v>ÊMM Hotel Hoi An</v>
      </c>
      <c r="L231" s="23" t="str">
        <f ca="1">IFERROR(__xludf.DUMMYFUNCTION("""COMPUTED_VALUE"""),"ÊMM Hotel Hoi An")</f>
        <v>ÊMM Hotel Hoi An</v>
      </c>
      <c r="M231" s="23" t="str">
        <f ca="1">IFERROR(__xludf.DUMMYFUNCTION("""COMPUTED_VALUE"""),"187 Lý Thường Kiệt")</f>
        <v>187 Lý Thường Kiệt</v>
      </c>
      <c r="N231" s="23" t="str">
        <f ca="1">IFERROR(__xludf.DUMMYFUNCTION("""COMPUTED_VALUE"""),"Hội An")</f>
        <v>Hội An</v>
      </c>
      <c r="O231" s="23" t="str">
        <f ca="1">IFERROR(__xludf.DUMMYFUNCTION("""COMPUTED_VALUE"""),"Buồng phòng")</f>
        <v>Buồng phòng</v>
      </c>
      <c r="P231" s="23"/>
      <c r="Q231" s="23" t="str">
        <f ca="1">IFERROR(__xludf.DUMMYFUNCTION("""COMPUTED_VALUE"""),"10/02/2025")</f>
        <v>10/02/2025</v>
      </c>
      <c r="R231" s="23" t="str">
        <f ca="1">IFERROR(__xludf.DUMMYFUNCTION("""COMPUTED_VALUE"""),"cam kết")</f>
        <v>cam kết</v>
      </c>
      <c r="S231" s="23" t="str">
        <f ca="1">IFERROR(__xludf.DUMMYFUNCTION("""COMPUTED_VALUE"""),"Chuyên đề")</f>
        <v>Chuyên đề</v>
      </c>
      <c r="T231" s="23"/>
      <c r="U231" s="27">
        <f ca="1">IFERROR(__xludf.DUMMYFUNCTION("""COMPUTED_VALUE"""),45698)</f>
        <v>45698</v>
      </c>
      <c r="V231" s="27">
        <f ca="1">IFERROR(__xludf.DUMMYFUNCTION("""COMPUTED_VALUE"""),45787)</f>
        <v>45787</v>
      </c>
      <c r="W231" s="23">
        <f ca="1">IFERROR(__xludf.DUMMYFUNCTION("""COMPUTED_VALUE"""),230)</f>
        <v>230</v>
      </c>
      <c r="X231" s="28">
        <f ca="1">IFERROR(__xludf.DUMMYFUNCTION("""COMPUTED_VALUE"""),45963)</f>
        <v>45963</v>
      </c>
      <c r="Y231" s="23" t="str">
        <f ca="1">IFERROR(__xludf.DUMMYFUNCTION("""COMPUTED_VALUE"""),"KHÔNG DUYỆT")</f>
        <v>KHÔNG DUYỆT</v>
      </c>
      <c r="Z231" s="28">
        <f ca="1">IFERROR(__xludf.DUMMYFUNCTION("""COMPUTED_VALUE"""),45963)</f>
        <v>45963</v>
      </c>
      <c r="AA231" s="23" t="str">
        <f ca="1">IFERROR(__xludf.DUMMYFUNCTION("""COMPUTED_VALUE"""),"ÊMM Hotel Hoi An")</f>
        <v>ÊMM Hotel Hoi An</v>
      </c>
      <c r="AB231" s="23" t="str">
        <f ca="1">IFERROR(__xludf.DUMMYFUNCTION("""COMPUTED_VALUE"""),"Buồng phòng")</f>
        <v>Buồng phòng</v>
      </c>
      <c r="AC231" s="23" t="str">
        <f ca="1">IFERROR(__xludf.DUMMYFUNCTION("""COMPUTED_VALUE"""),"ĐÃ NỘP")</f>
        <v>ĐÃ NỘP</v>
      </c>
      <c r="AD231" s="23" t="str">
        <f ca="1">IFERROR(__xludf.DUMMYFUNCTION("""COMPUTED_VALUE"""),"không tìm thấy thông tin tại csdl")</f>
        <v>không tìm thấy thông tin tại csdl</v>
      </c>
      <c r="AE231" s="23" t="str">
        <f ca="1">IFERROR(__xludf.DUMMYFUNCTION("""COMPUTED_VALUE"""),"")</f>
        <v/>
      </c>
      <c r="AF231" s="23" t="str">
        <f ca="1">IFERROR(__xludf.DUMMYFUNCTION("""COMPUTED_VALUE"""),"CHUYÊN ĐỀ")</f>
        <v>CHUYÊN ĐỀ</v>
      </c>
      <c r="AG231" s="23" t="str">
        <f ca="1">IFERROR(__xludf.DUMMYFUNCTION("""COMPUTED_VALUE"""),"Phan Thị Hồng Hải")</f>
        <v>Phan Thị Hồng Hải</v>
      </c>
    </row>
    <row r="232" spans="1:33" ht="12.75" x14ac:dyDescent="0.2">
      <c r="A232" s="26">
        <f ca="1">IFERROR(__xludf.DUMMYFUNCTION("""COMPUTED_VALUE"""),45698.9092854976)</f>
        <v>45698.909285497597</v>
      </c>
      <c r="B232" s="23" t="str">
        <f ca="1">IFERROR(__xludf.DUMMYFUNCTION("""COMPUTED_VALUE"""),"ntpd2703@gmail.com")</f>
        <v>ntpd2703@gmail.com</v>
      </c>
      <c r="C232" s="23">
        <f ca="1">IFERROR(__xludf.DUMMYFUNCTION("""COMPUTED_VALUE"""),27207146213)</f>
        <v>27207146213</v>
      </c>
      <c r="D232" s="23" t="str">
        <f ca="1">IFERROR(__xludf.DUMMYFUNCTION("""COMPUTED_VALUE"""),"Nguyễn Thị Phương Dung")</f>
        <v>Nguyễn Thị Phương Dung</v>
      </c>
      <c r="E232" s="27">
        <f ca="1">IFERROR(__xludf.DUMMYFUNCTION("""COMPUTED_VALUE"""),37707)</f>
        <v>37707</v>
      </c>
      <c r="F232" s="23" t="str">
        <f ca="1">IFERROR(__xludf.DUMMYFUNCTION("""COMPUTED_VALUE"""),"K27-dlk5")</f>
        <v>K27-dlk5</v>
      </c>
      <c r="G232" s="23" t="str">
        <f ca="1">IFERROR(__xludf.DUMMYFUNCTION("""COMPUTED_VALUE"""),"Quản trị Du lịch &amp; Khách sạn")</f>
        <v>Quản trị Du lịch &amp; Khách sạn</v>
      </c>
      <c r="H232" s="23">
        <f ca="1">IFERROR(__xludf.DUMMYFUNCTION("""COMPUTED_VALUE"""),27)</f>
        <v>27</v>
      </c>
      <c r="I232" s="23" t="str">
        <f ca="1">IFERROR(__xludf.DUMMYFUNCTION("""COMPUTED_VALUE"""),"0762667434")</f>
        <v>0762667434</v>
      </c>
      <c r="J232" s="23" t="str">
        <f ca="1">IFERROR(__xludf.DUMMYFUNCTION("""COMPUTED_VALUE"""),"Chuyên đề")</f>
        <v>Chuyên đề</v>
      </c>
      <c r="K232" s="23" t="str">
        <f ca="1">IFERROR(__xludf.DUMMYFUNCTION("""COMPUTED_VALUE"""),"Allegro Hoi An - A Little Luxury Hotel &amp; Spa")</f>
        <v>Allegro Hoi An - A Little Luxury Hotel &amp; Spa</v>
      </c>
      <c r="L232" s="23" t="str">
        <f ca="1">IFERROR(__xludf.DUMMYFUNCTION("""COMPUTED_VALUE"""),"Allegro Hoi An - A Little Luxury Hotel &amp; Spa")</f>
        <v>Allegro Hoi An - A Little Luxury Hotel &amp; Spa</v>
      </c>
      <c r="M232" s="23" t="str">
        <f ca="1">IFERROR(__xludf.DUMMYFUNCTION("""COMPUTED_VALUE"""),"Lô 02-86 trần hưng đạo, cẩm phô , hội an")</f>
        <v>Lô 02-86 trần hưng đạo, cẩm phô , hội an</v>
      </c>
      <c r="N232" s="23" t="str">
        <f ca="1">IFERROR(__xludf.DUMMYFUNCTION("""COMPUTED_VALUE"""),"Hội An")</f>
        <v>Hội An</v>
      </c>
      <c r="O232" s="23" t="str">
        <f ca="1">IFERROR(__xludf.DUMMYFUNCTION("""COMPUTED_VALUE"""),"Nhà hàng")</f>
        <v>Nhà hàng</v>
      </c>
      <c r="P232" s="23"/>
      <c r="Q232" s="23" t="str">
        <f ca="1">IFERROR(__xludf.DUMMYFUNCTION("""COMPUTED_VALUE"""),"7/2/2025")</f>
        <v>7/2/2025</v>
      </c>
      <c r="R232" s="23" t="str">
        <f ca="1">IFERROR(__xludf.DUMMYFUNCTION("""COMPUTED_VALUE"""),"cam kết")</f>
        <v>cam kết</v>
      </c>
      <c r="S232" s="23" t="str">
        <f ca="1">IFERROR(__xludf.DUMMYFUNCTION("""COMPUTED_VALUE"""),"Chuyên đề")</f>
        <v>Chuyên đề</v>
      </c>
      <c r="T232" s="23" t="str">
        <f ca="1">IFERROR(__xludf.DUMMYFUNCTION("""COMPUTED_VALUE"""),"Mai Thị Thương")</f>
        <v>Mai Thị Thương</v>
      </c>
      <c r="U232" s="27">
        <f ca="1">IFERROR(__xludf.DUMMYFUNCTION("""COMPUTED_VALUE"""),45698)</f>
        <v>45698</v>
      </c>
      <c r="V232" s="27">
        <f ca="1">IFERROR(__xludf.DUMMYFUNCTION("""COMPUTED_VALUE"""),45787)</f>
        <v>45787</v>
      </c>
      <c r="W232" s="23">
        <f ca="1">IFERROR(__xludf.DUMMYFUNCTION("""COMPUTED_VALUE"""),231)</f>
        <v>231</v>
      </c>
      <c r="X232" s="28">
        <f ca="1">IFERROR(__xludf.DUMMYFUNCTION("""COMPUTED_VALUE"""),45963)</f>
        <v>45963</v>
      </c>
      <c r="Y232" s="23" t="str">
        <f ca="1">IFERROR(__xludf.DUMMYFUNCTION("""COMPUTED_VALUE"""),"DUYỆT")</f>
        <v>DUYỆT</v>
      </c>
      <c r="Z232" s="28">
        <f ca="1">IFERROR(__xludf.DUMMYFUNCTION("""COMPUTED_VALUE"""),45963)</f>
        <v>45963</v>
      </c>
      <c r="AA232" s="23" t="str">
        <f ca="1">IFERROR(__xludf.DUMMYFUNCTION("""COMPUTED_VALUE"""),"Allegro Hoi An - A Little Luxury Hotel &amp; Spa")</f>
        <v>Allegro Hoi An - A Little Luxury Hotel &amp; Spa</v>
      </c>
      <c r="AB232" s="23" t="str">
        <f ca="1">IFERROR(__xludf.DUMMYFUNCTION("""COMPUTED_VALUE"""),"Nhà hàng")</f>
        <v>Nhà hàng</v>
      </c>
      <c r="AC232" s="23"/>
      <c r="AD232" s="23"/>
      <c r="AE232" s="23" t="str">
        <f ca="1">IFERROR(__xludf.DUMMYFUNCTION("""COMPUTED_VALUE"""),"")</f>
        <v/>
      </c>
      <c r="AF232" s="23" t="str">
        <f ca="1">IFERROR(__xludf.DUMMYFUNCTION("""COMPUTED_VALUE"""),"không đủ điều kiện")</f>
        <v>không đủ điều kiện</v>
      </c>
      <c r="AG232" s="23"/>
    </row>
    <row r="233" spans="1:33" ht="12.75" x14ac:dyDescent="0.2">
      <c r="A233" s="26">
        <f ca="1">IFERROR(__xludf.DUMMYFUNCTION("""COMPUTED_VALUE"""),45698.9239439004)</f>
        <v>45698.923943900401</v>
      </c>
      <c r="B233" s="23" t="str">
        <f ca="1">IFERROR(__xludf.DUMMYFUNCTION("""COMPUTED_VALUE"""),"Thanhhanef@gmail.com")</f>
        <v>Thanhhanef@gmail.com</v>
      </c>
      <c r="C233" s="23">
        <f ca="1">IFERROR(__xludf.DUMMYFUNCTION("""COMPUTED_VALUE"""),27207127705)</f>
        <v>27207127705</v>
      </c>
      <c r="D233" s="23" t="str">
        <f ca="1">IFERROR(__xludf.DUMMYFUNCTION("""COMPUTED_VALUE"""),"Nguyễn Thị Thanh Hà ")</f>
        <v xml:space="preserve">Nguyễn Thị Thanh Hà </v>
      </c>
      <c r="E233" s="27">
        <f ca="1">IFERROR(__xludf.DUMMYFUNCTION("""COMPUTED_VALUE"""),37814)</f>
        <v>37814</v>
      </c>
      <c r="F233" s="23" t="str">
        <f ca="1">IFERROR(__xludf.DUMMYFUNCTION("""COMPUTED_VALUE"""),"K27DLK5 ")</f>
        <v xml:space="preserve">K27DLK5 </v>
      </c>
      <c r="G233" s="23" t="str">
        <f ca="1">IFERROR(__xludf.DUMMYFUNCTION("""COMPUTED_VALUE"""),"Quản trị Du lịch &amp; Khách sạn")</f>
        <v>Quản trị Du lịch &amp; Khách sạn</v>
      </c>
      <c r="H233" s="23">
        <f ca="1">IFERROR(__xludf.DUMMYFUNCTION("""COMPUTED_VALUE"""),27)</f>
        <v>27</v>
      </c>
      <c r="I233" s="23" t="str">
        <f ca="1">IFERROR(__xludf.DUMMYFUNCTION("""COMPUTED_VALUE"""),"0819023337")</f>
        <v>0819023337</v>
      </c>
      <c r="J233" s="23" t="str">
        <f ca="1">IFERROR(__xludf.DUMMYFUNCTION("""COMPUTED_VALUE"""),"Chuyên đề")</f>
        <v>Chuyên đề</v>
      </c>
      <c r="K233" s="23" t="str">
        <f ca="1">IFERROR(__xludf.DUMMYFUNCTION("""COMPUTED_VALUE"""),"New Orient Hotel Đà Nẵng")</f>
        <v>New Orient Hotel Đà Nẵng</v>
      </c>
      <c r="L233" s="23"/>
      <c r="M233" s="23" t="str">
        <f ca="1">IFERROR(__xludf.DUMMYFUNCTION("""COMPUTED_VALUE"""),"20 đống đa, thuận phước, hải châu, đà nẵng")</f>
        <v>20 đống đa, thuận phước, hải châu, đà nẵng</v>
      </c>
      <c r="N233" s="23" t="str">
        <f ca="1">IFERROR(__xludf.DUMMYFUNCTION("""COMPUTED_VALUE"""),"Đà Nẵng ")</f>
        <v xml:space="preserve">Đà Nẵng </v>
      </c>
      <c r="O233" s="23" t="str">
        <f ca="1">IFERROR(__xludf.DUMMYFUNCTION("""COMPUTED_VALUE"""),"Nhà hàng")</f>
        <v>Nhà hàng</v>
      </c>
      <c r="P233" s="23"/>
      <c r="Q233" s="23" t="str">
        <f ca="1">IFERROR(__xludf.DUMMYFUNCTION("""COMPUTED_VALUE"""),"10/02/2025")</f>
        <v>10/02/2025</v>
      </c>
      <c r="R233" s="23" t="str">
        <f ca="1">IFERROR(__xludf.DUMMYFUNCTION("""COMPUTED_VALUE"""),"cam kết")</f>
        <v>cam kết</v>
      </c>
      <c r="S233" s="23" t="str">
        <f ca="1">IFERROR(__xludf.DUMMYFUNCTION("""COMPUTED_VALUE"""),"Chuyên đề")</f>
        <v>Chuyên đề</v>
      </c>
      <c r="T233" s="23" t="str">
        <f ca="1">IFERROR(__xludf.DUMMYFUNCTION("""COMPUTED_VALUE"""),"Trần Hoàng Anh")</f>
        <v>Trần Hoàng Anh</v>
      </c>
      <c r="U233" s="27">
        <f ca="1">IFERROR(__xludf.DUMMYFUNCTION("""COMPUTED_VALUE"""),45698)</f>
        <v>45698</v>
      </c>
      <c r="V233" s="27">
        <f ca="1">IFERROR(__xludf.DUMMYFUNCTION("""COMPUTED_VALUE"""),45787)</f>
        <v>45787</v>
      </c>
      <c r="W233" s="23">
        <f ca="1">IFERROR(__xludf.DUMMYFUNCTION("""COMPUTED_VALUE"""),232)</f>
        <v>232</v>
      </c>
      <c r="X233" s="28">
        <f ca="1">IFERROR(__xludf.DUMMYFUNCTION("""COMPUTED_VALUE"""),45963)</f>
        <v>45963</v>
      </c>
      <c r="Y233" s="23" t="str">
        <f ca="1">IFERROR(__xludf.DUMMYFUNCTION("""COMPUTED_VALUE"""),"DUYỆT")</f>
        <v>DUYỆT</v>
      </c>
      <c r="Z233" s="28">
        <f ca="1">IFERROR(__xludf.DUMMYFUNCTION("""COMPUTED_VALUE"""),45963)</f>
        <v>45963</v>
      </c>
      <c r="AA233" s="23" t="str">
        <f ca="1">IFERROR(__xludf.DUMMYFUNCTION("""COMPUTED_VALUE"""),"New Orient Hotel Đà Nẵng")</f>
        <v>New Orient Hotel Đà Nẵng</v>
      </c>
      <c r="AB233" s="23" t="str">
        <f ca="1">IFERROR(__xludf.DUMMYFUNCTION("""COMPUTED_VALUE"""),"Nhà hàng")</f>
        <v>Nhà hàng</v>
      </c>
      <c r="AC233" s="23"/>
      <c r="AD233" s="23"/>
      <c r="AE233" s="23" t="str">
        <f ca="1">IFERROR(__xludf.DUMMYFUNCTION("""COMPUTED_VALUE"""),"")</f>
        <v/>
      </c>
      <c r="AF233" s="23" t="str">
        <f ca="1">IFERROR(__xludf.DUMMYFUNCTION("""COMPUTED_VALUE"""),"không đủ điều kiện")</f>
        <v>không đủ điều kiện</v>
      </c>
      <c r="AG233" s="23"/>
    </row>
    <row r="234" spans="1:33" ht="12.75" x14ac:dyDescent="0.2">
      <c r="A234" s="26">
        <f ca="1">IFERROR(__xludf.DUMMYFUNCTION("""COMPUTED_VALUE"""),45698.9550113888)</f>
        <v>45698.955011388804</v>
      </c>
      <c r="B234" s="23" t="str">
        <f ca="1">IFERROR(__xludf.DUMMYFUNCTION("""COMPUTED_VALUE"""),"thuanhoang1809@gmail.com")</f>
        <v>thuanhoang1809@gmail.com</v>
      </c>
      <c r="C234" s="23">
        <f ca="1">IFERROR(__xludf.DUMMYFUNCTION("""COMPUTED_VALUE"""),25217104376)</f>
        <v>25217104376</v>
      </c>
      <c r="D234" s="23" t="str">
        <f ca="1">IFERROR(__xludf.DUMMYFUNCTION("""COMPUTED_VALUE"""),"Phan Văn Thuận ")</f>
        <v xml:space="preserve">Phan Văn Thuận </v>
      </c>
      <c r="E234" s="27">
        <f ca="1">IFERROR(__xludf.DUMMYFUNCTION("""COMPUTED_VALUE"""),37152)</f>
        <v>37152</v>
      </c>
      <c r="F234" s="23" t="str">
        <f ca="1">IFERROR(__xludf.DUMMYFUNCTION("""COMPUTED_VALUE"""),"K25 PSU DLK14")</f>
        <v>K25 PSU DLK14</v>
      </c>
      <c r="G234" s="23" t="str">
        <f ca="1">IFERROR(__xludf.DUMMYFUNCTION("""COMPUTED_VALUE"""),"Quản trị Du lịch &amp; Khách sạn chuẩn PSU")</f>
        <v>Quản trị Du lịch &amp; Khách sạn chuẩn PSU</v>
      </c>
      <c r="H234" s="23">
        <f ca="1">IFERROR(__xludf.DUMMYFUNCTION("""COMPUTED_VALUE"""),25)</f>
        <v>25</v>
      </c>
      <c r="I234" s="23" t="str">
        <f ca="1">IFERROR(__xludf.DUMMYFUNCTION("""COMPUTED_VALUE"""),"0779584254")</f>
        <v>0779584254</v>
      </c>
      <c r="J234" s="23" t="str">
        <f ca="1">IFERROR(__xludf.DUMMYFUNCTION("""COMPUTED_VALUE"""),"Chuyên đề")</f>
        <v>Chuyên đề</v>
      </c>
      <c r="K234" s="23" t="str">
        <f ca="1">IFERROR(__xludf.DUMMYFUNCTION("""COMPUTED_VALUE"""),"Premier Village Danang Resort")</f>
        <v>Premier Village Danang Resort</v>
      </c>
      <c r="L234" s="23"/>
      <c r="M234" s="23" t="str">
        <f ca="1">IFERROR(__xludf.DUMMYFUNCTION("""COMPUTED_VALUE"""),"99 Võ Nguyên Giáp , Ngũ Hành Sơn , Đà Nẵng ")</f>
        <v xml:space="preserve">99 Võ Nguyên Giáp , Ngũ Hành Sơn , Đà Nẵng </v>
      </c>
      <c r="N234" s="23" t="str">
        <f ca="1">IFERROR(__xludf.DUMMYFUNCTION("""COMPUTED_VALUE"""),"Đà Nẵng")</f>
        <v>Đà Nẵng</v>
      </c>
      <c r="O234" s="23" t="str">
        <f ca="1">IFERROR(__xludf.DUMMYFUNCTION("""COMPUTED_VALUE"""),"Nhà hàng")</f>
        <v>Nhà hàng</v>
      </c>
      <c r="P234" s="23"/>
      <c r="Q234" s="23" t="str">
        <f ca="1">IFERROR(__xludf.DUMMYFUNCTION("""COMPUTED_VALUE"""),"10/2/2025")</f>
        <v>10/2/2025</v>
      </c>
      <c r="R234" s="23" t="str">
        <f ca="1">IFERROR(__xludf.DUMMYFUNCTION("""COMPUTED_VALUE"""),"cam kết")</f>
        <v>cam kết</v>
      </c>
      <c r="S234" s="23" t="str">
        <f ca="1">IFERROR(__xludf.DUMMYFUNCTION("""COMPUTED_VALUE"""),"Chuyên đề")</f>
        <v>Chuyên đề</v>
      </c>
      <c r="T234" s="23"/>
      <c r="U234" s="27">
        <f ca="1">IFERROR(__xludf.DUMMYFUNCTION("""COMPUTED_VALUE"""),45698)</f>
        <v>45698</v>
      </c>
      <c r="V234" s="27">
        <f ca="1">IFERROR(__xludf.DUMMYFUNCTION("""COMPUTED_VALUE"""),45787)</f>
        <v>45787</v>
      </c>
      <c r="W234" s="23">
        <f ca="1">IFERROR(__xludf.DUMMYFUNCTION("""COMPUTED_VALUE"""),233)</f>
        <v>233</v>
      </c>
      <c r="X234" s="28">
        <f ca="1">IFERROR(__xludf.DUMMYFUNCTION("""COMPUTED_VALUE"""),45963)</f>
        <v>45963</v>
      </c>
      <c r="Y234" s="23" t="str">
        <f ca="1">IFERROR(__xludf.DUMMYFUNCTION("""COMPUTED_VALUE"""),"DUYỆT")</f>
        <v>DUYỆT</v>
      </c>
      <c r="Z234" s="28">
        <f ca="1">IFERROR(__xludf.DUMMYFUNCTION("""COMPUTED_VALUE"""),45963)</f>
        <v>45963</v>
      </c>
      <c r="AA234" s="23" t="str">
        <f ca="1">IFERROR(__xludf.DUMMYFUNCTION("""COMPUTED_VALUE"""),"Premier Village Danang Resort")</f>
        <v>Premier Village Danang Resort</v>
      </c>
      <c r="AB234" s="23" t="str">
        <f ca="1">IFERROR(__xludf.DUMMYFUNCTION("""COMPUTED_VALUE"""),"Nhà hàng")</f>
        <v>Nhà hàng</v>
      </c>
      <c r="AC234" s="23" t="str">
        <f ca="1">IFERROR(__xludf.DUMMYFUNCTION("""COMPUTED_VALUE"""),"ĐÃ NỘP")</f>
        <v>ĐÃ NỘP</v>
      </c>
      <c r="AD234" s="23"/>
      <c r="AE234" s="23" t="str">
        <f ca="1">IFERROR(__xludf.DUMMYFUNCTION("""COMPUTED_VALUE"""),"")</f>
        <v/>
      </c>
      <c r="AF234" s="23" t="str">
        <f ca="1">IFERROR(__xludf.DUMMYFUNCTION("""COMPUTED_VALUE"""),"CHUYÊN ĐỀ")</f>
        <v>CHUYÊN ĐỀ</v>
      </c>
      <c r="AG234" s="23" t="str">
        <f ca="1">IFERROR(__xludf.DUMMYFUNCTION("""COMPUTED_VALUE"""),"Trần Hoàng Anh")</f>
        <v>Trần Hoàng Anh</v>
      </c>
    </row>
    <row r="235" spans="1:33" ht="12.75" x14ac:dyDescent="0.2">
      <c r="A235" s="26">
        <f ca="1">IFERROR(__xludf.DUMMYFUNCTION("""COMPUTED_VALUE"""),45699.4748978703)</f>
        <v>45699.474897870299</v>
      </c>
      <c r="B235" s="23" t="str">
        <f ca="1">IFERROR(__xludf.DUMMYFUNCTION("""COMPUTED_VALUE"""),"kieukieukiki5@gmail.com")</f>
        <v>kieukieukiki5@gmail.com</v>
      </c>
      <c r="C235" s="23">
        <f ca="1">IFERROR(__xludf.DUMMYFUNCTION("""COMPUTED_VALUE"""),27207138525)</f>
        <v>27207138525</v>
      </c>
      <c r="D235" s="23" t="str">
        <f ca="1">IFERROR(__xludf.DUMMYFUNCTION("""COMPUTED_VALUE"""),"Đặng Thị Thuý Kiều ")</f>
        <v xml:space="preserve">Đặng Thị Thuý Kiều </v>
      </c>
      <c r="E235" s="27">
        <f ca="1">IFERROR(__xludf.DUMMYFUNCTION("""COMPUTED_VALUE"""),37685)</f>
        <v>37685</v>
      </c>
      <c r="F235" s="23" t="str">
        <f ca="1">IFERROR(__xludf.DUMMYFUNCTION("""COMPUTED_VALUE"""),"K27DLK3")</f>
        <v>K27DLK3</v>
      </c>
      <c r="G235" s="23" t="str">
        <f ca="1">IFERROR(__xludf.DUMMYFUNCTION("""COMPUTED_VALUE"""),"Quản trị Du lịch &amp; Khách sạn")</f>
        <v>Quản trị Du lịch &amp; Khách sạn</v>
      </c>
      <c r="H235" s="23">
        <f ca="1">IFERROR(__xludf.DUMMYFUNCTION("""COMPUTED_VALUE"""),27)</f>
        <v>27</v>
      </c>
      <c r="I235" s="23" t="str">
        <f ca="1">IFERROR(__xludf.DUMMYFUNCTION("""COMPUTED_VALUE"""),"0326110452")</f>
        <v>0326110452</v>
      </c>
      <c r="J235" s="23" t="str">
        <f ca="1">IFERROR(__xludf.DUMMYFUNCTION("""COMPUTED_VALUE"""),"Chuyên đề")</f>
        <v>Chuyên đề</v>
      </c>
      <c r="K235" s="23" t="str">
        <f ca="1">IFERROR(__xludf.DUMMYFUNCTION("""COMPUTED_VALUE"""),"Grand Mercure Đà Nẵng")</f>
        <v>Grand Mercure Đà Nẵng</v>
      </c>
      <c r="L235" s="23"/>
      <c r="M235" s="23" t="str">
        <f ca="1">IFERROR(__xludf.DUMMYFUNCTION("""COMPUTED_VALUE"""),"Lô A1 khu biệt thự Đảo Xanh, phưòng Hoà Cường Bắc, quận Hải Châu, Đà Nẵng, Việt Nam")</f>
        <v>Lô A1 khu biệt thự Đảo Xanh, phưòng Hoà Cường Bắc, quận Hải Châu, Đà Nẵng, Việt Nam</v>
      </c>
      <c r="N235" s="23" t="str">
        <f ca="1">IFERROR(__xludf.DUMMYFUNCTION("""COMPUTED_VALUE"""),"Đà Nẵng")</f>
        <v>Đà Nẵng</v>
      </c>
      <c r="O235" s="23" t="str">
        <f ca="1">IFERROR(__xludf.DUMMYFUNCTION("""COMPUTED_VALUE"""),"Nhà hàng")</f>
        <v>Nhà hàng</v>
      </c>
      <c r="P235" s="23"/>
      <c r="Q235" s="23" t="str">
        <f ca="1">IFERROR(__xludf.DUMMYFUNCTION("""COMPUTED_VALUE"""),"11/2/2025")</f>
        <v>11/2/2025</v>
      </c>
      <c r="R235" s="23" t="str">
        <f ca="1">IFERROR(__xludf.DUMMYFUNCTION("""COMPUTED_VALUE"""),"cam kết")</f>
        <v>cam kết</v>
      </c>
      <c r="S235" s="23" t="str">
        <f ca="1">IFERROR(__xludf.DUMMYFUNCTION("""COMPUTED_VALUE"""),"Chuyên đề")</f>
        <v>Chuyên đề</v>
      </c>
      <c r="T235" s="23" t="str">
        <f ca="1">IFERROR(__xludf.DUMMYFUNCTION("""COMPUTED_VALUE"""),"Phạm Thị Thu Thủy")</f>
        <v>Phạm Thị Thu Thủy</v>
      </c>
      <c r="U235" s="27">
        <f ca="1">IFERROR(__xludf.DUMMYFUNCTION("""COMPUTED_VALUE"""),45698)</f>
        <v>45698</v>
      </c>
      <c r="V235" s="27">
        <f ca="1">IFERROR(__xludf.DUMMYFUNCTION("""COMPUTED_VALUE"""),45807)</f>
        <v>45807</v>
      </c>
      <c r="W235" s="23">
        <f ca="1">IFERROR(__xludf.DUMMYFUNCTION("""COMPUTED_VALUE"""),234)</f>
        <v>234</v>
      </c>
      <c r="X235" s="28">
        <f ca="1">IFERROR(__xludf.DUMMYFUNCTION("""COMPUTED_VALUE"""),45963)</f>
        <v>45963</v>
      </c>
      <c r="Y235" s="23" t="str">
        <f ca="1">IFERROR(__xludf.DUMMYFUNCTION("""COMPUTED_VALUE"""),"DUYỆT")</f>
        <v>DUYỆT</v>
      </c>
      <c r="Z235" s="28">
        <f ca="1">IFERROR(__xludf.DUMMYFUNCTION("""COMPUTED_VALUE"""),45963)</f>
        <v>45963</v>
      </c>
      <c r="AA235" s="23" t="str">
        <f ca="1">IFERROR(__xludf.DUMMYFUNCTION("""COMPUTED_VALUE"""),"Grand Mercure Đà Nẵng")</f>
        <v>Grand Mercure Đà Nẵng</v>
      </c>
      <c r="AB235" s="23" t="str">
        <f ca="1">IFERROR(__xludf.DUMMYFUNCTION("""COMPUTED_VALUE"""),"Nhà hàng")</f>
        <v>Nhà hàng</v>
      </c>
      <c r="AC235" s="23"/>
      <c r="AD235" s="23"/>
      <c r="AE235" s="23" t="str">
        <f ca="1">IFERROR(__xludf.DUMMYFUNCTION("""COMPUTED_VALUE"""),"")</f>
        <v/>
      </c>
      <c r="AF235" s="23" t="str">
        <f ca="1">IFERROR(__xludf.DUMMYFUNCTION("""COMPUTED_VALUE"""),"CHUYÊN ĐỀ")</f>
        <v>CHUYÊN ĐỀ</v>
      </c>
      <c r="AG235" s="23" t="str">
        <f ca="1">IFERROR(__xludf.DUMMYFUNCTION("""COMPUTED_VALUE"""),"Võ Đức Hiếu")</f>
        <v>Võ Đức Hiếu</v>
      </c>
    </row>
    <row r="236" spans="1:33" ht="12.75" x14ac:dyDescent="0.2">
      <c r="A236" s="26">
        <f ca="1">IFERROR(__xludf.DUMMYFUNCTION("""COMPUTED_VALUE"""),45699.5886122916)</f>
        <v>45699.588612291598</v>
      </c>
      <c r="B236" s="23" t="str">
        <f ca="1">IFERROR(__xludf.DUMMYFUNCTION("""COMPUTED_VALUE"""),"hth180803@gmail.com")</f>
        <v>hth180803@gmail.com</v>
      </c>
      <c r="C236" s="23">
        <f ca="1">IFERROR(__xludf.DUMMYFUNCTION("""COMPUTED_VALUE"""),27207143916)</f>
        <v>27207143916</v>
      </c>
      <c r="D236" s="23" t="str">
        <f ca="1">IFERROR(__xludf.DUMMYFUNCTION("""COMPUTED_VALUE"""),"Hồ Thị Hiếu")</f>
        <v>Hồ Thị Hiếu</v>
      </c>
      <c r="E236" s="27">
        <f ca="1">IFERROR(__xludf.DUMMYFUNCTION("""COMPUTED_VALUE"""),37851)</f>
        <v>37851</v>
      </c>
      <c r="F236" s="23" t="str">
        <f ca="1">IFERROR(__xludf.DUMMYFUNCTION("""COMPUTED_VALUE"""),"K23DLK2")</f>
        <v>K23DLK2</v>
      </c>
      <c r="G236" s="23" t="str">
        <f ca="1">IFERROR(__xludf.DUMMYFUNCTION("""COMPUTED_VALUE"""),"Quản trị Du lịch &amp; Khách sạn")</f>
        <v>Quản trị Du lịch &amp; Khách sạn</v>
      </c>
      <c r="H236" s="23">
        <f ca="1">IFERROR(__xludf.DUMMYFUNCTION("""COMPUTED_VALUE"""),27)</f>
        <v>27</v>
      </c>
      <c r="I236" s="23" t="str">
        <f ca="1">IFERROR(__xludf.DUMMYFUNCTION("""COMPUTED_VALUE"""),"0869780430")</f>
        <v>0869780430</v>
      </c>
      <c r="J236" s="23" t="str">
        <f ca="1">IFERROR(__xludf.DUMMYFUNCTION("""COMPUTED_VALUE"""),"Chuyên đề")</f>
        <v>Chuyên đề</v>
      </c>
      <c r="K236" s="23" t="str">
        <f ca="1">IFERROR(__xludf.DUMMYFUNCTION("""COMPUTED_VALUE"""),"Canvas Danang Beach Hotel")</f>
        <v>Canvas Danang Beach Hotel</v>
      </c>
      <c r="L236" s="23" t="str">
        <f ca="1">IFERROR(__xludf.DUMMYFUNCTION("""COMPUTED_VALUE"""),"Canvas Hotel")</f>
        <v>Canvas Hotel</v>
      </c>
      <c r="M236" s="23" t="str">
        <f ca="1">IFERROR(__xludf.DUMMYFUNCTION("""COMPUTED_VALUE"""),"243 Võ Nguyên Giáp, Phường Phước Mỹ, Sơn Trà, Đà Nẵng")</f>
        <v>243 Võ Nguyên Giáp, Phường Phước Mỹ, Sơn Trà, Đà Nẵng</v>
      </c>
      <c r="N236" s="23" t="str">
        <f ca="1">IFERROR(__xludf.DUMMYFUNCTION("""COMPUTED_VALUE"""),"Đà Nãng")</f>
        <v>Đà Nãng</v>
      </c>
      <c r="O236" s="23" t="str">
        <f ca="1">IFERROR(__xludf.DUMMYFUNCTION("""COMPUTED_VALUE"""),"Buồng phòng")</f>
        <v>Buồng phòng</v>
      </c>
      <c r="P236" s="23"/>
      <c r="Q236" s="23" t="str">
        <f ca="1">IFERROR(__xludf.DUMMYFUNCTION("""COMPUTED_VALUE"""),"Ngày 16/1/2025")</f>
        <v>Ngày 16/1/2025</v>
      </c>
      <c r="R236" s="23" t="str">
        <f ca="1">IFERROR(__xludf.DUMMYFUNCTION("""COMPUTED_VALUE"""),"cam kết")</f>
        <v>cam kết</v>
      </c>
      <c r="S236" s="23" t="str">
        <f ca="1">IFERROR(__xludf.DUMMYFUNCTION("""COMPUTED_VALUE"""),"Chuyên đề")</f>
        <v>Chuyên đề</v>
      </c>
      <c r="T236" s="23"/>
      <c r="U236" s="27">
        <f ca="1">IFERROR(__xludf.DUMMYFUNCTION("""COMPUTED_VALUE"""),45663)</f>
        <v>45663</v>
      </c>
      <c r="V236" s="27">
        <f ca="1">IFERROR(__xludf.DUMMYFUNCTION("""COMPUTED_VALUE"""),45753)</f>
        <v>45753</v>
      </c>
      <c r="W236" s="23">
        <f ca="1">IFERROR(__xludf.DUMMYFUNCTION("""COMPUTED_VALUE"""),235)</f>
        <v>235</v>
      </c>
      <c r="X236" s="28">
        <f ca="1">IFERROR(__xludf.DUMMYFUNCTION("""COMPUTED_VALUE"""),45963)</f>
        <v>45963</v>
      </c>
      <c r="Y236" s="23" t="str">
        <f ca="1">IFERROR(__xludf.DUMMYFUNCTION("""COMPUTED_VALUE"""),"DUYỆT")</f>
        <v>DUYỆT</v>
      </c>
      <c r="Z236" s="28">
        <f ca="1">IFERROR(__xludf.DUMMYFUNCTION("""COMPUTED_VALUE"""),45963)</f>
        <v>45963</v>
      </c>
      <c r="AA236" s="23" t="str">
        <f ca="1">IFERROR(__xludf.DUMMYFUNCTION("""COMPUTED_VALUE"""),"Canvas Danang Beach Hotel")</f>
        <v>Canvas Danang Beach Hotel</v>
      </c>
      <c r="AB236" s="23" t="str">
        <f ca="1">IFERROR(__xludf.DUMMYFUNCTION("""COMPUTED_VALUE"""),"Buồng phòng")</f>
        <v>Buồng phòng</v>
      </c>
      <c r="AC236" s="23"/>
      <c r="AD236" s="23"/>
      <c r="AE236" s="23" t="str">
        <f ca="1">IFERROR(__xludf.DUMMYFUNCTION("""COMPUTED_VALUE"""),"")</f>
        <v/>
      </c>
      <c r="AF236" s="23" t="str">
        <f ca="1">IFERROR(__xludf.DUMMYFUNCTION("""COMPUTED_VALUE"""),"CHUYÊN ĐỀ")</f>
        <v>CHUYÊN ĐỀ</v>
      </c>
      <c r="AG236" s="23" t="str">
        <f ca="1">IFERROR(__xludf.DUMMYFUNCTION("""COMPUTED_VALUE"""),"Phạm Thị Thu Thủy")</f>
        <v>Phạm Thị Thu Thủy</v>
      </c>
    </row>
    <row r="237" spans="1:33" ht="12.75" x14ac:dyDescent="0.2">
      <c r="A237" s="26">
        <f ca="1">IFERROR(__xludf.DUMMYFUNCTION("""COMPUTED_VALUE"""),45699.6432529513)</f>
        <v>45699.643252951297</v>
      </c>
      <c r="B237" s="23" t="str">
        <f ca="1">IFERROR(__xludf.DUMMYFUNCTION("""COMPUTED_VALUE"""),"khanhtruong.work@gmail.com")</f>
        <v>khanhtruong.work@gmail.com</v>
      </c>
      <c r="C237" s="23">
        <f ca="1">IFERROR(__xludf.DUMMYFUNCTION("""COMPUTED_VALUE"""),26217122489)</f>
        <v>26217122489</v>
      </c>
      <c r="D237" s="23" t="str">
        <f ca="1">IFERROR(__xludf.DUMMYFUNCTION("""COMPUTED_VALUE"""),"Trương Văn Khánh")</f>
        <v>Trương Văn Khánh</v>
      </c>
      <c r="E237" s="27">
        <f ca="1">IFERROR(__xludf.DUMMYFUNCTION("""COMPUTED_VALUE"""),36787)</f>
        <v>36787</v>
      </c>
      <c r="F237" s="23" t="str">
        <f ca="1">IFERROR(__xludf.DUMMYFUNCTION("""COMPUTED_VALUE"""),"K26DLK4")</f>
        <v>K26DLK4</v>
      </c>
      <c r="G237" s="23" t="str">
        <f ca="1">IFERROR(__xludf.DUMMYFUNCTION("""COMPUTED_VALUE"""),"Quản trị Du lịch &amp; Khách sạn")</f>
        <v>Quản trị Du lịch &amp; Khách sạn</v>
      </c>
      <c r="H237" s="23">
        <f ca="1">IFERROR(__xludf.DUMMYFUNCTION("""COMPUTED_VALUE"""),26)</f>
        <v>26</v>
      </c>
      <c r="I237" s="23" t="str">
        <f ca="1">IFERROR(__xludf.DUMMYFUNCTION("""COMPUTED_VALUE"""),"0559278686")</f>
        <v>0559278686</v>
      </c>
      <c r="J237" s="23" t="str">
        <f ca="1">IFERROR(__xludf.DUMMYFUNCTION("""COMPUTED_VALUE"""),"Chuyên đề")</f>
        <v>Chuyên đề</v>
      </c>
      <c r="K237" s="23" t="str">
        <f ca="1">IFERROR(__xludf.DUMMYFUNCTION("""COMPUTED_VALUE"""),"Grand Tourane Hotel")</f>
        <v>Grand Tourane Hotel</v>
      </c>
      <c r="L237" s="23"/>
      <c r="M237" s="23" t="str">
        <f ca="1">IFERROR(__xludf.DUMMYFUNCTION("""COMPUTED_VALUE"""),"252 Võ Nguyên Giáp, Phước Mỹ, Sơn Trà, Đà Nẵng")</f>
        <v>252 Võ Nguyên Giáp, Phước Mỹ, Sơn Trà, Đà Nẵng</v>
      </c>
      <c r="N237" s="23" t="str">
        <f ca="1">IFERROR(__xludf.DUMMYFUNCTION("""COMPUTED_VALUE"""),"Đà Nẵng")</f>
        <v>Đà Nẵng</v>
      </c>
      <c r="O237" s="23" t="str">
        <f ca="1">IFERROR(__xludf.DUMMYFUNCTION("""COMPUTED_VALUE"""),"Nhà hàng")</f>
        <v>Nhà hàng</v>
      </c>
      <c r="P237" s="23"/>
      <c r="Q237" s="23" t="str">
        <f ca="1">IFERROR(__xludf.DUMMYFUNCTION("""COMPUTED_VALUE"""),"Khoa du lịch nhà hàng và khách sạn")</f>
        <v>Khoa du lịch nhà hàng và khách sạn</v>
      </c>
      <c r="R237" s="23" t="str">
        <f ca="1">IFERROR(__xludf.DUMMYFUNCTION("""COMPUTED_VALUE"""),"cam kết")</f>
        <v>cam kết</v>
      </c>
      <c r="S237" s="23" t="str">
        <f ca="1">IFERROR(__xludf.DUMMYFUNCTION("""COMPUTED_VALUE"""),"Chuyên đề")</f>
        <v>Chuyên đề</v>
      </c>
      <c r="T237" s="23"/>
      <c r="U237" s="27">
        <f ca="1">IFERROR(__xludf.DUMMYFUNCTION("""COMPUTED_VALUE"""),36568)</f>
        <v>36568</v>
      </c>
      <c r="V237" s="27">
        <f ca="1">IFERROR(__xludf.DUMMYFUNCTION("""COMPUTED_VALUE"""),36658)</f>
        <v>36658</v>
      </c>
      <c r="W237" s="23">
        <f ca="1">IFERROR(__xludf.DUMMYFUNCTION("""COMPUTED_VALUE"""),236)</f>
        <v>236</v>
      </c>
      <c r="X237" s="23"/>
      <c r="Y237" s="23" t="str">
        <f ca="1">IFERROR(__xludf.DUMMYFUNCTION("""COMPUTED_VALUE"""),"DUYỆT")</f>
        <v>DUYỆT</v>
      </c>
      <c r="Z237" s="28">
        <f ca="1">IFERROR(__xludf.DUMMYFUNCTION("""COMPUTED_VALUE"""),45963)</f>
        <v>45963</v>
      </c>
      <c r="AA237" s="23" t="str">
        <f ca="1">IFERROR(__xludf.DUMMYFUNCTION("""COMPUTED_VALUE"""),"Grand Tourane Hotel")</f>
        <v>Grand Tourane Hotel</v>
      </c>
      <c r="AB237" s="23" t="str">
        <f ca="1">IFERROR(__xludf.DUMMYFUNCTION("""COMPUTED_VALUE"""),"Nhà hàng")</f>
        <v>Nhà hàng</v>
      </c>
      <c r="AC237" s="23" t="str">
        <f ca="1">IFERROR(__xludf.DUMMYFUNCTION("""COMPUTED_VALUE"""),"ĐÃ NỘP")</f>
        <v>ĐÃ NỘP</v>
      </c>
      <c r="AD237" s="23"/>
      <c r="AE237" s="23" t="str">
        <f ca="1">IFERROR(__xludf.DUMMYFUNCTION("""COMPUTED_VALUE"""),"")</f>
        <v/>
      </c>
      <c r="AF237" s="23" t="str">
        <f ca="1">IFERROR(__xludf.DUMMYFUNCTION("""COMPUTED_VALUE"""),"không đủ điều kiện")</f>
        <v>không đủ điều kiện</v>
      </c>
      <c r="AG237" s="23"/>
    </row>
    <row r="238" spans="1:33" ht="12.75" x14ac:dyDescent="0.2">
      <c r="A238" s="26">
        <f ca="1">IFERROR(__xludf.DUMMYFUNCTION("""COMPUTED_VALUE"""),45699.7559281597)</f>
        <v>45699.755928159699</v>
      </c>
      <c r="B238" s="23" t="str">
        <f ca="1">IFERROR(__xludf.DUMMYFUNCTION("""COMPUTED_VALUE"""),"nhatyenpd.73@gmail.com")</f>
        <v>nhatyenpd.73@gmail.com</v>
      </c>
      <c r="C238" s="23">
        <f ca="1">IFERROR(__xludf.DUMMYFUNCTION("""COMPUTED_VALUE"""),26207126132)</f>
        <v>26207126132</v>
      </c>
      <c r="D238" s="23" t="str">
        <f ca="1">IFERROR(__xludf.DUMMYFUNCTION("""COMPUTED_VALUE"""),"Nguyễn Lương Nhật Yến ")</f>
        <v xml:space="preserve">Nguyễn Lương Nhật Yến </v>
      </c>
      <c r="E238" s="27">
        <f ca="1">IFERROR(__xludf.DUMMYFUNCTION("""COMPUTED_VALUE"""),37560)</f>
        <v>37560</v>
      </c>
      <c r="F238" s="23" t="str">
        <f ca="1">IFERROR(__xludf.DUMMYFUNCTION("""COMPUTED_VALUE"""),"K26DLK7")</f>
        <v>K26DLK7</v>
      </c>
      <c r="G238" s="23" t="str">
        <f ca="1">IFERROR(__xludf.DUMMYFUNCTION("""COMPUTED_VALUE"""),"Quản trị Du lịch &amp; Khách sạn")</f>
        <v>Quản trị Du lịch &amp; Khách sạn</v>
      </c>
      <c r="H238" s="23">
        <f ca="1">IFERROR(__xludf.DUMMYFUNCTION("""COMPUTED_VALUE"""),26)</f>
        <v>26</v>
      </c>
      <c r="I238" s="23" t="str">
        <f ca="1">IFERROR(__xludf.DUMMYFUNCTION("""COMPUTED_VALUE"""),"0378099134")</f>
        <v>0378099134</v>
      </c>
      <c r="J238" s="23" t="str">
        <f ca="1">IFERROR(__xludf.DUMMYFUNCTION("""COMPUTED_VALUE"""),"Chuyên đề")</f>
        <v>Chuyên đề</v>
      </c>
      <c r="K238" s="23" t="str">
        <f ca="1">IFERROR(__xludf.DUMMYFUNCTION("""COMPUTED_VALUE"""),"Vinh Hung Riverside Resort &amp; Spa")</f>
        <v>Vinh Hung Riverside Resort &amp; Spa</v>
      </c>
      <c r="L238" s="23"/>
      <c r="M238" s="23" t="str">
        <f ca="1">IFERROR(__xludf.DUMMYFUNCTION("""COMPUTED_VALUE"""),"111 Ngô Quyền, Phường Minh An, Hội An, Quảng Nam")</f>
        <v>111 Ngô Quyền, Phường Minh An, Hội An, Quảng Nam</v>
      </c>
      <c r="N238" s="23" t="str">
        <f ca="1">IFERROR(__xludf.DUMMYFUNCTION("""COMPUTED_VALUE"""),"Hội An ")</f>
        <v xml:space="preserve">Hội An </v>
      </c>
      <c r="O238" s="23" t="str">
        <f ca="1">IFERROR(__xludf.DUMMYFUNCTION("""COMPUTED_VALUE"""),"Tiền sảnh")</f>
        <v>Tiền sảnh</v>
      </c>
      <c r="P238" s="23"/>
      <c r="Q238" s="23" t="str">
        <f ca="1">IFERROR(__xludf.DUMMYFUNCTION("""COMPUTED_VALUE"""),"18/1/2025")</f>
        <v>18/1/2025</v>
      </c>
      <c r="R238" s="23" t="str">
        <f ca="1">IFERROR(__xludf.DUMMYFUNCTION("""COMPUTED_VALUE"""),"cam kết")</f>
        <v>cam kết</v>
      </c>
      <c r="S238" s="23" t="str">
        <f ca="1">IFERROR(__xludf.DUMMYFUNCTION("""COMPUTED_VALUE"""),"Chuyên đề")</f>
        <v>Chuyên đề</v>
      </c>
      <c r="T238" s="23" t="str">
        <f ca="1">IFERROR(__xludf.DUMMYFUNCTION("""COMPUTED_VALUE"""),"Võ Đức Hiếu")</f>
        <v>Võ Đức Hiếu</v>
      </c>
      <c r="U238" s="27">
        <f ca="1">IFERROR(__xludf.DUMMYFUNCTION("""COMPUTED_VALUE"""),45698)</f>
        <v>45698</v>
      </c>
      <c r="V238" s="27">
        <f ca="1">IFERROR(__xludf.DUMMYFUNCTION("""COMPUTED_VALUE"""),45787)</f>
        <v>45787</v>
      </c>
      <c r="W238" s="23">
        <f ca="1">IFERROR(__xludf.DUMMYFUNCTION("""COMPUTED_VALUE"""),237)</f>
        <v>237</v>
      </c>
      <c r="X238" s="23"/>
      <c r="Y238" s="23" t="str">
        <f ca="1">IFERROR(__xludf.DUMMYFUNCTION("""COMPUTED_VALUE"""),"DUYỆT")</f>
        <v>DUYỆT</v>
      </c>
      <c r="Z238" s="28">
        <f ca="1">IFERROR(__xludf.DUMMYFUNCTION("""COMPUTED_VALUE"""),45993)</f>
        <v>45993</v>
      </c>
      <c r="AA238" s="23" t="str">
        <f ca="1">IFERROR(__xludf.DUMMYFUNCTION("""COMPUTED_VALUE"""),"Vinh Hung Riverside Resort &amp; Spa")</f>
        <v>Vinh Hung Riverside Resort &amp; Spa</v>
      </c>
      <c r="AB238" s="23" t="str">
        <f ca="1">IFERROR(__xludf.DUMMYFUNCTION("""COMPUTED_VALUE"""),"Tiền sảnh")</f>
        <v>Tiền sảnh</v>
      </c>
      <c r="AC238" s="23" t="str">
        <f ca="1">IFERROR(__xludf.DUMMYFUNCTION("""COMPUTED_VALUE"""),"ĐÃ NỘP")</f>
        <v>ĐÃ NỘP</v>
      </c>
      <c r="AD238" s="23"/>
      <c r="AE238" s="23" t="str">
        <f ca="1">IFERROR(__xludf.DUMMYFUNCTION("""COMPUTED_VALUE"""),"")</f>
        <v/>
      </c>
      <c r="AF238" s="23" t="str">
        <f ca="1">IFERROR(__xludf.DUMMYFUNCTION("""COMPUTED_VALUE"""),"CHUYÊN ĐỀ")</f>
        <v>CHUYÊN ĐỀ</v>
      </c>
      <c r="AG238" s="23" t="str">
        <f ca="1">IFERROR(__xludf.DUMMYFUNCTION("""COMPUTED_VALUE"""),"Phan Thị Hồng Hải")</f>
        <v>Phan Thị Hồng Hải</v>
      </c>
    </row>
    <row r="239" spans="1:33" ht="12.75" x14ac:dyDescent="0.2">
      <c r="A239" s="26">
        <f ca="1">IFERROR(__xludf.DUMMYFUNCTION("""COMPUTED_VALUE"""),45699.7621515509)</f>
        <v>45699.762151550902</v>
      </c>
      <c r="B239" s="23" t="str">
        <f ca="1">IFERROR(__xludf.DUMMYFUNCTION("""COMPUTED_VALUE"""),"quanglongn121@gmail.com")</f>
        <v>quanglongn121@gmail.com</v>
      </c>
      <c r="C239" s="23">
        <f ca="1">IFERROR(__xludf.DUMMYFUNCTION("""COMPUTED_VALUE"""),26217123458)</f>
        <v>26217123458</v>
      </c>
      <c r="D239" s="23" t="str">
        <f ca="1">IFERROR(__xludf.DUMMYFUNCTION("""COMPUTED_VALUE"""),"Nguyễn Quang Long")</f>
        <v>Nguyễn Quang Long</v>
      </c>
      <c r="E239" s="27">
        <f ca="1">IFERROR(__xludf.DUMMYFUNCTION("""COMPUTED_VALUE"""),37568)</f>
        <v>37568</v>
      </c>
      <c r="F239" s="23" t="str">
        <f ca="1">IFERROR(__xludf.DUMMYFUNCTION("""COMPUTED_VALUE"""),"K26DLK 16")</f>
        <v>K26DLK 16</v>
      </c>
      <c r="G239" s="23" t="str">
        <f ca="1">IFERROR(__xludf.DUMMYFUNCTION("""COMPUTED_VALUE"""),"Quản trị Du lịch &amp; Khách sạn")</f>
        <v>Quản trị Du lịch &amp; Khách sạn</v>
      </c>
      <c r="H239" s="23">
        <f ca="1">IFERROR(__xludf.DUMMYFUNCTION("""COMPUTED_VALUE"""),26)</f>
        <v>26</v>
      </c>
      <c r="I239" s="23" t="str">
        <f ca="1">IFERROR(__xludf.DUMMYFUNCTION("""COMPUTED_VALUE"""),"0906481995")</f>
        <v>0906481995</v>
      </c>
      <c r="J239" s="23" t="str">
        <f ca="1">IFERROR(__xludf.DUMMYFUNCTION("""COMPUTED_VALUE"""),"Chuyên đề")</f>
        <v>Chuyên đề</v>
      </c>
      <c r="K239" s="23" t="str">
        <f ca="1">IFERROR(__xludf.DUMMYFUNCTION("""COMPUTED_VALUE"""),"Vanda Hotel")</f>
        <v>Vanda Hotel</v>
      </c>
      <c r="L239" s="23"/>
      <c r="M239" s="23" t="str">
        <f ca="1">IFERROR(__xludf.DUMMYFUNCTION("""COMPUTED_VALUE"""),"03 Nguyễn Văn Linh, Bình Hiên, Hải Châu, Đà Nẵng")</f>
        <v>03 Nguyễn Văn Linh, Bình Hiên, Hải Châu, Đà Nẵng</v>
      </c>
      <c r="N239" s="23" t="str">
        <f ca="1">IFERROR(__xludf.DUMMYFUNCTION("""COMPUTED_VALUE"""),"Đà Nẵng")</f>
        <v>Đà Nẵng</v>
      </c>
      <c r="O239" s="23" t="str">
        <f ca="1">IFERROR(__xludf.DUMMYFUNCTION("""COMPUTED_VALUE"""),"Tiền sảnh")</f>
        <v>Tiền sảnh</v>
      </c>
      <c r="P239" s="23"/>
      <c r="Q239" s="23" t="str">
        <f ca="1">IFERROR(__xludf.DUMMYFUNCTION("""COMPUTED_VALUE"""),"03/02/2025")</f>
        <v>03/02/2025</v>
      </c>
      <c r="R239" s="23" t="str">
        <f ca="1">IFERROR(__xludf.DUMMYFUNCTION("""COMPUTED_VALUE"""),"cam kết")</f>
        <v>cam kết</v>
      </c>
      <c r="S239" s="23" t="str">
        <f ca="1">IFERROR(__xludf.DUMMYFUNCTION("""COMPUTED_VALUE"""),"Chuyên đề")</f>
        <v>Chuyên đề</v>
      </c>
      <c r="T239" s="23" t="str">
        <f ca="1">IFERROR(__xludf.DUMMYFUNCTION("""COMPUTED_VALUE"""),"Phạm Thị Thu Thủy")</f>
        <v>Phạm Thị Thu Thủy</v>
      </c>
      <c r="U239" s="27">
        <f ca="1">IFERROR(__xludf.DUMMYFUNCTION("""COMPUTED_VALUE"""),45679)</f>
        <v>45679</v>
      </c>
      <c r="V239" s="27">
        <f ca="1">IFERROR(__xludf.DUMMYFUNCTION("""COMPUTED_VALUE"""),45830)</f>
        <v>45830</v>
      </c>
      <c r="W239" s="23">
        <f ca="1">IFERROR(__xludf.DUMMYFUNCTION("""COMPUTED_VALUE"""),238)</f>
        <v>238</v>
      </c>
      <c r="X239" s="23" t="str">
        <f ca="1">IFERROR(__xludf.DUMMYFUNCTION("""COMPUTED_VALUE"""),"17/02/2025")</f>
        <v>17/02/2025</v>
      </c>
      <c r="Y239" s="23" t="str">
        <f ca="1">IFERROR(__xludf.DUMMYFUNCTION("""COMPUTED_VALUE"""),"DUYỆT")</f>
        <v>DUYỆT</v>
      </c>
      <c r="Z239" s="28">
        <f ca="1">IFERROR(__xludf.DUMMYFUNCTION("""COMPUTED_VALUE"""),45993)</f>
        <v>45993</v>
      </c>
      <c r="AA239" s="23" t="str">
        <f ca="1">IFERROR(__xludf.DUMMYFUNCTION("""COMPUTED_VALUE"""),"Vanda Hotel")</f>
        <v>Vanda Hotel</v>
      </c>
      <c r="AB239" s="23" t="str">
        <f ca="1">IFERROR(__xludf.DUMMYFUNCTION("""COMPUTED_VALUE"""),"Tiền sảnh")</f>
        <v>Tiền sảnh</v>
      </c>
      <c r="AC239" s="23" t="str">
        <f ca="1">IFERROR(__xludf.DUMMYFUNCTION("""COMPUTED_VALUE"""),"ĐÃ NỘP")</f>
        <v>ĐÃ NỘP</v>
      </c>
      <c r="AD239" s="23"/>
      <c r="AE239" s="23" t="str">
        <f ca="1">IFERROR(__xludf.DUMMYFUNCTION("""COMPUTED_VALUE"""),"")</f>
        <v/>
      </c>
      <c r="AF239" s="23" t="str">
        <f ca="1">IFERROR(__xludf.DUMMYFUNCTION("""COMPUTED_VALUE"""),"CHUYÊN ĐỀ")</f>
        <v>CHUYÊN ĐỀ</v>
      </c>
      <c r="AG239" s="23" t="str">
        <f ca="1">IFERROR(__xludf.DUMMYFUNCTION("""COMPUTED_VALUE"""),"Phan Thị Hồng Hải")</f>
        <v>Phan Thị Hồng Hải</v>
      </c>
    </row>
    <row r="240" spans="1:33" ht="12.75" x14ac:dyDescent="0.2">
      <c r="A240" s="26">
        <f ca="1">IFERROR(__xludf.DUMMYFUNCTION("""COMPUTED_VALUE"""),45699.767396875)</f>
        <v>45699.767396875002</v>
      </c>
      <c r="B240" s="23" t="str">
        <f ca="1">IFERROR(__xludf.DUMMYFUNCTION("""COMPUTED_VALUE"""),"dovan21092003@gmail.com")</f>
        <v>dovan21092003@gmail.com</v>
      </c>
      <c r="C240" s="23">
        <f ca="1">IFERROR(__xludf.DUMMYFUNCTION("""COMPUTED_VALUE"""),27217102336)</f>
        <v>27217102336</v>
      </c>
      <c r="D240" s="23" t="str">
        <f ca="1">IFERROR(__xludf.DUMMYFUNCTION("""COMPUTED_VALUE"""),"Đỗ Lê Tường Vân")</f>
        <v>Đỗ Lê Tường Vân</v>
      </c>
      <c r="E240" s="27">
        <f ca="1">IFERROR(__xludf.DUMMYFUNCTION("""COMPUTED_VALUE"""),37887)</f>
        <v>37887</v>
      </c>
      <c r="F240" s="23" t="str">
        <f ca="1">IFERROR(__xludf.DUMMYFUNCTION("""COMPUTED_VALUE"""),"K27DLK7")</f>
        <v>K27DLK7</v>
      </c>
      <c r="G240" s="23" t="str">
        <f ca="1">IFERROR(__xludf.DUMMYFUNCTION("""COMPUTED_VALUE"""),"Quản trị Du lịch &amp; Khách sạn")</f>
        <v>Quản trị Du lịch &amp; Khách sạn</v>
      </c>
      <c r="H240" s="23">
        <f ca="1">IFERROR(__xludf.DUMMYFUNCTION("""COMPUTED_VALUE"""),27)</f>
        <v>27</v>
      </c>
      <c r="I240" s="23" t="str">
        <f ca="1">IFERROR(__xludf.DUMMYFUNCTION("""COMPUTED_VALUE"""),"0916761844")</f>
        <v>0916761844</v>
      </c>
      <c r="J240" s="23" t="str">
        <f ca="1">IFERROR(__xludf.DUMMYFUNCTION("""COMPUTED_VALUE"""),"Chuyên đề")</f>
        <v>Chuyên đề</v>
      </c>
      <c r="K240" s="23" t="str">
        <f ca="1">IFERROR(__xludf.DUMMYFUNCTION("""COMPUTED_VALUE"""),"Renaissance Hoi An Resort &amp; Spa")</f>
        <v>Renaissance Hoi An Resort &amp; Spa</v>
      </c>
      <c r="L240" s="23" t="str">
        <f ca="1">IFERROR(__xludf.DUMMYFUNCTION("""COMPUTED_VALUE"""),"RENAISSANCE HOI AN RESORT &amp; SPA")</f>
        <v>RENAISSANCE HOI AN RESORT &amp; SPA</v>
      </c>
      <c r="M240" s="23" t="str">
        <f ca="1">IFERROR(__xludf.DUMMYFUNCTION("""COMPUTED_VALUE"""),"Cửa Đại, Tp. Hội An ")</f>
        <v xml:space="preserve">Cửa Đại, Tp. Hội An </v>
      </c>
      <c r="N240" s="23" t="str">
        <f ca="1">IFERROR(__xludf.DUMMYFUNCTION("""COMPUTED_VALUE"""),"Thành phố Hội An")</f>
        <v>Thành phố Hội An</v>
      </c>
      <c r="O240" s="23" t="str">
        <f ca="1">IFERROR(__xludf.DUMMYFUNCTION("""COMPUTED_VALUE"""),"Buồng phòng")</f>
        <v>Buồng phòng</v>
      </c>
      <c r="P240" s="23"/>
      <c r="Q240" s="23" t="str">
        <f ca="1">IFERROR(__xludf.DUMMYFUNCTION("""COMPUTED_VALUE"""),"10/02/2025")</f>
        <v>10/02/2025</v>
      </c>
      <c r="R240" s="23" t="str">
        <f ca="1">IFERROR(__xludf.DUMMYFUNCTION("""COMPUTED_VALUE"""),"cam kết")</f>
        <v>cam kết</v>
      </c>
      <c r="S240" s="23" t="str">
        <f ca="1">IFERROR(__xludf.DUMMYFUNCTION("""COMPUTED_VALUE"""),"Chuyên đề")</f>
        <v>Chuyên đề</v>
      </c>
      <c r="T240" s="23" t="str">
        <f ca="1">IFERROR(__xludf.DUMMYFUNCTION("""COMPUTED_VALUE"""),"Phạm Thị Thu Thủy")</f>
        <v>Phạm Thị Thu Thủy</v>
      </c>
      <c r="U240" s="27">
        <f ca="1">IFERROR(__xludf.DUMMYFUNCTION("""COMPUTED_VALUE"""),45726)</f>
        <v>45726</v>
      </c>
      <c r="V240" s="27">
        <f ca="1">IFERROR(__xludf.DUMMYFUNCTION("""COMPUTED_VALUE"""),37782)</f>
        <v>37782</v>
      </c>
      <c r="W240" s="23">
        <f ca="1">IFERROR(__xludf.DUMMYFUNCTION("""COMPUTED_VALUE"""),239)</f>
        <v>239</v>
      </c>
      <c r="X240" s="23"/>
      <c r="Y240" s="23" t="str">
        <f ca="1">IFERROR(__xludf.DUMMYFUNCTION("""COMPUTED_VALUE"""),"DUYỆT")</f>
        <v>DUYỆT</v>
      </c>
      <c r="Z240" s="28">
        <f ca="1">IFERROR(__xludf.DUMMYFUNCTION("""COMPUTED_VALUE"""),45993)</f>
        <v>45993</v>
      </c>
      <c r="AA240" s="23" t="str">
        <f ca="1">IFERROR(__xludf.DUMMYFUNCTION("""COMPUTED_VALUE"""),"Renaissance Hoi An Resort &amp; Spa")</f>
        <v>Renaissance Hoi An Resort &amp; Spa</v>
      </c>
      <c r="AB240" s="23" t="str">
        <f ca="1">IFERROR(__xludf.DUMMYFUNCTION("""COMPUTED_VALUE"""),"Buồng phòng")</f>
        <v>Buồng phòng</v>
      </c>
      <c r="AC240" s="23"/>
      <c r="AD240" s="23"/>
      <c r="AE240" s="23" t="str">
        <f ca="1">IFERROR(__xludf.DUMMYFUNCTION("""COMPUTED_VALUE"""),"")</f>
        <v/>
      </c>
      <c r="AF240" s="23" t="str">
        <f ca="1">IFERROR(__xludf.DUMMYFUNCTION("""COMPUTED_VALUE"""),"CHUYÊN ĐỀ")</f>
        <v>CHUYÊN ĐỀ</v>
      </c>
      <c r="AG240" s="23" t="str">
        <f ca="1">IFERROR(__xludf.DUMMYFUNCTION("""COMPUTED_VALUE"""),"Nguyễn Thị Minh Thư")</f>
        <v>Nguyễn Thị Minh Thư</v>
      </c>
    </row>
    <row r="241" spans="1:33" ht="12.75" x14ac:dyDescent="0.2">
      <c r="A241" s="26">
        <f ca="1">IFERROR(__xludf.DUMMYFUNCTION("""COMPUTED_VALUE"""),45709.0167184027)</f>
        <v>45709.016718402701</v>
      </c>
      <c r="B241" s="23" t="str">
        <f ca="1">IFERROR(__xludf.DUMMYFUNCTION("""COMPUTED_VALUE"""),"luunguyencattuyen@gmail.com")</f>
        <v>luunguyencattuyen@gmail.com</v>
      </c>
      <c r="C241" s="23">
        <f ca="1">IFERROR(__xludf.DUMMYFUNCTION("""COMPUTED_VALUE"""),27202821012)</f>
        <v>27202821012</v>
      </c>
      <c r="D241" s="23" t="str">
        <f ca="1">IFERROR(__xludf.DUMMYFUNCTION("""COMPUTED_VALUE"""),"Lưu Nguyễn Cát Tuyên ")</f>
        <v xml:space="preserve">Lưu Nguyễn Cát Tuyên </v>
      </c>
      <c r="E241" s="27">
        <f ca="1">IFERROR(__xludf.DUMMYFUNCTION("""COMPUTED_VALUE"""),37910)</f>
        <v>37910</v>
      </c>
      <c r="F241" s="23" t="str">
        <f ca="1">IFERROR(__xludf.DUMMYFUNCTION("""COMPUTED_VALUE"""),"K27DLK 7")</f>
        <v>K27DLK 7</v>
      </c>
      <c r="G241" s="23" t="str">
        <f ca="1">IFERROR(__xludf.DUMMYFUNCTION("""COMPUTED_VALUE"""),"Quản trị Du lịch &amp; Khách sạn")</f>
        <v>Quản trị Du lịch &amp; Khách sạn</v>
      </c>
      <c r="H241" s="23">
        <f ca="1">IFERROR(__xludf.DUMMYFUNCTION("""COMPUTED_VALUE"""),27)</f>
        <v>27</v>
      </c>
      <c r="I241" s="23" t="str">
        <f ca="1">IFERROR(__xludf.DUMMYFUNCTION("""COMPUTED_VALUE"""),"0383685587")</f>
        <v>0383685587</v>
      </c>
      <c r="J241" s="23" t="str">
        <f ca="1">IFERROR(__xludf.DUMMYFUNCTION("""COMPUTED_VALUE"""),"Chuyên đề")</f>
        <v>Chuyên đề</v>
      </c>
      <c r="K241" s="23" t="str">
        <f ca="1">IFERROR(__xludf.DUMMYFUNCTION("""COMPUTED_VALUE"""),"khách sạn khác")</f>
        <v>khách sạn khác</v>
      </c>
      <c r="L241" s="23" t="str">
        <f ca="1">IFERROR(__xludf.DUMMYFUNCTION("""COMPUTED_VALUE"""),"Renaissance Hoi An Resort &amp; Spa")</f>
        <v>Renaissance Hoi An Resort &amp; Spa</v>
      </c>
      <c r="M241" s="23" t="str">
        <f ca="1">IFERROR(__xludf.DUMMYFUNCTION("""COMPUTED_VALUE"""),"Cửa Đại, Tp. Hội An")</f>
        <v>Cửa Đại, Tp. Hội An</v>
      </c>
      <c r="N241" s="23" t="str">
        <f ca="1">IFERROR(__xludf.DUMMYFUNCTION("""COMPUTED_VALUE"""),"Thành phố Hội An")</f>
        <v>Thành phố Hội An</v>
      </c>
      <c r="O241" s="23" t="str">
        <f ca="1">IFERROR(__xludf.DUMMYFUNCTION("""COMPUTED_VALUE"""),"Buồng phòng")</f>
        <v>Buồng phòng</v>
      </c>
      <c r="P241" s="23"/>
      <c r="Q241" s="23" t="str">
        <f ca="1">IFERROR(__xludf.DUMMYFUNCTION("""COMPUTED_VALUE"""),"20/02/2025")</f>
        <v>20/02/2025</v>
      </c>
      <c r="R241" s="23" t="str">
        <f ca="1">IFERROR(__xludf.DUMMYFUNCTION("""COMPUTED_VALUE"""),"cam kết")</f>
        <v>cam kết</v>
      </c>
      <c r="S241" s="23" t="str">
        <f ca="1">IFERROR(__xludf.DUMMYFUNCTION("""COMPUTED_VALUE"""),"Chuyên đề")</f>
        <v>Chuyên đề</v>
      </c>
      <c r="T241" s="23" t="str">
        <f ca="1">IFERROR(__xludf.DUMMYFUNCTION("""COMPUTED_VALUE"""),"Phạm Thị Thu Thủy")</f>
        <v>Phạm Thị Thu Thủy</v>
      </c>
      <c r="U241" s="27">
        <f ca="1">IFERROR(__xludf.DUMMYFUNCTION("""COMPUTED_VALUE"""),45726)</f>
        <v>45726</v>
      </c>
      <c r="V241" s="27">
        <f ca="1">IFERROR(__xludf.DUMMYFUNCTION("""COMPUTED_VALUE"""),45818)</f>
        <v>45818</v>
      </c>
      <c r="W241" s="23">
        <f ca="1">IFERROR(__xludf.DUMMYFUNCTION("""COMPUTED_VALUE"""),240)</f>
        <v>240</v>
      </c>
      <c r="X241" s="23"/>
      <c r="Y241" s="23" t="str">
        <f ca="1">IFERROR(__xludf.DUMMYFUNCTION("""COMPUTED_VALUE"""),"DUYỆT")</f>
        <v>DUYỆT</v>
      </c>
      <c r="Z241" s="28">
        <f ca="1">IFERROR(__xludf.DUMMYFUNCTION("""COMPUTED_VALUE"""),45993)</f>
        <v>45993</v>
      </c>
      <c r="AA241" s="23" t="str">
        <f ca="1">IFERROR(__xludf.DUMMYFUNCTION("""COMPUTED_VALUE"""),"Renaissance Hoi An Resort &amp; Spa")</f>
        <v>Renaissance Hoi An Resort &amp; Spa</v>
      </c>
      <c r="AB241" s="23" t="str">
        <f ca="1">IFERROR(__xludf.DUMMYFUNCTION("""COMPUTED_VALUE"""),"Buồng phòng")</f>
        <v>Buồng phòng</v>
      </c>
      <c r="AC241" s="23"/>
      <c r="AD241" s="23"/>
      <c r="AE241" s="23" t="str">
        <f ca="1">IFERROR(__xludf.DUMMYFUNCTION("""COMPUTED_VALUE"""),"")</f>
        <v/>
      </c>
      <c r="AF241" s="23" t="str">
        <f ca="1">IFERROR(__xludf.DUMMYFUNCTION("""COMPUTED_VALUE"""),"CHUYÊN ĐỀ")</f>
        <v>CHUYÊN ĐỀ</v>
      </c>
      <c r="AG241" s="23" t="str">
        <f ca="1">IFERROR(__xludf.DUMMYFUNCTION("""COMPUTED_VALUE"""),"Nguyễn Thị Minh Thư")</f>
        <v>Nguyễn Thị Minh Thư</v>
      </c>
    </row>
    <row r="242" spans="1:33" ht="12.75" x14ac:dyDescent="0.2">
      <c r="A242" s="26">
        <f ca="1">IFERROR(__xludf.DUMMYFUNCTION("""COMPUTED_VALUE"""),45700.4896139814)</f>
        <v>45700.489613981401</v>
      </c>
      <c r="B242" s="23" t="str">
        <f ca="1">IFERROR(__xludf.DUMMYFUNCTION("""COMPUTED_VALUE"""),"khvan019@gmail.com")</f>
        <v>khvan019@gmail.com</v>
      </c>
      <c r="C242" s="23">
        <f ca="1">IFERROR(__xludf.DUMMYFUNCTION("""COMPUTED_VALUE"""),27207143177)</f>
        <v>27207143177</v>
      </c>
      <c r="D242" s="23" t="str">
        <f ca="1">IFERROR(__xludf.DUMMYFUNCTION("""COMPUTED_VALUE"""),"Trương Thị Khánh Vân")</f>
        <v>Trương Thị Khánh Vân</v>
      </c>
      <c r="E242" s="27">
        <f ca="1">IFERROR(__xludf.DUMMYFUNCTION("""COMPUTED_VALUE"""),37937)</f>
        <v>37937</v>
      </c>
      <c r="F242" s="23" t="str">
        <f ca="1">IFERROR(__xludf.DUMMYFUNCTION("""COMPUTED_VALUE"""),"K27DLK7")</f>
        <v>K27DLK7</v>
      </c>
      <c r="G242" s="23" t="str">
        <f ca="1">IFERROR(__xludf.DUMMYFUNCTION("""COMPUTED_VALUE"""),"Quản trị Du lịch &amp; Khách sạn")</f>
        <v>Quản trị Du lịch &amp; Khách sạn</v>
      </c>
      <c r="H242" s="23">
        <f ca="1">IFERROR(__xludf.DUMMYFUNCTION("""COMPUTED_VALUE"""),27)</f>
        <v>27</v>
      </c>
      <c r="I242" s="23" t="str">
        <f ca="1">IFERROR(__xludf.DUMMYFUNCTION("""COMPUTED_VALUE"""),"0372352302")</f>
        <v>0372352302</v>
      </c>
      <c r="J242" s="23" t="str">
        <f ca="1">IFERROR(__xludf.DUMMYFUNCTION("""COMPUTED_VALUE"""),"Chuyên đề")</f>
        <v>Chuyên đề</v>
      </c>
      <c r="K242" s="23" t="str">
        <f ca="1">IFERROR(__xludf.DUMMYFUNCTION("""COMPUTED_VALUE"""),"Renaissance Hoi An Resort &amp; Spa")</f>
        <v>Renaissance Hoi An Resort &amp; Spa</v>
      </c>
      <c r="L242" s="23" t="str">
        <f ca="1">IFERROR(__xludf.DUMMYFUNCTION("""COMPUTED_VALUE"""),"Renaissance Hoi An Resort &amp; Spa")</f>
        <v>Renaissance Hoi An Resort &amp; Spa</v>
      </c>
      <c r="M242" s="23" t="str">
        <f ca="1">IFERROR(__xludf.DUMMYFUNCTION("""COMPUTED_VALUE"""),"Hội An, Quảng Nam")</f>
        <v>Hội An, Quảng Nam</v>
      </c>
      <c r="N242" s="23" t="str">
        <f ca="1">IFERROR(__xludf.DUMMYFUNCTION("""COMPUTED_VALUE"""),"Thành Phố Hội An")</f>
        <v>Thành Phố Hội An</v>
      </c>
      <c r="O242" s="23" t="str">
        <f ca="1">IFERROR(__xludf.DUMMYFUNCTION("""COMPUTED_VALUE"""),"Buồng phòng")</f>
        <v>Buồng phòng</v>
      </c>
      <c r="P242" s="23"/>
      <c r="Q242" s="23" t="str">
        <f ca="1">IFERROR(__xludf.DUMMYFUNCTION("""COMPUTED_VALUE"""),"15/02/2025")</f>
        <v>15/02/2025</v>
      </c>
      <c r="R242" s="23" t="str">
        <f ca="1">IFERROR(__xludf.DUMMYFUNCTION("""COMPUTED_VALUE"""),"cam kết")</f>
        <v>cam kết</v>
      </c>
      <c r="S242" s="23" t="str">
        <f ca="1">IFERROR(__xludf.DUMMYFUNCTION("""COMPUTED_VALUE"""),"Chuyên đề")</f>
        <v>Chuyên đề</v>
      </c>
      <c r="T242" s="23" t="str">
        <f ca="1">IFERROR(__xludf.DUMMYFUNCTION("""COMPUTED_VALUE"""),"Phạm Thị Thu Thủy")</f>
        <v>Phạm Thị Thu Thủy</v>
      </c>
      <c r="U242" s="27">
        <f ca="1">IFERROR(__xludf.DUMMYFUNCTION("""COMPUTED_VALUE"""),45726)</f>
        <v>45726</v>
      </c>
      <c r="V242" s="27">
        <f ca="1">IFERROR(__xludf.DUMMYFUNCTION("""COMPUTED_VALUE"""),45818)</f>
        <v>45818</v>
      </c>
      <c r="W242" s="23">
        <f ca="1">IFERROR(__xludf.DUMMYFUNCTION("""COMPUTED_VALUE"""),241)</f>
        <v>241</v>
      </c>
      <c r="X242" s="23"/>
      <c r="Y242" s="23" t="str">
        <f ca="1">IFERROR(__xludf.DUMMYFUNCTION("""COMPUTED_VALUE"""),"DUYỆT")</f>
        <v>DUYỆT</v>
      </c>
      <c r="Z242" s="28">
        <f ca="1">IFERROR(__xludf.DUMMYFUNCTION("""COMPUTED_VALUE"""),45993)</f>
        <v>45993</v>
      </c>
      <c r="AA242" s="23" t="str">
        <f ca="1">IFERROR(__xludf.DUMMYFUNCTION("""COMPUTED_VALUE"""),"Renaissance Hoi An Resort &amp; Spa")</f>
        <v>Renaissance Hoi An Resort &amp; Spa</v>
      </c>
      <c r="AB242" s="23" t="str">
        <f ca="1">IFERROR(__xludf.DUMMYFUNCTION("""COMPUTED_VALUE"""),"Buồng phòng")</f>
        <v>Buồng phòng</v>
      </c>
      <c r="AC242" s="23"/>
      <c r="AD242" s="23"/>
      <c r="AE242" s="23" t="str">
        <f ca="1">IFERROR(__xludf.DUMMYFUNCTION("""COMPUTED_VALUE"""),"")</f>
        <v/>
      </c>
      <c r="AF242" s="23" t="str">
        <f ca="1">IFERROR(__xludf.DUMMYFUNCTION("""COMPUTED_VALUE"""),"CHUYÊN ĐỀ")</f>
        <v>CHUYÊN ĐỀ</v>
      </c>
      <c r="AG242" s="23" t="str">
        <f ca="1">IFERROR(__xludf.DUMMYFUNCTION("""COMPUTED_VALUE"""),"Nguyễn Thị Minh Thư")</f>
        <v>Nguyễn Thị Minh Thư</v>
      </c>
    </row>
    <row r="243" spans="1:33" ht="12.75" x14ac:dyDescent="0.2">
      <c r="A243" s="26">
        <f ca="1">IFERROR(__xludf.DUMMYFUNCTION("""COMPUTED_VALUE"""),45700.4903541435)</f>
        <v>45700.490354143498</v>
      </c>
      <c r="B243" s="23" t="str">
        <f ca="1">IFERROR(__xludf.DUMMYFUNCTION("""COMPUTED_VALUE"""),"vutkimngan309@gmail.com")</f>
        <v>vutkimngan309@gmail.com</v>
      </c>
      <c r="C243" s="23">
        <f ca="1">IFERROR(__xludf.DUMMYFUNCTION("""COMPUTED_VALUE"""),27207225415)</f>
        <v>27207225415</v>
      </c>
      <c r="D243" s="23" t="str">
        <f ca="1">IFERROR(__xludf.DUMMYFUNCTION("""COMPUTED_VALUE"""),"Vũ Thị Kim Ngân")</f>
        <v>Vũ Thị Kim Ngân</v>
      </c>
      <c r="E243" s="27">
        <f ca="1">IFERROR(__xludf.DUMMYFUNCTION("""COMPUTED_VALUE"""),37894)</f>
        <v>37894</v>
      </c>
      <c r="F243" s="23" t="str">
        <f ca="1">IFERROR(__xludf.DUMMYFUNCTION("""COMPUTED_VALUE"""),"K27DLK7")</f>
        <v>K27DLK7</v>
      </c>
      <c r="G243" s="23" t="str">
        <f ca="1">IFERROR(__xludf.DUMMYFUNCTION("""COMPUTED_VALUE"""),"Quản trị Du lịch &amp; Khách sạn")</f>
        <v>Quản trị Du lịch &amp; Khách sạn</v>
      </c>
      <c r="H243" s="23">
        <f ca="1">IFERROR(__xludf.DUMMYFUNCTION("""COMPUTED_VALUE"""),27)</f>
        <v>27</v>
      </c>
      <c r="I243" s="23" t="str">
        <f ca="1">IFERROR(__xludf.DUMMYFUNCTION("""COMPUTED_VALUE"""),"0393671089")</f>
        <v>0393671089</v>
      </c>
      <c r="J243" s="23" t="str">
        <f ca="1">IFERROR(__xludf.DUMMYFUNCTION("""COMPUTED_VALUE"""),"Chuyên đề")</f>
        <v>Chuyên đề</v>
      </c>
      <c r="K243" s="23" t="str">
        <f ca="1">IFERROR(__xludf.DUMMYFUNCTION("""COMPUTED_VALUE"""),"Renaissance Hoi An Resort &amp; Spa")</f>
        <v>Renaissance Hoi An Resort &amp; Spa</v>
      </c>
      <c r="L243" s="23" t="str">
        <f ca="1">IFERROR(__xludf.DUMMYFUNCTION("""COMPUTED_VALUE"""),"Renaissance Hội An Resort &amp; Spa ")</f>
        <v xml:space="preserve">Renaissance Hội An Resort &amp; Spa </v>
      </c>
      <c r="M243" s="23" t="str">
        <f ca="1">IFERROR(__xludf.DUMMYFUNCTION("""COMPUTED_VALUE"""),"Block 6, Phuoc Hai Village, Cua Dai Beach, Hoi An ")</f>
        <v xml:space="preserve">Block 6, Phuoc Hai Village, Cua Dai Beach, Hoi An </v>
      </c>
      <c r="N243" s="23" t="str">
        <f ca="1">IFERROR(__xludf.DUMMYFUNCTION("""COMPUTED_VALUE"""),"Thành Phố Hội An")</f>
        <v>Thành Phố Hội An</v>
      </c>
      <c r="O243" s="23" t="str">
        <f ca="1">IFERROR(__xludf.DUMMYFUNCTION("""COMPUTED_VALUE"""),"Buồng phòng")</f>
        <v>Buồng phòng</v>
      </c>
      <c r="P243" s="23"/>
      <c r="Q243" s="23" t="str">
        <f ca="1">IFERROR(__xludf.DUMMYFUNCTION("""COMPUTED_VALUE"""),"12/2")</f>
        <v>12/2</v>
      </c>
      <c r="R243" s="23" t="str">
        <f ca="1">IFERROR(__xludf.DUMMYFUNCTION("""COMPUTED_VALUE"""),"cam kết")</f>
        <v>cam kết</v>
      </c>
      <c r="S243" s="23" t="str">
        <f ca="1">IFERROR(__xludf.DUMMYFUNCTION("""COMPUTED_VALUE"""),"Chuyên đề")</f>
        <v>Chuyên đề</v>
      </c>
      <c r="T243" s="23" t="str">
        <f ca="1">IFERROR(__xludf.DUMMYFUNCTION("""COMPUTED_VALUE"""),"Phạm Thị Thu Thủy")</f>
        <v>Phạm Thị Thu Thủy</v>
      </c>
      <c r="U243" s="27">
        <f ca="1">IFERROR(__xludf.DUMMYFUNCTION("""COMPUTED_VALUE"""),45726)</f>
        <v>45726</v>
      </c>
      <c r="V243" s="27">
        <f ca="1">IFERROR(__xludf.DUMMYFUNCTION("""COMPUTED_VALUE"""),45818)</f>
        <v>45818</v>
      </c>
      <c r="W243" s="23">
        <f ca="1">IFERROR(__xludf.DUMMYFUNCTION("""COMPUTED_VALUE"""),242)</f>
        <v>242</v>
      </c>
      <c r="X243" s="23"/>
      <c r="Y243" s="23" t="str">
        <f ca="1">IFERROR(__xludf.DUMMYFUNCTION("""COMPUTED_VALUE"""),"DUYỆT")</f>
        <v>DUYỆT</v>
      </c>
      <c r="Z243" s="28">
        <f ca="1">IFERROR(__xludf.DUMMYFUNCTION("""COMPUTED_VALUE"""),45993)</f>
        <v>45993</v>
      </c>
      <c r="AA243" s="23" t="str">
        <f ca="1">IFERROR(__xludf.DUMMYFUNCTION("""COMPUTED_VALUE"""),"Renaissance Hoi An Resort &amp; Spa")</f>
        <v>Renaissance Hoi An Resort &amp; Spa</v>
      </c>
      <c r="AB243" s="23" t="str">
        <f ca="1">IFERROR(__xludf.DUMMYFUNCTION("""COMPUTED_VALUE"""),"Buồng phòng")</f>
        <v>Buồng phòng</v>
      </c>
      <c r="AC243" s="23"/>
      <c r="AD243" s="23"/>
      <c r="AE243" s="23" t="str">
        <f ca="1">IFERROR(__xludf.DUMMYFUNCTION("""COMPUTED_VALUE"""),"")</f>
        <v/>
      </c>
      <c r="AF243" s="23" t="str">
        <f ca="1">IFERROR(__xludf.DUMMYFUNCTION("""COMPUTED_VALUE"""),"không đủ điều kiện")</f>
        <v>không đủ điều kiện</v>
      </c>
      <c r="AG243" s="23"/>
    </row>
    <row r="244" spans="1:33" ht="12.75" x14ac:dyDescent="0.2">
      <c r="A244" s="26">
        <f ca="1">IFERROR(__xludf.DUMMYFUNCTION("""COMPUTED_VALUE"""),45701.3282645486)</f>
        <v>45701.328264548603</v>
      </c>
      <c r="B244" s="23" t="str">
        <f ca="1">IFERROR(__xludf.DUMMYFUNCTION("""COMPUTED_VALUE"""),"hanhquy1811@gmail.com")</f>
        <v>hanhquy1811@gmail.com</v>
      </c>
      <c r="C244" s="23">
        <f ca="1">IFERROR(__xludf.DUMMYFUNCTION("""COMPUTED_VALUE"""),25207209274)</f>
        <v>25207209274</v>
      </c>
      <c r="D244" s="23" t="str">
        <f ca="1">IFERROR(__xludf.DUMMYFUNCTION("""COMPUTED_VALUE"""),"Trần Thị Hạnh Quý")</f>
        <v>Trần Thị Hạnh Quý</v>
      </c>
      <c r="E244" s="27">
        <f ca="1">IFERROR(__xludf.DUMMYFUNCTION("""COMPUTED_VALUE"""),36848)</f>
        <v>36848</v>
      </c>
      <c r="F244" s="23" t="str">
        <f ca="1">IFERROR(__xludf.DUMMYFUNCTION("""COMPUTED_VALUE"""),"K25 PSU DLK6")</f>
        <v>K25 PSU DLK6</v>
      </c>
      <c r="G244" s="23" t="str">
        <f ca="1">IFERROR(__xludf.DUMMYFUNCTION("""COMPUTED_VALUE"""),"Quản trị Du lịch &amp; Khách sạn chuẩn PSU")</f>
        <v>Quản trị Du lịch &amp; Khách sạn chuẩn PSU</v>
      </c>
      <c r="H244" s="23">
        <f ca="1">IFERROR(__xludf.DUMMYFUNCTION("""COMPUTED_VALUE"""),25)</f>
        <v>25</v>
      </c>
      <c r="I244" s="23" t="str">
        <f ca="1">IFERROR(__xludf.DUMMYFUNCTION("""COMPUTED_VALUE"""),"0935194033")</f>
        <v>0935194033</v>
      </c>
      <c r="J244" s="23" t="str">
        <f ca="1">IFERROR(__xludf.DUMMYFUNCTION("""COMPUTED_VALUE"""),"Chuyên đề")</f>
        <v>Chuyên đề</v>
      </c>
      <c r="K244" s="23" t="str">
        <f ca="1">IFERROR(__xludf.DUMMYFUNCTION("""COMPUTED_VALUE"""),"Four Points by Sheraton Danang")</f>
        <v>Four Points by Sheraton Danang</v>
      </c>
      <c r="L244" s="23"/>
      <c r="M244" s="23" t="str">
        <f ca="1">IFERROR(__xludf.DUMMYFUNCTION("""COMPUTED_VALUE"""),"118-120 Võ Nguyên Giáp , Phước Mỹ , Sơn Trà , Đà Nẵng")</f>
        <v>118-120 Võ Nguyên Giáp , Phước Mỹ , Sơn Trà , Đà Nẵng</v>
      </c>
      <c r="N244" s="23" t="str">
        <f ca="1">IFERROR(__xludf.DUMMYFUNCTION("""COMPUTED_VALUE"""),"Đà Nẵng ")</f>
        <v xml:space="preserve">Đà Nẵng </v>
      </c>
      <c r="O244" s="23" t="str">
        <f ca="1">IFERROR(__xludf.DUMMYFUNCTION("""COMPUTED_VALUE"""),"Tiền sảnh")</f>
        <v>Tiền sảnh</v>
      </c>
      <c r="P244" s="23"/>
      <c r="Q244" s="23" t="str">
        <f ca="1">IFERROR(__xludf.DUMMYFUNCTION("""COMPUTED_VALUE"""),"6/2/2025")</f>
        <v>6/2/2025</v>
      </c>
      <c r="R244" s="23" t="str">
        <f ca="1">IFERROR(__xludf.DUMMYFUNCTION("""COMPUTED_VALUE"""),"cam kết")</f>
        <v>cam kết</v>
      </c>
      <c r="S244" s="23" t="str">
        <f ca="1">IFERROR(__xludf.DUMMYFUNCTION("""COMPUTED_VALUE"""),"Chuyên đề")</f>
        <v>Chuyên đề</v>
      </c>
      <c r="T244" s="23" t="str">
        <f ca="1">IFERROR(__xludf.DUMMYFUNCTION("""COMPUTED_VALUE"""),"Dương Thị Xuân Diệu")</f>
        <v>Dương Thị Xuân Diệu</v>
      </c>
      <c r="U244" s="27">
        <f ca="1">IFERROR(__xludf.DUMMYFUNCTION("""COMPUTED_VALUE"""),45558)</f>
        <v>45558</v>
      </c>
      <c r="V244" s="27">
        <f ca="1">IFERROR(__xludf.DUMMYFUNCTION("""COMPUTED_VALUE"""),45671)</f>
        <v>45671</v>
      </c>
      <c r="W244" s="23">
        <f ca="1">IFERROR(__xludf.DUMMYFUNCTION("""COMPUTED_VALUE"""),243)</f>
        <v>243</v>
      </c>
      <c r="X244" s="23" t="str">
        <f ca="1">IFERROR(__xludf.DUMMYFUNCTION("""COMPUTED_VALUE"""),"17/02/2025")</f>
        <v>17/02/2025</v>
      </c>
      <c r="Y244" s="23" t="str">
        <f ca="1">IFERROR(__xludf.DUMMYFUNCTION("""COMPUTED_VALUE"""),"DUYỆT")</f>
        <v>DUYỆT</v>
      </c>
      <c r="Z244" s="23" t="str">
        <f ca="1">IFERROR(__xludf.DUMMYFUNCTION("""COMPUTED_VALUE"""),"13/02/2025")</f>
        <v>13/02/2025</v>
      </c>
      <c r="AA244" s="23" t="str">
        <f ca="1">IFERROR(__xludf.DUMMYFUNCTION("""COMPUTED_VALUE"""),"Four Points by Sheraton Danang")</f>
        <v>Four Points by Sheraton Danang</v>
      </c>
      <c r="AB244" s="23" t="str">
        <f ca="1">IFERROR(__xludf.DUMMYFUNCTION("""COMPUTED_VALUE"""),"Tiền sảnh")</f>
        <v>Tiền sảnh</v>
      </c>
      <c r="AC244" s="23" t="str">
        <f ca="1">IFERROR(__xludf.DUMMYFUNCTION("""COMPUTED_VALUE"""),"ĐÃ NỘP")</f>
        <v>ĐÃ NỘP</v>
      </c>
      <c r="AD244" s="23"/>
      <c r="AE244" s="23" t="str">
        <f ca="1">IFERROR(__xludf.DUMMYFUNCTION("""COMPUTED_VALUE"""),"")</f>
        <v/>
      </c>
      <c r="AF244" s="23" t="str">
        <f ca="1">IFERROR(__xludf.DUMMYFUNCTION("""COMPUTED_VALUE"""),"CHUYÊN ĐỀ")</f>
        <v>CHUYÊN ĐỀ</v>
      </c>
      <c r="AG244" s="23" t="str">
        <f ca="1">IFERROR(__xludf.DUMMYFUNCTION("""COMPUTED_VALUE"""),"Võ Đức Hiếu")</f>
        <v>Võ Đức Hiếu</v>
      </c>
    </row>
    <row r="245" spans="1:33" ht="12.75" x14ac:dyDescent="0.2">
      <c r="A245" s="26">
        <f ca="1">IFERROR(__xludf.DUMMYFUNCTION("""COMPUTED_VALUE"""),45706.6732539236)</f>
        <v>45706.673253923604</v>
      </c>
      <c r="B245" s="23" t="str">
        <f ca="1">IFERROR(__xludf.DUMMYFUNCTION("""COMPUTED_VALUE"""),"thaidau19@gmail.com")</f>
        <v>thaidau19@gmail.com</v>
      </c>
      <c r="C245" s="23">
        <f ca="1">IFERROR(__xludf.DUMMYFUNCTION("""COMPUTED_VALUE"""),27217141068)</f>
        <v>27217141068</v>
      </c>
      <c r="D245" s="23" t="str">
        <f ca="1">IFERROR(__xludf.DUMMYFUNCTION("""COMPUTED_VALUE"""),"Lê Thái Đẩu")</f>
        <v>Lê Thái Đẩu</v>
      </c>
      <c r="E245" s="27">
        <f ca="1">IFERROR(__xludf.DUMMYFUNCTION("""COMPUTED_VALUE"""),37688)</f>
        <v>37688</v>
      </c>
      <c r="F245" s="23" t="str">
        <f ca="1">IFERROR(__xludf.DUMMYFUNCTION("""COMPUTED_VALUE"""),"K27DLK2")</f>
        <v>K27DLK2</v>
      </c>
      <c r="G245" s="23" t="str">
        <f ca="1">IFERROR(__xludf.DUMMYFUNCTION("""COMPUTED_VALUE"""),"Quản trị Du lịch &amp; Khách sạn")</f>
        <v>Quản trị Du lịch &amp; Khách sạn</v>
      </c>
      <c r="H245" s="23">
        <f ca="1">IFERROR(__xludf.DUMMYFUNCTION("""COMPUTED_VALUE"""),27)</f>
        <v>27</v>
      </c>
      <c r="I245" s="23" t="str">
        <f ca="1">IFERROR(__xludf.DUMMYFUNCTION("""COMPUTED_VALUE"""),"0366040112")</f>
        <v>0366040112</v>
      </c>
      <c r="J245" s="23" t="str">
        <f ca="1">IFERROR(__xludf.DUMMYFUNCTION("""COMPUTED_VALUE"""),"Chuyên đề")</f>
        <v>Chuyên đề</v>
      </c>
      <c r="K245" s="23" t="str">
        <f ca="1">IFERROR(__xludf.DUMMYFUNCTION("""COMPUTED_VALUE"""),"khách sạn khác")</f>
        <v>khách sạn khác</v>
      </c>
      <c r="L245" s="23" t="str">
        <f ca="1">IFERROR(__xludf.DUMMYFUNCTION("""COMPUTED_VALUE"""),"Renaissance Hoi An Resort &amp; Spa")</f>
        <v>Renaissance Hoi An Resort &amp; Spa</v>
      </c>
      <c r="M245" s="23" t="str">
        <f ca="1">IFERROR(__xludf.DUMMYFUNCTION("""COMPUTED_VALUE"""),"KHU 6 PHƯỚC HẢI, PHƯỜNG CỬA ĐẠI, THÀNH PHỐ HỘI AN, QUẢNG NAM")</f>
        <v>KHU 6 PHƯỚC HẢI, PHƯỜNG CỬA ĐẠI, THÀNH PHỐ HỘI AN, QUẢNG NAM</v>
      </c>
      <c r="N245" s="23" t="str">
        <f ca="1">IFERROR(__xludf.DUMMYFUNCTION("""COMPUTED_VALUE"""),"Hội An")</f>
        <v>Hội An</v>
      </c>
      <c r="O245" s="23" t="str">
        <f ca="1">IFERROR(__xludf.DUMMYFUNCTION("""COMPUTED_VALUE"""),"Nhà hàng")</f>
        <v>Nhà hàng</v>
      </c>
      <c r="P245" s="23"/>
      <c r="Q245" s="23" t="str">
        <f ca="1">IFERROR(__xludf.DUMMYFUNCTION("""COMPUTED_VALUE"""),"Em đang đợi lịch phỏng vấn với doanh nghiêp")</f>
        <v>Em đang đợi lịch phỏng vấn với doanh nghiêp</v>
      </c>
      <c r="R245" s="23" t="str">
        <f ca="1">IFERROR(__xludf.DUMMYFUNCTION("""COMPUTED_VALUE"""),"cam kết")</f>
        <v>cam kết</v>
      </c>
      <c r="S245" s="23" t="str">
        <f ca="1">IFERROR(__xludf.DUMMYFUNCTION("""COMPUTED_VALUE"""),"Chuyên đề")</f>
        <v>Chuyên đề</v>
      </c>
      <c r="T245" s="23"/>
      <c r="U245" s="27">
        <f ca="1">IFERROR(__xludf.DUMMYFUNCTION("""COMPUTED_VALUE"""),46091)</f>
        <v>46091</v>
      </c>
      <c r="V245" s="27">
        <f ca="1">IFERROR(__xludf.DUMMYFUNCTION("""COMPUTED_VALUE"""),45818)</f>
        <v>45818</v>
      </c>
      <c r="W245" s="23">
        <f ca="1">IFERROR(__xludf.DUMMYFUNCTION("""COMPUTED_VALUE"""),244)</f>
        <v>244</v>
      </c>
      <c r="X245" s="23"/>
      <c r="Y245" s="23" t="str">
        <f ca="1">IFERROR(__xludf.DUMMYFUNCTION("""COMPUTED_VALUE"""),"DUYỆT")</f>
        <v>DUYỆT</v>
      </c>
      <c r="Z245" s="23" t="str">
        <f ca="1">IFERROR(__xludf.DUMMYFUNCTION("""COMPUTED_VALUE"""),"18/02/2025")</f>
        <v>18/02/2025</v>
      </c>
      <c r="AA245" s="23" t="str">
        <f ca="1">IFERROR(__xludf.DUMMYFUNCTION("""COMPUTED_VALUE"""),"Renaissance Hoi An Resort &amp; Spa")</f>
        <v>Renaissance Hoi An Resort &amp; Spa</v>
      </c>
      <c r="AB245" s="23" t="str">
        <f ca="1">IFERROR(__xludf.DUMMYFUNCTION("""COMPUTED_VALUE"""),"Nhà hàng")</f>
        <v>Nhà hàng</v>
      </c>
      <c r="AC245" s="23"/>
      <c r="AD245" s="23"/>
      <c r="AE245" s="23" t="str">
        <f ca="1">IFERROR(__xludf.DUMMYFUNCTION("""COMPUTED_VALUE"""),"")</f>
        <v/>
      </c>
      <c r="AF245" s="23" t="str">
        <f ca="1">IFERROR(__xludf.DUMMYFUNCTION("""COMPUTED_VALUE"""),"CHUYÊN ĐỀ")</f>
        <v>CHUYÊN ĐỀ</v>
      </c>
      <c r="AG245" s="23" t="str">
        <f ca="1">IFERROR(__xludf.DUMMYFUNCTION("""COMPUTED_VALUE"""),"Trịnh Thị Kim Chung")</f>
        <v>Trịnh Thị Kim Chung</v>
      </c>
    </row>
    <row r="246" spans="1:33" ht="12.75" x14ac:dyDescent="0.2">
      <c r="A246" s="26">
        <f ca="1">IFERROR(__xludf.DUMMYFUNCTION("""COMPUTED_VALUE"""),45702.3898812615)</f>
        <v>45702.389881261501</v>
      </c>
      <c r="B246" s="23" t="str">
        <f ca="1">IFERROR(__xludf.DUMMYFUNCTION("""COMPUTED_VALUE"""),"ngothianhquynhpbc@gmail.com")</f>
        <v>ngothianhquynhpbc@gmail.com</v>
      </c>
      <c r="C246" s="23">
        <f ca="1">IFERROR(__xludf.DUMMYFUNCTION("""COMPUTED_VALUE"""),27207103121)</f>
        <v>27207103121</v>
      </c>
      <c r="D246" s="23" t="str">
        <f ca="1">IFERROR(__xludf.DUMMYFUNCTION("""COMPUTED_VALUE"""),"Ngô Thị Ánh Quỳnh")</f>
        <v>Ngô Thị Ánh Quỳnh</v>
      </c>
      <c r="E246" s="27">
        <f ca="1">IFERROR(__xludf.DUMMYFUNCTION("""COMPUTED_VALUE"""),37719)</f>
        <v>37719</v>
      </c>
      <c r="F246" s="23" t="str">
        <f ca="1">IFERROR(__xludf.DUMMYFUNCTION("""COMPUTED_VALUE"""),"K27DLK1")</f>
        <v>K27DLK1</v>
      </c>
      <c r="G246" s="23" t="str">
        <f ca="1">IFERROR(__xludf.DUMMYFUNCTION("""COMPUTED_VALUE"""),"Quản trị Du lịch &amp; Khách sạn")</f>
        <v>Quản trị Du lịch &amp; Khách sạn</v>
      </c>
      <c r="H246" s="23">
        <f ca="1">IFERROR(__xludf.DUMMYFUNCTION("""COMPUTED_VALUE"""),27)</f>
        <v>27</v>
      </c>
      <c r="I246" s="23" t="str">
        <f ca="1">IFERROR(__xludf.DUMMYFUNCTION("""COMPUTED_VALUE"""),"0985819222")</f>
        <v>0985819222</v>
      </c>
      <c r="J246" s="23" t="str">
        <f ca="1">IFERROR(__xludf.DUMMYFUNCTION("""COMPUTED_VALUE"""),"Chuyên đề")</f>
        <v>Chuyên đề</v>
      </c>
      <c r="K246" s="23" t="str">
        <f ca="1">IFERROR(__xludf.DUMMYFUNCTION("""COMPUTED_VALUE"""),"Renaissance Hoi An Resort &amp; Spa")</f>
        <v>Renaissance Hoi An Resort &amp; Spa</v>
      </c>
      <c r="L246" s="23" t="str">
        <f ca="1">IFERROR(__xludf.DUMMYFUNCTION("""COMPUTED_VALUE"""),"Renaissance Hội An Resort&amp;Spa")</f>
        <v>Renaissance Hội An Resort&amp;Spa</v>
      </c>
      <c r="M246" s="23" t="str">
        <f ca="1">IFERROR(__xludf.DUMMYFUNCTION("""COMPUTED_VALUE"""),"Lô 6, Phước Hải, Phường Cửa Đại, Hội An, Việt Nam")</f>
        <v>Lô 6, Phước Hải, Phường Cửa Đại, Hội An, Việt Nam</v>
      </c>
      <c r="N246" s="23" t="str">
        <f ca="1">IFERROR(__xludf.DUMMYFUNCTION("""COMPUTED_VALUE"""),"Đà Nẵng")</f>
        <v>Đà Nẵng</v>
      </c>
      <c r="O246" s="23" t="str">
        <f ca="1">IFERROR(__xludf.DUMMYFUNCTION("""COMPUTED_VALUE"""),"Tiền sảnh")</f>
        <v>Tiền sảnh</v>
      </c>
      <c r="P246" s="23"/>
      <c r="Q246" s="23" t="str">
        <f ca="1">IFERROR(__xludf.DUMMYFUNCTION("""COMPUTED_VALUE"""),"10/3/2025, dạ tại vì bên resort chưa có triển khai lịch phỏng vấn nên em chưa biết được ngày nào để gặp doanh nghiệp đóng dấu được ạ, em xin lỗi ạ")</f>
        <v>10/3/2025, dạ tại vì bên resort chưa có triển khai lịch phỏng vấn nên em chưa biết được ngày nào để gặp doanh nghiệp đóng dấu được ạ, em xin lỗi ạ</v>
      </c>
      <c r="R246" s="23" t="str">
        <f ca="1">IFERROR(__xludf.DUMMYFUNCTION("""COMPUTED_VALUE"""),"cam kết")</f>
        <v>cam kết</v>
      </c>
      <c r="S246" s="23" t="str">
        <f ca="1">IFERROR(__xludf.DUMMYFUNCTION("""COMPUTED_VALUE"""),"Chuyên đề")</f>
        <v>Chuyên đề</v>
      </c>
      <c r="T246" s="23"/>
      <c r="U246" s="27">
        <f ca="1">IFERROR(__xludf.DUMMYFUNCTION("""COMPUTED_VALUE"""),45726)</f>
        <v>45726</v>
      </c>
      <c r="V246" s="27">
        <f ca="1">IFERROR(__xludf.DUMMYFUNCTION("""COMPUTED_VALUE"""),45818)</f>
        <v>45818</v>
      </c>
      <c r="W246" s="23">
        <f ca="1">IFERROR(__xludf.DUMMYFUNCTION("""COMPUTED_VALUE"""),245)</f>
        <v>245</v>
      </c>
      <c r="X246" s="23"/>
      <c r="Y246" s="23" t="str">
        <f ca="1">IFERROR(__xludf.DUMMYFUNCTION("""COMPUTED_VALUE"""),"DUYỆT")</f>
        <v>DUYỆT</v>
      </c>
      <c r="Z246" s="23" t="str">
        <f ca="1">IFERROR(__xludf.DUMMYFUNCTION("""COMPUTED_VALUE"""),"14/02/2025")</f>
        <v>14/02/2025</v>
      </c>
      <c r="AA246" s="23" t="str">
        <f ca="1">IFERROR(__xludf.DUMMYFUNCTION("""COMPUTED_VALUE"""),"Renaissance Hoi An Resort &amp; Spa")</f>
        <v>Renaissance Hoi An Resort &amp; Spa</v>
      </c>
      <c r="AB246" s="23" t="str">
        <f ca="1">IFERROR(__xludf.DUMMYFUNCTION("""COMPUTED_VALUE"""),"Tiền sảnh")</f>
        <v>Tiền sảnh</v>
      </c>
      <c r="AC246" s="23"/>
      <c r="AD246" s="23"/>
      <c r="AE246" s="23" t="str">
        <f ca="1">IFERROR(__xludf.DUMMYFUNCTION("""COMPUTED_VALUE"""),"")</f>
        <v/>
      </c>
      <c r="AF246" s="23" t="str">
        <f ca="1">IFERROR(__xludf.DUMMYFUNCTION("""COMPUTED_VALUE"""),"CHUYÊN ĐỀ")</f>
        <v>CHUYÊN ĐỀ</v>
      </c>
      <c r="AG246" s="23" t="str">
        <f ca="1">IFERROR(__xludf.DUMMYFUNCTION("""COMPUTED_VALUE"""),"Trịnh Thị Kim Chung")</f>
        <v>Trịnh Thị Kim Chung</v>
      </c>
    </row>
    <row r="247" spans="1:33" ht="12.75" x14ac:dyDescent="0.2">
      <c r="A247" s="26">
        <f ca="1">IFERROR(__xludf.DUMMYFUNCTION("""COMPUTED_VALUE"""),45702.4777432407)</f>
        <v>45702.477743240699</v>
      </c>
      <c r="B247" s="23" t="str">
        <f ca="1">IFERROR(__xludf.DUMMYFUNCTION("""COMPUTED_VALUE"""),"yennhidangthi2003@gmail.com")</f>
        <v>yennhidangthi2003@gmail.com</v>
      </c>
      <c r="C247" s="23">
        <f ca="1">IFERROR(__xludf.DUMMYFUNCTION("""COMPUTED_VALUE"""),27203444311)</f>
        <v>27203444311</v>
      </c>
      <c r="D247" s="23" t="str">
        <f ca="1">IFERROR(__xludf.DUMMYFUNCTION("""COMPUTED_VALUE"""),"Đặng Thị Yến Nhi")</f>
        <v>Đặng Thị Yến Nhi</v>
      </c>
      <c r="E247" s="27">
        <f ca="1">IFERROR(__xludf.DUMMYFUNCTION("""COMPUTED_VALUE"""),37857)</f>
        <v>37857</v>
      </c>
      <c r="F247" s="23" t="str">
        <f ca="1">IFERROR(__xludf.DUMMYFUNCTION("""COMPUTED_VALUE"""),"K27DLK4")</f>
        <v>K27DLK4</v>
      </c>
      <c r="G247" s="23" t="str">
        <f ca="1">IFERROR(__xludf.DUMMYFUNCTION("""COMPUTED_VALUE"""),"Quản trị Du lịch &amp; Khách sạn")</f>
        <v>Quản trị Du lịch &amp; Khách sạn</v>
      </c>
      <c r="H247" s="23">
        <f ca="1">IFERROR(__xludf.DUMMYFUNCTION("""COMPUTED_VALUE"""),27)</f>
        <v>27</v>
      </c>
      <c r="I247" s="23" t="str">
        <f ca="1">IFERROR(__xludf.DUMMYFUNCTION("""COMPUTED_VALUE"""),"0931639451")</f>
        <v>0931639451</v>
      </c>
      <c r="J247" s="23" t="str">
        <f ca="1">IFERROR(__xludf.DUMMYFUNCTION("""COMPUTED_VALUE"""),"Chuyên đề")</f>
        <v>Chuyên đề</v>
      </c>
      <c r="K247" s="23" t="str">
        <f ca="1">IFERROR(__xludf.DUMMYFUNCTION("""COMPUTED_VALUE"""),"Renaissance Hoi An Resort &amp; Spa")</f>
        <v>Renaissance Hoi An Resort &amp; Spa</v>
      </c>
      <c r="L247" s="23" t="str">
        <f ca="1">IFERROR(__xludf.DUMMYFUNCTION("""COMPUTED_VALUE""")," Renaissance Hoi An Resort &amp; Spa")</f>
        <v xml:space="preserve"> Renaissance Hoi An Resort &amp; Spa</v>
      </c>
      <c r="M247" s="23" t="str">
        <f ca="1">IFERROR(__xludf.DUMMYFUNCTION("""COMPUTED_VALUE"""),"Cửa Đại, Hội An, tỉnh Quảng Nam")</f>
        <v>Cửa Đại, Hội An, tỉnh Quảng Nam</v>
      </c>
      <c r="N247" s="23" t="str">
        <f ca="1">IFERROR(__xludf.DUMMYFUNCTION("""COMPUTED_VALUE"""),"Hội An")</f>
        <v>Hội An</v>
      </c>
      <c r="O247" s="23" t="str">
        <f ca="1">IFERROR(__xludf.DUMMYFUNCTION("""COMPUTED_VALUE"""),"Nhà hàng")</f>
        <v>Nhà hàng</v>
      </c>
      <c r="P247" s="23"/>
      <c r="Q247" s="23" t="str">
        <f ca="1">IFERROR(__xludf.DUMMYFUNCTION("""COMPUTED_VALUE"""),"11/2")</f>
        <v>11/2</v>
      </c>
      <c r="R247" s="23" t="str">
        <f ca="1">IFERROR(__xludf.DUMMYFUNCTION("""COMPUTED_VALUE"""),"cam kết")</f>
        <v>cam kết</v>
      </c>
      <c r="S247" s="23" t="str">
        <f ca="1">IFERROR(__xludf.DUMMYFUNCTION("""COMPUTED_VALUE"""),"Chuyên đề")</f>
        <v>Chuyên đề</v>
      </c>
      <c r="T247" s="23"/>
      <c r="U247" s="27">
        <f ca="1">IFERROR(__xludf.DUMMYFUNCTION("""COMPUTED_VALUE"""),45726)</f>
        <v>45726</v>
      </c>
      <c r="V247" s="27">
        <f ca="1">IFERROR(__xludf.DUMMYFUNCTION("""COMPUTED_VALUE"""),45818)</f>
        <v>45818</v>
      </c>
      <c r="W247" s="23">
        <f ca="1">IFERROR(__xludf.DUMMYFUNCTION("""COMPUTED_VALUE"""),246)</f>
        <v>246</v>
      </c>
      <c r="X247" s="23"/>
      <c r="Y247" s="23" t="str">
        <f ca="1">IFERROR(__xludf.DUMMYFUNCTION("""COMPUTED_VALUE"""),"DUYỆT")</f>
        <v>DUYỆT</v>
      </c>
      <c r="Z247" s="23" t="str">
        <f ca="1">IFERROR(__xludf.DUMMYFUNCTION("""COMPUTED_VALUE"""),"14/02/2025")</f>
        <v>14/02/2025</v>
      </c>
      <c r="AA247" s="23" t="str">
        <f ca="1">IFERROR(__xludf.DUMMYFUNCTION("""COMPUTED_VALUE"""),"Renaissance Hoi An Resort &amp; Spa")</f>
        <v>Renaissance Hoi An Resort &amp; Spa</v>
      </c>
      <c r="AB247" s="23" t="str">
        <f ca="1">IFERROR(__xludf.DUMMYFUNCTION("""COMPUTED_VALUE"""),"Nhà hàng")</f>
        <v>Nhà hàng</v>
      </c>
      <c r="AC247" s="23"/>
      <c r="AD247" s="23"/>
      <c r="AE247" s="23" t="str">
        <f ca="1">IFERROR(__xludf.DUMMYFUNCTION("""COMPUTED_VALUE"""),"")</f>
        <v/>
      </c>
      <c r="AF247" s="23" t="str">
        <f ca="1">IFERROR(__xludf.DUMMYFUNCTION("""COMPUTED_VALUE"""),"CHUYÊN ĐỀ")</f>
        <v>CHUYÊN ĐỀ</v>
      </c>
      <c r="AG247" s="23" t="str">
        <f ca="1">IFERROR(__xludf.DUMMYFUNCTION("""COMPUTED_VALUE"""),"Nguyễn Thị Minh Thư")</f>
        <v>Nguyễn Thị Minh Thư</v>
      </c>
    </row>
    <row r="248" spans="1:33" ht="12.75" x14ac:dyDescent="0.2">
      <c r="A248" s="26">
        <f ca="1">IFERROR(__xludf.DUMMYFUNCTION("""COMPUTED_VALUE"""),45702.6214962615)</f>
        <v>45702.621496261498</v>
      </c>
      <c r="B248" s="23" t="str">
        <f ca="1">IFERROR(__xludf.DUMMYFUNCTION("""COMPUTED_VALUE"""),"Nthamyyer@gmail.com")</f>
        <v>Nthamyyer@gmail.com</v>
      </c>
      <c r="C248" s="23">
        <f ca="1">IFERROR(__xludf.DUMMYFUNCTION("""COMPUTED_VALUE"""),27207140315)</f>
        <v>27207140315</v>
      </c>
      <c r="D248" s="23" t="str">
        <f ca="1">IFERROR(__xludf.DUMMYFUNCTION("""COMPUTED_VALUE"""),"Nguyễn Thị Hà My")</f>
        <v>Nguyễn Thị Hà My</v>
      </c>
      <c r="E248" s="27">
        <f ca="1">IFERROR(__xludf.DUMMYFUNCTION("""COMPUTED_VALUE"""),37856)</f>
        <v>37856</v>
      </c>
      <c r="F248" s="23" t="str">
        <f ca="1">IFERROR(__xludf.DUMMYFUNCTION("""COMPUTED_VALUE"""),"K27DLK3")</f>
        <v>K27DLK3</v>
      </c>
      <c r="G248" s="23" t="str">
        <f ca="1">IFERROR(__xludf.DUMMYFUNCTION("""COMPUTED_VALUE"""),"Quản trị Du lịch &amp; Khách sạn")</f>
        <v>Quản trị Du lịch &amp; Khách sạn</v>
      </c>
      <c r="H248" s="23">
        <f ca="1">IFERROR(__xludf.DUMMYFUNCTION("""COMPUTED_VALUE"""),27)</f>
        <v>27</v>
      </c>
      <c r="I248" s="23" t="str">
        <f ca="1">IFERROR(__xludf.DUMMYFUNCTION("""COMPUTED_VALUE"""),"0862753703")</f>
        <v>0862753703</v>
      </c>
      <c r="J248" s="23" t="str">
        <f ca="1">IFERROR(__xludf.DUMMYFUNCTION("""COMPUTED_VALUE"""),"Chuyên đề")</f>
        <v>Chuyên đề</v>
      </c>
      <c r="K248" s="23" t="str">
        <f ca="1">IFERROR(__xludf.DUMMYFUNCTION("""COMPUTED_VALUE"""),"Renaissance Hoi An Resort &amp; Spa")</f>
        <v>Renaissance Hoi An Resort &amp; Spa</v>
      </c>
      <c r="L248" s="23" t="str">
        <f ca="1">IFERROR(__xludf.DUMMYFUNCTION("""COMPUTED_VALUE"""),"Renaissance Hoi An Resort &amp; Spa")</f>
        <v>Renaissance Hoi An Resort &amp; Spa</v>
      </c>
      <c r="M248" s="23" t="str">
        <f ca="1">IFERROR(__xludf.DUMMYFUNCTION("""COMPUTED_VALUE"""),"BLOCK 6, PHUOC HAI, CUA DAI WARD, HOI AN CITY, QUANG NAM, VIETNAM")</f>
        <v>BLOCK 6, PHUOC HAI, CUA DAI WARD, HOI AN CITY, QUANG NAM, VIETNAM</v>
      </c>
      <c r="N248" s="23" t="str">
        <f ca="1">IFERROR(__xludf.DUMMYFUNCTION("""COMPUTED_VALUE"""),"Hội An")</f>
        <v>Hội An</v>
      </c>
      <c r="O248" s="23" t="str">
        <f ca="1">IFERROR(__xludf.DUMMYFUNCTION("""COMPUTED_VALUE"""),"Buồng phòng")</f>
        <v>Buồng phòng</v>
      </c>
      <c r="P248" s="23"/>
      <c r="Q248" s="23" t="str">
        <f ca="1">IFERROR(__xludf.DUMMYFUNCTION("""COMPUTED_VALUE"""),"Em chưa nộp ạ ")</f>
        <v xml:space="preserve">Em chưa nộp ạ </v>
      </c>
      <c r="R248" s="23" t="str">
        <f ca="1">IFERROR(__xludf.DUMMYFUNCTION("""COMPUTED_VALUE"""),"cam kết")</f>
        <v>cam kết</v>
      </c>
      <c r="S248" s="23" t="str">
        <f ca="1">IFERROR(__xludf.DUMMYFUNCTION("""COMPUTED_VALUE"""),"Chuyên đề")</f>
        <v>Chuyên đề</v>
      </c>
      <c r="T248" s="23" t="str">
        <f ca="1">IFERROR(__xludf.DUMMYFUNCTION("""COMPUTED_VALUE"""),"Phạm Thị Thu Thủy")</f>
        <v>Phạm Thị Thu Thủy</v>
      </c>
      <c r="U248" s="27">
        <f ca="1">IFERROR(__xludf.DUMMYFUNCTION("""COMPUTED_VALUE"""),45726)</f>
        <v>45726</v>
      </c>
      <c r="V248" s="27">
        <f ca="1">IFERROR(__xludf.DUMMYFUNCTION("""COMPUTED_VALUE"""),45818)</f>
        <v>45818</v>
      </c>
      <c r="W248" s="23">
        <f ca="1">IFERROR(__xludf.DUMMYFUNCTION("""COMPUTED_VALUE"""),247)</f>
        <v>247</v>
      </c>
      <c r="X248" s="23"/>
      <c r="Y248" s="23" t="str">
        <f ca="1">IFERROR(__xludf.DUMMYFUNCTION("""COMPUTED_VALUE"""),"DUYỆT")</f>
        <v>DUYỆT</v>
      </c>
      <c r="Z248" s="23" t="str">
        <f ca="1">IFERROR(__xludf.DUMMYFUNCTION("""COMPUTED_VALUE"""),"14/02/2025")</f>
        <v>14/02/2025</v>
      </c>
      <c r="AA248" s="23" t="str">
        <f ca="1">IFERROR(__xludf.DUMMYFUNCTION("""COMPUTED_VALUE"""),"Renaissance Hoi An Resort &amp; Spa")</f>
        <v>Renaissance Hoi An Resort &amp; Spa</v>
      </c>
      <c r="AB248" s="23" t="str">
        <f ca="1">IFERROR(__xludf.DUMMYFUNCTION("""COMPUTED_VALUE"""),"Buồng phòng")</f>
        <v>Buồng phòng</v>
      </c>
      <c r="AC248" s="23"/>
      <c r="AD248" s="23"/>
      <c r="AE248" s="23" t="str">
        <f ca="1">IFERROR(__xludf.DUMMYFUNCTION("""COMPUTED_VALUE"""),"")</f>
        <v/>
      </c>
      <c r="AF248" s="23" t="str">
        <f ca="1">IFERROR(__xludf.DUMMYFUNCTION("""COMPUTED_VALUE"""),"CHUYÊN ĐỀ")</f>
        <v>CHUYÊN ĐỀ</v>
      </c>
      <c r="AG248" s="23" t="str">
        <f ca="1">IFERROR(__xludf.DUMMYFUNCTION("""COMPUTED_VALUE"""),"Nguyễn Thị Minh Thư")</f>
        <v>Nguyễn Thị Minh Thư</v>
      </c>
    </row>
    <row r="249" spans="1:33" ht="12.75" x14ac:dyDescent="0.2">
      <c r="A249" s="26">
        <f ca="1">IFERROR(__xludf.DUMMYFUNCTION("""COMPUTED_VALUE"""),45702.7324046643)</f>
        <v>45702.732404664297</v>
      </c>
      <c r="B249" s="23" t="str">
        <f ca="1">IFERROR(__xludf.DUMMYFUNCTION("""COMPUTED_VALUE"""),"bannam292@gmail.com")</f>
        <v>bannam292@gmail.com</v>
      </c>
      <c r="C249" s="23">
        <f ca="1">IFERROR(__xludf.DUMMYFUNCTION("""COMPUTED_VALUE"""),27217142356)</f>
        <v>27217142356</v>
      </c>
      <c r="D249" s="23" t="str">
        <f ca="1">IFERROR(__xludf.DUMMYFUNCTION("""COMPUTED_VALUE"""),"Lê Văn Nam")</f>
        <v>Lê Văn Nam</v>
      </c>
      <c r="E249" s="27">
        <f ca="1">IFERROR(__xludf.DUMMYFUNCTION("""COMPUTED_VALUE"""),37483)</f>
        <v>37483</v>
      </c>
      <c r="F249" s="23" t="str">
        <f ca="1">IFERROR(__xludf.DUMMYFUNCTION("""COMPUTED_VALUE"""),"K27DLK 5")</f>
        <v>K27DLK 5</v>
      </c>
      <c r="G249" s="23" t="str">
        <f ca="1">IFERROR(__xludf.DUMMYFUNCTION("""COMPUTED_VALUE"""),"Quản trị Du lịch &amp; Khách sạn")</f>
        <v>Quản trị Du lịch &amp; Khách sạn</v>
      </c>
      <c r="H249" s="23">
        <f ca="1">IFERROR(__xludf.DUMMYFUNCTION("""COMPUTED_VALUE"""),27)</f>
        <v>27</v>
      </c>
      <c r="I249" s="23" t="str">
        <f ca="1">IFERROR(__xludf.DUMMYFUNCTION("""COMPUTED_VALUE"""),"0326351274")</f>
        <v>0326351274</v>
      </c>
      <c r="J249" s="23" t="str">
        <f ca="1">IFERROR(__xludf.DUMMYFUNCTION("""COMPUTED_VALUE"""),"Chuyên đề")</f>
        <v>Chuyên đề</v>
      </c>
      <c r="K249" s="23" t="str">
        <f ca="1">IFERROR(__xludf.DUMMYFUNCTION("""COMPUTED_VALUE"""),"Maximilan Danang Beach Hotel")</f>
        <v>Maximilan Danang Beach Hotel</v>
      </c>
      <c r="L249" s="23"/>
      <c r="M249" s="23" t="str">
        <f ca="1">IFERROR(__xludf.DUMMYFUNCTION("""COMPUTED_VALUE"""),"Khách Sạn Maximilan ")</f>
        <v xml:space="preserve">Khách Sạn Maximilan </v>
      </c>
      <c r="N249" s="23" t="str">
        <f ca="1">IFERROR(__xludf.DUMMYFUNCTION("""COMPUTED_VALUE"""),"Đà Nẵng ")</f>
        <v xml:space="preserve">Đà Nẵng </v>
      </c>
      <c r="O249" s="23" t="str">
        <f ca="1">IFERROR(__xludf.DUMMYFUNCTION("""COMPUTED_VALUE"""),"Nhà hàng")</f>
        <v>Nhà hàng</v>
      </c>
      <c r="P249" s="23"/>
      <c r="Q249" s="23" t="str">
        <f ca="1">IFERROR(__xludf.DUMMYFUNCTION("""COMPUTED_VALUE"""),"Thứ 2    17/02/2025")</f>
        <v>Thứ 2    17/02/2025</v>
      </c>
      <c r="R249" s="23" t="str">
        <f ca="1">IFERROR(__xludf.DUMMYFUNCTION("""COMPUTED_VALUE"""),"cam kết")</f>
        <v>cam kết</v>
      </c>
      <c r="S249" s="23" t="str">
        <f ca="1">IFERROR(__xludf.DUMMYFUNCTION("""COMPUTED_VALUE"""),"Chuyên đề")</f>
        <v>Chuyên đề</v>
      </c>
      <c r="T249" s="23"/>
      <c r="U249" s="27">
        <f ca="1">IFERROR(__xludf.DUMMYFUNCTION("""COMPUTED_VALUE"""),45705)</f>
        <v>45705</v>
      </c>
      <c r="V249" s="27">
        <f ca="1">IFERROR(__xludf.DUMMYFUNCTION("""COMPUTED_VALUE"""),45794)</f>
        <v>45794</v>
      </c>
      <c r="W249" s="23">
        <f ca="1">IFERROR(__xludf.DUMMYFUNCTION("""COMPUTED_VALUE"""),248)</f>
        <v>248</v>
      </c>
      <c r="X249" s="23" t="str">
        <f ca="1">IFERROR(__xludf.DUMMYFUNCTION("""COMPUTED_VALUE"""),"19/02/2025")</f>
        <v>19/02/2025</v>
      </c>
      <c r="Y249" s="23" t="str">
        <f ca="1">IFERROR(__xludf.DUMMYFUNCTION("""COMPUTED_VALUE"""),"DUYỆT")</f>
        <v>DUYỆT</v>
      </c>
      <c r="Z249" s="23" t="str">
        <f ca="1">IFERROR(__xludf.DUMMYFUNCTION("""COMPUTED_VALUE"""),"19/02/2025")</f>
        <v>19/02/2025</v>
      </c>
      <c r="AA249" s="23" t="str">
        <f ca="1">IFERROR(__xludf.DUMMYFUNCTION("""COMPUTED_VALUE"""),"Maximilan Danang Beach Hotel")</f>
        <v>Maximilan Danang Beach Hotel</v>
      </c>
      <c r="AB249" s="23" t="str">
        <f ca="1">IFERROR(__xludf.DUMMYFUNCTION("""COMPUTED_VALUE"""),"Nhà hàng")</f>
        <v>Nhà hàng</v>
      </c>
      <c r="AC249" s="23"/>
      <c r="AD249" s="23"/>
      <c r="AE249" s="23" t="str">
        <f ca="1">IFERROR(__xludf.DUMMYFUNCTION("""COMPUTED_VALUE"""),"")</f>
        <v/>
      </c>
      <c r="AF249" s="23" t="str">
        <f ca="1">IFERROR(__xludf.DUMMYFUNCTION("""COMPUTED_VALUE"""),"CHUYÊN ĐỀ")</f>
        <v>CHUYÊN ĐỀ</v>
      </c>
      <c r="AG249" s="23" t="str">
        <f ca="1">IFERROR(__xludf.DUMMYFUNCTION("""COMPUTED_VALUE"""),"Huỳnh Lý Thùy Linh")</f>
        <v>Huỳnh Lý Thùy Linh</v>
      </c>
    </row>
    <row r="250" spans="1:33" ht="12.75" x14ac:dyDescent="0.2">
      <c r="A250" s="26">
        <f ca="1">IFERROR(__xludf.DUMMYFUNCTION("""COMPUTED_VALUE"""),45702.7967164351)</f>
        <v>45702.796716435099</v>
      </c>
      <c r="B250" s="23" t="str">
        <f ca="1">IFERROR(__xludf.DUMMYFUNCTION("""COMPUTED_VALUE"""),"buitham01022003@gmail.com")</f>
        <v>buitham01022003@gmail.com</v>
      </c>
      <c r="C250" s="23">
        <f ca="1">IFERROR(__xludf.DUMMYFUNCTION("""COMPUTED_VALUE"""),27207127524)</f>
        <v>27207127524</v>
      </c>
      <c r="D250" s="23" t="str">
        <f ca="1">IFERROR(__xludf.DUMMYFUNCTION("""COMPUTED_VALUE"""),"Bùi Thị Thắm ")</f>
        <v xml:space="preserve">Bùi Thị Thắm </v>
      </c>
      <c r="E250" s="27">
        <f ca="1">IFERROR(__xludf.DUMMYFUNCTION("""COMPUTED_VALUE"""),37623)</f>
        <v>37623</v>
      </c>
      <c r="F250" s="23" t="str">
        <f ca="1">IFERROR(__xludf.DUMMYFUNCTION("""COMPUTED_VALUE"""),"K27DLK 4")</f>
        <v>K27DLK 4</v>
      </c>
      <c r="G250" s="23" t="str">
        <f ca="1">IFERROR(__xludf.DUMMYFUNCTION("""COMPUTED_VALUE"""),"Quản trị Du lịch &amp; Khách sạn")</f>
        <v>Quản trị Du lịch &amp; Khách sạn</v>
      </c>
      <c r="H250" s="23">
        <f ca="1">IFERROR(__xludf.DUMMYFUNCTION("""COMPUTED_VALUE"""),27)</f>
        <v>27</v>
      </c>
      <c r="I250" s="23" t="str">
        <f ca="1">IFERROR(__xludf.DUMMYFUNCTION("""COMPUTED_VALUE"""),"0366563701")</f>
        <v>0366563701</v>
      </c>
      <c r="J250" s="23" t="str">
        <f ca="1">IFERROR(__xludf.DUMMYFUNCTION("""COMPUTED_VALUE"""),"Chuyên đề")</f>
        <v>Chuyên đề</v>
      </c>
      <c r="K250" s="23" t="str">
        <f ca="1">IFERROR(__xludf.DUMMYFUNCTION("""COMPUTED_VALUE"""),"Renaissance Hoi An Resort &amp; Spa")</f>
        <v>Renaissance Hoi An Resort &amp; Spa</v>
      </c>
      <c r="L250" s="23" t="str">
        <f ca="1">IFERROR(__xludf.DUMMYFUNCTION("""COMPUTED_VALUE"""),"Renaissance Hoi An Resort &amp; Spa")</f>
        <v>Renaissance Hoi An Resort &amp; Spa</v>
      </c>
      <c r="M250" s="23" t="str">
        <f ca="1">IFERROR(__xludf.DUMMYFUNCTION("""COMPUTED_VALUE"""),"Cửa Đại , Hội An , tỉnh Quảng Nam")</f>
        <v>Cửa Đại , Hội An , tỉnh Quảng Nam</v>
      </c>
      <c r="N250" s="23" t="str">
        <f ca="1">IFERROR(__xludf.DUMMYFUNCTION("""COMPUTED_VALUE"""),"Hội An")</f>
        <v>Hội An</v>
      </c>
      <c r="O250" s="23" t="str">
        <f ca="1">IFERROR(__xludf.DUMMYFUNCTION("""COMPUTED_VALUE"""),"Nhà hàng")</f>
        <v>Nhà hàng</v>
      </c>
      <c r="P250" s="23"/>
      <c r="Q250" s="23" t="str">
        <f ca="1">IFERROR(__xludf.DUMMYFUNCTION("""COMPUTED_VALUE"""),"11/2/2025")</f>
        <v>11/2/2025</v>
      </c>
      <c r="R250" s="23" t="str">
        <f ca="1">IFERROR(__xludf.DUMMYFUNCTION("""COMPUTED_VALUE"""),"cam kết")</f>
        <v>cam kết</v>
      </c>
      <c r="S250" s="23" t="str">
        <f ca="1">IFERROR(__xludf.DUMMYFUNCTION("""COMPUTED_VALUE"""),"Chuyên đề")</f>
        <v>Chuyên đề</v>
      </c>
      <c r="T250" s="23"/>
      <c r="U250" s="27">
        <f ca="1">IFERROR(__xludf.DUMMYFUNCTION("""COMPUTED_VALUE"""),45933)</f>
        <v>45933</v>
      </c>
      <c r="V250" s="27">
        <f ca="1">IFERROR(__xludf.DUMMYFUNCTION("""COMPUTED_VALUE"""),45936)</f>
        <v>45936</v>
      </c>
      <c r="W250" s="23">
        <f ca="1">IFERROR(__xludf.DUMMYFUNCTION("""COMPUTED_VALUE"""),249)</f>
        <v>249</v>
      </c>
      <c r="X250" s="23"/>
      <c r="Y250" s="23" t="str">
        <f ca="1">IFERROR(__xludf.DUMMYFUNCTION("""COMPUTED_VALUE"""),"DUYỆT")</f>
        <v>DUYỆT</v>
      </c>
      <c r="Z250" s="23" t="str">
        <f ca="1">IFERROR(__xludf.DUMMYFUNCTION("""COMPUTED_VALUE"""),"15/02/2025")</f>
        <v>15/02/2025</v>
      </c>
      <c r="AA250" s="23" t="str">
        <f ca="1">IFERROR(__xludf.DUMMYFUNCTION("""COMPUTED_VALUE"""),"Renaissance Hoi An Resort &amp; Spa")</f>
        <v>Renaissance Hoi An Resort &amp; Spa</v>
      </c>
      <c r="AB250" s="23" t="str">
        <f ca="1">IFERROR(__xludf.DUMMYFUNCTION("""COMPUTED_VALUE"""),"Nhà hàng")</f>
        <v>Nhà hàng</v>
      </c>
      <c r="AC250" s="23"/>
      <c r="AD250" s="23"/>
      <c r="AE250" s="23" t="str">
        <f ca="1">IFERROR(__xludf.DUMMYFUNCTION("""COMPUTED_VALUE"""),"")</f>
        <v/>
      </c>
      <c r="AF250" s="23" t="str">
        <f ca="1">IFERROR(__xludf.DUMMYFUNCTION("""COMPUTED_VALUE"""),"CHUYÊN ĐỀ")</f>
        <v>CHUYÊN ĐỀ</v>
      </c>
      <c r="AG250" s="23" t="str">
        <f ca="1">IFERROR(__xludf.DUMMYFUNCTION("""COMPUTED_VALUE"""),"Ngô Thị Thanh Nga")</f>
        <v>Ngô Thị Thanh Nga</v>
      </c>
    </row>
    <row r="251" spans="1:33" ht="12.75" x14ac:dyDescent="0.2">
      <c r="A251" s="26">
        <f ca="1">IFERROR(__xludf.DUMMYFUNCTION("""COMPUTED_VALUE"""),45702.8891590162)</f>
        <v>45702.889159016202</v>
      </c>
      <c r="B251" s="23" t="str">
        <f ca="1">IFERROR(__xludf.DUMMYFUNCTION("""COMPUTED_VALUE"""),"thitinh1603@gmail.com")</f>
        <v>thitinh1603@gmail.com</v>
      </c>
      <c r="C251" s="23">
        <f ca="1">IFERROR(__xludf.DUMMYFUNCTION("""COMPUTED_VALUE"""),27207145668)</f>
        <v>27207145668</v>
      </c>
      <c r="D251" s="23" t="str">
        <f ca="1">IFERROR(__xludf.DUMMYFUNCTION("""COMPUTED_VALUE"""),"Nguyễn Thị Tình")</f>
        <v>Nguyễn Thị Tình</v>
      </c>
      <c r="E251" s="27">
        <f ca="1">IFERROR(__xludf.DUMMYFUNCTION("""COMPUTED_VALUE"""),37696)</f>
        <v>37696</v>
      </c>
      <c r="F251" s="23" t="str">
        <f ca="1">IFERROR(__xludf.DUMMYFUNCTION("""COMPUTED_VALUE"""),"K27DLK 7")</f>
        <v>K27DLK 7</v>
      </c>
      <c r="G251" s="23" t="str">
        <f ca="1">IFERROR(__xludf.DUMMYFUNCTION("""COMPUTED_VALUE"""),"Quản trị Du lịch &amp; Khách sạn")</f>
        <v>Quản trị Du lịch &amp; Khách sạn</v>
      </c>
      <c r="H251" s="23">
        <f ca="1">IFERROR(__xludf.DUMMYFUNCTION("""COMPUTED_VALUE"""),27)</f>
        <v>27</v>
      </c>
      <c r="I251" s="23" t="str">
        <f ca="1">IFERROR(__xludf.DUMMYFUNCTION("""COMPUTED_VALUE"""),"0983380712")</f>
        <v>0983380712</v>
      </c>
      <c r="J251" s="23" t="str">
        <f ca="1">IFERROR(__xludf.DUMMYFUNCTION("""COMPUTED_VALUE"""),"Chuyên đề")</f>
        <v>Chuyên đề</v>
      </c>
      <c r="K251" s="23" t="str">
        <f ca="1">IFERROR(__xludf.DUMMYFUNCTION("""COMPUTED_VALUE"""),"Renaissance Hoi An Resort &amp; Spa")</f>
        <v>Renaissance Hoi An Resort &amp; Spa</v>
      </c>
      <c r="L251" s="23" t="str">
        <f ca="1">IFERROR(__xludf.DUMMYFUNCTION("""COMPUTED_VALUE"""),"Renaissance Hoi An Resort &amp; Spa")</f>
        <v>Renaissance Hoi An Resort &amp; Spa</v>
      </c>
      <c r="M251" s="23" t="str">
        <f ca="1">IFERROR(__xludf.DUMMYFUNCTION("""COMPUTED_VALUE"""),"Block 6, Phuoc Hai, Cua Đai, Hoi An")</f>
        <v>Block 6, Phuoc Hai, Cua Đai, Hoi An</v>
      </c>
      <c r="N251" s="23" t="str">
        <f ca="1">IFERROR(__xludf.DUMMYFUNCTION("""COMPUTED_VALUE"""),"Hội An")</f>
        <v>Hội An</v>
      </c>
      <c r="O251" s="23" t="str">
        <f ca="1">IFERROR(__xludf.DUMMYFUNCTION("""COMPUTED_VALUE"""),"Buồng phòng")</f>
        <v>Buồng phòng</v>
      </c>
      <c r="P251" s="23"/>
      <c r="Q251" s="23" t="str">
        <f ca="1">IFERROR(__xludf.DUMMYFUNCTION("""COMPUTED_VALUE"""),"10/03/2025, vì đang đợi lịch phỏng vấn, trao đổi với doanh nghiệp để hẹn ký xác nhận ạ ")</f>
        <v xml:space="preserve">10/03/2025, vì đang đợi lịch phỏng vấn, trao đổi với doanh nghiệp để hẹn ký xác nhận ạ </v>
      </c>
      <c r="R251" s="23" t="str">
        <f ca="1">IFERROR(__xludf.DUMMYFUNCTION("""COMPUTED_VALUE"""),"cam kết")</f>
        <v>cam kết</v>
      </c>
      <c r="S251" s="23" t="str">
        <f ca="1">IFERROR(__xludf.DUMMYFUNCTION("""COMPUTED_VALUE"""),"Chuyên đề")</f>
        <v>Chuyên đề</v>
      </c>
      <c r="T251" s="23" t="str">
        <f ca="1">IFERROR(__xludf.DUMMYFUNCTION("""COMPUTED_VALUE"""),"Dương Thị Xuân Diệu")</f>
        <v>Dương Thị Xuân Diệu</v>
      </c>
      <c r="U251" s="27">
        <f ca="1">IFERROR(__xludf.DUMMYFUNCTION("""COMPUTED_VALUE"""),45726)</f>
        <v>45726</v>
      </c>
      <c r="V251" s="27">
        <f ca="1">IFERROR(__xludf.DUMMYFUNCTION("""COMPUTED_VALUE"""),45818)</f>
        <v>45818</v>
      </c>
      <c r="W251" s="23">
        <f ca="1">IFERROR(__xludf.DUMMYFUNCTION("""COMPUTED_VALUE"""),250)</f>
        <v>250</v>
      </c>
      <c r="X251" s="23"/>
      <c r="Y251" s="23" t="str">
        <f ca="1">IFERROR(__xludf.DUMMYFUNCTION("""COMPUTED_VALUE"""),"DUYỆT")</f>
        <v>DUYỆT</v>
      </c>
      <c r="Z251" s="23" t="str">
        <f ca="1">IFERROR(__xludf.DUMMYFUNCTION("""COMPUTED_VALUE"""),"15/02/2025")</f>
        <v>15/02/2025</v>
      </c>
      <c r="AA251" s="23" t="str">
        <f ca="1">IFERROR(__xludf.DUMMYFUNCTION("""COMPUTED_VALUE"""),"Renaissance Hoi An Resort &amp; Spa")</f>
        <v>Renaissance Hoi An Resort &amp; Spa</v>
      </c>
      <c r="AB251" s="23" t="str">
        <f ca="1">IFERROR(__xludf.DUMMYFUNCTION("""COMPUTED_VALUE"""),"Buồng phòng")</f>
        <v>Buồng phòng</v>
      </c>
      <c r="AC251" s="23"/>
      <c r="AD251" s="23"/>
      <c r="AE251" s="23" t="str">
        <f ca="1">IFERROR(__xludf.DUMMYFUNCTION("""COMPUTED_VALUE"""),"")</f>
        <v/>
      </c>
      <c r="AF251" s="23" t="str">
        <f ca="1">IFERROR(__xludf.DUMMYFUNCTION("""COMPUTED_VALUE"""),"CHUYÊN ĐỀ")</f>
        <v>CHUYÊN ĐỀ</v>
      </c>
      <c r="AG251" s="23" t="str">
        <f ca="1">IFERROR(__xludf.DUMMYFUNCTION("""COMPUTED_VALUE"""),"Nguyễn Thị Minh Thư")</f>
        <v>Nguyễn Thị Minh Thư</v>
      </c>
    </row>
    <row r="252" spans="1:33" ht="12.75" x14ac:dyDescent="0.2">
      <c r="A252" s="26">
        <f ca="1">IFERROR(__xludf.DUMMYFUNCTION("""COMPUTED_VALUE"""),45709.4392807638)</f>
        <v>45709.4392807638</v>
      </c>
      <c r="B252" s="23" t="str">
        <f ca="1">IFERROR(__xludf.DUMMYFUNCTION("""COMPUTED_VALUE"""),"oriongalaxy2003@gmail.com")</f>
        <v>oriongalaxy2003@gmail.com</v>
      </c>
      <c r="C252" s="23">
        <f ca="1">IFERROR(__xludf.DUMMYFUNCTION("""COMPUTED_VALUE"""),27213239364)</f>
        <v>27213239364</v>
      </c>
      <c r="D252" s="23" t="str">
        <f ca="1">IFERROR(__xludf.DUMMYFUNCTION("""COMPUTED_VALUE"""),"Nguyễn Thịnh ")</f>
        <v xml:space="preserve">Nguyễn Thịnh </v>
      </c>
      <c r="E252" s="27">
        <f ca="1">IFERROR(__xludf.DUMMYFUNCTION("""COMPUTED_VALUE"""),37925)</f>
        <v>37925</v>
      </c>
      <c r="F252" s="23" t="str">
        <f ca="1">IFERROR(__xludf.DUMMYFUNCTION("""COMPUTED_VALUE"""),"K27DLK2 ")</f>
        <v xml:space="preserve">K27DLK2 </v>
      </c>
      <c r="G252" s="23" t="str">
        <f ca="1">IFERROR(__xludf.DUMMYFUNCTION("""COMPUTED_VALUE"""),"Quản trị Du lịch &amp; Khách sạn")</f>
        <v>Quản trị Du lịch &amp; Khách sạn</v>
      </c>
      <c r="H252" s="23">
        <f ca="1">IFERROR(__xludf.DUMMYFUNCTION("""COMPUTED_VALUE"""),27)</f>
        <v>27</v>
      </c>
      <c r="I252" s="23" t="str">
        <f ca="1">IFERROR(__xludf.DUMMYFUNCTION("""COMPUTED_VALUE"""),"0899493908")</f>
        <v>0899493908</v>
      </c>
      <c r="J252" s="23" t="str">
        <f ca="1">IFERROR(__xludf.DUMMYFUNCTION("""COMPUTED_VALUE"""),"Chuyên đề")</f>
        <v>Chuyên đề</v>
      </c>
      <c r="K252" s="23" t="str">
        <f ca="1">IFERROR(__xludf.DUMMYFUNCTION("""COMPUTED_VALUE"""),"khách sạn khác")</f>
        <v>khách sạn khác</v>
      </c>
      <c r="L252" s="23" t="str">
        <f ca="1">IFERROR(__xludf.DUMMYFUNCTION("""COMPUTED_VALUE"""),"Renaissance Hoi An Resort &amp; Spa")</f>
        <v>Renaissance Hoi An Resort &amp; Spa</v>
      </c>
      <c r="M252" s="23" t="str">
        <f ca="1">IFERROR(__xludf.DUMMYFUNCTION("""COMPUTED_VALUE"""),"Block 6, Phước Hải, Cửa Đại, Hội An, Quảng Nam ")</f>
        <v xml:space="preserve">Block 6, Phước Hải, Cửa Đại, Hội An, Quảng Nam </v>
      </c>
      <c r="N252" s="23" t="str">
        <f ca="1">IFERROR(__xludf.DUMMYFUNCTION("""COMPUTED_VALUE"""),"Hội An ")</f>
        <v xml:space="preserve">Hội An </v>
      </c>
      <c r="O252" s="23" t="str">
        <f ca="1">IFERROR(__xludf.DUMMYFUNCTION("""COMPUTED_VALUE"""),"Tiền sảnh")</f>
        <v>Tiền sảnh</v>
      </c>
      <c r="P252" s="23"/>
      <c r="Q252" s="23" t="str">
        <f ca="1">IFERROR(__xludf.DUMMYFUNCTION("""COMPUTED_VALUE"""),"Dạ bên khách sạn đang triển khai lịch phỏng vấn nên đợi sau khi phỏng vấn xong sẽ nộp đơn tiếp nhận sau ạ.")</f>
        <v>Dạ bên khách sạn đang triển khai lịch phỏng vấn nên đợi sau khi phỏng vấn xong sẽ nộp đơn tiếp nhận sau ạ.</v>
      </c>
      <c r="R252" s="23" t="str">
        <f ca="1">IFERROR(__xludf.DUMMYFUNCTION("""COMPUTED_VALUE"""),"cam kết")</f>
        <v>cam kết</v>
      </c>
      <c r="S252" s="23" t="str">
        <f ca="1">IFERROR(__xludf.DUMMYFUNCTION("""COMPUTED_VALUE"""),"Chuyên đề")</f>
        <v>Chuyên đề</v>
      </c>
      <c r="T252" s="23"/>
      <c r="U252" s="27">
        <f ca="1">IFERROR(__xludf.DUMMYFUNCTION("""COMPUTED_VALUE"""),45726)</f>
        <v>45726</v>
      </c>
      <c r="V252" s="27">
        <f ca="1">IFERROR(__xludf.DUMMYFUNCTION("""COMPUTED_VALUE"""),45818)</f>
        <v>45818</v>
      </c>
      <c r="W252" s="23">
        <f ca="1">IFERROR(__xludf.DUMMYFUNCTION("""COMPUTED_VALUE"""),251)</f>
        <v>251</v>
      </c>
      <c r="X252" s="23"/>
      <c r="Y252" s="23" t="str">
        <f ca="1">IFERROR(__xludf.DUMMYFUNCTION("""COMPUTED_VALUE"""),"DUYỆT")</f>
        <v>DUYỆT</v>
      </c>
      <c r="Z252" s="23" t="str">
        <f ca="1">IFERROR(__xludf.DUMMYFUNCTION("""COMPUTED_VALUE"""),"17/02/2025")</f>
        <v>17/02/2025</v>
      </c>
      <c r="AA252" s="23" t="str">
        <f ca="1">IFERROR(__xludf.DUMMYFUNCTION("""COMPUTED_VALUE"""),"Renaissance Hoi An Resort &amp; Spa")</f>
        <v>Renaissance Hoi An Resort &amp; Spa</v>
      </c>
      <c r="AB252" s="23" t="str">
        <f ca="1">IFERROR(__xludf.DUMMYFUNCTION("""COMPUTED_VALUE"""),"Tiền sảnh")</f>
        <v>Tiền sảnh</v>
      </c>
      <c r="AC252" s="23"/>
      <c r="AD252" s="23"/>
      <c r="AE252" s="23" t="str">
        <f ca="1">IFERROR(__xludf.DUMMYFUNCTION("""COMPUTED_VALUE"""),"")</f>
        <v/>
      </c>
      <c r="AF252" s="23" t="str">
        <f ca="1">IFERROR(__xludf.DUMMYFUNCTION("""COMPUTED_VALUE"""),"CHUYÊN ĐỀ")</f>
        <v>CHUYÊN ĐỀ</v>
      </c>
      <c r="AG252" s="23" t="str">
        <f ca="1">IFERROR(__xludf.DUMMYFUNCTION("""COMPUTED_VALUE"""),"Ngô Thị Thanh Nga")</f>
        <v>Ngô Thị Thanh Nga</v>
      </c>
    </row>
    <row r="253" spans="1:33" ht="12.75" x14ac:dyDescent="0.2">
      <c r="A253" s="26">
        <f ca="1">IFERROR(__xludf.DUMMYFUNCTION("""COMPUTED_VALUE"""),45703.5139784027)</f>
        <v>45703.513978402698</v>
      </c>
      <c r="B253" s="23" t="str">
        <f ca="1">IFERROR(__xludf.DUMMYFUNCTION("""COMPUTED_VALUE"""),"tranvanchien0175@gmail.com")</f>
        <v>tranvanchien0175@gmail.com</v>
      </c>
      <c r="C253" s="23">
        <f ca="1">IFERROR(__xludf.DUMMYFUNCTION("""COMPUTED_VALUE"""),26217133880)</f>
        <v>26217133880</v>
      </c>
      <c r="D253" s="23" t="str">
        <f ca="1">IFERROR(__xludf.DUMMYFUNCTION("""COMPUTED_VALUE"""),"Trần Văn Chiến")</f>
        <v>Trần Văn Chiến</v>
      </c>
      <c r="E253" s="27">
        <f ca="1">IFERROR(__xludf.DUMMYFUNCTION("""COMPUTED_VALUE"""),37436)</f>
        <v>37436</v>
      </c>
      <c r="F253" s="23" t="str">
        <f ca="1">IFERROR(__xludf.DUMMYFUNCTION("""COMPUTED_VALUE"""),"K27PSUDLK2")</f>
        <v>K27PSUDLK2</v>
      </c>
      <c r="G253" s="23" t="str">
        <f ca="1">IFERROR(__xludf.DUMMYFUNCTION("""COMPUTED_VALUE"""),"Quản trị Du lịch &amp; Khách sạn chuẩn PSU")</f>
        <v>Quản trị Du lịch &amp; Khách sạn chuẩn PSU</v>
      </c>
      <c r="H253" s="23">
        <f ca="1">IFERROR(__xludf.DUMMYFUNCTION("""COMPUTED_VALUE"""),26)</f>
        <v>26</v>
      </c>
      <c r="I253" s="23" t="str">
        <f ca="1">IFERROR(__xludf.DUMMYFUNCTION("""COMPUTED_VALUE"""),"0964054079")</f>
        <v>0964054079</v>
      </c>
      <c r="J253" s="23" t="str">
        <f ca="1">IFERROR(__xludf.DUMMYFUNCTION("""COMPUTED_VALUE"""),"Chuyên đề")</f>
        <v>Chuyên đề</v>
      </c>
      <c r="K253" s="23" t="str">
        <f ca="1">IFERROR(__xludf.DUMMYFUNCTION("""COMPUTED_VALUE"""),"Renaissance Hoi An Resort &amp; Spa")</f>
        <v>Renaissance Hoi An Resort &amp; Spa</v>
      </c>
      <c r="L253" s="23" t="str">
        <f ca="1">IFERROR(__xludf.DUMMYFUNCTION("""COMPUTED_VALUE"""),"RENAISSANCE HOI AN RESORT")</f>
        <v>RENAISSANCE HOI AN RESORT</v>
      </c>
      <c r="M253" s="23" t="str">
        <f ca="1">IFERROR(__xludf.DUMMYFUNCTION("""COMPUTED_VALUE"""),"HỘI AN")</f>
        <v>HỘI AN</v>
      </c>
      <c r="N253" s="23" t="str">
        <f ca="1">IFERROR(__xludf.DUMMYFUNCTION("""COMPUTED_VALUE"""),"HỘI AN")</f>
        <v>HỘI AN</v>
      </c>
      <c r="O253" s="23" t="str">
        <f ca="1">IFERROR(__xludf.DUMMYFUNCTION("""COMPUTED_VALUE"""),"Nhà hàng")</f>
        <v>Nhà hàng</v>
      </c>
      <c r="P253" s="23"/>
      <c r="Q253" s="23" t="str">
        <f ca="1">IFERROR(__xludf.DUMMYFUNCTION("""COMPUTED_VALUE"""),"CHƯA Ạ")</f>
        <v>CHƯA Ạ</v>
      </c>
      <c r="R253" s="23" t="str">
        <f ca="1">IFERROR(__xludf.DUMMYFUNCTION("""COMPUTED_VALUE"""),"cam kết")</f>
        <v>cam kết</v>
      </c>
      <c r="S253" s="23" t="str">
        <f ca="1">IFERROR(__xludf.DUMMYFUNCTION("""COMPUTED_VALUE"""),"Chuyên đề")</f>
        <v>Chuyên đề</v>
      </c>
      <c r="T253" s="23" t="str">
        <f ca="1">IFERROR(__xludf.DUMMYFUNCTION("""COMPUTED_VALUE"""),"Hồ Sử Minh Tài")</f>
        <v>Hồ Sử Minh Tài</v>
      </c>
      <c r="U253" s="27">
        <f ca="1">IFERROR(__xludf.DUMMYFUNCTION("""COMPUTED_VALUE"""),45726)</f>
        <v>45726</v>
      </c>
      <c r="V253" s="27">
        <f ca="1">IFERROR(__xludf.DUMMYFUNCTION("""COMPUTED_VALUE"""),45818)</f>
        <v>45818</v>
      </c>
      <c r="W253" s="23">
        <f ca="1">IFERROR(__xludf.DUMMYFUNCTION("""COMPUTED_VALUE"""),252)</f>
        <v>252</v>
      </c>
      <c r="X253" s="23"/>
      <c r="Y253" s="23" t="str">
        <f ca="1">IFERROR(__xludf.DUMMYFUNCTION("""COMPUTED_VALUE"""),"DUYỆT")</f>
        <v>DUYỆT</v>
      </c>
      <c r="Z253" s="23" t="str">
        <f ca="1">IFERROR(__xludf.DUMMYFUNCTION("""COMPUTED_VALUE"""),"17/02/2025")</f>
        <v>17/02/2025</v>
      </c>
      <c r="AA253" s="23" t="str">
        <f ca="1">IFERROR(__xludf.DUMMYFUNCTION("""COMPUTED_VALUE"""),"Renaissance Hoi An Resort &amp; Spa")</f>
        <v>Renaissance Hoi An Resort &amp; Spa</v>
      </c>
      <c r="AB253" s="23" t="str">
        <f ca="1">IFERROR(__xludf.DUMMYFUNCTION("""COMPUTED_VALUE"""),"Nhà hàng")</f>
        <v>Nhà hàng</v>
      </c>
      <c r="AC253" s="23"/>
      <c r="AD253" s="23"/>
      <c r="AE253" s="23" t="str">
        <f ca="1">IFERROR(__xludf.DUMMYFUNCTION("""COMPUTED_VALUE"""),"")</f>
        <v/>
      </c>
      <c r="AF253" s="23" t="str">
        <f ca="1">IFERROR(__xludf.DUMMYFUNCTION("""COMPUTED_VALUE"""),"CHUYÊN ĐỀ")</f>
        <v>CHUYÊN ĐỀ</v>
      </c>
      <c r="AG253" s="23" t="str">
        <f ca="1">IFERROR(__xludf.DUMMYFUNCTION("""COMPUTED_VALUE"""),"Ngô Thị Thanh Nga")</f>
        <v>Ngô Thị Thanh Nga</v>
      </c>
    </row>
    <row r="254" spans="1:33" ht="12.75" x14ac:dyDescent="0.2">
      <c r="A254" s="26">
        <f ca="1">IFERROR(__xludf.DUMMYFUNCTION("""COMPUTED_VALUE"""),45703.5168652546)</f>
        <v>45703.516865254598</v>
      </c>
      <c r="B254" s="23" t="str">
        <f ca="1">IFERROR(__xludf.DUMMYFUNCTION("""COMPUTED_VALUE"""),"huanxinhtrai2002@gmail.com")</f>
        <v>huanxinhtrai2002@gmail.com</v>
      </c>
      <c r="C254" s="23">
        <f ca="1">IFERROR(__xludf.DUMMYFUNCTION("""COMPUTED_VALUE"""),26217129930)</f>
        <v>26217129930</v>
      </c>
      <c r="D254" s="23" t="str">
        <f ca="1">IFERROR(__xludf.DUMMYFUNCTION("""COMPUTED_VALUE"""),"Nguyễn Ngọc Huân")</f>
        <v>Nguyễn Ngọc Huân</v>
      </c>
      <c r="E254" s="27">
        <f ca="1">IFERROR(__xludf.DUMMYFUNCTION("""COMPUTED_VALUE"""),37413)</f>
        <v>37413</v>
      </c>
      <c r="F254" s="23" t="str">
        <f ca="1">IFERROR(__xludf.DUMMYFUNCTION("""COMPUTED_VALUE"""),"K26DLK1")</f>
        <v>K26DLK1</v>
      </c>
      <c r="G254" s="23" t="str">
        <f ca="1">IFERROR(__xludf.DUMMYFUNCTION("""COMPUTED_VALUE"""),"Quản trị Du lịch &amp; Khách sạn")</f>
        <v>Quản trị Du lịch &amp; Khách sạn</v>
      </c>
      <c r="H254" s="23">
        <f ca="1">IFERROR(__xludf.DUMMYFUNCTION("""COMPUTED_VALUE"""),26)</f>
        <v>26</v>
      </c>
      <c r="I254" s="23" t="str">
        <f ca="1">IFERROR(__xludf.DUMMYFUNCTION("""COMPUTED_VALUE"""),"0971514017")</f>
        <v>0971514017</v>
      </c>
      <c r="J254" s="23" t="str">
        <f ca="1">IFERROR(__xludf.DUMMYFUNCTION("""COMPUTED_VALUE"""),"Chuyên đề")</f>
        <v>Chuyên đề</v>
      </c>
      <c r="K254" s="23" t="str">
        <f ca="1">IFERROR(__xludf.DUMMYFUNCTION("""COMPUTED_VALUE"""),"Renaissance Hoi An Resort &amp; Spa")</f>
        <v>Renaissance Hoi An Resort &amp; Spa</v>
      </c>
      <c r="L254" s="23" t="str">
        <f ca="1">IFERROR(__xludf.DUMMYFUNCTION("""COMPUTED_VALUE"""),"RENAISSANCE HOI AN RESORT ")</f>
        <v xml:space="preserve">RENAISSANCE HOI AN RESORT </v>
      </c>
      <c r="M254" s="23" t="str">
        <f ca="1">IFERROR(__xludf.DUMMYFUNCTION("""COMPUTED_VALUE"""),"Lô 6, Phước Hải , Cửa Đại, Hội An, Quảng Nam ")</f>
        <v xml:space="preserve">Lô 6, Phước Hải , Cửa Đại, Hội An, Quảng Nam </v>
      </c>
      <c r="N254" s="23" t="str">
        <f ca="1">IFERROR(__xludf.DUMMYFUNCTION("""COMPUTED_VALUE"""),"Hội An")</f>
        <v>Hội An</v>
      </c>
      <c r="O254" s="23" t="str">
        <f ca="1">IFERROR(__xludf.DUMMYFUNCTION("""COMPUTED_VALUE"""),"Nhà hàng")</f>
        <v>Nhà hàng</v>
      </c>
      <c r="P254" s="23"/>
      <c r="Q254" s="23" t="str">
        <f ca="1">IFERROR(__xludf.DUMMYFUNCTION("""COMPUTED_VALUE"""),"Chưa nộp")</f>
        <v>Chưa nộp</v>
      </c>
      <c r="R254" s="23" t="str">
        <f ca="1">IFERROR(__xludf.DUMMYFUNCTION("""COMPUTED_VALUE"""),"cam kết")</f>
        <v>cam kết</v>
      </c>
      <c r="S254" s="23" t="str">
        <f ca="1">IFERROR(__xludf.DUMMYFUNCTION("""COMPUTED_VALUE"""),"Chuyên đề")</f>
        <v>Chuyên đề</v>
      </c>
      <c r="T254" s="23"/>
      <c r="U254" s="27">
        <f ca="1">IFERROR(__xludf.DUMMYFUNCTION("""COMPUTED_VALUE"""),45726)</f>
        <v>45726</v>
      </c>
      <c r="V254" s="27">
        <f ca="1">IFERROR(__xludf.DUMMYFUNCTION("""COMPUTED_VALUE"""),45818)</f>
        <v>45818</v>
      </c>
      <c r="W254" s="23">
        <f ca="1">IFERROR(__xludf.DUMMYFUNCTION("""COMPUTED_VALUE"""),253)</f>
        <v>253</v>
      </c>
      <c r="X254" s="23"/>
      <c r="Y254" s="23" t="str">
        <f ca="1">IFERROR(__xludf.DUMMYFUNCTION("""COMPUTED_VALUE"""),"KHÔNG DUYỆT")</f>
        <v>KHÔNG DUYỆT</v>
      </c>
      <c r="Z254" s="23" t="str">
        <f ca="1">IFERROR(__xludf.DUMMYFUNCTION("""COMPUTED_VALUE"""),"17/02/2025")</f>
        <v>17/02/2025</v>
      </c>
      <c r="AA254" s="23" t="str">
        <f ca="1">IFERROR(__xludf.DUMMYFUNCTION("""COMPUTED_VALUE"""),"Renaissance Hoi An Resort &amp; Spa")</f>
        <v>Renaissance Hoi An Resort &amp; Spa</v>
      </c>
      <c r="AB254" s="23" t="str">
        <f ca="1">IFERROR(__xludf.DUMMYFUNCTION("""COMPUTED_VALUE"""),"Nhà hàng")</f>
        <v>Nhà hàng</v>
      </c>
      <c r="AC254" s="23" t="str">
        <f ca="1">IFERROR(__xludf.DUMMYFUNCTION("""COMPUTED_VALUE"""),"CHƯA NỘP")</f>
        <v>CHƯA NỘP</v>
      </c>
      <c r="AD254" s="23" t="str">
        <f ca="1">IFERROR(__xludf.DUMMYFUNCTION("""COMPUTED_VALUE"""),"SV chưa nộp đơn tham dự tốt nghiệp, nằm trong danh sách hủy đăng ký thực tập đã công bố ngày  13/02/2025. Nếu sinh viên muốn thực tập thời gian này để giữ kết quả cho đợt 12/2025: liên hệ giáo vụ Khoa")</f>
        <v>SV chưa nộp đơn tham dự tốt nghiệp, nằm trong danh sách hủy đăng ký thực tập đã công bố ngày  13/02/2025. Nếu sinh viên muốn thực tập thời gian này để giữ kết quả cho đợt 12/2025: liên hệ giáo vụ Khoa</v>
      </c>
      <c r="AE254" s="23" t="str">
        <f ca="1">IFERROR(__xludf.DUMMYFUNCTION("""COMPUTED_VALUE"""),"")</f>
        <v/>
      </c>
      <c r="AF254" s="23" t="str">
        <f ca="1">IFERROR(__xludf.DUMMYFUNCTION("""COMPUTED_VALUE"""),"HỦY HỒ SƠ ĐĂNG KÝ THAM DỰ TỐT NGHIỆP ĐỢT 06/2025")</f>
        <v>HỦY HỒ SƠ ĐĂNG KÝ THAM DỰ TỐT NGHIỆP ĐỢT 06/2025</v>
      </c>
      <c r="AG254" s="23"/>
    </row>
    <row r="255" spans="1:33" ht="12.75" x14ac:dyDescent="0.2">
      <c r="A255" s="26">
        <f ca="1">IFERROR(__xludf.DUMMYFUNCTION("""COMPUTED_VALUE"""),45708.5136254282)</f>
        <v>45708.513625428197</v>
      </c>
      <c r="B255" s="23" t="str">
        <f ca="1">IFERROR(__xludf.DUMMYFUNCTION("""COMPUTED_VALUE"""),"maivanhduc@gmail.com")</f>
        <v>maivanhduc@gmail.com</v>
      </c>
      <c r="C255" s="23">
        <f ca="1">IFERROR(__xludf.DUMMYFUNCTION("""COMPUTED_VALUE"""),2321714383)</f>
        <v>2321714383</v>
      </c>
      <c r="D255" s="23" t="str">
        <f ca="1">IFERROR(__xludf.DUMMYFUNCTION("""COMPUTED_VALUE"""),"Mai Văn Hữu Đức")</f>
        <v>Mai Văn Hữu Đức</v>
      </c>
      <c r="E255" s="27">
        <f ca="1">IFERROR(__xludf.DUMMYFUNCTION("""COMPUTED_VALUE"""),36220)</f>
        <v>36220</v>
      </c>
      <c r="F255" s="23" t="str">
        <f ca="1">IFERROR(__xludf.DUMMYFUNCTION("""COMPUTED_VALUE"""),"K23PSUDLK 1")</f>
        <v>K23PSUDLK 1</v>
      </c>
      <c r="G255" s="23" t="str">
        <f ca="1">IFERROR(__xludf.DUMMYFUNCTION("""COMPUTED_VALUE"""),"Quản trị Du lịch &amp; Khách sạn chuẩn PSU")</f>
        <v>Quản trị Du lịch &amp; Khách sạn chuẩn PSU</v>
      </c>
      <c r="H255" s="23">
        <f ca="1">IFERROR(__xludf.DUMMYFUNCTION("""COMPUTED_VALUE"""),23)</f>
        <v>23</v>
      </c>
      <c r="I255" s="23" t="str">
        <f ca="1">IFERROR(__xludf.DUMMYFUNCTION("""COMPUTED_VALUE"""),"0905939265")</f>
        <v>0905939265</v>
      </c>
      <c r="J255" s="23" t="str">
        <f ca="1">IFERROR(__xludf.DUMMYFUNCTION("""COMPUTED_VALUE"""),"Chuyên đề")</f>
        <v>Chuyên đề</v>
      </c>
      <c r="K255" s="23" t="str">
        <f ca="1">IFERROR(__xludf.DUMMYFUNCTION("""COMPUTED_VALUE"""),"khách sạn khác")</f>
        <v>khách sạn khác</v>
      </c>
      <c r="L255" s="23" t="str">
        <f ca="1">IFERROR(__xludf.DUMMYFUNCTION("""COMPUTED_VALUE"""),"Renaissance Hoi An Resort &amp; Spa")</f>
        <v>Renaissance Hoi An Resort &amp; Spa</v>
      </c>
      <c r="M255" s="23" t="str">
        <f ca="1">IFERROR(__xludf.DUMMYFUNCTION("""COMPUTED_VALUE"""),"Block 6, Phuoc Hai Village, Cua Dai Ward, Hoi An, Quảng Nam Province")</f>
        <v>Block 6, Phuoc Hai Village, Cua Dai Ward, Hoi An, Quảng Nam Province</v>
      </c>
      <c r="N255" s="23" t="str">
        <f ca="1">IFERROR(__xludf.DUMMYFUNCTION("""COMPUTED_VALUE"""),"Hội An")</f>
        <v>Hội An</v>
      </c>
      <c r="O255" s="23" t="str">
        <f ca="1">IFERROR(__xludf.DUMMYFUNCTION("""COMPUTED_VALUE"""),"Nhà hàng")</f>
        <v>Nhà hàng</v>
      </c>
      <c r="P255" s="23" t="str">
        <f ca="1">IFERROR(__xludf.DUMMYFUNCTION("""COMPUTED_VALUE"""),"F&amp;B")</f>
        <v>F&amp;B</v>
      </c>
      <c r="Q255" s="23" t="str">
        <f ca="1">IFERROR(__xludf.DUMMYFUNCTION("""COMPUTED_VALUE"""),"14/2/2025")</f>
        <v>14/2/2025</v>
      </c>
      <c r="R255" s="23" t="str">
        <f ca="1">IFERROR(__xludf.DUMMYFUNCTION("""COMPUTED_VALUE"""),"cam kết")</f>
        <v>cam kết</v>
      </c>
      <c r="S255" s="23" t="str">
        <f ca="1">IFERROR(__xludf.DUMMYFUNCTION("""COMPUTED_VALUE"""),"Chuyên đề")</f>
        <v>Chuyên đề</v>
      </c>
      <c r="T255" s="23" t="str">
        <f ca="1">IFERROR(__xludf.DUMMYFUNCTION("""COMPUTED_VALUE"""),"Dương Thị Xuân Diệu")</f>
        <v>Dương Thị Xuân Diệu</v>
      </c>
      <c r="U255" s="27">
        <f ca="1">IFERROR(__xludf.DUMMYFUNCTION("""COMPUTED_VALUE"""),45698)</f>
        <v>45698</v>
      </c>
      <c r="V255" s="27">
        <f ca="1">IFERROR(__xludf.DUMMYFUNCTION("""COMPUTED_VALUE"""),45787)</f>
        <v>45787</v>
      </c>
      <c r="W255" s="23">
        <f ca="1">IFERROR(__xludf.DUMMYFUNCTION("""COMPUTED_VALUE"""),254)</f>
        <v>254</v>
      </c>
      <c r="X255" s="23"/>
      <c r="Y255" s="23" t="str">
        <f ca="1">IFERROR(__xludf.DUMMYFUNCTION("""COMPUTED_VALUE"""),"DUYỆT")</f>
        <v>DUYỆT</v>
      </c>
      <c r="Z255" s="23" t="str">
        <f ca="1">IFERROR(__xludf.DUMMYFUNCTION("""COMPUTED_VALUE"""),"17/02/2025")</f>
        <v>17/02/2025</v>
      </c>
      <c r="AA255" s="23" t="str">
        <f ca="1">IFERROR(__xludf.DUMMYFUNCTION("""COMPUTED_VALUE"""),"Renaissance Hoi An Resort &amp; Spa")</f>
        <v>Renaissance Hoi An Resort &amp; Spa</v>
      </c>
      <c r="AB255" s="23" t="str">
        <f ca="1">IFERROR(__xludf.DUMMYFUNCTION("""COMPUTED_VALUE"""),"Nhà hàng")</f>
        <v>Nhà hàng</v>
      </c>
      <c r="AC255" s="23" t="str">
        <f ca="1">IFERROR(__xludf.DUMMYFUNCTION("""COMPUTED_VALUE"""),"ĐÃ NỘP")</f>
        <v>ĐÃ NỘP</v>
      </c>
      <c r="AD255" s="23"/>
      <c r="AE255" s="23" t="str">
        <f ca="1">IFERROR(__xludf.DUMMYFUNCTION("""COMPUTED_VALUE"""),"")</f>
        <v/>
      </c>
      <c r="AF255" s="23" t="str">
        <f ca="1">IFERROR(__xludf.DUMMYFUNCTION("""COMPUTED_VALUE"""),"CHUYÊN ĐỀ")</f>
        <v>CHUYÊN ĐỀ</v>
      </c>
      <c r="AG255" s="23" t="str">
        <f ca="1">IFERROR(__xludf.DUMMYFUNCTION("""COMPUTED_VALUE"""),"Ngô Thị Thanh Nga")</f>
        <v>Ngô Thị Thanh Nga</v>
      </c>
    </row>
    <row r="256" spans="1:33" ht="12.75" x14ac:dyDescent="0.2">
      <c r="A256" s="26">
        <f ca="1">IFERROR(__xludf.DUMMYFUNCTION("""COMPUTED_VALUE"""),45703.6795696296)</f>
        <v>45703.679569629603</v>
      </c>
      <c r="B256" s="23" t="str">
        <f ca="1">IFERROR(__xludf.DUMMYFUNCTION("""COMPUTED_VALUE"""),"ngduy9202@gmail.com")</f>
        <v>ngduy9202@gmail.com</v>
      </c>
      <c r="C256" s="23">
        <f ca="1">IFERROR(__xludf.DUMMYFUNCTION("""COMPUTED_VALUE"""),26212932260)</f>
        <v>26212932260</v>
      </c>
      <c r="D256" s="23" t="str">
        <f ca="1">IFERROR(__xludf.DUMMYFUNCTION("""COMPUTED_VALUE"""),"Nguyễn Lê Anh Duy")</f>
        <v>Nguyễn Lê Anh Duy</v>
      </c>
      <c r="E256" s="27">
        <f ca="1">IFERROR(__xludf.DUMMYFUNCTION("""COMPUTED_VALUE"""),37609)</f>
        <v>37609</v>
      </c>
      <c r="F256" s="23" t="str">
        <f ca="1">IFERROR(__xludf.DUMMYFUNCTION("""COMPUTED_VALUE"""),"K26 PSUDLK 1")</f>
        <v>K26 PSUDLK 1</v>
      </c>
      <c r="G256" s="23" t="str">
        <f ca="1">IFERROR(__xludf.DUMMYFUNCTION("""COMPUTED_VALUE"""),"Quản trị Du lịch &amp; Khách sạn chuẩn PSU")</f>
        <v>Quản trị Du lịch &amp; Khách sạn chuẩn PSU</v>
      </c>
      <c r="H256" s="23">
        <f ca="1">IFERROR(__xludf.DUMMYFUNCTION("""COMPUTED_VALUE"""),26)</f>
        <v>26</v>
      </c>
      <c r="I256" s="23" t="str">
        <f ca="1">IFERROR(__xludf.DUMMYFUNCTION("""COMPUTED_VALUE"""),"0906408020")</f>
        <v>0906408020</v>
      </c>
      <c r="J256" s="23" t="str">
        <f ca="1">IFERROR(__xludf.DUMMYFUNCTION("""COMPUTED_VALUE"""),"Chuyên đề")</f>
        <v>Chuyên đề</v>
      </c>
      <c r="K256" s="23" t="str">
        <f ca="1">IFERROR(__xludf.DUMMYFUNCTION("""COMPUTED_VALUE"""),"Renaissance Hoi An Resort &amp; Spa")</f>
        <v>Renaissance Hoi An Resort &amp; Spa</v>
      </c>
      <c r="L256" s="23" t="str">
        <f ca="1">IFERROR(__xludf.DUMMYFUNCTION("""COMPUTED_VALUE"""),"Renaissance Hoi An resort &amp; spa")</f>
        <v>Renaissance Hoi An resort &amp; spa</v>
      </c>
      <c r="M256" s="23" t="str">
        <f ca="1">IFERROR(__xludf.DUMMYFUNCTION("""COMPUTED_VALUE"""),"Phước Hải, Cửa Đại, Hội An, Quảng Nam")</f>
        <v>Phước Hải, Cửa Đại, Hội An, Quảng Nam</v>
      </c>
      <c r="N256" s="23" t="str">
        <f ca="1">IFERROR(__xludf.DUMMYFUNCTION("""COMPUTED_VALUE"""),"Thành phố Hội An")</f>
        <v>Thành phố Hội An</v>
      </c>
      <c r="O256" s="23" t="str">
        <f ca="1">IFERROR(__xludf.DUMMYFUNCTION("""COMPUTED_VALUE"""),"Nhà hàng")</f>
        <v>Nhà hàng</v>
      </c>
      <c r="P256" s="23"/>
      <c r="Q256" s="23" t="str">
        <f ca="1">IFERROR(__xludf.DUMMYFUNCTION("""COMPUTED_VALUE"""),"20/2/2025")</f>
        <v>20/2/2025</v>
      </c>
      <c r="R256" s="23" t="str">
        <f ca="1">IFERROR(__xludf.DUMMYFUNCTION("""COMPUTED_VALUE"""),"cam kết")</f>
        <v>cam kết</v>
      </c>
      <c r="S256" s="23" t="str">
        <f ca="1">IFERROR(__xludf.DUMMYFUNCTION("""COMPUTED_VALUE"""),"Chuyên đề")</f>
        <v>Chuyên đề</v>
      </c>
      <c r="T256" s="23"/>
      <c r="U256" s="27">
        <f ca="1">IFERROR(__xludf.DUMMYFUNCTION("""COMPUTED_VALUE"""),45726)</f>
        <v>45726</v>
      </c>
      <c r="V256" s="27">
        <f ca="1">IFERROR(__xludf.DUMMYFUNCTION("""COMPUTED_VALUE"""),45818)</f>
        <v>45818</v>
      </c>
      <c r="W256" s="23">
        <f ca="1">IFERROR(__xludf.DUMMYFUNCTION("""COMPUTED_VALUE"""),255)</f>
        <v>255</v>
      </c>
      <c r="X256" s="23"/>
      <c r="Y256" s="23" t="str">
        <f ca="1">IFERROR(__xludf.DUMMYFUNCTION("""COMPUTED_VALUE"""),"DUYỆT")</f>
        <v>DUYỆT</v>
      </c>
      <c r="Z256" s="23" t="str">
        <f ca="1">IFERROR(__xludf.DUMMYFUNCTION("""COMPUTED_VALUE"""),"17/02/2025")</f>
        <v>17/02/2025</v>
      </c>
      <c r="AA256" s="23" t="str">
        <f ca="1">IFERROR(__xludf.DUMMYFUNCTION("""COMPUTED_VALUE"""),"Renaissance Hoi An resort &amp; spa")</f>
        <v>Renaissance Hoi An resort &amp; spa</v>
      </c>
      <c r="AB256" s="23" t="str">
        <f ca="1">IFERROR(__xludf.DUMMYFUNCTION("""COMPUTED_VALUE"""),"Nhà hàng")</f>
        <v>Nhà hàng</v>
      </c>
      <c r="AC256" s="23" t="str">
        <f ca="1">IFERROR(__xludf.DUMMYFUNCTION("""COMPUTED_VALUE"""),"ĐÃ NỘP")</f>
        <v>ĐÃ NỘP</v>
      </c>
      <c r="AD256" s="23"/>
      <c r="AE256" s="23" t="str">
        <f ca="1">IFERROR(__xludf.DUMMYFUNCTION("""COMPUTED_VALUE"""),"")</f>
        <v/>
      </c>
      <c r="AF256" s="23" t="str">
        <f ca="1">IFERROR(__xludf.DUMMYFUNCTION("""COMPUTED_VALUE"""),"CHUYÊN ĐỀ")</f>
        <v>CHUYÊN ĐỀ</v>
      </c>
      <c r="AG256" s="23" t="str">
        <f ca="1">IFERROR(__xludf.DUMMYFUNCTION("""COMPUTED_VALUE"""),"Huỳnh Lý Thùy Linh")</f>
        <v>Huỳnh Lý Thùy Linh</v>
      </c>
    </row>
    <row r="257" spans="1:33" ht="12.75" x14ac:dyDescent="0.2">
      <c r="A257" s="26">
        <f ca="1">IFERROR(__xludf.DUMMYFUNCTION("""COMPUTED_VALUE"""),45707.7525387152)</f>
        <v>45707.752538715198</v>
      </c>
      <c r="B257" s="23" t="str">
        <f ca="1">IFERROR(__xludf.DUMMYFUNCTION("""COMPUTED_VALUE"""),"phanthilananh1008@gmail.com")</f>
        <v>phanthilananh1008@gmail.com</v>
      </c>
      <c r="C257" s="23">
        <f ca="1">IFERROR(__xludf.DUMMYFUNCTION("""COMPUTED_VALUE"""),27207102890)</f>
        <v>27207102890</v>
      </c>
      <c r="D257" s="23" t="str">
        <f ca="1">IFERROR(__xludf.DUMMYFUNCTION("""COMPUTED_VALUE"""),"Phan Thị Lan Anh")</f>
        <v>Phan Thị Lan Anh</v>
      </c>
      <c r="E257" s="27">
        <f ca="1">IFERROR(__xludf.DUMMYFUNCTION("""COMPUTED_VALUE"""),37843)</f>
        <v>37843</v>
      </c>
      <c r="F257" s="23" t="str">
        <f ca="1">IFERROR(__xludf.DUMMYFUNCTION("""COMPUTED_VALUE"""),"K27DLK5")</f>
        <v>K27DLK5</v>
      </c>
      <c r="G257" s="23" t="str">
        <f ca="1">IFERROR(__xludf.DUMMYFUNCTION("""COMPUTED_VALUE"""),"Quản trị Du lịch &amp; Khách sạn")</f>
        <v>Quản trị Du lịch &amp; Khách sạn</v>
      </c>
      <c r="H257" s="23">
        <f ca="1">IFERROR(__xludf.DUMMYFUNCTION("""COMPUTED_VALUE"""),27)</f>
        <v>27</v>
      </c>
      <c r="I257" s="23" t="str">
        <f ca="1">IFERROR(__xludf.DUMMYFUNCTION("""COMPUTED_VALUE"""),"0777543419")</f>
        <v>0777543419</v>
      </c>
      <c r="J257" s="23" t="str">
        <f ca="1">IFERROR(__xludf.DUMMYFUNCTION("""COMPUTED_VALUE"""),"Chuyên đề")</f>
        <v>Chuyên đề</v>
      </c>
      <c r="K257" s="23" t="str">
        <f ca="1">IFERROR(__xludf.DUMMYFUNCTION("""COMPUTED_VALUE"""),"Ba Na Hills")</f>
        <v>Ba Na Hills</v>
      </c>
      <c r="L257" s="23" t="str">
        <f ca="1">IFERROR(__xludf.DUMMYFUNCTION("""COMPUTED_VALUE"""),"Ba Na Hills")</f>
        <v>Ba Na Hills</v>
      </c>
      <c r="M257" s="23" t="str">
        <f ca="1">IFERROR(__xludf.DUMMYFUNCTION("""COMPUTED_VALUE"""),"Thôn An Sơn - Huyện Hòa Vang - Tp Đà Nẵng")</f>
        <v>Thôn An Sơn - Huyện Hòa Vang - Tp Đà Nẵng</v>
      </c>
      <c r="N257" s="23" t="str">
        <f ca="1">IFERROR(__xludf.DUMMYFUNCTION("""COMPUTED_VALUE"""),"Đà Nẵng")</f>
        <v>Đà Nẵng</v>
      </c>
      <c r="O257" s="23" t="str">
        <f ca="1">IFERROR(__xludf.DUMMYFUNCTION("""COMPUTED_VALUE"""),"Nhà hàng")</f>
        <v>Nhà hàng</v>
      </c>
      <c r="P257" s="23"/>
      <c r="Q257" s="23" t="str">
        <f ca="1">IFERROR(__xludf.DUMMYFUNCTION("""COMPUTED_VALUE"""),"Chưa nộp ")</f>
        <v xml:space="preserve">Chưa nộp </v>
      </c>
      <c r="R257" s="23" t="str">
        <f ca="1">IFERROR(__xludf.DUMMYFUNCTION("""COMPUTED_VALUE"""),"cam kết")</f>
        <v>cam kết</v>
      </c>
      <c r="S257" s="23" t="str">
        <f ca="1">IFERROR(__xludf.DUMMYFUNCTION("""COMPUTED_VALUE"""),"Chuyên đề")</f>
        <v>Chuyên đề</v>
      </c>
      <c r="T257" s="23"/>
      <c r="U257" s="27">
        <f ca="1">IFERROR(__xludf.DUMMYFUNCTION("""COMPUTED_VALUE"""),45726)</f>
        <v>45726</v>
      </c>
      <c r="V257" s="27">
        <f ca="1">IFERROR(__xludf.DUMMYFUNCTION("""COMPUTED_VALUE"""),45818)</f>
        <v>45818</v>
      </c>
      <c r="W257" s="23">
        <f ca="1">IFERROR(__xludf.DUMMYFUNCTION("""COMPUTED_VALUE"""),256)</f>
        <v>256</v>
      </c>
      <c r="X257" s="23"/>
      <c r="Y257" s="23" t="str">
        <f ca="1">IFERROR(__xludf.DUMMYFUNCTION("""COMPUTED_VALUE"""),"DUYỆT")</f>
        <v>DUYỆT</v>
      </c>
      <c r="Z257" s="23" t="str">
        <f ca="1">IFERROR(__xludf.DUMMYFUNCTION("""COMPUTED_VALUE"""),"21/02/2025")</f>
        <v>21/02/2025</v>
      </c>
      <c r="AA257" s="23" t="str">
        <f ca="1">IFERROR(__xludf.DUMMYFUNCTION("""COMPUTED_VALUE"""),"Ba Na Hills")</f>
        <v>Ba Na Hills</v>
      </c>
      <c r="AB257" s="23" t="str">
        <f ca="1">IFERROR(__xludf.DUMMYFUNCTION("""COMPUTED_VALUE"""),"Nhà hàng")</f>
        <v>Nhà hàng</v>
      </c>
      <c r="AC257" s="23"/>
      <c r="AD257" s="23"/>
      <c r="AE257" s="23" t="str">
        <f ca="1">IFERROR(__xludf.DUMMYFUNCTION("""COMPUTED_VALUE"""),"")</f>
        <v/>
      </c>
      <c r="AF257" s="23" t="str">
        <f ca="1">IFERROR(__xludf.DUMMYFUNCTION("""COMPUTED_VALUE"""),"CHUYÊN ĐỀ")</f>
        <v>CHUYÊN ĐỀ</v>
      </c>
      <c r="AG257" s="23" t="str">
        <f ca="1">IFERROR(__xludf.DUMMYFUNCTION("""COMPUTED_VALUE"""),"Nguyễn Thị Minh Thư")</f>
        <v>Nguyễn Thị Minh Thư</v>
      </c>
    </row>
    <row r="258" spans="1:33" ht="12.75" x14ac:dyDescent="0.2">
      <c r="A258" s="26">
        <f ca="1">IFERROR(__xludf.DUMMYFUNCTION("""COMPUTED_VALUE"""),45707.7592315162)</f>
        <v>45707.759231516196</v>
      </c>
      <c r="B258" s="23" t="str">
        <f ca="1">IFERROR(__xludf.DUMMYFUNCTION("""COMPUTED_VALUE"""),"tranmaymi@gmail.com")</f>
        <v>tranmaymi@gmail.com</v>
      </c>
      <c r="C258" s="23">
        <f ca="1">IFERROR(__xludf.DUMMYFUNCTION("""COMPUTED_VALUE"""),26207142302)</f>
        <v>26207142302</v>
      </c>
      <c r="D258" s="23" t="str">
        <f ca="1">IFERROR(__xludf.DUMMYFUNCTION("""COMPUTED_VALUE"""),"Trần Thị Mi")</f>
        <v>Trần Thị Mi</v>
      </c>
      <c r="E258" s="27">
        <f ca="1">IFERROR(__xludf.DUMMYFUNCTION("""COMPUTED_VALUE"""),-692909)</f>
        <v>-692909</v>
      </c>
      <c r="F258" s="23" t="str">
        <f ca="1">IFERROR(__xludf.DUMMYFUNCTION("""COMPUTED_VALUE"""),"K27PSUDLK2")</f>
        <v>K27PSUDLK2</v>
      </c>
      <c r="G258" s="23" t="str">
        <f ca="1">IFERROR(__xludf.DUMMYFUNCTION("""COMPUTED_VALUE"""),"Quản trị Du lịch &amp; Khách sạn chuẩn PSU")</f>
        <v>Quản trị Du lịch &amp; Khách sạn chuẩn PSU</v>
      </c>
      <c r="H258" s="23">
        <f ca="1">IFERROR(__xludf.DUMMYFUNCTION("""COMPUTED_VALUE"""),27)</f>
        <v>27</v>
      </c>
      <c r="I258" s="23" t="str">
        <f ca="1">IFERROR(__xludf.DUMMYFUNCTION("""COMPUTED_VALUE"""),"0347617931")</f>
        <v>0347617931</v>
      </c>
      <c r="J258" s="23" t="str">
        <f ca="1">IFERROR(__xludf.DUMMYFUNCTION("""COMPUTED_VALUE"""),"Khóa luận")</f>
        <v>Khóa luận</v>
      </c>
      <c r="K258" s="23" t="str">
        <f ca="1">IFERROR(__xludf.DUMMYFUNCTION("""COMPUTED_VALUE"""),"khách sạn khác")</f>
        <v>khách sạn khác</v>
      </c>
      <c r="L258" s="23" t="str">
        <f ca="1">IFERROR(__xludf.DUMMYFUNCTION("""COMPUTED_VALUE"""),"RENAISSANCE HOI AN RESORT &amp; SPA")</f>
        <v>RENAISSANCE HOI AN RESORT &amp; SPA</v>
      </c>
      <c r="M258" s="23" t="str">
        <f ca="1">IFERROR(__xludf.DUMMYFUNCTION("""COMPUTED_VALUE"""),"Block 6, Phước Hải, Cửa Đại, Hội An")</f>
        <v>Block 6, Phước Hải, Cửa Đại, Hội An</v>
      </c>
      <c r="N258" s="23" t="str">
        <f ca="1">IFERROR(__xludf.DUMMYFUNCTION("""COMPUTED_VALUE"""),"Quảng Nam")</f>
        <v>Quảng Nam</v>
      </c>
      <c r="O258" s="23" t="str">
        <f ca="1">IFERROR(__xludf.DUMMYFUNCTION("""COMPUTED_VALUE"""),"Tiền sảnh")</f>
        <v>Tiền sảnh</v>
      </c>
      <c r="P258" s="23"/>
      <c r="Q258" s="23" t="str">
        <f ca="1">IFERROR(__xludf.DUMMYFUNCTION("""COMPUTED_VALUE"""),"Chưa có")</f>
        <v>Chưa có</v>
      </c>
      <c r="R258" s="23" t="str">
        <f ca="1">IFERROR(__xludf.DUMMYFUNCTION("""COMPUTED_VALUE"""),"cam kết")</f>
        <v>cam kết</v>
      </c>
      <c r="S258" s="23" t="str">
        <f ca="1">IFERROR(__xludf.DUMMYFUNCTION("""COMPUTED_VALUE"""),"Khóa luận")</f>
        <v>Khóa luận</v>
      </c>
      <c r="T258" s="23" t="str">
        <f ca="1">IFERROR(__xludf.DUMMYFUNCTION("""COMPUTED_VALUE"""),"Hồ Sử Minh Tài")</f>
        <v>Hồ Sử Minh Tài</v>
      </c>
      <c r="U258" s="27">
        <f ca="1">IFERROR(__xludf.DUMMYFUNCTION("""COMPUTED_VALUE"""),45726)</f>
        <v>45726</v>
      </c>
      <c r="V258" s="27">
        <f ca="1">IFERROR(__xludf.DUMMYFUNCTION("""COMPUTED_VALUE"""),45818)</f>
        <v>45818</v>
      </c>
      <c r="W258" s="23">
        <f ca="1">IFERROR(__xludf.DUMMYFUNCTION("""COMPUTED_VALUE"""),257)</f>
        <v>257</v>
      </c>
      <c r="X258" s="23"/>
      <c r="Y258" s="23" t="str">
        <f ca="1">IFERROR(__xludf.DUMMYFUNCTION("""COMPUTED_VALUE"""),"DUYỆT")</f>
        <v>DUYỆT</v>
      </c>
      <c r="Z258" s="23" t="str">
        <f ca="1">IFERROR(__xludf.DUMMYFUNCTION("""COMPUTED_VALUE"""),"17/02/2025")</f>
        <v>17/02/2025</v>
      </c>
      <c r="AA258" s="23" t="str">
        <f ca="1">IFERROR(__xludf.DUMMYFUNCTION("""COMPUTED_VALUE"""),"RENAISSANCE HOI AN RESORT &amp; SPA")</f>
        <v>RENAISSANCE HOI AN RESORT &amp; SPA</v>
      </c>
      <c r="AB258" s="23" t="str">
        <f ca="1">IFERROR(__xludf.DUMMYFUNCTION("""COMPUTED_VALUE"""),"Nhà hàng, bộ phận khác")</f>
        <v>Nhà hàng, bộ phận khác</v>
      </c>
      <c r="AC258" s="23"/>
      <c r="AD258" s="23"/>
      <c r="AE258" s="23" t="str">
        <f ca="1">IFERROR(__xludf.DUMMYFUNCTION("""COMPUTED_VALUE"""),"cần kiểm tra lại")</f>
        <v>cần kiểm tra lại</v>
      </c>
      <c r="AF258" s="23" t="str">
        <f ca="1">IFERROR(__xludf.DUMMYFUNCTION("""COMPUTED_VALUE"""),"CHUYÊN ĐỀ")</f>
        <v>CHUYÊN ĐỀ</v>
      </c>
      <c r="AG258" s="23" t="str">
        <f ca="1">IFERROR(__xludf.DUMMYFUNCTION("""COMPUTED_VALUE"""),"Nguyễn Thị Minh Thư")</f>
        <v>Nguyễn Thị Minh Thư</v>
      </c>
    </row>
    <row r="259" spans="1:33" ht="12.75" x14ac:dyDescent="0.2">
      <c r="A259" s="26">
        <f ca="1">IFERROR(__xludf.DUMMYFUNCTION("""COMPUTED_VALUE"""),45703.9272200578)</f>
        <v>45703.927220057798</v>
      </c>
      <c r="B259" s="23" t="str">
        <f ca="1">IFERROR(__xludf.DUMMYFUNCTION("""COMPUTED_VALUE"""),"nhinguyenjessi@gmail.com")</f>
        <v>nhinguyenjessi@gmail.com</v>
      </c>
      <c r="C259" s="23">
        <f ca="1">IFERROR(__xludf.DUMMYFUNCTION("""COMPUTED_VALUE"""),24207107649)</f>
        <v>24207107649</v>
      </c>
      <c r="D259" s="23" t="str">
        <f ca="1">IFERROR(__xludf.DUMMYFUNCTION("""COMPUTED_VALUE"""),"Nguyễn Yến Nhi")</f>
        <v>Nguyễn Yến Nhi</v>
      </c>
      <c r="E259" s="27">
        <f ca="1">IFERROR(__xludf.DUMMYFUNCTION("""COMPUTED_VALUE"""),36629)</f>
        <v>36629</v>
      </c>
      <c r="F259" s="23" t="str">
        <f ca="1">IFERROR(__xludf.DUMMYFUNCTION("""COMPUTED_VALUE"""),"K25PSUDLK15")</f>
        <v>K25PSUDLK15</v>
      </c>
      <c r="G259" s="23" t="str">
        <f ca="1">IFERROR(__xludf.DUMMYFUNCTION("""COMPUTED_VALUE"""),"Quản trị Du lịch &amp; Khách sạn chuẩn PSU")</f>
        <v>Quản trị Du lịch &amp; Khách sạn chuẩn PSU</v>
      </c>
      <c r="H259" s="23">
        <f ca="1">IFERROR(__xludf.DUMMYFUNCTION("""COMPUTED_VALUE"""),24)</f>
        <v>24</v>
      </c>
      <c r="I259" s="23" t="str">
        <f ca="1">IFERROR(__xludf.DUMMYFUNCTION("""COMPUTED_VALUE"""),"0799431689")</f>
        <v>0799431689</v>
      </c>
      <c r="J259" s="23" t="str">
        <f ca="1">IFERROR(__xludf.DUMMYFUNCTION("""COMPUTED_VALUE"""),"Chuyên đề")</f>
        <v>Chuyên đề</v>
      </c>
      <c r="K259" s="23" t="str">
        <f ca="1">IFERROR(__xludf.DUMMYFUNCTION("""COMPUTED_VALUE"""),"Ba Na Hills")</f>
        <v>Ba Na Hills</v>
      </c>
      <c r="L259" s="23" t="str">
        <f ca="1">IFERROR(__xludf.DUMMYFUNCTION("""COMPUTED_VALUE"""),"Ba Na Hills")</f>
        <v>Ba Na Hills</v>
      </c>
      <c r="M259" s="23" t="str">
        <f ca="1">IFERROR(__xludf.DUMMYFUNCTION("""COMPUTED_VALUE"""),"An Son Village, Hoa Ninh Commune, Hoa Vang District, Da Nang City, Vietnam")</f>
        <v>An Son Village, Hoa Ninh Commune, Hoa Vang District, Da Nang City, Vietnam</v>
      </c>
      <c r="N259" s="23" t="str">
        <f ca="1">IFERROR(__xludf.DUMMYFUNCTION("""COMPUTED_VALUE"""),"Đà Nẵng")</f>
        <v>Đà Nẵng</v>
      </c>
      <c r="O259" s="23" t="str">
        <f ca="1">IFERROR(__xludf.DUMMYFUNCTION("""COMPUTED_VALUE"""),"Nhân sự, bộ phận khác")</f>
        <v>Nhân sự, bộ phận khác</v>
      </c>
      <c r="P259" s="23" t="str">
        <f ca="1">IFERROR(__xludf.DUMMYFUNCTION("""COMPUTED_VALUE"""),"Sale or Marketing")</f>
        <v>Sale or Marketing</v>
      </c>
      <c r="Q259" s="23" t="str">
        <f ca="1">IFERROR(__xludf.DUMMYFUNCTION("""COMPUTED_VALUE"""),"10/03/2025")</f>
        <v>10/03/2025</v>
      </c>
      <c r="R259" s="23" t="str">
        <f ca="1">IFERROR(__xludf.DUMMYFUNCTION("""COMPUTED_VALUE"""),"cam kết")</f>
        <v>cam kết</v>
      </c>
      <c r="S259" s="23" t="str">
        <f ca="1">IFERROR(__xludf.DUMMYFUNCTION("""COMPUTED_VALUE"""),"Chuyên đề")</f>
        <v>Chuyên đề</v>
      </c>
      <c r="T259" s="23"/>
      <c r="U259" s="27">
        <f ca="1">IFERROR(__xludf.DUMMYFUNCTION("""COMPUTED_VALUE"""),45726)</f>
        <v>45726</v>
      </c>
      <c r="V259" s="27">
        <f ca="1">IFERROR(__xludf.DUMMYFUNCTION("""COMPUTED_VALUE"""),45818)</f>
        <v>45818</v>
      </c>
      <c r="W259" s="23">
        <f ca="1">IFERROR(__xludf.DUMMYFUNCTION("""COMPUTED_VALUE"""),258)</f>
        <v>258</v>
      </c>
      <c r="X259" s="23"/>
      <c r="Y259" s="23" t="str">
        <f ca="1">IFERROR(__xludf.DUMMYFUNCTION("""COMPUTED_VALUE"""),"KHÔNG DUYỆT")</f>
        <v>KHÔNG DUYỆT</v>
      </c>
      <c r="Z259" s="23" t="str">
        <f ca="1">IFERROR(__xludf.DUMMYFUNCTION("""COMPUTED_VALUE"""),"17/02/2025")</f>
        <v>17/02/2025</v>
      </c>
      <c r="AA259" s="23" t="str">
        <f ca="1">IFERROR(__xludf.DUMMYFUNCTION("""COMPUTED_VALUE"""),"Ba Na Hills")</f>
        <v>Ba Na Hills</v>
      </c>
      <c r="AB259" s="23" t="str">
        <f ca="1">IFERROR(__xludf.DUMMYFUNCTION("""COMPUTED_VALUE"""),"Nhân sự, bộ phận khác")</f>
        <v>Nhân sự, bộ phận khác</v>
      </c>
      <c r="AC259" s="23" t="str">
        <f ca="1">IFERROR(__xludf.DUMMYFUNCTION("""COMPUTED_VALUE"""),"CHƯA NỘP")</f>
        <v>CHƯA NỘP</v>
      </c>
      <c r="AD259" s="23" t="str">
        <f ca="1">IFERROR(__xludf.DUMMYFUNCTION("""COMPUTED_VALUE"""),"SV chưa nộp đơn tham dự tốt nghiệp, nằm trong danh sách hủy đăng ký thực tập đã công bố ngày  13/02/2025. Nếu sinh viên muốn thực tập thời gian này để giữ kết quả cho đợt 12/2025: liên hệ giáo vụ Khoa")</f>
        <v>SV chưa nộp đơn tham dự tốt nghiệp, nằm trong danh sách hủy đăng ký thực tập đã công bố ngày  13/02/2025. Nếu sinh viên muốn thực tập thời gian này để giữ kết quả cho đợt 12/2025: liên hệ giáo vụ Khoa</v>
      </c>
      <c r="AE259" s="23" t="str">
        <f ca="1">IFERROR(__xludf.DUMMYFUNCTION("""COMPUTED_VALUE"""),"")</f>
        <v/>
      </c>
      <c r="AF259" s="23" t="str">
        <f ca="1">IFERROR(__xludf.DUMMYFUNCTION("""COMPUTED_VALUE"""),"HỦY HỒ SƠ ĐĂNG KÝ THAM DỰ TỐT NGHIỆP ĐỢT 06/2025")</f>
        <v>HỦY HỒ SƠ ĐĂNG KÝ THAM DỰ TỐT NGHIỆP ĐỢT 06/2025</v>
      </c>
      <c r="AG259" s="23"/>
    </row>
    <row r="260" spans="1:33" ht="12.75" x14ac:dyDescent="0.2">
      <c r="A260" s="26">
        <f ca="1">IFERROR(__xludf.DUMMYFUNCTION("""COMPUTED_VALUE"""),45704.5238757176)</f>
        <v>45704.523875717598</v>
      </c>
      <c r="B260" s="23" t="str">
        <f ca="1">IFERROR(__xludf.DUMMYFUNCTION("""COMPUTED_VALUE"""),"tmai8088@gmail.com")</f>
        <v>tmai8088@gmail.com</v>
      </c>
      <c r="C260" s="23">
        <f ca="1">IFERROR(__xludf.DUMMYFUNCTION("""COMPUTED_VALUE"""),27217147046)</f>
        <v>27217147046</v>
      </c>
      <c r="D260" s="23" t="str">
        <f ca="1">IFERROR(__xludf.DUMMYFUNCTION("""COMPUTED_VALUE"""),"Mai Văn Thành")</f>
        <v>Mai Văn Thành</v>
      </c>
      <c r="E260" s="27">
        <f ca="1">IFERROR(__xludf.DUMMYFUNCTION("""COMPUTED_VALUE"""),37968)</f>
        <v>37968</v>
      </c>
      <c r="F260" s="23" t="str">
        <f ca="1">IFERROR(__xludf.DUMMYFUNCTION("""COMPUTED_VALUE"""),"K27DLK 3")</f>
        <v>K27DLK 3</v>
      </c>
      <c r="G260" s="23" t="str">
        <f ca="1">IFERROR(__xludf.DUMMYFUNCTION("""COMPUTED_VALUE"""),"Quản trị Du lịch &amp; Khách sạn")</f>
        <v>Quản trị Du lịch &amp; Khách sạn</v>
      </c>
      <c r="H260" s="23">
        <f ca="1">IFERROR(__xludf.DUMMYFUNCTION("""COMPUTED_VALUE"""),27)</f>
        <v>27</v>
      </c>
      <c r="I260" s="23" t="str">
        <f ca="1">IFERROR(__xludf.DUMMYFUNCTION("""COMPUTED_VALUE"""),"0329063253")</f>
        <v>0329063253</v>
      </c>
      <c r="J260" s="23" t="str">
        <f ca="1">IFERROR(__xludf.DUMMYFUNCTION("""COMPUTED_VALUE"""),"Chuyên đề")</f>
        <v>Chuyên đề</v>
      </c>
      <c r="K260" s="23" t="str">
        <f ca="1">IFERROR(__xludf.DUMMYFUNCTION("""COMPUTED_VALUE"""),"Renaissance Hoi An Resort &amp; Spa")</f>
        <v>Renaissance Hoi An Resort &amp; Spa</v>
      </c>
      <c r="L260" s="23" t="str">
        <f ca="1">IFERROR(__xludf.DUMMYFUNCTION("""COMPUTED_VALUE"""),"RENAISSANCE HOI AN RESORT &amp; SPA")</f>
        <v>RENAISSANCE HOI AN RESORT &amp; SPA</v>
      </c>
      <c r="M260" s="23" t="str">
        <f ca="1">IFERROR(__xludf.DUMMYFUNCTION("""COMPUTED_VALUE"""),"Block 6, Phuoc Hai, Cửa Đại, Hội An, Quảng Nam")</f>
        <v>Block 6, Phuoc Hai, Cửa Đại, Hội An, Quảng Nam</v>
      </c>
      <c r="N260" s="23" t="str">
        <f ca="1">IFERROR(__xludf.DUMMYFUNCTION("""COMPUTED_VALUE"""),"Hội An, Quảng Nam")</f>
        <v>Hội An, Quảng Nam</v>
      </c>
      <c r="O260" s="23" t="str">
        <f ca="1">IFERROR(__xludf.DUMMYFUNCTION("""COMPUTED_VALUE"""),"Buồng phòng")</f>
        <v>Buồng phòng</v>
      </c>
      <c r="P260" s="23"/>
      <c r="Q260" s="23" t="str">
        <f ca="1">IFERROR(__xludf.DUMMYFUNCTION("""COMPUTED_VALUE"""),"16/02/2025")</f>
        <v>16/02/2025</v>
      </c>
      <c r="R260" s="23" t="str">
        <f ca="1">IFERROR(__xludf.DUMMYFUNCTION("""COMPUTED_VALUE"""),"cam kết")</f>
        <v>cam kết</v>
      </c>
      <c r="S260" s="23" t="str">
        <f ca="1">IFERROR(__xludf.DUMMYFUNCTION("""COMPUTED_VALUE"""),"Chuyên đề")</f>
        <v>Chuyên đề</v>
      </c>
      <c r="T260" s="23" t="str">
        <f ca="1">IFERROR(__xludf.DUMMYFUNCTION("""COMPUTED_VALUE"""),"Phạm Thị Thu Thủy")</f>
        <v>Phạm Thị Thu Thủy</v>
      </c>
      <c r="U260" s="27">
        <f ca="1">IFERROR(__xludf.DUMMYFUNCTION("""COMPUTED_VALUE"""),45726)</f>
        <v>45726</v>
      </c>
      <c r="V260" s="27">
        <f ca="1">IFERROR(__xludf.DUMMYFUNCTION("""COMPUTED_VALUE"""),45818)</f>
        <v>45818</v>
      </c>
      <c r="W260" s="23">
        <f ca="1">IFERROR(__xludf.DUMMYFUNCTION("""COMPUTED_VALUE"""),259)</f>
        <v>259</v>
      </c>
      <c r="X260" s="23"/>
      <c r="Y260" s="23" t="str">
        <f ca="1">IFERROR(__xludf.DUMMYFUNCTION("""COMPUTED_VALUE"""),"DUYỆT")</f>
        <v>DUYỆT</v>
      </c>
      <c r="Z260" s="23" t="str">
        <f ca="1">IFERROR(__xludf.DUMMYFUNCTION("""COMPUTED_VALUE"""),"17/02/2025")</f>
        <v>17/02/2025</v>
      </c>
      <c r="AA260" s="23" t="str">
        <f ca="1">IFERROR(__xludf.DUMMYFUNCTION("""COMPUTED_VALUE"""),"RENAISSANCE HOI AN RESORT &amp; SPA")</f>
        <v>RENAISSANCE HOI AN RESORT &amp; SPA</v>
      </c>
      <c r="AB260" s="23" t="str">
        <f ca="1">IFERROR(__xludf.DUMMYFUNCTION("""COMPUTED_VALUE"""),"Buồng phòng")</f>
        <v>Buồng phòng</v>
      </c>
      <c r="AC260" s="23"/>
      <c r="AD260" s="23"/>
      <c r="AE260" s="23" t="str">
        <f ca="1">IFERROR(__xludf.DUMMYFUNCTION("""COMPUTED_VALUE"""),"")</f>
        <v/>
      </c>
      <c r="AF260" s="23" t="str">
        <f ca="1">IFERROR(__xludf.DUMMYFUNCTION("""COMPUTED_VALUE"""),"CHUYÊN ĐỀ")</f>
        <v>CHUYÊN ĐỀ</v>
      </c>
      <c r="AG260" s="23" t="str">
        <f ca="1">IFERROR(__xludf.DUMMYFUNCTION("""COMPUTED_VALUE"""),"Phan Thị Hồng Hải")</f>
        <v>Phan Thị Hồng Hải</v>
      </c>
    </row>
    <row r="261" spans="1:33" ht="12.75" x14ac:dyDescent="0.2">
      <c r="A261" s="26">
        <f ca="1">IFERROR(__xludf.DUMMYFUNCTION("""COMPUTED_VALUE"""),45704.5527409259)</f>
        <v>45704.552740925901</v>
      </c>
      <c r="B261" s="23" t="str">
        <f ca="1">IFERROR(__xludf.DUMMYFUNCTION("""COMPUTED_VALUE"""),"dthao280803@gmail.com")</f>
        <v>dthao280803@gmail.com</v>
      </c>
      <c r="C261" s="23">
        <f ca="1">IFERROR(__xludf.DUMMYFUNCTION("""COMPUTED_VALUE"""),27207131794)</f>
        <v>27207131794</v>
      </c>
      <c r="D261" s="23" t="str">
        <f ca="1">IFERROR(__xludf.DUMMYFUNCTION("""COMPUTED_VALUE"""),"Đào Thị Thu Thảo")</f>
        <v>Đào Thị Thu Thảo</v>
      </c>
      <c r="E261" s="27">
        <f ca="1">IFERROR(__xludf.DUMMYFUNCTION("""COMPUTED_VALUE"""),37496)</f>
        <v>37496</v>
      </c>
      <c r="F261" s="23" t="str">
        <f ca="1">IFERROR(__xludf.DUMMYFUNCTION("""COMPUTED_VALUE"""),"K27DLK1")</f>
        <v>K27DLK1</v>
      </c>
      <c r="G261" s="23" t="str">
        <f ca="1">IFERROR(__xludf.DUMMYFUNCTION("""COMPUTED_VALUE"""),"Quản trị Du lịch &amp; Khách sạn")</f>
        <v>Quản trị Du lịch &amp; Khách sạn</v>
      </c>
      <c r="H261" s="23">
        <f ca="1">IFERROR(__xludf.DUMMYFUNCTION("""COMPUTED_VALUE"""),27)</f>
        <v>27</v>
      </c>
      <c r="I261" s="23" t="str">
        <f ca="1">IFERROR(__xludf.DUMMYFUNCTION("""COMPUTED_VALUE"""),"0877964413")</f>
        <v>0877964413</v>
      </c>
      <c r="J261" s="23" t="str">
        <f ca="1">IFERROR(__xludf.DUMMYFUNCTION("""COMPUTED_VALUE"""),"Chuyên đề")</f>
        <v>Chuyên đề</v>
      </c>
      <c r="K261" s="23" t="str">
        <f ca="1">IFERROR(__xludf.DUMMYFUNCTION("""COMPUTED_VALUE"""),"Renaissance Hoi An Resort &amp; Spa")</f>
        <v>Renaissance Hoi An Resort &amp; Spa</v>
      </c>
      <c r="L261" s="23" t="str">
        <f ca="1">IFERROR(__xludf.DUMMYFUNCTION("""COMPUTED_VALUE"""),"Renaissance hoi an resort &amp; spa")</f>
        <v>Renaissance hoi an resort &amp; spa</v>
      </c>
      <c r="M261" s="23" t="str">
        <f ca="1">IFERROR(__xludf.DUMMYFUNCTION("""COMPUTED_VALUE"""),"Block 6, Phuoc Hai, Cửa Đại, Hội An, Quảng Nam ")</f>
        <v xml:space="preserve">Block 6, Phuoc Hai, Cửa Đại, Hội An, Quảng Nam </v>
      </c>
      <c r="N261" s="23" t="str">
        <f ca="1">IFERROR(__xludf.DUMMYFUNCTION("""COMPUTED_VALUE"""),"Quảng nam")</f>
        <v>Quảng nam</v>
      </c>
      <c r="O261" s="23" t="str">
        <f ca="1">IFERROR(__xludf.DUMMYFUNCTION("""COMPUTED_VALUE"""),"Nhà hàng")</f>
        <v>Nhà hàng</v>
      </c>
      <c r="P261" s="23"/>
      <c r="Q261" s="23" t="str">
        <f ca="1">IFERROR(__xludf.DUMMYFUNCTION("""COMPUTED_VALUE"""),"Đang đợi lịch phỏng vấn, trao đổi với doanh nghiệp để ký xác nhận ")</f>
        <v xml:space="preserve">Đang đợi lịch phỏng vấn, trao đổi với doanh nghiệp để ký xác nhận </v>
      </c>
      <c r="R261" s="23" t="str">
        <f ca="1">IFERROR(__xludf.DUMMYFUNCTION("""COMPUTED_VALUE"""),"cam kết")</f>
        <v>cam kết</v>
      </c>
      <c r="S261" s="23" t="str">
        <f ca="1">IFERROR(__xludf.DUMMYFUNCTION("""COMPUTED_VALUE"""),"Chuyên đề")</f>
        <v>Chuyên đề</v>
      </c>
      <c r="T261" s="23" t="str">
        <f ca="1">IFERROR(__xludf.DUMMYFUNCTION("""COMPUTED_VALUE"""),"Trần Hoàng Anh")</f>
        <v>Trần Hoàng Anh</v>
      </c>
      <c r="U261" s="27">
        <f ca="1">IFERROR(__xludf.DUMMYFUNCTION("""COMPUTED_VALUE"""),45726)</f>
        <v>45726</v>
      </c>
      <c r="V261" s="27">
        <f ca="1">IFERROR(__xludf.DUMMYFUNCTION("""COMPUTED_VALUE"""),45818)</f>
        <v>45818</v>
      </c>
      <c r="W261" s="23">
        <f ca="1">IFERROR(__xludf.DUMMYFUNCTION("""COMPUTED_VALUE"""),260)</f>
        <v>260</v>
      </c>
      <c r="X261" s="23"/>
      <c r="Y261" s="23" t="str">
        <f ca="1">IFERROR(__xludf.DUMMYFUNCTION("""COMPUTED_VALUE"""),"DUYỆT")</f>
        <v>DUYỆT</v>
      </c>
      <c r="Z261" s="23" t="str">
        <f ca="1">IFERROR(__xludf.DUMMYFUNCTION("""COMPUTED_VALUE"""),"17/02/2025")</f>
        <v>17/02/2025</v>
      </c>
      <c r="AA261" s="23" t="str">
        <f ca="1">IFERROR(__xludf.DUMMYFUNCTION("""COMPUTED_VALUE"""),"Renaissance hoi an resort &amp; spa")</f>
        <v>Renaissance hoi an resort &amp; spa</v>
      </c>
      <c r="AB261" s="23" t="str">
        <f ca="1">IFERROR(__xludf.DUMMYFUNCTION("""COMPUTED_VALUE"""),"Nhà hàng")</f>
        <v>Nhà hàng</v>
      </c>
      <c r="AC261" s="23"/>
      <c r="AD261" s="23"/>
      <c r="AE261" s="23" t="str">
        <f ca="1">IFERROR(__xludf.DUMMYFUNCTION("""COMPUTED_VALUE"""),"")</f>
        <v/>
      </c>
      <c r="AF261" s="23" t="str">
        <f ca="1">IFERROR(__xludf.DUMMYFUNCTION("""COMPUTED_VALUE"""),"CHUYÊN ĐỀ")</f>
        <v>CHUYÊN ĐỀ</v>
      </c>
      <c r="AG261" s="23" t="str">
        <f ca="1">IFERROR(__xludf.DUMMYFUNCTION("""COMPUTED_VALUE"""),"Huỳnh Lý Thùy Linh")</f>
        <v>Huỳnh Lý Thùy Linh</v>
      </c>
    </row>
    <row r="262" spans="1:33" ht="12.75" x14ac:dyDescent="0.2">
      <c r="A262" s="26">
        <f ca="1">IFERROR(__xludf.DUMMYFUNCTION("""COMPUTED_VALUE"""),45704.6935635416)</f>
        <v>45704.693563541601</v>
      </c>
      <c r="B262" s="23" t="str">
        <f ca="1">IFERROR(__xludf.DUMMYFUNCTION("""COMPUTED_VALUE"""),"trquyen21@gmail.com")</f>
        <v>trquyen21@gmail.com</v>
      </c>
      <c r="C262" s="23">
        <f ca="1">IFERROR(__xludf.DUMMYFUNCTION("""COMPUTED_VALUE"""),27202202820)</f>
        <v>27202202820</v>
      </c>
      <c r="D262" s="23" t="str">
        <f ca="1">IFERROR(__xludf.DUMMYFUNCTION("""COMPUTED_VALUE"""),"Trần Thị Anh Quyên")</f>
        <v>Trần Thị Anh Quyên</v>
      </c>
      <c r="E262" s="27">
        <f ca="1">IFERROR(__xludf.DUMMYFUNCTION("""COMPUTED_VALUE"""),37976)</f>
        <v>37976</v>
      </c>
      <c r="F262" s="23" t="str">
        <f ca="1">IFERROR(__xludf.DUMMYFUNCTION("""COMPUTED_VALUE"""),"K27DLK1")</f>
        <v>K27DLK1</v>
      </c>
      <c r="G262" s="23" t="str">
        <f ca="1">IFERROR(__xludf.DUMMYFUNCTION("""COMPUTED_VALUE"""),"Quản trị Du lịch &amp; Khách sạn")</f>
        <v>Quản trị Du lịch &amp; Khách sạn</v>
      </c>
      <c r="H262" s="23">
        <f ca="1">IFERROR(__xludf.DUMMYFUNCTION("""COMPUTED_VALUE"""),27)</f>
        <v>27</v>
      </c>
      <c r="I262" s="23" t="str">
        <f ca="1">IFERROR(__xludf.DUMMYFUNCTION("""COMPUTED_VALUE"""),"0905.966.185")</f>
        <v>0905.966.185</v>
      </c>
      <c r="J262" s="23" t="str">
        <f ca="1">IFERROR(__xludf.DUMMYFUNCTION("""COMPUTED_VALUE"""),"Chuyên đề")</f>
        <v>Chuyên đề</v>
      </c>
      <c r="K262" s="23" t="str">
        <f ca="1">IFERROR(__xludf.DUMMYFUNCTION("""COMPUTED_VALUE"""),"Renaissance Hoi An Resort &amp; Spa")</f>
        <v>Renaissance Hoi An Resort &amp; Spa</v>
      </c>
      <c r="L262" s="23" t="str">
        <f ca="1">IFERROR(__xludf.DUMMYFUNCTION("""COMPUTED_VALUE"""),"Renaissance Hoi An Resort &amp; Spa")</f>
        <v>Renaissance Hoi An Resort &amp; Spa</v>
      </c>
      <c r="M262" s="23" t="str">
        <f ca="1">IFERROR(__xludf.DUMMYFUNCTION("""COMPUTED_VALUE"""),"Block 6, Phước Hải, Cửa Đại, TP Hội An, Quảng Nam")</f>
        <v>Block 6, Phước Hải, Cửa Đại, TP Hội An, Quảng Nam</v>
      </c>
      <c r="N262" s="23" t="str">
        <f ca="1">IFERROR(__xludf.DUMMYFUNCTION("""COMPUTED_VALUE"""),"TP. Hội An")</f>
        <v>TP. Hội An</v>
      </c>
      <c r="O262" s="23" t="str">
        <f ca="1">IFERROR(__xludf.DUMMYFUNCTION("""COMPUTED_VALUE"""),"Nhà hàng")</f>
        <v>Nhà hàng</v>
      </c>
      <c r="P262" s="23"/>
      <c r="Q262" s="23" t="str">
        <f ca="1">IFERROR(__xludf.DUMMYFUNCTION("""COMPUTED_VALUE"""),"15/3/2025")</f>
        <v>15/3/2025</v>
      </c>
      <c r="R262" s="23" t="str">
        <f ca="1">IFERROR(__xludf.DUMMYFUNCTION("""COMPUTED_VALUE"""),"cam kết")</f>
        <v>cam kết</v>
      </c>
      <c r="S262" s="23" t="str">
        <f ca="1">IFERROR(__xludf.DUMMYFUNCTION("""COMPUTED_VALUE"""),"Chuyên đề")</f>
        <v>Chuyên đề</v>
      </c>
      <c r="T262" s="23" t="str">
        <f ca="1">IFERROR(__xludf.DUMMYFUNCTION("""COMPUTED_VALUE"""),"Trần Hoàng Anh")</f>
        <v>Trần Hoàng Anh</v>
      </c>
      <c r="U262" s="27">
        <f ca="1">IFERROR(__xludf.DUMMYFUNCTION("""COMPUTED_VALUE"""),45726)</f>
        <v>45726</v>
      </c>
      <c r="V262" s="27">
        <f ca="1">IFERROR(__xludf.DUMMYFUNCTION("""COMPUTED_VALUE"""),45818)</f>
        <v>45818</v>
      </c>
      <c r="W262" s="23">
        <f ca="1">IFERROR(__xludf.DUMMYFUNCTION("""COMPUTED_VALUE"""),261)</f>
        <v>261</v>
      </c>
      <c r="X262" s="23"/>
      <c r="Y262" s="23" t="str">
        <f ca="1">IFERROR(__xludf.DUMMYFUNCTION("""COMPUTED_VALUE"""),"DUYỆT")</f>
        <v>DUYỆT</v>
      </c>
      <c r="Z262" s="23" t="str">
        <f ca="1">IFERROR(__xludf.DUMMYFUNCTION("""COMPUTED_VALUE"""),"17/02/2025")</f>
        <v>17/02/2025</v>
      </c>
      <c r="AA262" s="23" t="str">
        <f ca="1">IFERROR(__xludf.DUMMYFUNCTION("""COMPUTED_VALUE"""),"Renaissance Hoi An Resort &amp; Spa")</f>
        <v>Renaissance Hoi An Resort &amp; Spa</v>
      </c>
      <c r="AB262" s="23" t="str">
        <f ca="1">IFERROR(__xludf.DUMMYFUNCTION("""COMPUTED_VALUE"""),"Nhà hàng")</f>
        <v>Nhà hàng</v>
      </c>
      <c r="AC262" s="23"/>
      <c r="AD262" s="23"/>
      <c r="AE262" s="23" t="str">
        <f ca="1">IFERROR(__xludf.DUMMYFUNCTION("""COMPUTED_VALUE"""),"")</f>
        <v/>
      </c>
      <c r="AF262" s="23" t="str">
        <f ca="1">IFERROR(__xludf.DUMMYFUNCTION("""COMPUTED_VALUE"""),"CHUYÊN ĐỀ")</f>
        <v>CHUYÊN ĐỀ</v>
      </c>
      <c r="AG262" s="23" t="str">
        <f ca="1">IFERROR(__xludf.DUMMYFUNCTION("""COMPUTED_VALUE"""),"Huỳnh Lý Thùy Linh")</f>
        <v>Huỳnh Lý Thùy Linh</v>
      </c>
    </row>
    <row r="263" spans="1:33" ht="12.75" x14ac:dyDescent="0.2">
      <c r="A263" s="26">
        <f ca="1">IFERROR(__xludf.DUMMYFUNCTION("""COMPUTED_VALUE"""),45705.6391086921)</f>
        <v>45705.639108692099</v>
      </c>
      <c r="B263" s="23" t="str">
        <f ca="1">IFERROR(__xludf.DUMMYFUNCTION("""COMPUTED_VALUE"""),"dangletuongvy95@gmail.com")</f>
        <v>dangletuongvy95@gmail.com</v>
      </c>
      <c r="C263" s="23">
        <f ca="1">IFERROR(__xludf.DUMMYFUNCTION("""COMPUTED_VALUE"""),25207117065)</f>
        <v>25207117065</v>
      </c>
      <c r="D263" s="23" t="str">
        <f ca="1">IFERROR(__xludf.DUMMYFUNCTION("""COMPUTED_VALUE"""),"Đặng Lê Tường Vy ")</f>
        <v xml:space="preserve">Đặng Lê Tường Vy </v>
      </c>
      <c r="E263" s="27">
        <f ca="1">IFERROR(__xludf.DUMMYFUNCTION("""COMPUTED_VALUE"""),37020)</f>
        <v>37020</v>
      </c>
      <c r="F263" s="23" t="str">
        <f ca="1">IFERROR(__xludf.DUMMYFUNCTION("""COMPUTED_VALUE"""),"K25DLK23")</f>
        <v>K25DLK23</v>
      </c>
      <c r="G263" s="23" t="str">
        <f ca="1">IFERROR(__xludf.DUMMYFUNCTION("""COMPUTED_VALUE"""),"Quản trị Du lịch &amp; Khách sạn")</f>
        <v>Quản trị Du lịch &amp; Khách sạn</v>
      </c>
      <c r="H263" s="23">
        <f ca="1">IFERROR(__xludf.DUMMYFUNCTION("""COMPUTED_VALUE"""),25)</f>
        <v>25</v>
      </c>
      <c r="I263" s="23" t="str">
        <f ca="1">IFERROR(__xludf.DUMMYFUNCTION("""COMPUTED_VALUE"""),"0906446583")</f>
        <v>0906446583</v>
      </c>
      <c r="J263" s="23" t="str">
        <f ca="1">IFERROR(__xludf.DUMMYFUNCTION("""COMPUTED_VALUE"""),"Chuyên đề")</f>
        <v>Chuyên đề</v>
      </c>
      <c r="K263" s="23" t="str">
        <f ca="1">IFERROR(__xludf.DUMMYFUNCTION("""COMPUTED_VALUE"""),"Danaciti Hotel")</f>
        <v>Danaciti Hotel</v>
      </c>
      <c r="L263" s="23" t="str">
        <f ca="1">IFERROR(__xludf.DUMMYFUNCTION("""COMPUTED_VALUE"""),"Danaciti Hotel")</f>
        <v>Danaciti Hotel</v>
      </c>
      <c r="M263" s="23" t="str">
        <f ca="1">IFERROR(__xludf.DUMMYFUNCTION("""COMPUTED_VALUE"""),"80 Đông Kinh Nghĩa Thục, Sơn Trà , Đà Nẵng ")</f>
        <v xml:space="preserve">80 Đông Kinh Nghĩa Thục, Sơn Trà , Đà Nẵng </v>
      </c>
      <c r="N263" s="23" t="str">
        <f ca="1">IFERROR(__xludf.DUMMYFUNCTION("""COMPUTED_VALUE"""),"Đà Nẵng")</f>
        <v>Đà Nẵng</v>
      </c>
      <c r="O263" s="23" t="str">
        <f ca="1">IFERROR(__xludf.DUMMYFUNCTION("""COMPUTED_VALUE"""),"Tiền sảnh, Nhà hàng")</f>
        <v>Tiền sảnh, Nhà hàng</v>
      </c>
      <c r="P263" s="23"/>
      <c r="Q263" s="23" t="str">
        <f ca="1">IFERROR(__xludf.DUMMYFUNCTION("""COMPUTED_VALUE"""),"07/02/2025")</f>
        <v>07/02/2025</v>
      </c>
      <c r="R263" s="23" t="str">
        <f ca="1">IFERROR(__xludf.DUMMYFUNCTION("""COMPUTED_VALUE"""),"cam kết")</f>
        <v>cam kết</v>
      </c>
      <c r="S263" s="23" t="str">
        <f ca="1">IFERROR(__xludf.DUMMYFUNCTION("""COMPUTED_VALUE"""),"Chuyên đề")</f>
        <v>Chuyên đề</v>
      </c>
      <c r="T263" s="23"/>
      <c r="U263" s="27">
        <f ca="1">IFERROR(__xludf.DUMMYFUNCTION("""COMPUTED_VALUE"""),45698)</f>
        <v>45698</v>
      </c>
      <c r="V263" s="27">
        <f ca="1">IFERROR(__xludf.DUMMYFUNCTION("""COMPUTED_VALUE"""),45787)</f>
        <v>45787</v>
      </c>
      <c r="W263" s="23">
        <f ca="1">IFERROR(__xludf.DUMMYFUNCTION("""COMPUTED_VALUE"""),262)</f>
        <v>262</v>
      </c>
      <c r="X263" s="23" t="str">
        <f ca="1">IFERROR(__xludf.DUMMYFUNCTION("""COMPUTED_VALUE"""),"17/02/2025")</f>
        <v>17/02/2025</v>
      </c>
      <c r="Y263" s="23" t="str">
        <f ca="1">IFERROR(__xludf.DUMMYFUNCTION("""COMPUTED_VALUE"""),"DUYỆT")</f>
        <v>DUYỆT</v>
      </c>
      <c r="Z263" s="23" t="str">
        <f ca="1">IFERROR(__xludf.DUMMYFUNCTION("""COMPUTED_VALUE"""),"17/02/2025")</f>
        <v>17/02/2025</v>
      </c>
      <c r="AA263" s="23" t="str">
        <f ca="1">IFERROR(__xludf.DUMMYFUNCTION("""COMPUTED_VALUE"""),"Danaciti Hotel")</f>
        <v>Danaciti Hotel</v>
      </c>
      <c r="AB263" s="23" t="str">
        <f ca="1">IFERROR(__xludf.DUMMYFUNCTION("""COMPUTED_VALUE"""),"Tiền sảnh, Nhà hàng")</f>
        <v>Tiền sảnh, Nhà hàng</v>
      </c>
      <c r="AC263" s="23" t="str">
        <f ca="1">IFERROR(__xludf.DUMMYFUNCTION("""COMPUTED_VALUE"""),"ĐÃ NỘP")</f>
        <v>ĐÃ NỘP</v>
      </c>
      <c r="AD263" s="23"/>
      <c r="AE263" s="23" t="str">
        <f ca="1">IFERROR(__xludf.DUMMYFUNCTION("""COMPUTED_VALUE"""),"")</f>
        <v/>
      </c>
      <c r="AF263" s="23" t="str">
        <f ca="1">IFERROR(__xludf.DUMMYFUNCTION("""COMPUTED_VALUE"""),"CHUYÊN ĐỀ")</f>
        <v>CHUYÊN ĐỀ</v>
      </c>
      <c r="AG263" s="23" t="str">
        <f ca="1">IFERROR(__xludf.DUMMYFUNCTION("""COMPUTED_VALUE"""),"Đặng Thị Thùy Trang")</f>
        <v>Đặng Thị Thùy Trang</v>
      </c>
    </row>
    <row r="264" spans="1:33" ht="12.75" x14ac:dyDescent="0.2">
      <c r="A264" s="26">
        <f ca="1">IFERROR(__xludf.DUMMYFUNCTION("""COMPUTED_VALUE"""),45707.5998310185)</f>
        <v>45707.599831018502</v>
      </c>
      <c r="B264" s="23" t="str">
        <f ca="1">IFERROR(__xludf.DUMMYFUNCTION("""COMPUTED_VALUE"""),"dobinh300322@gmail.com")</f>
        <v>dobinh300322@gmail.com</v>
      </c>
      <c r="C264" s="23">
        <f ca="1">IFERROR(__xludf.DUMMYFUNCTION("""COMPUTED_VALUE"""),26217132090)</f>
        <v>26217132090</v>
      </c>
      <c r="D264" s="23" t="str">
        <f ca="1">IFERROR(__xludf.DUMMYFUNCTION("""COMPUTED_VALUE"""),"Đỗ Công Hoà Bình")</f>
        <v>Đỗ Công Hoà Bình</v>
      </c>
      <c r="E264" s="27">
        <f ca="1">IFERROR(__xludf.DUMMYFUNCTION("""COMPUTED_VALUE"""),37345)</f>
        <v>37345</v>
      </c>
      <c r="F264" s="23" t="str">
        <f ca="1">IFERROR(__xludf.DUMMYFUNCTION("""COMPUTED_VALUE"""),"K26DLK13")</f>
        <v>K26DLK13</v>
      </c>
      <c r="G264" s="23" t="str">
        <f ca="1">IFERROR(__xludf.DUMMYFUNCTION("""COMPUTED_VALUE"""),"Quản trị Du lịch &amp; Khách sạn")</f>
        <v>Quản trị Du lịch &amp; Khách sạn</v>
      </c>
      <c r="H264" s="23">
        <f ca="1">IFERROR(__xludf.DUMMYFUNCTION("""COMPUTED_VALUE"""),26)</f>
        <v>26</v>
      </c>
      <c r="I264" s="23" t="str">
        <f ca="1">IFERROR(__xludf.DUMMYFUNCTION("""COMPUTED_VALUE"""),"0935505711")</f>
        <v>0935505711</v>
      </c>
      <c r="J264" s="23" t="str">
        <f ca="1">IFERROR(__xludf.DUMMYFUNCTION("""COMPUTED_VALUE"""),"Chuyên đề")</f>
        <v>Chuyên đề</v>
      </c>
      <c r="K264" s="23" t="str">
        <f ca="1">IFERROR(__xludf.DUMMYFUNCTION("""COMPUTED_VALUE"""),"INTERCONTINENTAL DANANG SUN PENINSULA RESORT")</f>
        <v>INTERCONTINENTAL DANANG SUN PENINSULA RESORT</v>
      </c>
      <c r="L264" s="23"/>
      <c r="M264" s="23" t="str">
        <f ca="1">IFERROR(__xludf.DUMMYFUNCTION("""COMPUTED_VALUE"""),"Bãi bắc, thọ quang, sơn trà, Đà Nẵng")</f>
        <v>Bãi bắc, thọ quang, sơn trà, Đà Nẵng</v>
      </c>
      <c r="N264" s="23" t="str">
        <f ca="1">IFERROR(__xludf.DUMMYFUNCTION("""COMPUTED_VALUE"""),"Đà Nẵng")</f>
        <v>Đà Nẵng</v>
      </c>
      <c r="O264" s="23" t="str">
        <f ca="1">IFERROR(__xludf.DUMMYFUNCTION("""COMPUTED_VALUE"""),"Nhà hàng")</f>
        <v>Nhà hàng</v>
      </c>
      <c r="P264" s="23"/>
      <c r="Q264" s="23" t="str">
        <f ca="1">IFERROR(__xludf.DUMMYFUNCTION("""COMPUTED_VALUE"""),"Ngày 13 tháng 2 năm 2025")</f>
        <v>Ngày 13 tháng 2 năm 2025</v>
      </c>
      <c r="R264" s="23" t="str">
        <f ca="1">IFERROR(__xludf.DUMMYFUNCTION("""COMPUTED_VALUE"""),"cam kết")</f>
        <v>cam kết</v>
      </c>
      <c r="S264" s="23" t="str">
        <f ca="1">IFERROR(__xludf.DUMMYFUNCTION("""COMPUTED_VALUE"""),"Chuyên đề")</f>
        <v>Chuyên đề</v>
      </c>
      <c r="T264" s="23" t="str">
        <f ca="1">IFERROR(__xludf.DUMMYFUNCTION("""COMPUTED_VALUE"""),"Phạm Thị Hoàng Dung")</f>
        <v>Phạm Thị Hoàng Dung</v>
      </c>
      <c r="U264" s="27">
        <f ca="1">IFERROR(__xludf.DUMMYFUNCTION("""COMPUTED_VALUE"""),45568)</f>
        <v>45568</v>
      </c>
      <c r="V264" s="27">
        <f ca="1">IFERROR(__xludf.DUMMYFUNCTION("""COMPUTED_VALUE"""),45660)</f>
        <v>45660</v>
      </c>
      <c r="W264" s="23">
        <f ca="1">IFERROR(__xludf.DUMMYFUNCTION("""COMPUTED_VALUE"""),263)</f>
        <v>263</v>
      </c>
      <c r="X264" s="23" t="str">
        <f ca="1">IFERROR(__xludf.DUMMYFUNCTION("""COMPUTED_VALUE"""),"17/02/2025")</f>
        <v>17/02/2025</v>
      </c>
      <c r="Y264" s="23" t="str">
        <f ca="1">IFERROR(__xludf.DUMMYFUNCTION("""COMPUTED_VALUE"""),"DUYỆT")</f>
        <v>DUYỆT</v>
      </c>
      <c r="Z264" s="23" t="str">
        <f ca="1">IFERROR(__xludf.DUMMYFUNCTION("""COMPUTED_VALUE"""),"17/02/2025")</f>
        <v>17/02/2025</v>
      </c>
      <c r="AA264" s="23" t="str">
        <f ca="1">IFERROR(__xludf.DUMMYFUNCTION("""COMPUTED_VALUE"""),"INTERCONTINENTAL DANANG SUN PENINSULA RESORT")</f>
        <v>INTERCONTINENTAL DANANG SUN PENINSULA RESORT</v>
      </c>
      <c r="AB264" s="23" t="str">
        <f ca="1">IFERROR(__xludf.DUMMYFUNCTION("""COMPUTED_VALUE"""),"Nhà hàng")</f>
        <v>Nhà hàng</v>
      </c>
      <c r="AC264" s="23" t="str">
        <f ca="1">IFERROR(__xludf.DUMMYFUNCTION("""COMPUTED_VALUE"""),"ĐÃ NỘP")</f>
        <v>ĐÃ NỘP</v>
      </c>
      <c r="AD264" s="23"/>
      <c r="AE264" s="23" t="str">
        <f ca="1">IFERROR(__xludf.DUMMYFUNCTION("""COMPUTED_VALUE"""),"")</f>
        <v/>
      </c>
      <c r="AF264" s="23" t="str">
        <f ca="1">IFERROR(__xludf.DUMMYFUNCTION("""COMPUTED_VALUE"""),"CHUYÊN ĐỀ")</f>
        <v>CHUYÊN ĐỀ</v>
      </c>
      <c r="AG264" s="23" t="str">
        <f ca="1">IFERROR(__xludf.DUMMYFUNCTION("""COMPUTED_VALUE"""),"Đặng Thị Thùy Trang")</f>
        <v>Đặng Thị Thùy Trang</v>
      </c>
    </row>
    <row r="265" spans="1:33" ht="12.75" x14ac:dyDescent="0.2">
      <c r="A265" s="26">
        <f ca="1">IFERROR(__xludf.DUMMYFUNCTION("""COMPUTED_VALUE"""),45706.877350868)</f>
        <v>45706.877350868002</v>
      </c>
      <c r="B265" s="23" t="str">
        <f ca="1">IFERROR(__xludf.DUMMYFUNCTION("""COMPUTED_VALUE"""),"lekhoinguyen540@gmail.com")</f>
        <v>lekhoinguyen540@gmail.com</v>
      </c>
      <c r="C265" s="23">
        <f ca="1">IFERROR(__xludf.DUMMYFUNCTION("""COMPUTED_VALUE"""),26217118403)</f>
        <v>26217118403</v>
      </c>
      <c r="D265" s="23" t="str">
        <f ca="1">IFERROR(__xludf.DUMMYFUNCTION("""COMPUTED_VALUE"""),"Lê Khôi Nguyên")</f>
        <v>Lê Khôi Nguyên</v>
      </c>
      <c r="E265" s="27">
        <f ca="1">IFERROR(__xludf.DUMMYFUNCTION("""COMPUTED_VALUE"""),37196)</f>
        <v>37196</v>
      </c>
      <c r="F265" s="23" t="str">
        <f ca="1">IFERROR(__xludf.DUMMYFUNCTION("""COMPUTED_VALUE"""),"K27DLK6")</f>
        <v>K27DLK6</v>
      </c>
      <c r="G265" s="23" t="str">
        <f ca="1">IFERROR(__xludf.DUMMYFUNCTION("""COMPUTED_VALUE"""),"Quản trị Du lịch &amp; Khách sạn")</f>
        <v>Quản trị Du lịch &amp; Khách sạn</v>
      </c>
      <c r="H265" s="23">
        <f ca="1">IFERROR(__xludf.DUMMYFUNCTION("""COMPUTED_VALUE"""),27)</f>
        <v>27</v>
      </c>
      <c r="I265" s="23" t="str">
        <f ca="1">IFERROR(__xludf.DUMMYFUNCTION("""COMPUTED_VALUE"""),"0834545374")</f>
        <v>0834545374</v>
      </c>
      <c r="J265" s="23" t="str">
        <f ca="1">IFERROR(__xludf.DUMMYFUNCTION("""COMPUTED_VALUE"""),"Chuyên đề")</f>
        <v>Chuyên đề</v>
      </c>
      <c r="K265" s="23" t="str">
        <f ca="1">IFERROR(__xludf.DUMMYFUNCTION("""COMPUTED_VALUE"""),"Renaissance Hong Kong Harbour View Hotel")</f>
        <v>Renaissance Hong Kong Harbour View Hotel</v>
      </c>
      <c r="L265" s="23" t="str">
        <f ca="1">IFERROR(__xludf.DUMMYFUNCTION("""COMPUTED_VALUE"""),"Renaissance Hong Kong Harbour View Hotel")</f>
        <v>Renaissance Hong Kong Harbour View Hotel</v>
      </c>
      <c r="M265" s="23" t="str">
        <f ca="1">IFERROR(__xludf.DUMMYFUNCTION("""COMPUTED_VALUE"""),"01 Harbour Road, Wanchai, Hồng Kông")</f>
        <v>01 Harbour Road, Wanchai, Hồng Kông</v>
      </c>
      <c r="N265" s="23" t="str">
        <f ca="1">IFERROR(__xludf.DUMMYFUNCTION("""COMPUTED_VALUE"""),"Hồng Kông")</f>
        <v>Hồng Kông</v>
      </c>
      <c r="O265" s="23" t="str">
        <f ca="1">IFERROR(__xludf.DUMMYFUNCTION("""COMPUTED_VALUE"""),"Nhà hàng")</f>
        <v>Nhà hàng</v>
      </c>
      <c r="P265" s="23"/>
      <c r="Q265" s="23" t="str">
        <f ca="1">IFERROR(__xludf.DUMMYFUNCTION("""COMPUTED_VALUE"""),".")</f>
        <v>.</v>
      </c>
      <c r="R265" s="23" t="str">
        <f ca="1">IFERROR(__xludf.DUMMYFUNCTION("""COMPUTED_VALUE"""),"cam kết")</f>
        <v>cam kết</v>
      </c>
      <c r="S265" s="23" t="str">
        <f ca="1">IFERROR(__xludf.DUMMYFUNCTION("""COMPUTED_VALUE"""),"Chuyên đề")</f>
        <v>Chuyên đề</v>
      </c>
      <c r="T265" s="23" t="str">
        <f ca="1">IFERROR(__xludf.DUMMYFUNCTION("""COMPUTED_VALUE"""),"Phạm Thị Thu Thủy")</f>
        <v>Phạm Thị Thu Thủy</v>
      </c>
      <c r="U265" s="27">
        <f ca="1">IFERROR(__xludf.DUMMYFUNCTION("""COMPUTED_VALUE"""),45495)</f>
        <v>45495</v>
      </c>
      <c r="V265" s="27">
        <f ca="1">IFERROR(__xludf.DUMMYFUNCTION("""COMPUTED_VALUE"""),45674)</f>
        <v>45674</v>
      </c>
      <c r="W265" s="23">
        <f ca="1">IFERROR(__xludf.DUMMYFUNCTION("""COMPUTED_VALUE"""),264)</f>
        <v>264</v>
      </c>
      <c r="X265" s="23"/>
      <c r="Y265" s="23" t="str">
        <f ca="1">IFERROR(__xludf.DUMMYFUNCTION("""COMPUTED_VALUE"""),"DUYỆT")</f>
        <v>DUYỆT</v>
      </c>
      <c r="Z265" s="23" t="str">
        <f ca="1">IFERROR(__xludf.DUMMYFUNCTION("""COMPUTED_VALUE"""),"19/02/2025")</f>
        <v>19/02/2025</v>
      </c>
      <c r="AA265" s="23" t="str">
        <f ca="1">IFERROR(__xludf.DUMMYFUNCTION("""COMPUTED_VALUE"""),"Renaissance Hong Kong Harbour View Hotel")</f>
        <v>Renaissance Hong Kong Harbour View Hotel</v>
      </c>
      <c r="AB265" s="23" t="str">
        <f ca="1">IFERROR(__xludf.DUMMYFUNCTION("""COMPUTED_VALUE"""),"Nhà hàng")</f>
        <v>Nhà hàng</v>
      </c>
      <c r="AC265" s="23" t="str">
        <f ca="1">IFERROR(__xludf.DUMMYFUNCTION("""COMPUTED_VALUE"""),"CHƯA NỘP")</f>
        <v>CHƯA NỘP</v>
      </c>
      <c r="AD265" s="23"/>
      <c r="AE265" s="23" t="str">
        <f ca="1">IFERROR(__xludf.DUMMYFUNCTION("""COMPUTED_VALUE"""),"")</f>
        <v/>
      </c>
      <c r="AF265" s="23" t="str">
        <f ca="1">IFERROR(__xludf.DUMMYFUNCTION("""COMPUTED_VALUE"""),"CHUYÊN ĐỀ")</f>
        <v>CHUYÊN ĐỀ</v>
      </c>
      <c r="AG265" s="23" t="str">
        <f ca="1">IFERROR(__xludf.DUMMYFUNCTION("""COMPUTED_VALUE"""),"Phan Thị Hồng Hải")</f>
        <v>Phan Thị Hồng Hải</v>
      </c>
    </row>
    <row r="266" spans="1:33" ht="12.75" x14ac:dyDescent="0.2">
      <c r="A266" s="26">
        <f ca="1">IFERROR(__xludf.DUMMYFUNCTION("""COMPUTED_VALUE"""),45706.900703831)</f>
        <v>45706.900703831001</v>
      </c>
      <c r="B266" s="23" t="str">
        <f ca="1">IFERROR(__xludf.DUMMYFUNCTION("""COMPUTED_VALUE"""),"hthtrang0721@gmail.com")</f>
        <v>hthtrang0721@gmail.com</v>
      </c>
      <c r="C266" s="23">
        <f ca="1">IFERROR(__xludf.DUMMYFUNCTION("""COMPUTED_VALUE"""),26207123854)</f>
        <v>26207123854</v>
      </c>
      <c r="D266" s="23" t="str">
        <f ca="1">IFERROR(__xludf.DUMMYFUNCTION("""COMPUTED_VALUE"""),"Hoàng Thị Huyền Trang")</f>
        <v>Hoàng Thị Huyền Trang</v>
      </c>
      <c r="E266" s="27">
        <f ca="1">IFERROR(__xludf.DUMMYFUNCTION("""COMPUTED_VALUE"""),37101)</f>
        <v>37101</v>
      </c>
      <c r="F266" s="23" t="str">
        <f ca="1">IFERROR(__xludf.DUMMYFUNCTION("""COMPUTED_VALUE"""),"K26DLK1")</f>
        <v>K26DLK1</v>
      </c>
      <c r="G266" s="23" t="str">
        <f ca="1">IFERROR(__xludf.DUMMYFUNCTION("""COMPUTED_VALUE"""),"Quản trị Du lịch &amp; Khách sạn")</f>
        <v>Quản trị Du lịch &amp; Khách sạn</v>
      </c>
      <c r="H266" s="23">
        <f ca="1">IFERROR(__xludf.DUMMYFUNCTION("""COMPUTED_VALUE"""),26)</f>
        <v>26</v>
      </c>
      <c r="I266" s="23" t="str">
        <f ca="1">IFERROR(__xludf.DUMMYFUNCTION("""COMPUTED_VALUE"""),"0817833929")</f>
        <v>0817833929</v>
      </c>
      <c r="J266" s="23" t="str">
        <f ca="1">IFERROR(__xludf.DUMMYFUNCTION("""COMPUTED_VALUE"""),"Khóa luận")</f>
        <v>Khóa luận</v>
      </c>
      <c r="K266" s="23" t="str">
        <f ca="1">IFERROR(__xludf.DUMMYFUNCTION("""COMPUTED_VALUE"""),"IWATE HOTEL AND RESORT")</f>
        <v>IWATE HOTEL AND RESORT</v>
      </c>
      <c r="L266" s="23" t="str">
        <f ca="1">IFERROR(__xludf.DUMMYFUNCTION("""COMPUTED_VALUE"""),"IWATE HOTEL AND RESORT")</f>
        <v>IWATE HOTEL AND RESORT</v>
      </c>
      <c r="M266" s="23" t="str">
        <f ca="1">IFERROR(__xludf.DUMMYFUNCTION("""COMPUTED_VALUE"""),"117-3 Appi Kogen, Thành phố Hachimantai, Tỉnh Iwate ")</f>
        <v xml:space="preserve">117-3 Appi Kogen, Thành phố Hachimantai, Tỉnh Iwate </v>
      </c>
      <c r="N266" s="23" t="str">
        <f ca="1">IFERROR(__xludf.DUMMYFUNCTION("""COMPUTED_VALUE"""),"Thành phố Hachimantai, Tỉnh Iwate ")</f>
        <v xml:space="preserve">Thành phố Hachimantai, Tỉnh Iwate </v>
      </c>
      <c r="O266" s="23" t="str">
        <f ca="1">IFERROR(__xludf.DUMMYFUNCTION("""COMPUTED_VALUE"""),"Nhân sự, Nhà hàng, Buồng phòng")</f>
        <v>Nhân sự, Nhà hàng, Buồng phòng</v>
      </c>
      <c r="P266" s="23"/>
      <c r="Q266" s="23" t="str">
        <f ca="1">IFERROR(__xludf.DUMMYFUNCTION("""COMPUTED_VALUE"""),"15/02/2025")</f>
        <v>15/02/2025</v>
      </c>
      <c r="R266" s="23" t="str">
        <f ca="1">IFERROR(__xludf.DUMMYFUNCTION("""COMPUTED_VALUE"""),"cam kết")</f>
        <v>cam kết</v>
      </c>
      <c r="S266" s="23" t="str">
        <f ca="1">IFERROR(__xludf.DUMMYFUNCTION("""COMPUTED_VALUE"""),"Khóa luận")</f>
        <v>Khóa luận</v>
      </c>
      <c r="T266" s="23" t="str">
        <f ca="1">IFERROR(__xludf.DUMMYFUNCTION("""COMPUTED_VALUE"""),"Mai Thị Thương")</f>
        <v>Mai Thị Thương</v>
      </c>
      <c r="U266" s="27">
        <f ca="1">IFERROR(__xludf.DUMMYFUNCTION("""COMPUTED_VALUE"""),45318)</f>
        <v>45318</v>
      </c>
      <c r="V266" s="27">
        <f ca="1">IFERROR(__xludf.DUMMYFUNCTION("""COMPUTED_VALUE"""),45672)</f>
        <v>45672</v>
      </c>
      <c r="W266" s="23">
        <f ca="1">IFERROR(__xludf.DUMMYFUNCTION("""COMPUTED_VALUE"""),265)</f>
        <v>265</v>
      </c>
      <c r="X266" s="23" t="str">
        <f ca="1">IFERROR(__xludf.DUMMYFUNCTION("""COMPUTED_VALUE"""),"19/02/2025")</f>
        <v>19/02/2025</v>
      </c>
      <c r="Y266" s="23" t="str">
        <f ca="1">IFERROR(__xludf.DUMMYFUNCTION("""COMPUTED_VALUE"""),"DUYỆT")</f>
        <v>DUYỆT</v>
      </c>
      <c r="Z266" s="23" t="str">
        <f ca="1">IFERROR(__xludf.DUMMYFUNCTION("""COMPUTED_VALUE"""),"19/02/2025")</f>
        <v>19/02/2025</v>
      </c>
      <c r="AA266" s="23" t="str">
        <f ca="1">IFERROR(__xludf.DUMMYFUNCTION("""COMPUTED_VALUE"""),"IWATE HOTEL AND RESORT")</f>
        <v>IWATE HOTEL AND RESORT</v>
      </c>
      <c r="AB266" s="23" t="str">
        <f ca="1">IFERROR(__xludf.DUMMYFUNCTION("""COMPUTED_VALUE"""),"Nhân sự, Nhà hàng, Buồng phòng")</f>
        <v>Nhân sự, Nhà hàng, Buồng phòng</v>
      </c>
      <c r="AC266" s="23" t="str">
        <f ca="1">IFERROR(__xludf.DUMMYFUNCTION("""COMPUTED_VALUE"""),"ĐÃ NỘP")</f>
        <v>ĐÃ NỘP</v>
      </c>
      <c r="AD266" s="23"/>
      <c r="AE266" s="23" t="str">
        <f ca="1">IFERROR(__xludf.DUMMYFUNCTION("""COMPUTED_VALUE"""),"")</f>
        <v/>
      </c>
      <c r="AF266" s="23" t="str">
        <f ca="1">IFERROR(__xludf.DUMMYFUNCTION("""COMPUTED_VALUE"""),"KHÓA LUẬN")</f>
        <v>KHÓA LUẬN</v>
      </c>
      <c r="AG266" s="23" t="str">
        <f ca="1">IFERROR(__xludf.DUMMYFUNCTION("""COMPUTED_VALUE"""),"Mai Thị Thương")</f>
        <v>Mai Thị Thương</v>
      </c>
    </row>
    <row r="267" spans="1:33" ht="12.75" x14ac:dyDescent="0.2">
      <c r="A267" s="26">
        <f ca="1">IFERROR(__xludf.DUMMYFUNCTION("""COMPUTED_VALUE"""),45707.4453665856)</f>
        <v>45707.445366585598</v>
      </c>
      <c r="B267" s="23" t="str">
        <f ca="1">IFERROR(__xludf.DUMMYFUNCTION("""COMPUTED_VALUE"""),"daohieu101202@gmail.com")</f>
        <v>daohieu101202@gmail.com</v>
      </c>
      <c r="C267" s="23">
        <f ca="1">IFERROR(__xludf.DUMMYFUNCTION("""COMPUTED_VALUE"""),26217131943)</f>
        <v>26217131943</v>
      </c>
      <c r="D267" s="23" t="str">
        <f ca="1">IFERROR(__xludf.DUMMYFUNCTION("""COMPUTED_VALUE"""),"Đào Ngọc Hiếu")</f>
        <v>Đào Ngọc Hiếu</v>
      </c>
      <c r="E267" s="27">
        <f ca="1">IFERROR(__xludf.DUMMYFUNCTION("""COMPUTED_VALUE"""),37600)</f>
        <v>37600</v>
      </c>
      <c r="F267" s="23" t="str">
        <f ca="1">IFERROR(__xludf.DUMMYFUNCTION("""COMPUTED_VALUE"""),"K26DLK12")</f>
        <v>K26DLK12</v>
      </c>
      <c r="G267" s="23" t="str">
        <f ca="1">IFERROR(__xludf.DUMMYFUNCTION("""COMPUTED_VALUE"""),"Quản trị Du lịch &amp; Khách sạn")</f>
        <v>Quản trị Du lịch &amp; Khách sạn</v>
      </c>
      <c r="H267" s="23">
        <f ca="1">IFERROR(__xludf.DUMMYFUNCTION("""COMPUTED_VALUE"""),26)</f>
        <v>26</v>
      </c>
      <c r="I267" s="23" t="str">
        <f ca="1">IFERROR(__xludf.DUMMYFUNCTION("""COMPUTED_VALUE"""),"0905404081")</f>
        <v>0905404081</v>
      </c>
      <c r="J267" s="23" t="str">
        <f ca="1">IFERROR(__xludf.DUMMYFUNCTION("""COMPUTED_VALUE"""),"Chuyên đề")</f>
        <v>Chuyên đề</v>
      </c>
      <c r="K267" s="23" t="str">
        <f ca="1">IFERROR(__xludf.DUMMYFUNCTION("""COMPUTED_VALUE"""),"Royal Lotus Hotel Danang")</f>
        <v>Royal Lotus Hotel Danang</v>
      </c>
      <c r="L267" s="23"/>
      <c r="M267" s="23" t="str">
        <f ca="1">IFERROR(__xludf.DUMMYFUNCTION("""COMPUTED_VALUE"""),"120A Nguyễn Văn Thoại")</f>
        <v>120A Nguyễn Văn Thoại</v>
      </c>
      <c r="N267" s="23" t="str">
        <f ca="1">IFERROR(__xludf.DUMMYFUNCTION("""COMPUTED_VALUE"""),"Đà Nẵng")</f>
        <v>Đà Nẵng</v>
      </c>
      <c r="O267" s="23" t="str">
        <f ca="1">IFERROR(__xludf.DUMMYFUNCTION("""COMPUTED_VALUE"""),"Nhà hàng")</f>
        <v>Nhà hàng</v>
      </c>
      <c r="P267" s="23"/>
      <c r="Q267" s="23" t="str">
        <f ca="1">IFERROR(__xludf.DUMMYFUNCTION("""COMPUTED_VALUE"""),"23/2/2025")</f>
        <v>23/2/2025</v>
      </c>
      <c r="R267" s="23" t="str">
        <f ca="1">IFERROR(__xludf.DUMMYFUNCTION("""COMPUTED_VALUE"""),"cam kết")</f>
        <v>cam kết</v>
      </c>
      <c r="S267" s="23" t="str">
        <f ca="1">IFERROR(__xludf.DUMMYFUNCTION("""COMPUTED_VALUE"""),"Chuyên đề")</f>
        <v>Chuyên đề</v>
      </c>
      <c r="T267" s="23" t="str">
        <f ca="1">IFERROR(__xludf.DUMMYFUNCTION("""COMPUTED_VALUE"""),"Phạm Thị Hoàng Dung")</f>
        <v>Phạm Thị Hoàng Dung</v>
      </c>
      <c r="U267" s="27">
        <f ca="1">IFERROR(__xludf.DUMMYFUNCTION("""COMPUTED_VALUE"""),45708)</f>
        <v>45708</v>
      </c>
      <c r="V267" s="27">
        <f ca="1">IFERROR(__xludf.DUMMYFUNCTION("""COMPUTED_VALUE"""),45797)</f>
        <v>45797</v>
      </c>
      <c r="W267" s="23"/>
      <c r="X267" s="23"/>
      <c r="Y267" s="23" t="str">
        <f ca="1">IFERROR(__xludf.DUMMYFUNCTION("""COMPUTED_VALUE"""),"KHÔNG DUYỆT")</f>
        <v>KHÔNG DUYỆT</v>
      </c>
      <c r="Z267" s="23" t="str">
        <f ca="1">IFERROR(__xludf.DUMMYFUNCTION("""COMPUTED_VALUE"""),"19/02/2025")</f>
        <v>19/02/2025</v>
      </c>
      <c r="AA267" s="23"/>
      <c r="AB267" s="23"/>
      <c r="AC267" s="23" t="str">
        <f ca="1">IFERROR(__xludf.DUMMYFUNCTION("""COMPUTED_VALUE"""),"CHƯA NỘP")</f>
        <v>CHƯA NỘP</v>
      </c>
      <c r="AD267" s="23"/>
      <c r="AE267" s="23" t="str">
        <f ca="1">IFERROR(__xludf.DUMMYFUNCTION("""COMPUTED_VALUE"""),"cần kiểm tra lại")</f>
        <v>cần kiểm tra lại</v>
      </c>
      <c r="AF267" s="23" t="str">
        <f ca="1">IFERROR(__xludf.DUMMYFUNCTION("""COMPUTED_VALUE"""),"HỦY HỒ SƠ ĐĂNG KÝ THAM DỰ TỐT NGHIỆP ĐỢT 06/2025")</f>
        <v>HỦY HỒ SƠ ĐĂNG KÝ THAM DỰ TỐT NGHIỆP ĐỢT 06/2025</v>
      </c>
      <c r="AG267" s="23"/>
    </row>
    <row r="268" spans="1:33" ht="12.75" x14ac:dyDescent="0.2">
      <c r="A268" s="26">
        <f ca="1">IFERROR(__xludf.DUMMYFUNCTION("""COMPUTED_VALUE"""),45708.907216412)</f>
        <v>45708.907216412001</v>
      </c>
      <c r="B268" s="23" t="str">
        <f ca="1">IFERROR(__xludf.DUMMYFUNCTION("""COMPUTED_VALUE"""),"nguyenthidieuphuong2020@gmail.com")</f>
        <v>nguyenthidieuphuong2020@gmail.com</v>
      </c>
      <c r="C268" s="23">
        <f ca="1">IFERROR(__xludf.DUMMYFUNCTION("""COMPUTED_VALUE"""),27207147707)</f>
        <v>27207147707</v>
      </c>
      <c r="D268" s="23" t="str">
        <f ca="1">IFERROR(__xludf.DUMMYFUNCTION("""COMPUTED_VALUE"""),"Nguyễn Thị Diệu phương ")</f>
        <v xml:space="preserve">Nguyễn Thị Diệu phương </v>
      </c>
      <c r="E268" s="27">
        <f ca="1">IFERROR(__xludf.DUMMYFUNCTION("""COMPUTED_VALUE"""),45807)</f>
        <v>45807</v>
      </c>
      <c r="F268" s="23" t="str">
        <f ca="1">IFERROR(__xludf.DUMMYFUNCTION("""COMPUTED_VALUE"""),"K27DLK7 ")</f>
        <v xml:space="preserve">K27DLK7 </v>
      </c>
      <c r="G268" s="23" t="str">
        <f ca="1">IFERROR(__xludf.DUMMYFUNCTION("""COMPUTED_VALUE"""),"Quản trị Du lịch &amp; Khách sạn")</f>
        <v>Quản trị Du lịch &amp; Khách sạn</v>
      </c>
      <c r="H268" s="23">
        <f ca="1">IFERROR(__xludf.DUMMYFUNCTION("""COMPUTED_VALUE"""),27)</f>
        <v>27</v>
      </c>
      <c r="I268" s="23" t="str">
        <f ca="1">IFERROR(__xludf.DUMMYFUNCTION("""COMPUTED_VALUE"""),"0375395308")</f>
        <v>0375395308</v>
      </c>
      <c r="J268" s="23" t="str">
        <f ca="1">IFERROR(__xludf.DUMMYFUNCTION("""COMPUTED_VALUE"""),"Chuyên đề")</f>
        <v>Chuyên đề</v>
      </c>
      <c r="K268" s="23" t="str">
        <f ca="1">IFERROR(__xludf.DUMMYFUNCTION("""COMPUTED_VALUE"""),"Renaissance Hoi An Resort &amp; Spa")</f>
        <v>Renaissance Hoi An Resort &amp; Spa</v>
      </c>
      <c r="L268" s="23" t="str">
        <f ca="1">IFERROR(__xludf.DUMMYFUNCTION("""COMPUTED_VALUE"""),"Renaissance Hoi An Resort &amp; Spa")</f>
        <v>Renaissance Hoi An Resort &amp; Spa</v>
      </c>
      <c r="M268" s="23" t="str">
        <f ca="1">IFERROR(__xludf.DUMMYFUNCTION("""COMPUTED_VALUE"""),"Block 6, Phuoc Hai, Cua Dai, Hoi An")</f>
        <v>Block 6, Phuoc Hai, Cua Dai, Hoi An</v>
      </c>
      <c r="N268" s="23" t="str">
        <f ca="1">IFERROR(__xludf.DUMMYFUNCTION("""COMPUTED_VALUE"""),"Hội an")</f>
        <v>Hội an</v>
      </c>
      <c r="O268" s="23" t="str">
        <f ca="1">IFERROR(__xludf.DUMMYFUNCTION("""COMPUTED_VALUE"""),"Buồng phòng")</f>
        <v>Buồng phòng</v>
      </c>
      <c r="P268" s="23"/>
      <c r="Q268" s="23" t="str">
        <f ca="1">IFERROR(__xludf.DUMMYFUNCTION("""COMPUTED_VALUE"""),"10/03/2025")</f>
        <v>10/03/2025</v>
      </c>
      <c r="R268" s="23" t="str">
        <f ca="1">IFERROR(__xludf.DUMMYFUNCTION("""COMPUTED_VALUE"""),"cam kết")</f>
        <v>cam kết</v>
      </c>
      <c r="S268" s="23" t="str">
        <f ca="1">IFERROR(__xludf.DUMMYFUNCTION("""COMPUTED_VALUE"""),"Chuyên đề")</f>
        <v>Chuyên đề</v>
      </c>
      <c r="T268" s="23" t="str">
        <f ca="1">IFERROR(__xludf.DUMMYFUNCTION("""COMPUTED_VALUE"""),"Phạm Thị Hoàng Dung")</f>
        <v>Phạm Thị Hoàng Dung</v>
      </c>
      <c r="U268" s="27">
        <f ca="1">IFERROR(__xludf.DUMMYFUNCTION("""COMPUTED_VALUE"""),45726)</f>
        <v>45726</v>
      </c>
      <c r="V268" s="27">
        <f ca="1">IFERROR(__xludf.DUMMYFUNCTION("""COMPUTED_VALUE"""),45818)</f>
        <v>45818</v>
      </c>
      <c r="W268" s="23"/>
      <c r="X268" s="23"/>
      <c r="Y268" s="23" t="str">
        <f ca="1">IFERROR(__xludf.DUMMYFUNCTION("""COMPUTED_VALUE"""),"DUYỆT")</f>
        <v>DUYỆT</v>
      </c>
      <c r="Z268" s="23" t="str">
        <f ca="1">IFERROR(__xludf.DUMMYFUNCTION("""COMPUTED_VALUE"""),"21/02/2025")</f>
        <v>21/02/2025</v>
      </c>
      <c r="AA268" s="23" t="str">
        <f ca="1">IFERROR(__xludf.DUMMYFUNCTION("""COMPUTED_VALUE"""),"Renaissance Hoi An Resort &amp; Spa")</f>
        <v>Renaissance Hoi An Resort &amp; Spa</v>
      </c>
      <c r="AB268" s="23" t="str">
        <f ca="1">IFERROR(__xludf.DUMMYFUNCTION("""COMPUTED_VALUE"""),"Buồng phòng")</f>
        <v>Buồng phòng</v>
      </c>
      <c r="AC268" s="23"/>
      <c r="AD268" s="23"/>
      <c r="AE268" s="23" t="str">
        <f ca="1">IFERROR(__xludf.DUMMYFUNCTION("""COMPUTED_VALUE"""),"")</f>
        <v/>
      </c>
      <c r="AF268" s="23" t="str">
        <f ca="1">IFERROR(__xludf.DUMMYFUNCTION("""COMPUTED_VALUE"""),"CHUYÊN ĐỀ")</f>
        <v>CHUYÊN ĐỀ</v>
      </c>
      <c r="AG268" s="23" t="str">
        <f ca="1">IFERROR(__xludf.DUMMYFUNCTION("""COMPUTED_VALUE"""),"Nguyễn Thị Minh Thư")</f>
        <v>Nguyễn Thị Minh Thư</v>
      </c>
    </row>
    <row r="269" spans="1:33" ht="12.75" x14ac:dyDescent="0.2">
      <c r="A269" s="23"/>
      <c r="B269" s="23"/>
      <c r="C269" s="23"/>
      <c r="D269" s="23"/>
      <c r="E269" s="23"/>
      <c r="F269" s="23"/>
      <c r="G269" s="23"/>
      <c r="H269" s="23"/>
      <c r="I269" s="23"/>
      <c r="J269" s="23"/>
      <c r="K269" s="23"/>
      <c r="L269" s="23"/>
      <c r="M269" s="23"/>
      <c r="N269" s="23"/>
      <c r="O269" s="23"/>
      <c r="P269" s="23"/>
      <c r="Q269" s="23"/>
      <c r="R269" s="23"/>
      <c r="S269" s="23"/>
      <c r="T269" s="23"/>
      <c r="U269" s="23"/>
      <c r="V269" s="23"/>
      <c r="W269" s="23"/>
      <c r="X269" s="23"/>
      <c r="Y269" s="23"/>
      <c r="Z269" s="23"/>
      <c r="AA269" s="23"/>
      <c r="AB269" s="23"/>
      <c r="AC269" s="23"/>
      <c r="AD269" s="23"/>
      <c r="AE269" s="23"/>
      <c r="AF269" s="23"/>
      <c r="AG269" s="23"/>
    </row>
    <row r="270" spans="1:33" ht="12.75" x14ac:dyDescent="0.2">
      <c r="A270" s="23"/>
      <c r="B270" s="23"/>
      <c r="C270" s="23"/>
      <c r="D270" s="23"/>
      <c r="E270" s="23"/>
      <c r="F270" s="23"/>
      <c r="G270" s="23"/>
      <c r="H270" s="23"/>
      <c r="I270" s="23"/>
      <c r="J270" s="23"/>
      <c r="K270" s="23"/>
      <c r="L270" s="23"/>
      <c r="M270" s="23"/>
      <c r="N270" s="23"/>
      <c r="O270" s="23"/>
      <c r="P270" s="23"/>
      <c r="Q270" s="23"/>
      <c r="R270" s="23"/>
      <c r="S270" s="23"/>
      <c r="T270" s="23"/>
      <c r="U270" s="23"/>
      <c r="V270" s="23"/>
      <c r="W270" s="23"/>
      <c r="X270" s="23"/>
      <c r="Y270" s="23"/>
      <c r="Z270" s="23"/>
      <c r="AA270" s="23"/>
      <c r="AB270" s="23"/>
      <c r="AC270" s="23"/>
      <c r="AD270" s="23"/>
      <c r="AE270" s="23"/>
      <c r="AF270" s="23"/>
      <c r="AG270" s="23"/>
    </row>
    <row r="271" spans="1:33" ht="12.75" x14ac:dyDescent="0.2">
      <c r="A271" s="23"/>
      <c r="B271" s="23"/>
      <c r="C271" s="23"/>
      <c r="D271" s="23"/>
      <c r="E271" s="23"/>
      <c r="F271" s="23"/>
      <c r="G271" s="23"/>
      <c r="H271" s="23"/>
      <c r="I271" s="23"/>
      <c r="J271" s="23"/>
      <c r="K271" s="23"/>
      <c r="L271" s="23"/>
      <c r="M271" s="23"/>
      <c r="N271" s="23"/>
      <c r="O271" s="23"/>
      <c r="P271" s="23"/>
      <c r="Q271" s="23"/>
      <c r="R271" s="23"/>
      <c r="S271" s="23"/>
      <c r="T271" s="23"/>
      <c r="U271" s="23"/>
      <c r="V271" s="23"/>
      <c r="W271" s="23"/>
      <c r="X271" s="23"/>
      <c r="Y271" s="23"/>
      <c r="Z271" s="23"/>
      <c r="AA271" s="23"/>
      <c r="AB271" s="23"/>
      <c r="AC271" s="23"/>
      <c r="AD271" s="23"/>
      <c r="AE271" s="23"/>
      <c r="AF271" s="23"/>
      <c r="AG271" s="23"/>
    </row>
    <row r="272" spans="1:33" ht="12.75" x14ac:dyDescent="0.2">
      <c r="A272" s="23"/>
      <c r="B272" s="23"/>
      <c r="C272" s="23"/>
      <c r="D272" s="23"/>
      <c r="E272" s="23"/>
      <c r="F272" s="23"/>
      <c r="G272" s="23"/>
      <c r="H272" s="23"/>
      <c r="I272" s="23"/>
      <c r="J272" s="23"/>
      <c r="K272" s="23"/>
      <c r="L272" s="23"/>
      <c r="M272" s="23"/>
      <c r="N272" s="23"/>
      <c r="O272" s="23"/>
      <c r="P272" s="23"/>
      <c r="Q272" s="23"/>
      <c r="R272" s="23"/>
      <c r="S272" s="23"/>
      <c r="T272" s="23"/>
      <c r="U272" s="23"/>
      <c r="V272" s="23"/>
      <c r="W272" s="23"/>
      <c r="X272" s="23"/>
      <c r="Y272" s="23"/>
      <c r="Z272" s="23"/>
      <c r="AA272" s="23"/>
      <c r="AB272" s="23"/>
      <c r="AC272" s="23"/>
      <c r="AD272" s="23"/>
      <c r="AE272" s="23"/>
      <c r="AF272" s="23"/>
      <c r="AG272" s="23"/>
    </row>
    <row r="273" spans="1:33" ht="12.75" x14ac:dyDescent="0.2">
      <c r="A273" s="23"/>
      <c r="B273" s="23"/>
      <c r="C273" s="23"/>
      <c r="D273" s="23"/>
      <c r="E273" s="23"/>
      <c r="F273" s="23"/>
      <c r="G273" s="23"/>
      <c r="H273" s="23"/>
      <c r="I273" s="23"/>
      <c r="J273" s="23"/>
      <c r="K273" s="23"/>
      <c r="L273" s="23"/>
      <c r="M273" s="23"/>
      <c r="N273" s="23"/>
      <c r="O273" s="23"/>
      <c r="P273" s="23"/>
      <c r="Q273" s="23"/>
      <c r="R273" s="23"/>
      <c r="S273" s="23"/>
      <c r="T273" s="23"/>
      <c r="U273" s="23"/>
      <c r="V273" s="23"/>
      <c r="W273" s="23"/>
      <c r="X273" s="23"/>
      <c r="Y273" s="23"/>
      <c r="Z273" s="23"/>
      <c r="AA273" s="23"/>
      <c r="AB273" s="23"/>
      <c r="AC273" s="23"/>
      <c r="AD273" s="23"/>
      <c r="AE273" s="23"/>
      <c r="AF273" s="23"/>
      <c r="AG273" s="23"/>
    </row>
    <row r="274" spans="1:33" ht="12.75" x14ac:dyDescent="0.2">
      <c r="A274" s="23"/>
      <c r="B274" s="23"/>
      <c r="C274" s="23"/>
      <c r="D274" s="23"/>
      <c r="E274" s="23"/>
      <c r="F274" s="23"/>
      <c r="G274" s="23"/>
      <c r="H274" s="23"/>
      <c r="I274" s="23"/>
      <c r="J274" s="23"/>
      <c r="K274" s="23"/>
      <c r="L274" s="23"/>
      <c r="M274" s="23"/>
      <c r="N274" s="23"/>
      <c r="O274" s="23"/>
      <c r="P274" s="23"/>
      <c r="Q274" s="23"/>
      <c r="R274" s="23"/>
      <c r="S274" s="23"/>
      <c r="T274" s="23"/>
      <c r="U274" s="23"/>
      <c r="V274" s="23"/>
      <c r="W274" s="23"/>
      <c r="X274" s="23"/>
      <c r="Y274" s="23"/>
      <c r="Z274" s="23"/>
      <c r="AA274" s="23"/>
      <c r="AB274" s="23"/>
      <c r="AC274" s="23"/>
      <c r="AD274" s="23"/>
      <c r="AE274" s="23"/>
      <c r="AF274" s="23"/>
      <c r="AG274" s="23"/>
    </row>
    <row r="275" spans="1:33" ht="12.75" x14ac:dyDescent="0.2">
      <c r="A275" s="23"/>
      <c r="B275" s="23"/>
      <c r="C275" s="23"/>
      <c r="D275" s="23"/>
      <c r="E275" s="23"/>
      <c r="F275" s="23"/>
      <c r="G275" s="23"/>
      <c r="H275" s="23"/>
      <c r="I275" s="23"/>
      <c r="J275" s="23"/>
      <c r="K275" s="23"/>
      <c r="L275" s="23"/>
      <c r="M275" s="23"/>
      <c r="N275" s="23"/>
      <c r="O275" s="23"/>
      <c r="P275" s="23"/>
      <c r="Q275" s="23"/>
      <c r="R275" s="23"/>
      <c r="S275" s="23"/>
      <c r="T275" s="23"/>
      <c r="U275" s="23"/>
      <c r="V275" s="23"/>
      <c r="W275" s="23"/>
      <c r="X275" s="23"/>
      <c r="Y275" s="23"/>
      <c r="Z275" s="23"/>
      <c r="AA275" s="23"/>
      <c r="AB275" s="23"/>
      <c r="AC275" s="23"/>
      <c r="AD275" s="23"/>
      <c r="AE275" s="23"/>
      <c r="AF275" s="23"/>
      <c r="AG275" s="23"/>
    </row>
    <row r="276" spans="1:33" ht="12.75" x14ac:dyDescent="0.2">
      <c r="A276" s="23"/>
      <c r="B276" s="23"/>
      <c r="C276" s="23"/>
      <c r="D276" s="23"/>
      <c r="E276" s="23"/>
      <c r="F276" s="23"/>
      <c r="G276" s="23"/>
      <c r="H276" s="23"/>
      <c r="I276" s="23"/>
      <c r="J276" s="23"/>
      <c r="K276" s="23"/>
      <c r="L276" s="23"/>
      <c r="M276" s="23"/>
      <c r="N276" s="23"/>
      <c r="O276" s="23"/>
      <c r="P276" s="23"/>
      <c r="Q276" s="23"/>
      <c r="R276" s="23"/>
      <c r="S276" s="23"/>
      <c r="T276" s="23"/>
      <c r="U276" s="23"/>
      <c r="V276" s="23"/>
      <c r="W276" s="23"/>
      <c r="X276" s="23"/>
      <c r="Y276" s="23"/>
      <c r="Z276" s="23"/>
      <c r="AA276" s="23"/>
      <c r="AB276" s="23"/>
      <c r="AC276" s="23"/>
      <c r="AD276" s="23"/>
      <c r="AE276" s="23"/>
      <c r="AF276" s="23"/>
      <c r="AG276" s="23"/>
    </row>
    <row r="277" spans="1:33" ht="12.75" x14ac:dyDescent="0.2">
      <c r="A277" s="23"/>
      <c r="B277" s="23"/>
      <c r="C277" s="23"/>
      <c r="D277" s="23"/>
      <c r="E277" s="23"/>
      <c r="F277" s="23"/>
      <c r="G277" s="23"/>
      <c r="H277" s="23"/>
      <c r="I277" s="23"/>
      <c r="J277" s="23"/>
      <c r="K277" s="23"/>
      <c r="L277" s="23"/>
      <c r="M277" s="23"/>
      <c r="N277" s="23"/>
      <c r="O277" s="23"/>
      <c r="P277" s="23"/>
      <c r="Q277" s="23"/>
      <c r="R277" s="23"/>
      <c r="S277" s="23"/>
      <c r="T277" s="23"/>
      <c r="U277" s="23"/>
      <c r="V277" s="23"/>
      <c r="W277" s="23"/>
      <c r="X277" s="23"/>
      <c r="Y277" s="23"/>
      <c r="Z277" s="23"/>
      <c r="AA277" s="23"/>
      <c r="AB277" s="23"/>
      <c r="AC277" s="23"/>
      <c r="AD277" s="23"/>
      <c r="AE277" s="23"/>
      <c r="AF277" s="23"/>
      <c r="AG277" s="23"/>
    </row>
    <row r="278" spans="1:33" ht="12.75" x14ac:dyDescent="0.2">
      <c r="A278" s="23"/>
      <c r="B278" s="23"/>
      <c r="C278" s="23"/>
      <c r="D278" s="23"/>
      <c r="E278" s="23"/>
      <c r="F278" s="23"/>
      <c r="G278" s="23"/>
      <c r="H278" s="23"/>
      <c r="I278" s="23"/>
      <c r="J278" s="23"/>
      <c r="K278" s="23"/>
      <c r="L278" s="23"/>
      <c r="M278" s="23"/>
      <c r="N278" s="23"/>
      <c r="O278" s="23"/>
      <c r="P278" s="23"/>
      <c r="Q278" s="23"/>
      <c r="R278" s="23"/>
      <c r="S278" s="23"/>
      <c r="T278" s="23"/>
      <c r="U278" s="23"/>
      <c r="V278" s="23"/>
      <c r="W278" s="23"/>
      <c r="X278" s="23"/>
      <c r="Y278" s="23"/>
      <c r="Z278" s="23"/>
      <c r="AA278" s="23"/>
      <c r="AB278" s="23"/>
      <c r="AC278" s="23"/>
      <c r="AD278" s="23"/>
      <c r="AE278" s="23"/>
      <c r="AF278" s="23"/>
      <c r="AG278" s="23"/>
    </row>
    <row r="279" spans="1:33" ht="12.75" x14ac:dyDescent="0.2">
      <c r="A279" s="23"/>
      <c r="B279" s="23"/>
      <c r="C279" s="23"/>
      <c r="D279" s="23"/>
      <c r="E279" s="23"/>
      <c r="F279" s="23"/>
      <c r="G279" s="23"/>
      <c r="H279" s="23"/>
      <c r="I279" s="23"/>
      <c r="J279" s="23"/>
      <c r="K279" s="23"/>
      <c r="L279" s="23"/>
      <c r="M279" s="23"/>
      <c r="N279" s="23"/>
      <c r="O279" s="23"/>
      <c r="P279" s="23"/>
      <c r="Q279" s="23"/>
      <c r="R279" s="23"/>
      <c r="S279" s="23"/>
      <c r="T279" s="23"/>
      <c r="U279" s="23"/>
      <c r="V279" s="23"/>
      <c r="W279" s="23"/>
      <c r="X279" s="23"/>
      <c r="Y279" s="23"/>
      <c r="Z279" s="23"/>
      <c r="AA279" s="23"/>
      <c r="AB279" s="23"/>
      <c r="AC279" s="23"/>
      <c r="AD279" s="23"/>
      <c r="AE279" s="23"/>
      <c r="AF279" s="23"/>
      <c r="AG279" s="23"/>
    </row>
    <row r="280" spans="1:33" ht="12.75" x14ac:dyDescent="0.2">
      <c r="A280" s="23"/>
      <c r="B280" s="23"/>
      <c r="C280" s="23"/>
      <c r="D280" s="23"/>
      <c r="E280" s="23"/>
      <c r="F280" s="23"/>
      <c r="G280" s="23"/>
      <c r="H280" s="23"/>
      <c r="I280" s="23"/>
      <c r="J280" s="23"/>
      <c r="K280" s="23"/>
      <c r="L280" s="23"/>
      <c r="M280" s="23"/>
      <c r="N280" s="23"/>
      <c r="O280" s="23"/>
      <c r="P280" s="23"/>
      <c r="Q280" s="23"/>
      <c r="R280" s="23"/>
      <c r="S280" s="23"/>
      <c r="T280" s="23"/>
      <c r="U280" s="23"/>
      <c r="V280" s="23"/>
      <c r="W280" s="23"/>
      <c r="X280" s="23"/>
      <c r="Y280" s="23"/>
      <c r="Z280" s="23"/>
      <c r="AA280" s="23"/>
      <c r="AB280" s="23"/>
      <c r="AC280" s="23"/>
      <c r="AD280" s="23"/>
      <c r="AE280" s="23"/>
      <c r="AF280" s="23"/>
      <c r="AG280" s="23"/>
    </row>
    <row r="281" spans="1:33" ht="12.75" x14ac:dyDescent="0.2">
      <c r="A281" s="23"/>
      <c r="B281" s="23"/>
      <c r="C281" s="23"/>
      <c r="D281" s="23"/>
      <c r="E281" s="23"/>
      <c r="F281" s="23"/>
      <c r="G281" s="23"/>
      <c r="H281" s="23"/>
      <c r="I281" s="23"/>
      <c r="J281" s="23"/>
      <c r="K281" s="23"/>
      <c r="L281" s="23"/>
      <c r="M281" s="23"/>
      <c r="N281" s="23"/>
      <c r="O281" s="23"/>
      <c r="P281" s="23"/>
      <c r="Q281" s="23"/>
      <c r="R281" s="23"/>
      <c r="S281" s="23"/>
      <c r="T281" s="23"/>
      <c r="U281" s="23"/>
      <c r="V281" s="23"/>
      <c r="W281" s="23"/>
      <c r="X281" s="23"/>
      <c r="Y281" s="23"/>
      <c r="Z281" s="23"/>
      <c r="AA281" s="23"/>
      <c r="AB281" s="23"/>
      <c r="AC281" s="23"/>
      <c r="AD281" s="23"/>
      <c r="AE281" s="23"/>
      <c r="AF281" s="23"/>
      <c r="AG281" s="23"/>
    </row>
    <row r="282" spans="1:33" ht="12.75" x14ac:dyDescent="0.2">
      <c r="A282" s="23"/>
      <c r="B282" s="23"/>
      <c r="C282" s="23"/>
      <c r="D282" s="23"/>
      <c r="E282" s="23"/>
      <c r="F282" s="23"/>
      <c r="G282" s="23"/>
      <c r="H282" s="23"/>
      <c r="I282" s="23"/>
      <c r="J282" s="23"/>
      <c r="K282" s="23"/>
      <c r="L282" s="23"/>
      <c r="M282" s="23"/>
      <c r="N282" s="23"/>
      <c r="O282" s="23"/>
      <c r="P282" s="23"/>
      <c r="Q282" s="23"/>
      <c r="R282" s="23"/>
      <c r="S282" s="23"/>
      <c r="T282" s="23"/>
      <c r="U282" s="23"/>
      <c r="V282" s="23"/>
      <c r="W282" s="23"/>
      <c r="X282" s="23"/>
      <c r="Y282" s="23"/>
      <c r="Z282" s="23"/>
      <c r="AA282" s="23"/>
      <c r="AB282" s="23"/>
      <c r="AC282" s="23"/>
      <c r="AD282" s="23"/>
      <c r="AE282" s="23"/>
      <c r="AF282" s="23"/>
      <c r="AG282" s="23"/>
    </row>
    <row r="283" spans="1:33" ht="12.75" x14ac:dyDescent="0.2">
      <c r="A283" s="23"/>
      <c r="B283" s="23"/>
      <c r="C283" s="23"/>
      <c r="D283" s="23"/>
      <c r="E283" s="23"/>
      <c r="F283" s="23"/>
      <c r="G283" s="23"/>
      <c r="H283" s="23"/>
      <c r="I283" s="23"/>
      <c r="J283" s="23"/>
      <c r="K283" s="23"/>
      <c r="L283" s="23"/>
      <c r="M283" s="23"/>
      <c r="N283" s="23"/>
      <c r="O283" s="23"/>
      <c r="P283" s="23"/>
      <c r="Q283" s="23"/>
      <c r="R283" s="23"/>
      <c r="S283" s="23"/>
      <c r="T283" s="23"/>
      <c r="U283" s="23"/>
      <c r="V283" s="23"/>
      <c r="W283" s="23"/>
      <c r="X283" s="23"/>
      <c r="Y283" s="23"/>
      <c r="Z283" s="23"/>
      <c r="AA283" s="23"/>
      <c r="AB283" s="23"/>
      <c r="AC283" s="23"/>
      <c r="AD283" s="23"/>
      <c r="AE283" s="23"/>
      <c r="AF283" s="23"/>
      <c r="AG283" s="23"/>
    </row>
    <row r="284" spans="1:33" ht="12.75" x14ac:dyDescent="0.2">
      <c r="A284" s="23"/>
      <c r="B284" s="23"/>
      <c r="C284" s="23"/>
      <c r="D284" s="23"/>
      <c r="E284" s="23"/>
      <c r="F284" s="23"/>
      <c r="G284" s="23"/>
      <c r="H284" s="23"/>
      <c r="I284" s="23"/>
      <c r="J284" s="23"/>
      <c r="K284" s="23"/>
      <c r="L284" s="23"/>
      <c r="M284" s="23"/>
      <c r="N284" s="23"/>
      <c r="O284" s="23"/>
      <c r="P284" s="23"/>
      <c r="Q284" s="23"/>
      <c r="R284" s="23"/>
      <c r="S284" s="23"/>
      <c r="T284" s="23"/>
      <c r="U284" s="23"/>
      <c r="V284" s="23"/>
      <c r="W284" s="23"/>
      <c r="X284" s="23"/>
      <c r="Y284" s="23"/>
      <c r="Z284" s="23"/>
      <c r="AA284" s="23"/>
      <c r="AB284" s="23"/>
      <c r="AC284" s="23"/>
      <c r="AD284" s="23"/>
      <c r="AE284" s="23"/>
      <c r="AF284" s="23"/>
      <c r="AG284" s="23"/>
    </row>
    <row r="285" spans="1:33" ht="12.75" x14ac:dyDescent="0.2">
      <c r="A285" s="23"/>
      <c r="B285" s="23"/>
      <c r="C285" s="23"/>
      <c r="D285" s="23"/>
      <c r="E285" s="23"/>
      <c r="F285" s="23"/>
      <c r="G285" s="23"/>
      <c r="H285" s="23"/>
      <c r="I285" s="23"/>
      <c r="J285" s="23"/>
      <c r="K285" s="23"/>
      <c r="L285" s="23"/>
      <c r="M285" s="23"/>
      <c r="N285" s="23"/>
      <c r="O285" s="23"/>
      <c r="P285" s="23"/>
      <c r="Q285" s="23"/>
      <c r="R285" s="23"/>
      <c r="S285" s="23"/>
      <c r="T285" s="23"/>
      <c r="U285" s="23"/>
      <c r="V285" s="23"/>
      <c r="W285" s="23"/>
      <c r="X285" s="23"/>
      <c r="Y285" s="23"/>
      <c r="Z285" s="23"/>
      <c r="AA285" s="23"/>
      <c r="AB285" s="23"/>
      <c r="AC285" s="23"/>
      <c r="AD285" s="23"/>
      <c r="AE285" s="23"/>
      <c r="AF285" s="23"/>
      <c r="AG285" s="23"/>
    </row>
    <row r="286" spans="1:33" ht="12.75" x14ac:dyDescent="0.2">
      <c r="A286" s="23"/>
      <c r="B286" s="23"/>
      <c r="C286" s="23"/>
      <c r="D286" s="23"/>
      <c r="E286" s="23"/>
      <c r="F286" s="23"/>
      <c r="G286" s="23"/>
      <c r="H286" s="23"/>
      <c r="I286" s="23"/>
      <c r="J286" s="23"/>
      <c r="K286" s="23"/>
      <c r="L286" s="23"/>
      <c r="M286" s="23"/>
      <c r="N286" s="23"/>
      <c r="O286" s="23"/>
      <c r="P286" s="23"/>
      <c r="Q286" s="23"/>
      <c r="R286" s="23"/>
      <c r="S286" s="23"/>
      <c r="T286" s="23"/>
      <c r="U286" s="23"/>
      <c r="V286" s="23"/>
      <c r="W286" s="23"/>
      <c r="X286" s="23"/>
      <c r="Y286" s="23"/>
      <c r="Z286" s="23"/>
      <c r="AA286" s="23"/>
      <c r="AB286" s="23"/>
      <c r="AC286" s="23"/>
      <c r="AD286" s="23"/>
      <c r="AE286" s="23"/>
      <c r="AF286" s="23"/>
      <c r="AG286" s="23"/>
    </row>
    <row r="287" spans="1:33" ht="12.75" x14ac:dyDescent="0.2">
      <c r="A287" s="23"/>
      <c r="B287" s="23"/>
      <c r="C287" s="23"/>
      <c r="D287" s="23"/>
      <c r="E287" s="23"/>
      <c r="F287" s="23"/>
      <c r="G287" s="23"/>
      <c r="H287" s="23"/>
      <c r="I287" s="23"/>
      <c r="J287" s="23"/>
      <c r="K287" s="23"/>
      <c r="L287" s="23"/>
      <c r="M287" s="23"/>
      <c r="N287" s="23"/>
      <c r="O287" s="23"/>
      <c r="P287" s="23"/>
      <c r="Q287" s="23"/>
      <c r="R287" s="23"/>
      <c r="S287" s="23"/>
      <c r="T287" s="23"/>
      <c r="U287" s="23"/>
      <c r="V287" s="23"/>
      <c r="W287" s="23"/>
      <c r="X287" s="23"/>
      <c r="Y287" s="23"/>
      <c r="Z287" s="23"/>
      <c r="AA287" s="23"/>
      <c r="AB287" s="23"/>
      <c r="AC287" s="23"/>
      <c r="AD287" s="23"/>
      <c r="AE287" s="23"/>
      <c r="AF287" s="23"/>
      <c r="AG287" s="23"/>
    </row>
    <row r="288" spans="1:33" ht="12.75" x14ac:dyDescent="0.2">
      <c r="A288" s="23"/>
      <c r="B288" s="23"/>
      <c r="C288" s="23"/>
      <c r="D288" s="23"/>
      <c r="E288" s="23"/>
      <c r="F288" s="23"/>
      <c r="G288" s="23"/>
      <c r="H288" s="23"/>
      <c r="I288" s="23"/>
      <c r="J288" s="23"/>
      <c r="K288" s="23"/>
      <c r="L288" s="23"/>
      <c r="M288" s="23"/>
      <c r="N288" s="23"/>
      <c r="O288" s="23"/>
      <c r="P288" s="23"/>
      <c r="Q288" s="23"/>
      <c r="R288" s="23"/>
      <c r="S288" s="23"/>
      <c r="T288" s="23"/>
      <c r="U288" s="23"/>
      <c r="V288" s="23"/>
      <c r="W288" s="23"/>
      <c r="X288" s="23"/>
      <c r="Y288" s="23"/>
      <c r="Z288" s="23"/>
      <c r="AA288" s="23"/>
      <c r="AB288" s="23"/>
      <c r="AC288" s="23"/>
      <c r="AD288" s="23"/>
      <c r="AE288" s="23"/>
      <c r="AF288" s="23"/>
      <c r="AG288" s="23"/>
    </row>
    <row r="289" spans="1:33" ht="12.75" x14ac:dyDescent="0.2">
      <c r="A289" s="23"/>
      <c r="B289" s="23"/>
      <c r="C289" s="23"/>
      <c r="D289" s="23"/>
      <c r="E289" s="23"/>
      <c r="F289" s="23"/>
      <c r="G289" s="23"/>
      <c r="H289" s="23"/>
      <c r="I289" s="23"/>
      <c r="J289" s="23"/>
      <c r="K289" s="23"/>
      <c r="L289" s="23"/>
      <c r="M289" s="23"/>
      <c r="N289" s="23"/>
      <c r="O289" s="23"/>
      <c r="P289" s="23"/>
      <c r="Q289" s="23"/>
      <c r="R289" s="23"/>
      <c r="S289" s="23"/>
      <c r="T289" s="23"/>
      <c r="U289" s="23"/>
      <c r="V289" s="23"/>
      <c r="W289" s="23"/>
      <c r="X289" s="23"/>
      <c r="Y289" s="23"/>
      <c r="Z289" s="23"/>
      <c r="AA289" s="23"/>
      <c r="AB289" s="23"/>
      <c r="AC289" s="23"/>
      <c r="AD289" s="23"/>
      <c r="AE289" s="23"/>
      <c r="AF289" s="23"/>
      <c r="AG289" s="23"/>
    </row>
    <row r="290" spans="1:33" ht="12.75" x14ac:dyDescent="0.2">
      <c r="A290" s="23"/>
      <c r="B290" s="23"/>
      <c r="C290" s="23"/>
      <c r="D290" s="23"/>
      <c r="E290" s="23"/>
      <c r="F290" s="23"/>
      <c r="G290" s="23"/>
      <c r="H290" s="23"/>
      <c r="I290" s="23"/>
      <c r="J290" s="23"/>
      <c r="K290" s="23"/>
      <c r="L290" s="23"/>
      <c r="M290" s="23"/>
      <c r="N290" s="23"/>
      <c r="O290" s="23"/>
      <c r="P290" s="23"/>
      <c r="Q290" s="23"/>
      <c r="R290" s="23"/>
      <c r="S290" s="23"/>
      <c r="T290" s="23"/>
      <c r="U290" s="23"/>
      <c r="V290" s="23"/>
      <c r="W290" s="23"/>
      <c r="X290" s="23"/>
      <c r="Y290" s="23"/>
      <c r="Z290" s="23"/>
      <c r="AA290" s="23"/>
      <c r="AB290" s="23"/>
      <c r="AC290" s="23"/>
      <c r="AD290" s="23"/>
      <c r="AE290" s="23"/>
      <c r="AF290" s="23"/>
      <c r="AG290" s="23"/>
    </row>
    <row r="291" spans="1:33" ht="12.75" x14ac:dyDescent="0.2">
      <c r="A291" s="23"/>
      <c r="B291" s="23"/>
      <c r="C291" s="23"/>
      <c r="D291" s="23"/>
      <c r="E291" s="23"/>
      <c r="F291" s="23"/>
      <c r="G291" s="23"/>
      <c r="H291" s="23"/>
      <c r="I291" s="23"/>
      <c r="J291" s="23"/>
      <c r="K291" s="23"/>
      <c r="L291" s="23"/>
      <c r="M291" s="23"/>
      <c r="N291" s="23"/>
      <c r="O291" s="23"/>
      <c r="P291" s="23"/>
      <c r="Q291" s="23"/>
      <c r="R291" s="23"/>
      <c r="S291" s="23"/>
      <c r="T291" s="23"/>
      <c r="U291" s="23"/>
      <c r="V291" s="23"/>
      <c r="W291" s="23"/>
      <c r="X291" s="23"/>
      <c r="Y291" s="23"/>
      <c r="Z291" s="23"/>
      <c r="AA291" s="23"/>
      <c r="AB291" s="23"/>
      <c r="AC291" s="23"/>
      <c r="AD291" s="23"/>
      <c r="AE291" s="23"/>
      <c r="AF291" s="23"/>
      <c r="AG291" s="23"/>
    </row>
    <row r="292" spans="1:33" ht="12.75" x14ac:dyDescent="0.2">
      <c r="A292" s="23"/>
      <c r="B292" s="23"/>
      <c r="C292" s="23"/>
      <c r="D292" s="23"/>
      <c r="E292" s="23"/>
      <c r="F292" s="23"/>
      <c r="G292" s="23"/>
      <c r="H292" s="23"/>
      <c r="I292" s="23"/>
      <c r="J292" s="23"/>
      <c r="K292" s="23"/>
      <c r="L292" s="23"/>
      <c r="M292" s="23"/>
      <c r="N292" s="23"/>
      <c r="O292" s="23"/>
      <c r="P292" s="23"/>
      <c r="Q292" s="23"/>
      <c r="R292" s="23"/>
      <c r="S292" s="23"/>
      <c r="T292" s="23"/>
      <c r="U292" s="23"/>
      <c r="V292" s="23"/>
      <c r="W292" s="23"/>
      <c r="X292" s="23"/>
      <c r="Y292" s="23"/>
      <c r="Z292" s="23"/>
      <c r="AA292" s="23"/>
      <c r="AB292" s="23"/>
      <c r="AC292" s="23"/>
      <c r="AD292" s="23"/>
      <c r="AE292" s="23"/>
      <c r="AF292" s="23"/>
      <c r="AG292" s="23"/>
    </row>
    <row r="293" spans="1:33" ht="12.75" x14ac:dyDescent="0.2">
      <c r="A293" s="23"/>
      <c r="B293" s="23"/>
      <c r="C293" s="23"/>
      <c r="D293" s="23"/>
      <c r="E293" s="23"/>
      <c r="F293" s="23"/>
      <c r="G293" s="23"/>
      <c r="H293" s="23"/>
      <c r="I293" s="23"/>
      <c r="J293" s="23"/>
      <c r="K293" s="23"/>
      <c r="L293" s="23"/>
      <c r="M293" s="23"/>
      <c r="N293" s="23"/>
      <c r="O293" s="23"/>
      <c r="P293" s="23"/>
      <c r="Q293" s="23"/>
      <c r="R293" s="23"/>
      <c r="S293" s="23"/>
      <c r="T293" s="23"/>
      <c r="U293" s="23"/>
      <c r="V293" s="23"/>
      <c r="W293" s="23"/>
      <c r="X293" s="23"/>
      <c r="Y293" s="23"/>
      <c r="Z293" s="23"/>
      <c r="AA293" s="23"/>
      <c r="AB293" s="23"/>
      <c r="AC293" s="23"/>
      <c r="AD293" s="23"/>
      <c r="AE293" s="23"/>
      <c r="AF293" s="23"/>
      <c r="AG293" s="23"/>
    </row>
    <row r="294" spans="1:33" ht="12.75" x14ac:dyDescent="0.2">
      <c r="A294" s="23"/>
      <c r="B294" s="23"/>
      <c r="C294" s="23"/>
      <c r="D294" s="23"/>
      <c r="E294" s="23"/>
      <c r="F294" s="23"/>
      <c r="G294" s="23"/>
      <c r="H294" s="23"/>
      <c r="I294" s="23"/>
      <c r="J294" s="23"/>
      <c r="K294" s="23"/>
      <c r="L294" s="23"/>
      <c r="M294" s="23"/>
      <c r="N294" s="23"/>
      <c r="O294" s="23"/>
      <c r="P294" s="23"/>
      <c r="Q294" s="23"/>
      <c r="R294" s="23"/>
      <c r="S294" s="23"/>
      <c r="T294" s="23"/>
      <c r="U294" s="23"/>
      <c r="V294" s="23"/>
      <c r="W294" s="23"/>
      <c r="X294" s="23"/>
      <c r="Y294" s="23"/>
      <c r="Z294" s="23"/>
      <c r="AA294" s="23"/>
      <c r="AB294" s="23"/>
      <c r="AC294" s="23"/>
      <c r="AD294" s="23"/>
      <c r="AE294" s="23"/>
      <c r="AF294" s="23"/>
      <c r="AG294" s="23"/>
    </row>
    <row r="295" spans="1:33" ht="12.75" x14ac:dyDescent="0.2">
      <c r="A295" s="23"/>
      <c r="B295" s="23"/>
      <c r="C295" s="23"/>
      <c r="D295" s="23"/>
      <c r="E295" s="23"/>
      <c r="F295" s="23"/>
      <c r="G295" s="23"/>
      <c r="H295" s="23"/>
      <c r="I295" s="23"/>
      <c r="J295" s="23"/>
      <c r="K295" s="23"/>
      <c r="L295" s="23"/>
      <c r="M295" s="23"/>
      <c r="N295" s="23"/>
      <c r="O295" s="23"/>
      <c r="P295" s="23"/>
      <c r="Q295" s="23"/>
      <c r="R295" s="23"/>
      <c r="S295" s="23"/>
      <c r="T295" s="23"/>
      <c r="U295" s="23"/>
      <c r="V295" s="23"/>
      <c r="W295" s="23"/>
      <c r="X295" s="23"/>
      <c r="Y295" s="23"/>
      <c r="Z295" s="23"/>
      <c r="AA295" s="23"/>
      <c r="AB295" s="23"/>
      <c r="AC295" s="23"/>
      <c r="AD295" s="23"/>
      <c r="AE295" s="23"/>
      <c r="AF295" s="23"/>
      <c r="AG295" s="23"/>
    </row>
    <row r="296" spans="1:33" ht="12.75" x14ac:dyDescent="0.2">
      <c r="A296" s="23"/>
      <c r="B296" s="23"/>
      <c r="C296" s="23"/>
      <c r="D296" s="23"/>
      <c r="E296" s="23"/>
      <c r="F296" s="23"/>
      <c r="G296" s="23"/>
      <c r="H296" s="23"/>
      <c r="I296" s="23"/>
      <c r="J296" s="23"/>
      <c r="K296" s="23"/>
      <c r="L296" s="23"/>
      <c r="M296" s="23"/>
      <c r="N296" s="23"/>
      <c r="O296" s="23"/>
      <c r="P296" s="23"/>
      <c r="Q296" s="23"/>
      <c r="R296" s="23"/>
      <c r="S296" s="23"/>
      <c r="T296" s="23"/>
      <c r="U296" s="23"/>
      <c r="V296" s="23"/>
      <c r="W296" s="23"/>
      <c r="X296" s="23"/>
      <c r="Y296" s="23"/>
      <c r="Z296" s="23"/>
      <c r="AA296" s="23"/>
      <c r="AB296" s="23"/>
      <c r="AC296" s="23"/>
      <c r="AD296" s="23"/>
      <c r="AE296" s="23"/>
      <c r="AF296" s="23"/>
      <c r="AG296" s="23"/>
    </row>
    <row r="297" spans="1:33" ht="12.75" x14ac:dyDescent="0.2">
      <c r="A297" s="23"/>
      <c r="B297" s="23"/>
      <c r="C297" s="23"/>
      <c r="D297" s="23"/>
      <c r="E297" s="23"/>
      <c r="F297" s="23"/>
      <c r="G297" s="23"/>
      <c r="H297" s="23"/>
      <c r="I297" s="23"/>
      <c r="J297" s="23"/>
      <c r="K297" s="23"/>
      <c r="L297" s="23"/>
      <c r="M297" s="23"/>
      <c r="N297" s="23"/>
      <c r="O297" s="23"/>
      <c r="P297" s="23"/>
      <c r="Q297" s="23"/>
      <c r="R297" s="23"/>
      <c r="S297" s="23"/>
      <c r="T297" s="23"/>
      <c r="U297" s="23"/>
      <c r="V297" s="23"/>
      <c r="W297" s="23"/>
      <c r="X297" s="23"/>
      <c r="Y297" s="23"/>
      <c r="Z297" s="23"/>
      <c r="AA297" s="23"/>
      <c r="AB297" s="23"/>
      <c r="AC297" s="23"/>
      <c r="AD297" s="23"/>
      <c r="AE297" s="23"/>
      <c r="AF297" s="23"/>
      <c r="AG297" s="23"/>
    </row>
    <row r="298" spans="1:33" ht="12.75" x14ac:dyDescent="0.2">
      <c r="A298" s="23"/>
      <c r="B298" s="23"/>
      <c r="C298" s="23"/>
      <c r="D298" s="23"/>
      <c r="E298" s="23"/>
      <c r="F298" s="23"/>
      <c r="G298" s="23"/>
      <c r="H298" s="23"/>
      <c r="I298" s="23"/>
      <c r="J298" s="23"/>
      <c r="K298" s="23"/>
      <c r="L298" s="23"/>
      <c r="M298" s="23"/>
      <c r="N298" s="23"/>
      <c r="O298" s="23"/>
      <c r="P298" s="23"/>
      <c r="Q298" s="23"/>
      <c r="R298" s="23"/>
      <c r="S298" s="23"/>
      <c r="T298" s="23"/>
      <c r="U298" s="23"/>
      <c r="V298" s="23"/>
      <c r="W298" s="23"/>
      <c r="X298" s="23"/>
      <c r="Y298" s="23"/>
      <c r="Z298" s="23"/>
      <c r="AA298" s="23"/>
      <c r="AB298" s="23"/>
      <c r="AC298" s="23"/>
      <c r="AD298" s="23"/>
      <c r="AE298" s="23"/>
      <c r="AF298" s="23"/>
      <c r="AG298" s="23"/>
    </row>
    <row r="299" spans="1:33" ht="12.75" x14ac:dyDescent="0.2">
      <c r="A299" s="23"/>
      <c r="B299" s="23"/>
      <c r="C299" s="23"/>
      <c r="D299" s="23"/>
      <c r="E299" s="23"/>
      <c r="F299" s="23"/>
      <c r="G299" s="23"/>
      <c r="H299" s="23"/>
      <c r="I299" s="23"/>
      <c r="J299" s="23"/>
      <c r="K299" s="23"/>
      <c r="L299" s="23"/>
      <c r="M299" s="23"/>
      <c r="N299" s="23"/>
      <c r="O299" s="23"/>
      <c r="P299" s="23"/>
      <c r="Q299" s="23"/>
      <c r="R299" s="23"/>
      <c r="S299" s="23"/>
      <c r="T299" s="23"/>
      <c r="U299" s="23"/>
      <c r="V299" s="23"/>
      <c r="W299" s="23"/>
      <c r="X299" s="23"/>
      <c r="Y299" s="23"/>
      <c r="Z299" s="23"/>
      <c r="AA299" s="23"/>
      <c r="AB299" s="23"/>
      <c r="AC299" s="23"/>
      <c r="AD299" s="23"/>
      <c r="AE299" s="23"/>
      <c r="AF299" s="23"/>
      <c r="AG299" s="23"/>
    </row>
    <row r="300" spans="1:33" ht="12.75" x14ac:dyDescent="0.2">
      <c r="A300" s="23"/>
      <c r="B300" s="23"/>
      <c r="C300" s="23"/>
      <c r="D300" s="23"/>
      <c r="E300" s="23"/>
      <c r="F300" s="23"/>
      <c r="G300" s="23"/>
      <c r="H300" s="23"/>
      <c r="I300" s="23"/>
      <c r="J300" s="23"/>
      <c r="K300" s="23"/>
      <c r="L300" s="23"/>
      <c r="M300" s="23"/>
      <c r="N300" s="23"/>
      <c r="O300" s="23"/>
      <c r="P300" s="23"/>
      <c r="Q300" s="23"/>
      <c r="R300" s="23"/>
      <c r="S300" s="23"/>
      <c r="T300" s="23"/>
      <c r="U300" s="23"/>
      <c r="V300" s="23"/>
      <c r="W300" s="23"/>
      <c r="X300" s="23"/>
      <c r="Y300" s="23"/>
      <c r="Z300" s="23"/>
      <c r="AA300" s="23"/>
      <c r="AB300" s="23"/>
      <c r="AC300" s="23"/>
      <c r="AD300" s="23"/>
      <c r="AE300" s="23"/>
      <c r="AF300" s="23"/>
      <c r="AG300" s="23"/>
    </row>
    <row r="301" spans="1:33" ht="12.75" x14ac:dyDescent="0.2">
      <c r="A301" s="23"/>
      <c r="B301" s="23"/>
      <c r="C301" s="23"/>
      <c r="D301" s="23"/>
      <c r="E301" s="23"/>
      <c r="F301" s="23"/>
      <c r="G301" s="23"/>
      <c r="H301" s="23"/>
      <c r="I301" s="23"/>
      <c r="J301" s="23"/>
      <c r="K301" s="23"/>
      <c r="L301" s="23"/>
      <c r="M301" s="23"/>
      <c r="N301" s="23"/>
      <c r="O301" s="23"/>
      <c r="P301" s="23"/>
      <c r="Q301" s="23"/>
      <c r="R301" s="23"/>
      <c r="S301" s="23"/>
      <c r="T301" s="23"/>
      <c r="U301" s="23"/>
      <c r="V301" s="23"/>
      <c r="W301" s="23"/>
      <c r="X301" s="23"/>
      <c r="Y301" s="23"/>
      <c r="Z301" s="23"/>
      <c r="AA301" s="23"/>
      <c r="AB301" s="23"/>
      <c r="AC301" s="23"/>
      <c r="AD301" s="23"/>
      <c r="AE301" s="23"/>
      <c r="AF301" s="23"/>
      <c r="AG301" s="23"/>
    </row>
    <row r="302" spans="1:33" ht="12.75" x14ac:dyDescent="0.2">
      <c r="A302" s="23"/>
      <c r="B302" s="23"/>
      <c r="C302" s="23"/>
      <c r="D302" s="23"/>
      <c r="E302" s="23"/>
      <c r="F302" s="23"/>
      <c r="G302" s="23"/>
      <c r="H302" s="23"/>
      <c r="I302" s="23"/>
      <c r="J302" s="23"/>
      <c r="K302" s="23"/>
      <c r="L302" s="23"/>
      <c r="M302" s="23"/>
      <c r="N302" s="23"/>
      <c r="O302" s="23"/>
      <c r="P302" s="23"/>
      <c r="Q302" s="23"/>
      <c r="R302" s="23"/>
      <c r="S302" s="23"/>
      <c r="T302" s="23"/>
      <c r="U302" s="23"/>
      <c r="V302" s="23"/>
      <c r="W302" s="23"/>
      <c r="X302" s="23"/>
      <c r="Y302" s="23"/>
      <c r="Z302" s="23"/>
      <c r="AA302" s="23"/>
      <c r="AB302" s="23"/>
      <c r="AC302" s="23"/>
      <c r="AD302" s="23"/>
      <c r="AE302" s="23"/>
      <c r="AF302" s="23"/>
      <c r="AG302" s="23"/>
    </row>
    <row r="303" spans="1:33" ht="12.75" x14ac:dyDescent="0.2">
      <c r="A303" s="23"/>
      <c r="B303" s="23"/>
      <c r="C303" s="23"/>
      <c r="D303" s="23"/>
      <c r="E303" s="23"/>
      <c r="F303" s="23"/>
      <c r="G303" s="23"/>
      <c r="H303" s="23"/>
      <c r="I303" s="23"/>
      <c r="J303" s="23"/>
      <c r="K303" s="23"/>
      <c r="L303" s="23"/>
      <c r="M303" s="23"/>
      <c r="N303" s="23"/>
      <c r="O303" s="23"/>
      <c r="P303" s="23"/>
      <c r="Q303" s="23"/>
      <c r="R303" s="23"/>
      <c r="S303" s="23"/>
      <c r="T303" s="23"/>
      <c r="U303" s="23"/>
      <c r="V303" s="23"/>
      <c r="W303" s="23"/>
      <c r="X303" s="23"/>
      <c r="Y303" s="23"/>
      <c r="Z303" s="23"/>
      <c r="AA303" s="23"/>
      <c r="AB303" s="23"/>
      <c r="AC303" s="23"/>
      <c r="AD303" s="23"/>
      <c r="AE303" s="23"/>
      <c r="AF303" s="23"/>
      <c r="AG303" s="23"/>
    </row>
    <row r="304" spans="1:33" ht="12.75" x14ac:dyDescent="0.2">
      <c r="A304" s="23"/>
      <c r="B304" s="23"/>
      <c r="C304" s="23"/>
      <c r="D304" s="23"/>
      <c r="E304" s="23"/>
      <c r="F304" s="23"/>
      <c r="G304" s="23"/>
      <c r="H304" s="23"/>
      <c r="I304" s="23"/>
      <c r="J304" s="23"/>
      <c r="K304" s="23"/>
      <c r="L304" s="23"/>
      <c r="M304" s="23"/>
      <c r="N304" s="23"/>
      <c r="O304" s="23"/>
      <c r="P304" s="23"/>
      <c r="Q304" s="23"/>
      <c r="R304" s="23"/>
      <c r="S304" s="23"/>
      <c r="T304" s="23"/>
      <c r="U304" s="23"/>
      <c r="V304" s="23"/>
      <c r="W304" s="23"/>
      <c r="X304" s="23"/>
      <c r="Y304" s="23"/>
      <c r="Z304" s="23"/>
      <c r="AA304" s="23"/>
      <c r="AB304" s="23"/>
      <c r="AC304" s="23"/>
      <c r="AD304" s="23"/>
      <c r="AE304" s="23"/>
      <c r="AF304" s="23"/>
      <c r="AG304" s="23"/>
    </row>
    <row r="305" spans="1:33" ht="12.75" x14ac:dyDescent="0.2">
      <c r="A305" s="23"/>
      <c r="B305" s="23"/>
      <c r="C305" s="23"/>
      <c r="D305" s="23"/>
      <c r="E305" s="23"/>
      <c r="F305" s="23"/>
      <c r="G305" s="23"/>
      <c r="H305" s="23"/>
      <c r="I305" s="23"/>
      <c r="J305" s="23"/>
      <c r="K305" s="23"/>
      <c r="L305" s="23"/>
      <c r="M305" s="23"/>
      <c r="N305" s="23"/>
      <c r="O305" s="23"/>
      <c r="P305" s="23"/>
      <c r="Q305" s="23"/>
      <c r="R305" s="23"/>
      <c r="S305" s="23"/>
      <c r="T305" s="23"/>
      <c r="U305" s="23"/>
      <c r="V305" s="23"/>
      <c r="W305" s="23"/>
      <c r="X305" s="23"/>
      <c r="Y305" s="23"/>
      <c r="Z305" s="23"/>
      <c r="AA305" s="23"/>
      <c r="AB305" s="23"/>
      <c r="AC305" s="23"/>
      <c r="AD305" s="23"/>
      <c r="AE305" s="23"/>
      <c r="AF305" s="23"/>
      <c r="AG305" s="23"/>
    </row>
    <row r="306" spans="1:33" ht="12.75" x14ac:dyDescent="0.2">
      <c r="A306" s="23"/>
      <c r="B306" s="23"/>
      <c r="C306" s="23"/>
      <c r="D306" s="23"/>
      <c r="E306" s="23"/>
      <c r="F306" s="23"/>
      <c r="G306" s="23"/>
      <c r="H306" s="23"/>
      <c r="I306" s="23"/>
      <c r="J306" s="23"/>
      <c r="K306" s="23"/>
      <c r="L306" s="23"/>
      <c r="M306" s="23"/>
      <c r="N306" s="23"/>
      <c r="O306" s="23"/>
      <c r="P306" s="23"/>
      <c r="Q306" s="23"/>
      <c r="R306" s="23"/>
      <c r="S306" s="23"/>
      <c r="T306" s="23"/>
      <c r="U306" s="23"/>
      <c r="V306" s="23"/>
      <c r="W306" s="23"/>
      <c r="X306" s="23"/>
      <c r="Y306" s="23"/>
      <c r="Z306" s="23"/>
      <c r="AA306" s="23"/>
      <c r="AB306" s="23"/>
      <c r="AC306" s="23"/>
      <c r="AD306" s="23"/>
      <c r="AE306" s="23"/>
      <c r="AF306" s="23"/>
      <c r="AG306" s="23"/>
    </row>
    <row r="307" spans="1:33" ht="12.75" x14ac:dyDescent="0.2">
      <c r="A307" s="23"/>
      <c r="B307" s="23"/>
      <c r="C307" s="23"/>
      <c r="D307" s="23"/>
      <c r="E307" s="23"/>
      <c r="F307" s="23"/>
      <c r="G307" s="23"/>
      <c r="H307" s="23"/>
      <c r="I307" s="23"/>
      <c r="J307" s="23"/>
      <c r="K307" s="23"/>
      <c r="L307" s="23"/>
      <c r="M307" s="23"/>
      <c r="N307" s="23"/>
      <c r="O307" s="23"/>
      <c r="P307" s="23"/>
      <c r="Q307" s="23"/>
      <c r="R307" s="23"/>
      <c r="S307" s="23"/>
      <c r="T307" s="23"/>
      <c r="U307" s="23"/>
      <c r="V307" s="23"/>
      <c r="W307" s="23"/>
      <c r="X307" s="23"/>
      <c r="Y307" s="23"/>
      <c r="Z307" s="23"/>
      <c r="AA307" s="23"/>
      <c r="AB307" s="23"/>
      <c r="AC307" s="23"/>
      <c r="AD307" s="23"/>
      <c r="AE307" s="23"/>
      <c r="AF307" s="23"/>
      <c r="AG307" s="23"/>
    </row>
    <row r="308" spans="1:33" ht="12.75" x14ac:dyDescent="0.2">
      <c r="A308" s="23"/>
      <c r="B308" s="23"/>
      <c r="C308" s="23"/>
      <c r="D308" s="23"/>
      <c r="E308" s="23"/>
      <c r="F308" s="23"/>
      <c r="G308" s="23"/>
      <c r="H308" s="23"/>
      <c r="I308" s="23"/>
      <c r="J308" s="23"/>
      <c r="K308" s="23"/>
      <c r="L308" s="23"/>
      <c r="M308" s="23"/>
      <c r="N308" s="23"/>
      <c r="O308" s="23"/>
      <c r="P308" s="23"/>
      <c r="Q308" s="23"/>
      <c r="R308" s="23"/>
      <c r="S308" s="23"/>
      <c r="T308" s="23"/>
      <c r="U308" s="23"/>
      <c r="V308" s="23"/>
      <c r="W308" s="23"/>
      <c r="X308" s="23"/>
      <c r="Y308" s="23"/>
      <c r="Z308" s="23"/>
      <c r="AA308" s="23"/>
      <c r="AB308" s="23"/>
      <c r="AC308" s="23"/>
      <c r="AD308" s="23"/>
      <c r="AE308" s="23"/>
      <c r="AF308" s="23"/>
      <c r="AG308" s="23"/>
    </row>
    <row r="309" spans="1:33" ht="12.75" x14ac:dyDescent="0.2">
      <c r="A309" s="23"/>
      <c r="B309" s="23"/>
      <c r="C309" s="23"/>
      <c r="D309" s="23"/>
      <c r="E309" s="23"/>
      <c r="F309" s="23"/>
      <c r="G309" s="23"/>
      <c r="H309" s="23"/>
      <c r="I309" s="23"/>
      <c r="J309" s="23"/>
      <c r="K309" s="23"/>
      <c r="L309" s="23"/>
      <c r="M309" s="23"/>
      <c r="N309" s="23"/>
      <c r="O309" s="23"/>
      <c r="P309" s="23"/>
      <c r="Q309" s="23"/>
      <c r="R309" s="23"/>
      <c r="S309" s="23"/>
      <c r="T309" s="23"/>
      <c r="U309" s="23"/>
      <c r="V309" s="23"/>
      <c r="W309" s="23"/>
      <c r="X309" s="23"/>
      <c r="Y309" s="23"/>
      <c r="Z309" s="23"/>
      <c r="AA309" s="23"/>
      <c r="AB309" s="23"/>
      <c r="AC309" s="23"/>
      <c r="AD309" s="23"/>
      <c r="AE309" s="23"/>
      <c r="AF309" s="23"/>
      <c r="AG309" s="23"/>
    </row>
    <row r="310" spans="1:33" ht="12.75" x14ac:dyDescent="0.2">
      <c r="A310" s="23"/>
      <c r="B310" s="23"/>
      <c r="C310" s="23"/>
      <c r="D310" s="23"/>
      <c r="E310" s="23"/>
      <c r="F310" s="23"/>
      <c r="G310" s="23"/>
      <c r="H310" s="23"/>
      <c r="I310" s="23"/>
      <c r="J310" s="23"/>
      <c r="K310" s="23"/>
      <c r="L310" s="23"/>
      <c r="M310" s="23"/>
      <c r="N310" s="23"/>
      <c r="O310" s="23"/>
      <c r="P310" s="23"/>
      <c r="Q310" s="23"/>
      <c r="R310" s="23"/>
      <c r="S310" s="23"/>
      <c r="T310" s="23"/>
      <c r="U310" s="23"/>
      <c r="V310" s="23"/>
      <c r="W310" s="23"/>
      <c r="X310" s="23"/>
      <c r="Y310" s="23"/>
      <c r="Z310" s="23"/>
      <c r="AA310" s="23"/>
      <c r="AB310" s="23"/>
      <c r="AC310" s="23"/>
      <c r="AD310" s="23"/>
      <c r="AE310" s="23"/>
      <c r="AF310" s="23"/>
      <c r="AG310" s="23"/>
    </row>
    <row r="311" spans="1:33" ht="12.75" x14ac:dyDescent="0.2">
      <c r="A311" s="23"/>
      <c r="B311" s="23"/>
      <c r="C311" s="23"/>
      <c r="D311" s="23"/>
      <c r="E311" s="23"/>
      <c r="F311" s="23"/>
      <c r="G311" s="23"/>
      <c r="H311" s="23"/>
      <c r="I311" s="23"/>
      <c r="J311" s="23"/>
      <c r="K311" s="23"/>
      <c r="L311" s="23"/>
      <c r="M311" s="23"/>
      <c r="N311" s="23"/>
      <c r="O311" s="23"/>
      <c r="P311" s="23"/>
      <c r="Q311" s="23"/>
      <c r="R311" s="23"/>
      <c r="S311" s="23"/>
      <c r="T311" s="23"/>
      <c r="U311" s="23"/>
      <c r="V311" s="23"/>
      <c r="W311" s="23"/>
      <c r="X311" s="23"/>
      <c r="Y311" s="23"/>
      <c r="Z311" s="23"/>
      <c r="AA311" s="23"/>
      <c r="AB311" s="23"/>
      <c r="AC311" s="23"/>
      <c r="AD311" s="23"/>
      <c r="AE311" s="23"/>
      <c r="AF311" s="23"/>
      <c r="AG311" s="23"/>
    </row>
    <row r="312" spans="1:33" ht="12.75" x14ac:dyDescent="0.2">
      <c r="A312" s="23"/>
      <c r="B312" s="23"/>
      <c r="C312" s="23"/>
      <c r="D312" s="23"/>
      <c r="E312" s="23"/>
      <c r="F312" s="23"/>
      <c r="G312" s="23"/>
      <c r="H312" s="23"/>
      <c r="I312" s="23"/>
      <c r="J312" s="23"/>
      <c r="K312" s="23"/>
      <c r="L312" s="23"/>
      <c r="M312" s="23"/>
      <c r="N312" s="23"/>
      <c r="O312" s="23"/>
      <c r="P312" s="23"/>
      <c r="Q312" s="23"/>
      <c r="R312" s="23"/>
      <c r="S312" s="23"/>
      <c r="T312" s="23"/>
      <c r="U312" s="23"/>
      <c r="V312" s="23"/>
      <c r="W312" s="23"/>
      <c r="X312" s="23"/>
      <c r="Y312" s="23"/>
      <c r="Z312" s="23"/>
      <c r="AA312" s="23"/>
      <c r="AB312" s="23"/>
      <c r="AC312" s="23"/>
      <c r="AD312" s="23"/>
      <c r="AE312" s="23"/>
      <c r="AF312" s="23"/>
      <c r="AG312" s="23"/>
    </row>
    <row r="313" spans="1:33" ht="12.75" x14ac:dyDescent="0.2">
      <c r="A313" s="23"/>
      <c r="B313" s="23"/>
      <c r="C313" s="23"/>
      <c r="D313" s="23"/>
      <c r="E313" s="23"/>
      <c r="F313" s="23"/>
      <c r="G313" s="23"/>
      <c r="H313" s="23"/>
      <c r="I313" s="23"/>
      <c r="J313" s="23"/>
      <c r="K313" s="23"/>
      <c r="L313" s="23"/>
      <c r="M313" s="23"/>
      <c r="N313" s="23"/>
      <c r="O313" s="23"/>
      <c r="P313" s="23"/>
      <c r="Q313" s="23"/>
      <c r="R313" s="23"/>
      <c r="S313" s="23"/>
      <c r="T313" s="23"/>
      <c r="U313" s="23"/>
      <c r="V313" s="23"/>
      <c r="W313" s="23"/>
      <c r="X313" s="23"/>
      <c r="Y313" s="23"/>
      <c r="Z313" s="23"/>
      <c r="AA313" s="23"/>
      <c r="AB313" s="23"/>
      <c r="AC313" s="23"/>
      <c r="AD313" s="23"/>
      <c r="AE313" s="23"/>
      <c r="AF313" s="23"/>
      <c r="AG313" s="23"/>
    </row>
    <row r="314" spans="1:33" ht="12.75" x14ac:dyDescent="0.2">
      <c r="A314" s="23"/>
      <c r="B314" s="23"/>
      <c r="C314" s="23"/>
      <c r="D314" s="23"/>
      <c r="E314" s="23"/>
      <c r="F314" s="23"/>
      <c r="G314" s="23"/>
      <c r="H314" s="23"/>
      <c r="I314" s="23"/>
      <c r="J314" s="23"/>
      <c r="K314" s="23"/>
      <c r="L314" s="23"/>
      <c r="M314" s="23"/>
      <c r="N314" s="23"/>
      <c r="O314" s="23"/>
      <c r="P314" s="23"/>
      <c r="Q314" s="23"/>
      <c r="R314" s="23"/>
      <c r="S314" s="23"/>
      <c r="T314" s="23"/>
      <c r="U314" s="23"/>
      <c r="V314" s="23"/>
      <c r="W314" s="23"/>
      <c r="X314" s="23"/>
      <c r="Y314" s="23"/>
      <c r="Z314" s="23"/>
      <c r="AA314" s="23"/>
      <c r="AB314" s="23"/>
      <c r="AC314" s="23"/>
      <c r="AD314" s="23"/>
      <c r="AE314" s="23"/>
      <c r="AF314" s="23"/>
      <c r="AG314" s="23"/>
    </row>
    <row r="315" spans="1:33" ht="12.75" x14ac:dyDescent="0.2">
      <c r="A315" s="23"/>
      <c r="B315" s="23"/>
      <c r="C315" s="23"/>
      <c r="D315" s="23"/>
      <c r="E315" s="23"/>
      <c r="F315" s="23"/>
      <c r="G315" s="23"/>
      <c r="H315" s="23"/>
      <c r="I315" s="23"/>
      <c r="J315" s="23"/>
      <c r="K315" s="23"/>
      <c r="L315" s="23"/>
      <c r="M315" s="23"/>
      <c r="N315" s="23"/>
      <c r="O315" s="23"/>
      <c r="P315" s="23"/>
      <c r="Q315" s="23"/>
      <c r="R315" s="23"/>
      <c r="S315" s="23"/>
      <c r="T315" s="23"/>
      <c r="U315" s="23"/>
      <c r="V315" s="23"/>
      <c r="W315" s="23"/>
      <c r="X315" s="23"/>
      <c r="Y315" s="23"/>
      <c r="Z315" s="23"/>
      <c r="AA315" s="23"/>
      <c r="AB315" s="23"/>
      <c r="AC315" s="23"/>
      <c r="AD315" s="23"/>
      <c r="AE315" s="23"/>
      <c r="AF315" s="23"/>
      <c r="AG315" s="23"/>
    </row>
    <row r="316" spans="1:33" ht="12.75" x14ac:dyDescent="0.2">
      <c r="A316" s="23"/>
      <c r="B316" s="23"/>
      <c r="C316" s="23"/>
      <c r="D316" s="23"/>
      <c r="E316" s="23"/>
      <c r="F316" s="23"/>
      <c r="G316" s="23"/>
      <c r="H316" s="23"/>
      <c r="I316" s="23"/>
      <c r="J316" s="23"/>
      <c r="K316" s="23"/>
      <c r="L316" s="23"/>
      <c r="M316" s="23"/>
      <c r="N316" s="23"/>
      <c r="O316" s="23"/>
      <c r="P316" s="23"/>
      <c r="Q316" s="23"/>
      <c r="R316" s="23"/>
      <c r="S316" s="23"/>
      <c r="T316" s="23"/>
      <c r="U316" s="23"/>
      <c r="V316" s="23"/>
      <c r="W316" s="23"/>
      <c r="X316" s="23"/>
      <c r="Y316" s="23"/>
      <c r="Z316" s="23"/>
      <c r="AA316" s="23"/>
      <c r="AB316" s="23"/>
      <c r="AC316" s="23"/>
      <c r="AD316" s="23"/>
      <c r="AE316" s="23"/>
      <c r="AF316" s="23"/>
      <c r="AG316" s="23"/>
    </row>
    <row r="317" spans="1:33" ht="12.75" x14ac:dyDescent="0.2">
      <c r="A317" s="23"/>
      <c r="B317" s="23"/>
      <c r="C317" s="23"/>
      <c r="D317" s="23"/>
      <c r="E317" s="23"/>
      <c r="F317" s="23"/>
      <c r="G317" s="23"/>
      <c r="H317" s="23"/>
      <c r="I317" s="23"/>
      <c r="J317" s="23"/>
      <c r="K317" s="23"/>
      <c r="L317" s="23"/>
      <c r="M317" s="23"/>
      <c r="N317" s="23"/>
      <c r="O317" s="23"/>
      <c r="P317" s="23"/>
      <c r="Q317" s="23"/>
      <c r="R317" s="23"/>
      <c r="S317" s="23"/>
      <c r="T317" s="23"/>
      <c r="U317" s="23"/>
      <c r="V317" s="23"/>
      <c r="W317" s="23"/>
      <c r="X317" s="23"/>
      <c r="Y317" s="23"/>
      <c r="Z317" s="23"/>
      <c r="AA317" s="23"/>
      <c r="AB317" s="23"/>
      <c r="AC317" s="23"/>
      <c r="AD317" s="23"/>
      <c r="AE317" s="23"/>
      <c r="AF317" s="23"/>
      <c r="AG317" s="23"/>
    </row>
    <row r="318" spans="1:33" ht="12.75" x14ac:dyDescent="0.2">
      <c r="A318" s="23"/>
      <c r="B318" s="23"/>
      <c r="C318" s="23"/>
      <c r="D318" s="23"/>
      <c r="E318" s="23"/>
      <c r="F318" s="23"/>
      <c r="G318" s="23"/>
      <c r="H318" s="23"/>
      <c r="I318" s="23"/>
      <c r="J318" s="23"/>
      <c r="K318" s="23"/>
      <c r="L318" s="23"/>
      <c r="M318" s="23"/>
      <c r="N318" s="23"/>
      <c r="O318" s="23"/>
      <c r="P318" s="23"/>
      <c r="Q318" s="23"/>
      <c r="R318" s="23"/>
      <c r="S318" s="23"/>
      <c r="T318" s="23"/>
      <c r="U318" s="23"/>
      <c r="V318" s="23"/>
      <c r="W318" s="23"/>
      <c r="X318" s="23"/>
      <c r="Y318" s="23"/>
      <c r="Z318" s="23"/>
      <c r="AA318" s="23"/>
      <c r="AB318" s="23"/>
      <c r="AC318" s="23"/>
      <c r="AD318" s="23"/>
      <c r="AE318" s="23"/>
      <c r="AF318" s="23"/>
      <c r="AG318" s="23"/>
    </row>
    <row r="319" spans="1:33" ht="12.75" x14ac:dyDescent="0.2">
      <c r="A319" s="23"/>
      <c r="B319" s="23"/>
      <c r="C319" s="23"/>
      <c r="D319" s="23"/>
      <c r="E319" s="23"/>
      <c r="F319" s="23"/>
      <c r="G319" s="23"/>
      <c r="H319" s="23"/>
      <c r="I319" s="23"/>
      <c r="J319" s="23"/>
      <c r="K319" s="23"/>
      <c r="L319" s="23"/>
      <c r="M319" s="23"/>
      <c r="N319" s="23"/>
      <c r="O319" s="23"/>
      <c r="P319" s="23"/>
      <c r="Q319" s="23"/>
      <c r="R319" s="23"/>
      <c r="S319" s="23"/>
      <c r="T319" s="23"/>
      <c r="U319" s="23"/>
      <c r="V319" s="23"/>
      <c r="W319" s="23"/>
      <c r="X319" s="23"/>
      <c r="Y319" s="23"/>
      <c r="Z319" s="23"/>
      <c r="AA319" s="23"/>
      <c r="AB319" s="23"/>
      <c r="AC319" s="23"/>
      <c r="AD319" s="23"/>
      <c r="AE319" s="23"/>
      <c r="AF319" s="23"/>
      <c r="AG319" s="23"/>
    </row>
    <row r="320" spans="1:33" ht="12.75" x14ac:dyDescent="0.2">
      <c r="A320" s="23"/>
      <c r="B320" s="23"/>
      <c r="C320" s="23"/>
      <c r="D320" s="23"/>
      <c r="E320" s="23"/>
      <c r="F320" s="23"/>
      <c r="G320" s="23"/>
      <c r="H320" s="23"/>
      <c r="I320" s="23"/>
      <c r="J320" s="23"/>
      <c r="K320" s="23"/>
      <c r="L320" s="23"/>
      <c r="M320" s="23"/>
      <c r="N320" s="23"/>
      <c r="O320" s="23"/>
      <c r="P320" s="23"/>
      <c r="Q320" s="23"/>
      <c r="R320" s="23"/>
      <c r="S320" s="23"/>
      <c r="T320" s="23"/>
      <c r="U320" s="23"/>
      <c r="V320" s="23"/>
      <c r="W320" s="23"/>
      <c r="X320" s="23"/>
      <c r="Y320" s="23"/>
      <c r="Z320" s="23"/>
      <c r="AA320" s="23"/>
      <c r="AB320" s="23"/>
      <c r="AC320" s="23"/>
      <c r="AD320" s="23"/>
      <c r="AE320" s="23"/>
      <c r="AF320" s="23"/>
      <c r="AG320" s="23"/>
    </row>
    <row r="321" spans="1:33" ht="12.75" x14ac:dyDescent="0.2">
      <c r="A321" s="23"/>
      <c r="B321" s="23"/>
      <c r="C321" s="23"/>
      <c r="D321" s="23"/>
      <c r="E321" s="23"/>
      <c r="F321" s="23"/>
      <c r="G321" s="23"/>
      <c r="H321" s="23"/>
      <c r="I321" s="23"/>
      <c r="J321" s="23"/>
      <c r="K321" s="23"/>
      <c r="L321" s="23"/>
      <c r="M321" s="23"/>
      <c r="N321" s="23"/>
      <c r="O321" s="23"/>
      <c r="P321" s="23"/>
      <c r="Q321" s="23"/>
      <c r="R321" s="23"/>
      <c r="S321" s="23"/>
      <c r="T321" s="23"/>
      <c r="U321" s="23"/>
      <c r="V321" s="23"/>
      <c r="W321" s="23"/>
      <c r="X321" s="23"/>
      <c r="Y321" s="23"/>
      <c r="Z321" s="23"/>
      <c r="AA321" s="23"/>
      <c r="AB321" s="23"/>
      <c r="AC321" s="23"/>
      <c r="AD321" s="23"/>
      <c r="AE321" s="23"/>
      <c r="AF321" s="23"/>
      <c r="AG321" s="23"/>
    </row>
    <row r="322" spans="1:33" ht="12.75" x14ac:dyDescent="0.2">
      <c r="A322" s="23"/>
      <c r="B322" s="23"/>
      <c r="C322" s="23"/>
      <c r="D322" s="23"/>
      <c r="E322" s="23"/>
      <c r="F322" s="23"/>
      <c r="G322" s="23"/>
      <c r="H322" s="23"/>
      <c r="I322" s="23"/>
      <c r="J322" s="23"/>
      <c r="K322" s="23"/>
      <c r="L322" s="23"/>
      <c r="M322" s="23"/>
      <c r="N322" s="23"/>
      <c r="O322" s="23"/>
      <c r="P322" s="23"/>
      <c r="Q322" s="23"/>
      <c r="R322" s="23"/>
      <c r="S322" s="23"/>
      <c r="T322" s="23"/>
      <c r="U322" s="23"/>
      <c r="V322" s="23"/>
      <c r="W322" s="23"/>
      <c r="X322" s="23"/>
      <c r="Y322" s="23"/>
      <c r="Z322" s="23"/>
      <c r="AA322" s="23"/>
      <c r="AB322" s="23"/>
      <c r="AC322" s="23"/>
      <c r="AD322" s="23"/>
      <c r="AE322" s="23"/>
      <c r="AF322" s="23"/>
      <c r="AG322" s="23"/>
    </row>
    <row r="323" spans="1:33" ht="12.75" x14ac:dyDescent="0.2">
      <c r="A323" s="23"/>
      <c r="B323" s="23"/>
      <c r="C323" s="23"/>
      <c r="D323" s="23"/>
      <c r="E323" s="23"/>
      <c r="F323" s="23"/>
      <c r="G323" s="23"/>
      <c r="H323" s="23"/>
      <c r="I323" s="23"/>
      <c r="J323" s="23"/>
      <c r="K323" s="23"/>
      <c r="L323" s="23"/>
      <c r="M323" s="23"/>
      <c r="N323" s="23"/>
      <c r="O323" s="23"/>
      <c r="P323" s="23"/>
      <c r="Q323" s="23"/>
      <c r="R323" s="23"/>
      <c r="S323" s="23"/>
      <c r="T323" s="23"/>
      <c r="U323" s="23"/>
      <c r="V323" s="23"/>
      <c r="W323" s="23"/>
      <c r="X323" s="23"/>
      <c r="Y323" s="23"/>
      <c r="Z323" s="23"/>
      <c r="AA323" s="23"/>
      <c r="AB323" s="23"/>
      <c r="AC323" s="23"/>
      <c r="AD323" s="23"/>
      <c r="AE323" s="23"/>
      <c r="AF323" s="23"/>
      <c r="AG323" s="23"/>
    </row>
    <row r="324" spans="1:33" ht="12.75" x14ac:dyDescent="0.2">
      <c r="A324" s="23"/>
      <c r="B324" s="23"/>
      <c r="C324" s="23"/>
      <c r="D324" s="23"/>
      <c r="E324" s="23"/>
      <c r="F324" s="23"/>
      <c r="G324" s="23"/>
      <c r="H324" s="23"/>
      <c r="I324" s="23"/>
      <c r="J324" s="23"/>
      <c r="K324" s="23"/>
      <c r="L324" s="23"/>
      <c r="M324" s="23"/>
      <c r="N324" s="23"/>
      <c r="O324" s="23"/>
      <c r="P324" s="23"/>
      <c r="Q324" s="23"/>
      <c r="R324" s="23"/>
      <c r="S324" s="23"/>
      <c r="T324" s="23"/>
      <c r="U324" s="23"/>
      <c r="V324" s="23"/>
      <c r="W324" s="23"/>
      <c r="X324" s="23"/>
      <c r="Y324" s="23"/>
      <c r="Z324" s="23"/>
      <c r="AA324" s="23"/>
      <c r="AB324" s="23"/>
      <c r="AC324" s="23"/>
      <c r="AD324" s="23"/>
      <c r="AE324" s="23"/>
      <c r="AF324" s="23"/>
      <c r="AG324" s="23"/>
    </row>
    <row r="325" spans="1:33" ht="12.75" x14ac:dyDescent="0.2">
      <c r="A325" s="23"/>
      <c r="B325" s="23"/>
      <c r="C325" s="23"/>
      <c r="D325" s="23"/>
      <c r="E325" s="23"/>
      <c r="F325" s="23"/>
      <c r="G325" s="23"/>
      <c r="H325" s="23"/>
      <c r="I325" s="23"/>
      <c r="J325" s="23"/>
      <c r="K325" s="23"/>
      <c r="L325" s="23"/>
      <c r="M325" s="23"/>
      <c r="N325" s="23"/>
      <c r="O325" s="23"/>
      <c r="P325" s="23"/>
      <c r="Q325" s="23"/>
      <c r="R325" s="23"/>
      <c r="S325" s="23"/>
      <c r="T325" s="23"/>
      <c r="U325" s="23"/>
      <c r="V325" s="23"/>
      <c r="W325" s="23"/>
      <c r="X325" s="23"/>
      <c r="Y325" s="23"/>
      <c r="Z325" s="23"/>
      <c r="AA325" s="23"/>
      <c r="AB325" s="23"/>
      <c r="AC325" s="23"/>
      <c r="AD325" s="23"/>
      <c r="AE325" s="23"/>
      <c r="AF325" s="23"/>
      <c r="AG325" s="23"/>
    </row>
    <row r="326" spans="1:33" ht="12.75" x14ac:dyDescent="0.2">
      <c r="A326" s="23"/>
      <c r="B326" s="23"/>
      <c r="C326" s="23"/>
      <c r="D326" s="23"/>
      <c r="E326" s="23"/>
      <c r="F326" s="23"/>
      <c r="G326" s="23"/>
      <c r="H326" s="23"/>
      <c r="I326" s="23"/>
      <c r="J326" s="23"/>
      <c r="K326" s="23"/>
      <c r="L326" s="23"/>
      <c r="M326" s="23"/>
      <c r="N326" s="23"/>
      <c r="O326" s="23"/>
      <c r="P326" s="23"/>
      <c r="Q326" s="23"/>
      <c r="R326" s="23"/>
      <c r="S326" s="23"/>
      <c r="T326" s="23"/>
      <c r="U326" s="23"/>
      <c r="V326" s="23"/>
      <c r="W326" s="23"/>
      <c r="X326" s="23"/>
      <c r="Y326" s="23"/>
      <c r="Z326" s="23"/>
      <c r="AA326" s="23"/>
      <c r="AB326" s="23"/>
      <c r="AC326" s="23"/>
      <c r="AD326" s="23"/>
      <c r="AE326" s="23"/>
      <c r="AF326" s="23"/>
      <c r="AG326" s="23"/>
    </row>
    <row r="327" spans="1:33" ht="12.75" x14ac:dyDescent="0.2">
      <c r="A327" s="23"/>
      <c r="B327" s="23"/>
      <c r="C327" s="23"/>
      <c r="D327" s="23"/>
      <c r="E327" s="23"/>
      <c r="F327" s="23"/>
      <c r="G327" s="23"/>
      <c r="H327" s="23"/>
      <c r="I327" s="23"/>
      <c r="J327" s="23"/>
      <c r="K327" s="23"/>
      <c r="L327" s="23"/>
      <c r="M327" s="23"/>
      <c r="N327" s="23"/>
      <c r="O327" s="23"/>
      <c r="P327" s="23"/>
      <c r="Q327" s="23"/>
      <c r="R327" s="23"/>
      <c r="S327" s="23"/>
      <c r="T327" s="23"/>
      <c r="U327" s="23"/>
      <c r="V327" s="23"/>
      <c r="W327" s="23"/>
      <c r="X327" s="23"/>
      <c r="Y327" s="23"/>
      <c r="Z327" s="23"/>
      <c r="AA327" s="23"/>
      <c r="AB327" s="23"/>
      <c r="AC327" s="23"/>
      <c r="AD327" s="23"/>
      <c r="AE327" s="23"/>
      <c r="AF327" s="23"/>
      <c r="AG327" s="23"/>
    </row>
    <row r="328" spans="1:33" ht="12.75" x14ac:dyDescent="0.2">
      <c r="A328" s="23"/>
      <c r="B328" s="23"/>
      <c r="C328" s="23"/>
      <c r="D328" s="23"/>
      <c r="E328" s="23"/>
      <c r="F328" s="23"/>
      <c r="G328" s="23"/>
      <c r="H328" s="23"/>
      <c r="I328" s="23"/>
      <c r="J328" s="23"/>
      <c r="K328" s="23"/>
      <c r="L328" s="23"/>
      <c r="M328" s="23"/>
      <c r="N328" s="23"/>
      <c r="O328" s="23"/>
      <c r="P328" s="23"/>
      <c r="Q328" s="23"/>
      <c r="R328" s="23"/>
      <c r="S328" s="23"/>
      <c r="T328" s="23"/>
      <c r="U328" s="23"/>
      <c r="V328" s="23"/>
      <c r="W328" s="23"/>
      <c r="X328" s="23"/>
      <c r="Y328" s="23"/>
      <c r="Z328" s="23"/>
      <c r="AA328" s="23"/>
      <c r="AB328" s="23"/>
      <c r="AC328" s="23"/>
      <c r="AD328" s="23"/>
      <c r="AE328" s="23"/>
      <c r="AF328" s="23"/>
      <c r="AG328" s="23"/>
    </row>
    <row r="329" spans="1:33" ht="12.75" x14ac:dyDescent="0.2">
      <c r="A329" s="23"/>
      <c r="B329" s="23"/>
      <c r="C329" s="23"/>
      <c r="D329" s="23"/>
      <c r="E329" s="23"/>
      <c r="F329" s="23"/>
      <c r="G329" s="23"/>
      <c r="H329" s="23"/>
      <c r="I329" s="23"/>
      <c r="J329" s="23"/>
      <c r="K329" s="23"/>
      <c r="L329" s="23"/>
      <c r="M329" s="23"/>
      <c r="N329" s="23"/>
      <c r="O329" s="23"/>
      <c r="P329" s="23"/>
      <c r="Q329" s="23"/>
      <c r="R329" s="23"/>
      <c r="S329" s="23"/>
      <c r="T329" s="23"/>
      <c r="U329" s="23"/>
      <c r="V329" s="23"/>
      <c r="W329" s="23"/>
      <c r="X329" s="23"/>
      <c r="Y329" s="23"/>
      <c r="Z329" s="23"/>
      <c r="AA329" s="23"/>
      <c r="AB329" s="23"/>
      <c r="AC329" s="23"/>
      <c r="AD329" s="23"/>
      <c r="AE329" s="23"/>
      <c r="AF329" s="23"/>
      <c r="AG329" s="23"/>
    </row>
    <row r="330" spans="1:33" ht="12.75" x14ac:dyDescent="0.2">
      <c r="A330" s="23"/>
      <c r="B330" s="23"/>
      <c r="C330" s="23"/>
      <c r="D330" s="23"/>
      <c r="E330" s="23"/>
      <c r="F330" s="23"/>
      <c r="G330" s="23"/>
      <c r="H330" s="23"/>
      <c r="I330" s="23"/>
      <c r="J330" s="23"/>
      <c r="K330" s="23"/>
      <c r="L330" s="23"/>
      <c r="M330" s="23"/>
      <c r="N330" s="23"/>
      <c r="O330" s="23"/>
      <c r="P330" s="23"/>
      <c r="Q330" s="23"/>
      <c r="R330" s="23"/>
      <c r="S330" s="23"/>
      <c r="T330" s="23"/>
      <c r="U330" s="23"/>
      <c r="V330" s="23"/>
      <c r="W330" s="23"/>
      <c r="X330" s="23"/>
      <c r="Y330" s="23"/>
      <c r="Z330" s="23"/>
      <c r="AA330" s="23"/>
      <c r="AB330" s="23"/>
      <c r="AC330" s="23"/>
      <c r="AD330" s="23"/>
      <c r="AE330" s="23"/>
      <c r="AF330" s="23"/>
      <c r="AG330" s="23"/>
    </row>
    <row r="331" spans="1:33" ht="12.75" x14ac:dyDescent="0.2">
      <c r="A331" s="23"/>
      <c r="B331" s="23"/>
      <c r="C331" s="23"/>
      <c r="D331" s="23"/>
      <c r="E331" s="23"/>
      <c r="F331" s="23"/>
      <c r="G331" s="23"/>
      <c r="H331" s="23"/>
      <c r="I331" s="23"/>
      <c r="J331" s="23"/>
      <c r="K331" s="23"/>
      <c r="L331" s="23"/>
      <c r="M331" s="23"/>
      <c r="N331" s="23"/>
      <c r="O331" s="23"/>
      <c r="P331" s="23"/>
      <c r="Q331" s="23"/>
      <c r="R331" s="23"/>
      <c r="S331" s="23"/>
      <c r="T331" s="23"/>
      <c r="U331" s="23"/>
      <c r="V331" s="23"/>
      <c r="W331" s="23"/>
      <c r="X331" s="23"/>
      <c r="Y331" s="23"/>
      <c r="Z331" s="23"/>
      <c r="AA331" s="23"/>
      <c r="AB331" s="23"/>
      <c r="AC331" s="23"/>
      <c r="AD331" s="23"/>
      <c r="AE331" s="23"/>
      <c r="AF331" s="23"/>
      <c r="AG331" s="23"/>
    </row>
    <row r="332" spans="1:33" ht="12.75" x14ac:dyDescent="0.2">
      <c r="A332" s="23"/>
      <c r="B332" s="23"/>
      <c r="C332" s="23"/>
      <c r="D332" s="23"/>
      <c r="E332" s="23"/>
      <c r="F332" s="23"/>
      <c r="G332" s="23"/>
      <c r="H332" s="23"/>
      <c r="I332" s="23"/>
      <c r="J332" s="23"/>
      <c r="K332" s="23"/>
      <c r="L332" s="23"/>
      <c r="M332" s="23"/>
      <c r="N332" s="23"/>
      <c r="O332" s="23"/>
      <c r="P332" s="23"/>
      <c r="Q332" s="23"/>
      <c r="R332" s="23"/>
      <c r="S332" s="23"/>
      <c r="T332" s="23"/>
      <c r="U332" s="23"/>
      <c r="V332" s="23"/>
      <c r="W332" s="23"/>
      <c r="X332" s="23"/>
      <c r="Y332" s="23"/>
      <c r="Z332" s="23"/>
      <c r="AA332" s="23"/>
      <c r="AB332" s="23"/>
      <c r="AC332" s="23"/>
      <c r="AD332" s="23"/>
      <c r="AE332" s="23"/>
      <c r="AF332" s="23"/>
      <c r="AG332" s="23"/>
    </row>
    <row r="333" spans="1:33" ht="12.75" x14ac:dyDescent="0.2">
      <c r="A333" s="23"/>
      <c r="B333" s="23"/>
      <c r="C333" s="23"/>
      <c r="D333" s="23"/>
      <c r="E333" s="23"/>
      <c r="F333" s="23"/>
      <c r="G333" s="23"/>
      <c r="H333" s="23"/>
      <c r="I333" s="23"/>
      <c r="J333" s="23"/>
      <c r="K333" s="23"/>
      <c r="L333" s="23"/>
      <c r="M333" s="23"/>
      <c r="N333" s="23"/>
      <c r="O333" s="23"/>
      <c r="P333" s="23"/>
      <c r="Q333" s="23"/>
      <c r="R333" s="23"/>
      <c r="S333" s="23"/>
      <c r="T333" s="23"/>
      <c r="U333" s="23"/>
      <c r="V333" s="23"/>
      <c r="W333" s="23"/>
      <c r="X333" s="23"/>
      <c r="Y333" s="23"/>
      <c r="Z333" s="23"/>
      <c r="AA333" s="23"/>
      <c r="AB333" s="23"/>
      <c r="AC333" s="23"/>
      <c r="AD333" s="23"/>
      <c r="AE333" s="23"/>
      <c r="AF333" s="23"/>
      <c r="AG333" s="23"/>
    </row>
    <row r="334" spans="1:33" ht="12.75" x14ac:dyDescent="0.2">
      <c r="A334" s="23"/>
      <c r="B334" s="23"/>
      <c r="C334" s="23"/>
      <c r="D334" s="23"/>
      <c r="E334" s="23"/>
      <c r="F334" s="23"/>
      <c r="G334" s="23"/>
      <c r="H334" s="23"/>
      <c r="I334" s="23"/>
      <c r="J334" s="23"/>
      <c r="K334" s="23"/>
      <c r="L334" s="23"/>
      <c r="M334" s="23"/>
      <c r="N334" s="23"/>
      <c r="O334" s="23"/>
      <c r="P334" s="23"/>
      <c r="Q334" s="23"/>
      <c r="R334" s="23"/>
      <c r="S334" s="23"/>
      <c r="T334" s="23"/>
      <c r="U334" s="23"/>
      <c r="V334" s="23"/>
      <c r="W334" s="23"/>
      <c r="X334" s="23"/>
      <c r="Y334" s="23"/>
      <c r="Z334" s="23"/>
      <c r="AA334" s="23"/>
      <c r="AB334" s="23"/>
      <c r="AC334" s="23"/>
      <c r="AD334" s="23"/>
      <c r="AE334" s="23"/>
      <c r="AF334" s="23"/>
      <c r="AG334" s="23"/>
    </row>
    <row r="335" spans="1:33" ht="12.75" x14ac:dyDescent="0.2">
      <c r="A335" s="23"/>
      <c r="B335" s="23"/>
      <c r="C335" s="23"/>
      <c r="D335" s="23"/>
      <c r="E335" s="23"/>
      <c r="F335" s="23"/>
      <c r="G335" s="23"/>
      <c r="H335" s="23"/>
      <c r="I335" s="23"/>
      <c r="J335" s="23"/>
      <c r="K335" s="23"/>
      <c r="L335" s="23"/>
      <c r="M335" s="23"/>
      <c r="N335" s="23"/>
      <c r="O335" s="23"/>
      <c r="P335" s="23"/>
      <c r="Q335" s="23"/>
      <c r="R335" s="23"/>
      <c r="S335" s="23"/>
      <c r="T335" s="23"/>
      <c r="U335" s="23"/>
      <c r="V335" s="23"/>
      <c r="W335" s="23"/>
      <c r="X335" s="23"/>
      <c r="Y335" s="23"/>
      <c r="Z335" s="23"/>
      <c r="AA335" s="23"/>
      <c r="AB335" s="23"/>
      <c r="AC335" s="23"/>
      <c r="AD335" s="23"/>
      <c r="AE335" s="23"/>
      <c r="AF335" s="23"/>
      <c r="AG335" s="23"/>
    </row>
    <row r="336" spans="1:33" ht="12.75" x14ac:dyDescent="0.2">
      <c r="A336" s="23"/>
      <c r="B336" s="23"/>
      <c r="C336" s="23"/>
      <c r="D336" s="23"/>
      <c r="E336" s="23"/>
      <c r="F336" s="23"/>
      <c r="G336" s="23"/>
      <c r="H336" s="23"/>
      <c r="I336" s="23"/>
      <c r="J336" s="23"/>
      <c r="K336" s="23"/>
      <c r="L336" s="23"/>
      <c r="M336" s="23"/>
      <c r="N336" s="23"/>
      <c r="O336" s="23"/>
      <c r="P336" s="23"/>
      <c r="Q336" s="23"/>
      <c r="R336" s="23"/>
      <c r="S336" s="23"/>
      <c r="T336" s="23"/>
      <c r="U336" s="23"/>
      <c r="V336" s="23"/>
      <c r="W336" s="23"/>
      <c r="X336" s="23"/>
      <c r="Y336" s="23"/>
      <c r="Z336" s="23"/>
      <c r="AA336" s="23"/>
      <c r="AB336" s="23"/>
      <c r="AC336" s="23"/>
      <c r="AD336" s="23"/>
      <c r="AE336" s="23"/>
      <c r="AF336" s="23"/>
      <c r="AG336" s="23"/>
    </row>
    <row r="337" spans="1:33" ht="12.75" x14ac:dyDescent="0.2">
      <c r="A337" s="23"/>
      <c r="B337" s="23"/>
      <c r="C337" s="23"/>
      <c r="D337" s="23"/>
      <c r="E337" s="23"/>
      <c r="F337" s="23"/>
      <c r="G337" s="23"/>
      <c r="H337" s="23"/>
      <c r="I337" s="23"/>
      <c r="J337" s="23"/>
      <c r="K337" s="23"/>
      <c r="L337" s="23"/>
      <c r="M337" s="23"/>
      <c r="N337" s="23"/>
      <c r="O337" s="23"/>
      <c r="P337" s="23"/>
      <c r="Q337" s="23"/>
      <c r="R337" s="23"/>
      <c r="S337" s="23"/>
      <c r="T337" s="23"/>
      <c r="U337" s="23"/>
      <c r="V337" s="23"/>
      <c r="W337" s="23"/>
      <c r="X337" s="23"/>
      <c r="Y337" s="23"/>
      <c r="Z337" s="23"/>
      <c r="AA337" s="23"/>
      <c r="AB337" s="23"/>
      <c r="AC337" s="23"/>
      <c r="AD337" s="23"/>
      <c r="AE337" s="23"/>
      <c r="AF337" s="23"/>
      <c r="AG337" s="23"/>
    </row>
    <row r="338" spans="1:33" ht="12.75" x14ac:dyDescent="0.2">
      <c r="A338" s="23"/>
      <c r="B338" s="23"/>
      <c r="C338" s="23"/>
      <c r="D338" s="23"/>
      <c r="E338" s="23"/>
      <c r="F338" s="23"/>
      <c r="G338" s="23"/>
      <c r="H338" s="23"/>
      <c r="I338" s="23"/>
      <c r="J338" s="23"/>
      <c r="K338" s="23"/>
      <c r="L338" s="23"/>
      <c r="M338" s="23"/>
      <c r="N338" s="23"/>
      <c r="O338" s="23"/>
      <c r="P338" s="23"/>
      <c r="Q338" s="23"/>
      <c r="R338" s="23"/>
      <c r="S338" s="23"/>
      <c r="T338" s="23"/>
      <c r="U338" s="23"/>
      <c r="V338" s="23"/>
      <c r="W338" s="23"/>
      <c r="X338" s="23"/>
      <c r="Y338" s="23"/>
      <c r="Z338" s="23"/>
      <c r="AA338" s="23"/>
      <c r="AB338" s="23"/>
      <c r="AC338" s="23"/>
      <c r="AD338" s="23"/>
      <c r="AE338" s="23"/>
      <c r="AF338" s="23"/>
      <c r="AG338" s="23"/>
    </row>
    <row r="339" spans="1:33" ht="12.75" x14ac:dyDescent="0.2">
      <c r="A339" s="23"/>
      <c r="B339" s="23"/>
      <c r="C339" s="23"/>
      <c r="D339" s="23"/>
      <c r="E339" s="23"/>
      <c r="F339" s="23"/>
      <c r="G339" s="23"/>
      <c r="H339" s="23"/>
      <c r="I339" s="23"/>
      <c r="J339" s="23"/>
      <c r="K339" s="23"/>
      <c r="L339" s="23"/>
      <c r="M339" s="23"/>
      <c r="N339" s="23"/>
      <c r="O339" s="23"/>
      <c r="P339" s="23"/>
      <c r="Q339" s="23"/>
      <c r="R339" s="23"/>
      <c r="S339" s="23"/>
      <c r="T339" s="23"/>
      <c r="U339" s="23"/>
      <c r="V339" s="23"/>
      <c r="W339" s="23"/>
      <c r="X339" s="23"/>
      <c r="Y339" s="23"/>
      <c r="Z339" s="23"/>
      <c r="AA339" s="23"/>
      <c r="AB339" s="23"/>
      <c r="AC339" s="23"/>
      <c r="AD339" s="23"/>
      <c r="AE339" s="23"/>
      <c r="AF339" s="23"/>
      <c r="AG339" s="23"/>
    </row>
    <row r="340" spans="1:33" ht="12.75" x14ac:dyDescent="0.2">
      <c r="A340" s="23"/>
      <c r="B340" s="23"/>
      <c r="C340" s="23"/>
      <c r="D340" s="23"/>
      <c r="E340" s="23"/>
      <c r="F340" s="23"/>
      <c r="G340" s="23"/>
      <c r="H340" s="23"/>
      <c r="I340" s="23"/>
      <c r="J340" s="23"/>
      <c r="K340" s="23"/>
      <c r="L340" s="23"/>
      <c r="M340" s="23"/>
      <c r="N340" s="23"/>
      <c r="O340" s="23"/>
      <c r="P340" s="23"/>
      <c r="Q340" s="23"/>
      <c r="R340" s="23"/>
      <c r="S340" s="23"/>
      <c r="T340" s="23"/>
      <c r="U340" s="23"/>
      <c r="V340" s="23"/>
      <c r="W340" s="23"/>
      <c r="X340" s="23"/>
      <c r="Y340" s="23"/>
      <c r="Z340" s="23"/>
      <c r="AA340" s="23"/>
      <c r="AB340" s="23"/>
      <c r="AC340" s="23"/>
      <c r="AD340" s="23"/>
      <c r="AE340" s="23"/>
      <c r="AF340" s="23"/>
      <c r="AG340" s="23"/>
    </row>
    <row r="341" spans="1:33" ht="12.75" x14ac:dyDescent="0.2">
      <c r="A341" s="23"/>
      <c r="B341" s="23"/>
      <c r="C341" s="23"/>
      <c r="D341" s="23"/>
      <c r="E341" s="23"/>
      <c r="F341" s="23"/>
      <c r="G341" s="23"/>
      <c r="H341" s="23"/>
      <c r="I341" s="23"/>
      <c r="J341" s="23"/>
      <c r="K341" s="23"/>
      <c r="L341" s="23"/>
      <c r="M341" s="23"/>
      <c r="N341" s="23"/>
      <c r="O341" s="23"/>
      <c r="P341" s="23"/>
      <c r="Q341" s="23"/>
      <c r="R341" s="23"/>
      <c r="S341" s="23"/>
      <c r="T341" s="23"/>
      <c r="U341" s="23"/>
      <c r="V341" s="23"/>
      <c r="W341" s="23"/>
      <c r="X341" s="23"/>
      <c r="Y341" s="23"/>
      <c r="Z341" s="23"/>
      <c r="AA341" s="23"/>
      <c r="AB341" s="23"/>
      <c r="AC341" s="23"/>
      <c r="AD341" s="23"/>
      <c r="AE341" s="23"/>
      <c r="AF341" s="23"/>
      <c r="AG341" s="23"/>
    </row>
    <row r="342" spans="1:33" ht="12.75" x14ac:dyDescent="0.2">
      <c r="A342" s="23"/>
      <c r="B342" s="23"/>
      <c r="C342" s="23"/>
      <c r="D342" s="23"/>
      <c r="E342" s="23"/>
      <c r="F342" s="23"/>
      <c r="G342" s="23"/>
      <c r="H342" s="23"/>
      <c r="I342" s="23"/>
      <c r="J342" s="23"/>
      <c r="K342" s="23"/>
      <c r="L342" s="23"/>
      <c r="M342" s="23"/>
      <c r="N342" s="23"/>
      <c r="O342" s="23"/>
      <c r="P342" s="23"/>
      <c r="Q342" s="23"/>
      <c r="R342" s="23"/>
      <c r="S342" s="23"/>
      <c r="T342" s="23"/>
      <c r="U342" s="23"/>
      <c r="V342" s="23"/>
      <c r="W342" s="23"/>
      <c r="X342" s="23"/>
      <c r="Y342" s="23"/>
      <c r="Z342" s="23"/>
      <c r="AA342" s="23"/>
      <c r="AB342" s="23"/>
      <c r="AC342" s="23"/>
      <c r="AD342" s="23"/>
      <c r="AE342" s="23"/>
      <c r="AF342" s="23"/>
      <c r="AG342" s="23"/>
    </row>
    <row r="343" spans="1:33" ht="12.75" x14ac:dyDescent="0.2">
      <c r="A343" s="23"/>
      <c r="B343" s="23"/>
      <c r="C343" s="23"/>
      <c r="D343" s="23"/>
      <c r="E343" s="23"/>
      <c r="F343" s="23"/>
      <c r="G343" s="23"/>
      <c r="H343" s="23"/>
      <c r="I343" s="23"/>
      <c r="J343" s="23"/>
      <c r="K343" s="23"/>
      <c r="L343" s="23"/>
      <c r="M343" s="23"/>
      <c r="N343" s="23"/>
      <c r="O343" s="23"/>
      <c r="P343" s="23"/>
      <c r="Q343" s="23"/>
      <c r="R343" s="23"/>
      <c r="S343" s="23"/>
      <c r="T343" s="23"/>
      <c r="U343" s="23"/>
      <c r="V343" s="23"/>
      <c r="W343" s="23"/>
      <c r="X343" s="23"/>
      <c r="Y343" s="23"/>
      <c r="Z343" s="23"/>
      <c r="AA343" s="23"/>
      <c r="AB343" s="23"/>
      <c r="AC343" s="23"/>
      <c r="AD343" s="23"/>
      <c r="AE343" s="23"/>
      <c r="AF343" s="23"/>
      <c r="AG343" s="23"/>
    </row>
    <row r="344" spans="1:33" ht="12.75" x14ac:dyDescent="0.2">
      <c r="A344" s="23"/>
      <c r="B344" s="23"/>
      <c r="C344" s="23"/>
      <c r="D344" s="23"/>
      <c r="E344" s="23"/>
      <c r="F344" s="23"/>
      <c r="G344" s="23"/>
      <c r="H344" s="23"/>
      <c r="I344" s="23"/>
      <c r="J344" s="23"/>
      <c r="K344" s="23"/>
      <c r="L344" s="23"/>
      <c r="M344" s="23"/>
      <c r="N344" s="23"/>
      <c r="O344" s="23"/>
      <c r="P344" s="23"/>
      <c r="Q344" s="23"/>
      <c r="R344" s="23"/>
      <c r="S344" s="23"/>
      <c r="T344" s="23"/>
      <c r="U344" s="23"/>
      <c r="V344" s="23"/>
      <c r="W344" s="23"/>
      <c r="X344" s="23"/>
      <c r="Y344" s="23"/>
      <c r="Z344" s="23"/>
      <c r="AA344" s="23"/>
      <c r="AB344" s="23"/>
      <c r="AC344" s="23"/>
      <c r="AD344" s="23"/>
      <c r="AE344" s="23"/>
      <c r="AF344" s="23"/>
      <c r="AG344" s="23"/>
    </row>
    <row r="345" spans="1:33" ht="12.75" x14ac:dyDescent="0.2">
      <c r="A345" s="23"/>
      <c r="B345" s="23"/>
      <c r="C345" s="23"/>
      <c r="D345" s="23"/>
      <c r="E345" s="23"/>
      <c r="F345" s="23"/>
      <c r="G345" s="23"/>
      <c r="H345" s="23"/>
      <c r="I345" s="23"/>
      <c r="J345" s="23"/>
      <c r="K345" s="23"/>
      <c r="L345" s="23"/>
      <c r="M345" s="23"/>
      <c r="N345" s="23"/>
      <c r="O345" s="23"/>
      <c r="P345" s="23"/>
      <c r="Q345" s="23"/>
      <c r="R345" s="23"/>
      <c r="S345" s="23"/>
      <c r="T345" s="23"/>
      <c r="U345" s="23"/>
      <c r="V345" s="23"/>
      <c r="W345" s="23"/>
      <c r="X345" s="23"/>
      <c r="Y345" s="23"/>
      <c r="Z345" s="23"/>
      <c r="AA345" s="23"/>
      <c r="AB345" s="23"/>
      <c r="AC345" s="23"/>
      <c r="AD345" s="23"/>
      <c r="AE345" s="23"/>
      <c r="AF345" s="23"/>
      <c r="AG345" s="23"/>
    </row>
    <row r="346" spans="1:33" ht="12.75" x14ac:dyDescent="0.2">
      <c r="A346" s="23"/>
      <c r="B346" s="23"/>
      <c r="C346" s="23"/>
      <c r="D346" s="23"/>
      <c r="E346" s="23"/>
      <c r="F346" s="23"/>
      <c r="G346" s="23"/>
      <c r="H346" s="23"/>
      <c r="I346" s="23"/>
      <c r="J346" s="23"/>
      <c r="K346" s="23"/>
      <c r="L346" s="23"/>
      <c r="M346" s="23"/>
      <c r="N346" s="23"/>
      <c r="O346" s="23"/>
      <c r="P346" s="23"/>
      <c r="Q346" s="23"/>
      <c r="R346" s="23"/>
      <c r="S346" s="23"/>
      <c r="T346" s="23"/>
      <c r="U346" s="23"/>
      <c r="V346" s="23"/>
      <c r="W346" s="23"/>
      <c r="X346" s="23"/>
      <c r="Y346" s="23"/>
      <c r="Z346" s="23"/>
      <c r="AA346" s="23"/>
      <c r="AB346" s="23"/>
      <c r="AC346" s="23"/>
      <c r="AD346" s="23"/>
      <c r="AE346" s="23"/>
      <c r="AF346" s="23"/>
      <c r="AG346" s="23"/>
    </row>
    <row r="347" spans="1:33" ht="12.75" x14ac:dyDescent="0.2">
      <c r="A347" s="23"/>
      <c r="B347" s="23"/>
      <c r="C347" s="23"/>
      <c r="D347" s="23"/>
      <c r="E347" s="23"/>
      <c r="F347" s="23"/>
      <c r="G347" s="23"/>
      <c r="H347" s="23"/>
      <c r="I347" s="23"/>
      <c r="J347" s="23"/>
      <c r="K347" s="23"/>
      <c r="L347" s="23"/>
      <c r="M347" s="23"/>
      <c r="N347" s="23"/>
      <c r="O347" s="23"/>
      <c r="P347" s="23"/>
      <c r="Q347" s="23"/>
      <c r="R347" s="23"/>
      <c r="S347" s="23"/>
      <c r="T347" s="23"/>
      <c r="U347" s="23"/>
      <c r="V347" s="23"/>
      <c r="W347" s="23"/>
      <c r="X347" s="23"/>
      <c r="Y347" s="23"/>
      <c r="Z347" s="23"/>
      <c r="AA347" s="23"/>
      <c r="AB347" s="23"/>
      <c r="AC347" s="23"/>
      <c r="AD347" s="23"/>
      <c r="AE347" s="23"/>
      <c r="AF347" s="23"/>
      <c r="AG347" s="23"/>
    </row>
    <row r="348" spans="1:33" ht="12.75" x14ac:dyDescent="0.2">
      <c r="A348" s="23"/>
      <c r="B348" s="23"/>
      <c r="C348" s="23"/>
      <c r="D348" s="23"/>
      <c r="E348" s="23"/>
      <c r="F348" s="23"/>
      <c r="G348" s="23"/>
      <c r="H348" s="23"/>
      <c r="I348" s="23"/>
      <c r="J348" s="23"/>
      <c r="K348" s="23"/>
      <c r="L348" s="23"/>
      <c r="M348" s="23"/>
      <c r="N348" s="23"/>
      <c r="O348" s="23"/>
      <c r="P348" s="23"/>
      <c r="Q348" s="23"/>
      <c r="R348" s="23"/>
      <c r="S348" s="23"/>
      <c r="T348" s="23"/>
      <c r="U348" s="23"/>
      <c r="V348" s="23"/>
      <c r="W348" s="23"/>
      <c r="X348" s="23"/>
      <c r="Y348" s="23"/>
      <c r="Z348" s="23"/>
      <c r="AA348" s="23"/>
      <c r="AB348" s="23"/>
      <c r="AC348" s="23"/>
      <c r="AD348" s="23"/>
      <c r="AE348" s="23"/>
      <c r="AF348" s="23"/>
      <c r="AG348" s="23"/>
    </row>
    <row r="349" spans="1:33" ht="12.75" x14ac:dyDescent="0.2">
      <c r="A349" s="23"/>
      <c r="B349" s="23"/>
      <c r="C349" s="23"/>
      <c r="D349" s="23"/>
      <c r="E349" s="23"/>
      <c r="F349" s="23"/>
      <c r="G349" s="23"/>
      <c r="H349" s="23"/>
      <c r="I349" s="23"/>
      <c r="J349" s="23"/>
      <c r="K349" s="23"/>
      <c r="L349" s="23"/>
      <c r="M349" s="23"/>
      <c r="N349" s="23"/>
      <c r="O349" s="23"/>
      <c r="P349" s="23"/>
      <c r="Q349" s="23"/>
      <c r="R349" s="23"/>
      <c r="S349" s="23"/>
      <c r="T349" s="23"/>
      <c r="U349" s="23"/>
      <c r="V349" s="23"/>
      <c r="W349" s="23"/>
      <c r="X349" s="23"/>
      <c r="Y349" s="23"/>
      <c r="Z349" s="23"/>
      <c r="AA349" s="23"/>
      <c r="AB349" s="23"/>
      <c r="AC349" s="23"/>
      <c r="AD349" s="23"/>
      <c r="AE349" s="23"/>
      <c r="AF349" s="23"/>
      <c r="AG349" s="23"/>
    </row>
    <row r="350" spans="1:33" ht="12.75" x14ac:dyDescent="0.2">
      <c r="A350" s="23"/>
      <c r="B350" s="23"/>
      <c r="C350" s="23"/>
      <c r="D350" s="23"/>
      <c r="E350" s="23"/>
      <c r="F350" s="23"/>
      <c r="G350" s="23"/>
      <c r="H350" s="23"/>
      <c r="I350" s="23"/>
      <c r="J350" s="23"/>
      <c r="K350" s="23"/>
      <c r="L350" s="23"/>
      <c r="M350" s="23"/>
      <c r="N350" s="23"/>
      <c r="O350" s="23"/>
      <c r="P350" s="23"/>
      <c r="Q350" s="23"/>
      <c r="R350" s="23"/>
      <c r="S350" s="23"/>
      <c r="T350" s="23"/>
      <c r="U350" s="23"/>
      <c r="V350" s="23"/>
      <c r="W350" s="23"/>
      <c r="X350" s="23"/>
      <c r="Y350" s="23"/>
      <c r="Z350" s="23"/>
      <c r="AA350" s="23"/>
      <c r="AB350" s="23"/>
      <c r="AC350" s="23"/>
      <c r="AD350" s="23"/>
      <c r="AE350" s="23"/>
      <c r="AF350" s="23"/>
      <c r="AG350" s="23"/>
    </row>
    <row r="351" spans="1:33" ht="12.75" x14ac:dyDescent="0.2">
      <c r="A351" s="23"/>
      <c r="B351" s="23"/>
      <c r="C351" s="23"/>
      <c r="D351" s="23"/>
      <c r="E351" s="23"/>
      <c r="F351" s="23"/>
      <c r="G351" s="23"/>
      <c r="H351" s="23"/>
      <c r="I351" s="23"/>
      <c r="J351" s="23"/>
      <c r="K351" s="23"/>
      <c r="L351" s="23"/>
      <c r="M351" s="23"/>
      <c r="N351" s="23"/>
      <c r="O351" s="23"/>
      <c r="P351" s="23"/>
      <c r="Q351" s="23"/>
      <c r="R351" s="23"/>
      <c r="S351" s="23"/>
      <c r="T351" s="23"/>
      <c r="U351" s="23"/>
      <c r="V351" s="23"/>
      <c r="W351" s="23"/>
      <c r="X351" s="23"/>
      <c r="Y351" s="23"/>
      <c r="Z351" s="23"/>
      <c r="AA351" s="23"/>
      <c r="AB351" s="23"/>
      <c r="AC351" s="23"/>
      <c r="AD351" s="23"/>
      <c r="AE351" s="23"/>
      <c r="AF351" s="23"/>
      <c r="AG351" s="23"/>
    </row>
    <row r="352" spans="1:33" ht="12.75" x14ac:dyDescent="0.2">
      <c r="A352" s="23"/>
      <c r="B352" s="23"/>
      <c r="C352" s="23"/>
      <c r="D352" s="23"/>
      <c r="E352" s="23"/>
      <c r="F352" s="23"/>
      <c r="G352" s="23"/>
      <c r="H352" s="23"/>
      <c r="I352" s="23"/>
      <c r="J352" s="23"/>
      <c r="K352" s="23"/>
      <c r="L352" s="23"/>
      <c r="M352" s="23"/>
      <c r="N352" s="23"/>
      <c r="O352" s="23"/>
      <c r="P352" s="23"/>
      <c r="Q352" s="23"/>
      <c r="R352" s="23"/>
      <c r="S352" s="23"/>
      <c r="T352" s="23"/>
      <c r="U352" s="23"/>
      <c r="V352" s="23"/>
      <c r="W352" s="23"/>
      <c r="X352" s="23"/>
      <c r="Y352" s="23"/>
      <c r="Z352" s="23"/>
      <c r="AA352" s="23"/>
      <c r="AB352" s="23"/>
      <c r="AC352" s="23"/>
      <c r="AD352" s="23"/>
      <c r="AE352" s="23"/>
      <c r="AF352" s="23"/>
      <c r="AG352" s="23"/>
    </row>
    <row r="353" spans="1:33" ht="12.75" x14ac:dyDescent="0.2">
      <c r="A353" s="23"/>
      <c r="B353" s="23"/>
      <c r="C353" s="23"/>
      <c r="D353" s="23"/>
      <c r="E353" s="23"/>
      <c r="F353" s="23"/>
      <c r="G353" s="23"/>
      <c r="H353" s="23"/>
      <c r="I353" s="23"/>
      <c r="J353" s="23"/>
      <c r="K353" s="23"/>
      <c r="L353" s="23"/>
      <c r="M353" s="23"/>
      <c r="N353" s="23"/>
      <c r="O353" s="23"/>
      <c r="P353" s="23"/>
      <c r="Q353" s="23"/>
      <c r="R353" s="23"/>
      <c r="S353" s="23"/>
      <c r="T353" s="23"/>
      <c r="U353" s="23"/>
      <c r="V353" s="23"/>
      <c r="W353" s="23"/>
      <c r="X353" s="23"/>
      <c r="Y353" s="23"/>
      <c r="Z353" s="23"/>
      <c r="AA353" s="23"/>
      <c r="AB353" s="23"/>
      <c r="AC353" s="23"/>
      <c r="AD353" s="23"/>
      <c r="AE353" s="23"/>
      <c r="AF353" s="23"/>
      <c r="AG353" s="23"/>
    </row>
    <row r="354" spans="1:33" ht="12.75" x14ac:dyDescent="0.2">
      <c r="A354" s="23"/>
      <c r="B354" s="23"/>
      <c r="C354" s="23"/>
      <c r="D354" s="23"/>
      <c r="E354" s="23"/>
      <c r="F354" s="23"/>
      <c r="G354" s="23"/>
      <c r="H354" s="23"/>
      <c r="I354" s="23"/>
      <c r="J354" s="23"/>
      <c r="K354" s="23"/>
      <c r="L354" s="23"/>
      <c r="M354" s="23"/>
      <c r="N354" s="23"/>
      <c r="O354" s="23"/>
      <c r="P354" s="23"/>
      <c r="Q354" s="23"/>
      <c r="R354" s="23"/>
      <c r="S354" s="23"/>
      <c r="T354" s="23"/>
      <c r="U354" s="23"/>
      <c r="V354" s="23"/>
      <c r="W354" s="23"/>
      <c r="X354" s="23"/>
      <c r="Y354" s="23"/>
      <c r="Z354" s="23"/>
      <c r="AA354" s="23"/>
      <c r="AB354" s="23"/>
      <c r="AC354" s="23"/>
      <c r="AD354" s="23"/>
      <c r="AE354" s="23"/>
      <c r="AF354" s="23"/>
      <c r="AG354" s="23"/>
    </row>
    <row r="355" spans="1:33" ht="12.75" x14ac:dyDescent="0.2">
      <c r="A355" s="23"/>
      <c r="B355" s="23"/>
      <c r="C355" s="23"/>
      <c r="D355" s="23"/>
      <c r="E355" s="23"/>
      <c r="F355" s="23"/>
      <c r="G355" s="23"/>
      <c r="H355" s="23"/>
      <c r="I355" s="23"/>
      <c r="J355" s="23"/>
      <c r="K355" s="23"/>
      <c r="L355" s="23"/>
      <c r="M355" s="23"/>
      <c r="N355" s="23"/>
      <c r="O355" s="23"/>
      <c r="P355" s="23"/>
      <c r="Q355" s="23"/>
      <c r="R355" s="23"/>
      <c r="S355" s="23"/>
      <c r="T355" s="23"/>
      <c r="U355" s="23"/>
      <c r="V355" s="23"/>
      <c r="W355" s="23"/>
      <c r="X355" s="23"/>
      <c r="Y355" s="23"/>
      <c r="Z355" s="23"/>
      <c r="AA355" s="23"/>
      <c r="AB355" s="23"/>
      <c r="AC355" s="23"/>
      <c r="AD355" s="23"/>
      <c r="AE355" s="23"/>
      <c r="AF355" s="23"/>
      <c r="AG355" s="23"/>
    </row>
    <row r="356" spans="1:33" ht="12.75" x14ac:dyDescent="0.2">
      <c r="A356" s="23"/>
      <c r="B356" s="23"/>
      <c r="C356" s="23"/>
      <c r="D356" s="23"/>
      <c r="E356" s="23"/>
      <c r="F356" s="23"/>
      <c r="G356" s="23"/>
      <c r="H356" s="23"/>
      <c r="I356" s="23"/>
      <c r="J356" s="23"/>
      <c r="K356" s="23"/>
      <c r="L356" s="23"/>
      <c r="M356" s="23"/>
      <c r="N356" s="23"/>
      <c r="O356" s="23"/>
      <c r="P356" s="23"/>
      <c r="Q356" s="23"/>
      <c r="R356" s="23"/>
      <c r="S356" s="23"/>
      <c r="T356" s="23"/>
      <c r="U356" s="23"/>
      <c r="V356" s="23"/>
      <c r="W356" s="23"/>
      <c r="X356" s="23"/>
      <c r="Y356" s="23"/>
      <c r="Z356" s="23"/>
      <c r="AA356" s="23"/>
      <c r="AB356" s="23"/>
      <c r="AC356" s="23"/>
      <c r="AD356" s="23"/>
      <c r="AE356" s="23"/>
      <c r="AF356" s="23"/>
      <c r="AG356" s="23"/>
    </row>
    <row r="357" spans="1:33" ht="12.75" x14ac:dyDescent="0.2">
      <c r="A357" s="23"/>
      <c r="B357" s="23"/>
      <c r="C357" s="23"/>
      <c r="D357" s="23"/>
      <c r="E357" s="23"/>
      <c r="F357" s="23"/>
      <c r="G357" s="23"/>
      <c r="H357" s="23"/>
      <c r="I357" s="23"/>
      <c r="J357" s="23"/>
      <c r="K357" s="23"/>
      <c r="L357" s="23"/>
      <c r="M357" s="23"/>
      <c r="N357" s="23"/>
      <c r="O357" s="23"/>
      <c r="P357" s="23"/>
      <c r="Q357" s="23"/>
      <c r="R357" s="23"/>
      <c r="S357" s="23"/>
      <c r="T357" s="23"/>
      <c r="U357" s="23"/>
      <c r="V357" s="23"/>
      <c r="W357" s="23"/>
      <c r="X357" s="23"/>
      <c r="Y357" s="23"/>
      <c r="Z357" s="23"/>
      <c r="AA357" s="23"/>
      <c r="AB357" s="23"/>
      <c r="AC357" s="23"/>
      <c r="AD357" s="23"/>
      <c r="AE357" s="23"/>
      <c r="AF357" s="23"/>
      <c r="AG357" s="23"/>
    </row>
    <row r="358" spans="1:33" ht="12.75" x14ac:dyDescent="0.2">
      <c r="A358" s="23"/>
      <c r="B358" s="23"/>
      <c r="C358" s="23"/>
      <c r="D358" s="23"/>
      <c r="E358" s="23"/>
      <c r="F358" s="23"/>
      <c r="G358" s="23"/>
      <c r="H358" s="23"/>
      <c r="I358" s="23"/>
      <c r="J358" s="23"/>
      <c r="K358" s="23"/>
      <c r="L358" s="23"/>
      <c r="M358" s="23"/>
      <c r="N358" s="23"/>
      <c r="O358" s="23"/>
      <c r="P358" s="23"/>
      <c r="Q358" s="23"/>
      <c r="R358" s="23"/>
      <c r="S358" s="23"/>
      <c r="T358" s="23"/>
      <c r="U358" s="23"/>
      <c r="V358" s="23"/>
      <c r="W358" s="23"/>
      <c r="X358" s="23"/>
      <c r="Y358" s="23"/>
      <c r="Z358" s="23"/>
      <c r="AA358" s="23"/>
      <c r="AB358" s="23"/>
      <c r="AC358" s="23"/>
      <c r="AD358" s="23"/>
      <c r="AE358" s="23"/>
      <c r="AF358" s="23"/>
      <c r="AG358" s="23"/>
    </row>
    <row r="359" spans="1:33" ht="12.75" x14ac:dyDescent="0.2">
      <c r="A359" s="23"/>
      <c r="B359" s="23"/>
      <c r="C359" s="23"/>
      <c r="D359" s="23"/>
      <c r="E359" s="23"/>
      <c r="F359" s="23"/>
      <c r="G359" s="23"/>
      <c r="H359" s="23"/>
      <c r="I359" s="23"/>
      <c r="J359" s="23"/>
      <c r="K359" s="23"/>
      <c r="L359" s="23"/>
      <c r="M359" s="23"/>
      <c r="N359" s="23"/>
      <c r="O359" s="23"/>
      <c r="P359" s="23"/>
      <c r="Q359" s="23"/>
      <c r="R359" s="23"/>
      <c r="S359" s="23"/>
      <c r="T359" s="23"/>
      <c r="U359" s="23"/>
      <c r="V359" s="23"/>
      <c r="W359" s="23"/>
      <c r="X359" s="23"/>
      <c r="Y359" s="23"/>
      <c r="Z359" s="23"/>
      <c r="AA359" s="23"/>
      <c r="AB359" s="23"/>
      <c r="AC359" s="23"/>
      <c r="AD359" s="23"/>
      <c r="AE359" s="23"/>
      <c r="AF359" s="23"/>
      <c r="AG359" s="23"/>
    </row>
    <row r="360" spans="1:33" ht="12.75" x14ac:dyDescent="0.2">
      <c r="A360" s="23"/>
      <c r="B360" s="23"/>
      <c r="C360" s="23"/>
      <c r="D360" s="23"/>
      <c r="E360" s="23"/>
      <c r="F360" s="23"/>
      <c r="G360" s="23"/>
      <c r="H360" s="23"/>
      <c r="I360" s="23"/>
      <c r="J360" s="23"/>
      <c r="K360" s="23"/>
      <c r="L360" s="23"/>
      <c r="M360" s="23"/>
      <c r="N360" s="23"/>
      <c r="O360" s="23"/>
      <c r="P360" s="23"/>
      <c r="Q360" s="23"/>
      <c r="R360" s="23"/>
      <c r="S360" s="23"/>
      <c r="T360" s="23"/>
      <c r="U360" s="23"/>
      <c r="V360" s="23"/>
      <c r="W360" s="23"/>
      <c r="X360" s="23"/>
      <c r="Y360" s="23"/>
      <c r="Z360" s="23"/>
      <c r="AA360" s="23"/>
      <c r="AB360" s="23"/>
      <c r="AC360" s="23"/>
      <c r="AD360" s="23"/>
      <c r="AE360" s="23"/>
      <c r="AF360" s="23"/>
      <c r="AG360" s="23"/>
    </row>
    <row r="361" spans="1:33" ht="12.75" x14ac:dyDescent="0.2">
      <c r="A361" s="23"/>
      <c r="B361" s="23"/>
      <c r="C361" s="23"/>
      <c r="D361" s="23"/>
      <c r="E361" s="23"/>
      <c r="F361" s="23"/>
      <c r="G361" s="23"/>
      <c r="H361" s="23"/>
      <c r="I361" s="23"/>
      <c r="J361" s="23"/>
      <c r="K361" s="23"/>
      <c r="L361" s="23"/>
      <c r="M361" s="23"/>
      <c r="N361" s="23"/>
      <c r="O361" s="23"/>
      <c r="P361" s="23"/>
      <c r="Q361" s="23"/>
      <c r="R361" s="23"/>
      <c r="S361" s="23"/>
      <c r="T361" s="23"/>
      <c r="U361" s="23"/>
      <c r="V361" s="23"/>
      <c r="W361" s="23"/>
      <c r="X361" s="23"/>
      <c r="Y361" s="23"/>
      <c r="Z361" s="23"/>
      <c r="AA361" s="23"/>
      <c r="AB361" s="23"/>
      <c r="AC361" s="23"/>
      <c r="AD361" s="23"/>
      <c r="AE361" s="23"/>
      <c r="AF361" s="23"/>
      <c r="AG361" s="23"/>
    </row>
    <row r="362" spans="1:33" ht="12.75" x14ac:dyDescent="0.2">
      <c r="A362" s="23"/>
      <c r="B362" s="23"/>
      <c r="C362" s="23"/>
      <c r="D362" s="23"/>
      <c r="E362" s="23"/>
      <c r="F362" s="23"/>
      <c r="G362" s="23"/>
      <c r="H362" s="23"/>
      <c r="I362" s="23"/>
      <c r="J362" s="23"/>
      <c r="K362" s="23"/>
      <c r="L362" s="23"/>
      <c r="M362" s="23"/>
      <c r="N362" s="23"/>
      <c r="O362" s="23"/>
      <c r="P362" s="23"/>
      <c r="Q362" s="23"/>
      <c r="R362" s="23"/>
      <c r="S362" s="23"/>
      <c r="T362" s="23"/>
      <c r="U362" s="23"/>
      <c r="V362" s="23"/>
      <c r="W362" s="23"/>
      <c r="X362" s="23"/>
      <c r="Y362" s="23"/>
      <c r="Z362" s="23"/>
      <c r="AA362" s="23"/>
      <c r="AB362" s="23"/>
      <c r="AC362" s="23"/>
      <c r="AD362" s="23"/>
      <c r="AE362" s="23"/>
      <c r="AF362" s="23"/>
      <c r="AG362" s="23"/>
    </row>
    <row r="363" spans="1:33" ht="12.75" x14ac:dyDescent="0.2">
      <c r="A363" s="23"/>
      <c r="B363" s="23"/>
      <c r="C363" s="23"/>
      <c r="D363" s="23"/>
      <c r="E363" s="23"/>
      <c r="F363" s="23"/>
      <c r="G363" s="23"/>
      <c r="H363" s="23"/>
      <c r="I363" s="23"/>
      <c r="J363" s="23"/>
      <c r="K363" s="23"/>
      <c r="L363" s="23"/>
      <c r="M363" s="23"/>
      <c r="N363" s="23"/>
      <c r="O363" s="23"/>
      <c r="P363" s="23"/>
      <c r="Q363" s="23"/>
      <c r="R363" s="23"/>
      <c r="S363" s="23"/>
      <c r="T363" s="23"/>
      <c r="U363" s="23"/>
      <c r="V363" s="23"/>
      <c r="W363" s="23"/>
      <c r="X363" s="23"/>
      <c r="Y363" s="23"/>
      <c r="Z363" s="23"/>
      <c r="AA363" s="23"/>
      <c r="AB363" s="23"/>
      <c r="AC363" s="23"/>
      <c r="AD363" s="23"/>
      <c r="AE363" s="23"/>
      <c r="AF363" s="23"/>
      <c r="AG363" s="23"/>
    </row>
    <row r="364" spans="1:33" ht="12.75" x14ac:dyDescent="0.2">
      <c r="A364" s="23"/>
      <c r="B364" s="23"/>
      <c r="C364" s="23"/>
      <c r="D364" s="23"/>
      <c r="E364" s="23"/>
      <c r="F364" s="23"/>
      <c r="G364" s="23"/>
      <c r="H364" s="23"/>
      <c r="I364" s="23"/>
      <c r="J364" s="23"/>
      <c r="K364" s="23"/>
      <c r="L364" s="23"/>
      <c r="M364" s="23"/>
      <c r="N364" s="23"/>
      <c r="O364" s="23"/>
      <c r="P364" s="23"/>
      <c r="Q364" s="23"/>
      <c r="R364" s="23"/>
      <c r="S364" s="23"/>
      <c r="T364" s="23"/>
      <c r="U364" s="23"/>
      <c r="V364" s="23"/>
      <c r="W364" s="23"/>
      <c r="X364" s="23"/>
      <c r="Y364" s="23"/>
      <c r="Z364" s="23"/>
      <c r="AA364" s="23"/>
      <c r="AB364" s="23"/>
      <c r="AC364" s="23"/>
      <c r="AD364" s="23"/>
      <c r="AE364" s="23"/>
      <c r="AF364" s="23"/>
      <c r="AG364" s="23"/>
    </row>
    <row r="365" spans="1:33" ht="12.75" x14ac:dyDescent="0.2">
      <c r="A365" s="23"/>
      <c r="B365" s="23"/>
      <c r="C365" s="23"/>
      <c r="D365" s="23"/>
      <c r="E365" s="23"/>
      <c r="F365" s="23"/>
      <c r="G365" s="23"/>
      <c r="H365" s="23"/>
      <c r="I365" s="23"/>
      <c r="J365" s="23"/>
      <c r="K365" s="23"/>
      <c r="L365" s="23"/>
      <c r="M365" s="23"/>
      <c r="N365" s="23"/>
      <c r="O365" s="23"/>
      <c r="P365" s="23"/>
      <c r="Q365" s="23"/>
      <c r="R365" s="23"/>
      <c r="S365" s="23"/>
      <c r="T365" s="23"/>
      <c r="U365" s="23"/>
      <c r="V365" s="23"/>
      <c r="W365" s="23"/>
      <c r="X365" s="23"/>
      <c r="Y365" s="23"/>
      <c r="Z365" s="23"/>
      <c r="AA365" s="23"/>
      <c r="AB365" s="23"/>
      <c r="AC365" s="23"/>
      <c r="AD365" s="23"/>
      <c r="AE365" s="23"/>
      <c r="AF365" s="23"/>
      <c r="AG365" s="23"/>
    </row>
    <row r="366" spans="1:33" ht="12.75" x14ac:dyDescent="0.2">
      <c r="A366" s="23"/>
      <c r="B366" s="23"/>
      <c r="C366" s="23"/>
      <c r="D366" s="23"/>
      <c r="E366" s="23"/>
      <c r="F366" s="23"/>
      <c r="G366" s="23"/>
      <c r="H366" s="23"/>
      <c r="I366" s="23"/>
      <c r="J366" s="23"/>
      <c r="K366" s="23"/>
      <c r="L366" s="23"/>
      <c r="M366" s="23"/>
      <c r="N366" s="23"/>
      <c r="O366" s="23"/>
      <c r="P366" s="23"/>
      <c r="Q366" s="23"/>
      <c r="R366" s="23"/>
      <c r="S366" s="23"/>
      <c r="T366" s="23"/>
      <c r="U366" s="23"/>
      <c r="V366" s="23"/>
      <c r="W366" s="23"/>
      <c r="X366" s="23"/>
      <c r="Y366" s="23"/>
      <c r="Z366" s="23"/>
      <c r="AA366" s="23"/>
      <c r="AB366" s="23"/>
      <c r="AC366" s="23"/>
      <c r="AD366" s="23"/>
      <c r="AE366" s="23"/>
      <c r="AF366" s="23"/>
      <c r="AG366" s="23"/>
    </row>
    <row r="367" spans="1:33" ht="12.75" x14ac:dyDescent="0.2">
      <c r="A367" s="23"/>
      <c r="B367" s="23"/>
      <c r="C367" s="23"/>
      <c r="D367" s="23"/>
      <c r="E367" s="23"/>
      <c r="F367" s="23"/>
      <c r="G367" s="23"/>
      <c r="H367" s="23"/>
      <c r="I367" s="23"/>
      <c r="J367" s="23"/>
      <c r="K367" s="23"/>
      <c r="L367" s="23"/>
      <c r="M367" s="23"/>
      <c r="N367" s="23"/>
      <c r="O367" s="23"/>
      <c r="P367" s="23"/>
      <c r="Q367" s="23"/>
      <c r="R367" s="23"/>
      <c r="S367" s="23"/>
      <c r="T367" s="23"/>
      <c r="U367" s="23"/>
      <c r="V367" s="23"/>
      <c r="W367" s="23"/>
      <c r="X367" s="23"/>
      <c r="Y367" s="23"/>
      <c r="Z367" s="23"/>
      <c r="AA367" s="23"/>
      <c r="AB367" s="23"/>
      <c r="AC367" s="23"/>
      <c r="AD367" s="23"/>
      <c r="AE367" s="23"/>
      <c r="AF367" s="23"/>
      <c r="AG367" s="23"/>
    </row>
    <row r="368" spans="1:33" ht="12.75" x14ac:dyDescent="0.2">
      <c r="A368" s="23"/>
      <c r="B368" s="23"/>
      <c r="C368" s="23"/>
      <c r="D368" s="23"/>
      <c r="E368" s="23"/>
      <c r="F368" s="23"/>
      <c r="G368" s="23"/>
      <c r="H368" s="23"/>
      <c r="I368" s="23"/>
      <c r="J368" s="23"/>
      <c r="K368" s="23"/>
      <c r="L368" s="23"/>
      <c r="M368" s="23"/>
      <c r="N368" s="23"/>
      <c r="O368" s="23"/>
      <c r="P368" s="23"/>
      <c r="Q368" s="23"/>
      <c r="R368" s="23"/>
      <c r="S368" s="23"/>
      <c r="T368" s="23"/>
      <c r="U368" s="23"/>
      <c r="V368" s="23"/>
      <c r="W368" s="23"/>
      <c r="X368" s="23"/>
      <c r="Y368" s="23"/>
      <c r="Z368" s="23"/>
      <c r="AA368" s="23"/>
      <c r="AB368" s="23"/>
      <c r="AC368" s="23"/>
      <c r="AD368" s="23"/>
      <c r="AE368" s="23"/>
      <c r="AF368" s="23"/>
      <c r="AG368"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 Responses 1</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modified xsi:type="dcterms:W3CDTF">2025-02-24T02:51:33Z</dcterms:modified>
</cp:coreProperties>
</file>