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9BFB6324-EFE8-462D-B5A6-0D9A1D893BD4}" xr6:coauthVersionLast="47" xr6:coauthVersionMax="47" xr10:uidLastSave="{00000000-0000-0000-0000-000000000000}"/>
  <bookViews>
    <workbookView xWindow="-120" yWindow="-120" windowWidth="29040" windowHeight="15840" activeTab="2" xr2:uid="{00000000-000D-0000-FFFF-FFFF00000000}"/>
  </bookViews>
  <sheets>
    <sheet name="Form Responses 1" sheetId="1" r:id="rId1"/>
    <sheet name="Trang_tính1" sheetId="5" r:id="rId2"/>
    <sheet name="Trang_tính2" sheetId="6" r:id="rId3"/>
    <sheet name="Sheet2" sheetId="2" r:id="rId4"/>
    <sheet name="Sheet3" sheetId="3" r:id="rId5"/>
    <sheet name="Sheet1" sheetId="4" r:id="rId6"/>
  </sheets>
  <definedNames>
    <definedName name="_xlnm._FilterDatabase" localSheetId="0" hidden="1">'Form Responses 1'!$A$9:$Q$9</definedName>
    <definedName name="_xlnm._FilterDatabase" localSheetId="2" hidden="1">Trang_tính2!$A$8:$O$219</definedName>
  </definedNames>
  <calcPr calcId="191029"/>
</workbook>
</file>

<file path=xl/calcChain.xml><?xml version="1.0" encoding="utf-8"?>
<calcChain xmlns="http://schemas.openxmlformats.org/spreadsheetml/2006/main">
  <c r="AH273" i="4" l="1"/>
  <c r="AG273" i="4"/>
  <c r="AF273" i="4"/>
  <c r="AE273" i="4"/>
  <c r="AD273" i="4"/>
  <c r="AC273" i="4"/>
  <c r="AA273" i="4"/>
  <c r="Z273" i="4"/>
  <c r="Y273" i="4"/>
  <c r="W273" i="4"/>
  <c r="S273" i="4"/>
  <c r="Q273" i="4"/>
  <c r="P273" i="4"/>
  <c r="O273" i="4"/>
  <c r="N273" i="4"/>
  <c r="M273" i="4"/>
  <c r="L273" i="4"/>
  <c r="K273" i="4"/>
  <c r="J273" i="4"/>
  <c r="I273" i="4"/>
  <c r="H273" i="4"/>
  <c r="G273" i="4"/>
  <c r="F273" i="4"/>
  <c r="E273" i="4"/>
  <c r="D273" i="4"/>
  <c r="C273" i="4"/>
  <c r="B273" i="4"/>
  <c r="A273" i="4"/>
  <c r="AC272" i="4"/>
  <c r="AA272" i="4"/>
  <c r="Z272" i="4"/>
  <c r="Y272" i="4"/>
  <c r="W272" i="4"/>
  <c r="S272" i="4"/>
  <c r="R272" i="4"/>
  <c r="Q272" i="4"/>
  <c r="P272" i="4"/>
  <c r="O272" i="4"/>
  <c r="N272" i="4"/>
  <c r="M272" i="4"/>
  <c r="L272" i="4"/>
  <c r="K272" i="4"/>
  <c r="J272" i="4"/>
  <c r="I272" i="4"/>
  <c r="H272" i="4"/>
  <c r="G272" i="4"/>
  <c r="F272" i="4"/>
  <c r="D272" i="4"/>
  <c r="C272" i="4"/>
  <c r="B272" i="4"/>
  <c r="A272" i="4"/>
  <c r="AH271" i="4"/>
  <c r="AG271" i="4"/>
  <c r="AF271" i="4"/>
  <c r="AE271" i="4"/>
  <c r="AD271" i="4"/>
  <c r="AC271" i="4"/>
  <c r="AA271" i="4"/>
  <c r="Z271" i="4"/>
  <c r="Y271" i="4"/>
  <c r="W271" i="4"/>
  <c r="S271" i="4"/>
  <c r="R271" i="4"/>
  <c r="O271" i="4"/>
  <c r="N271" i="4"/>
  <c r="M271" i="4"/>
  <c r="L271" i="4"/>
  <c r="K271" i="4"/>
  <c r="J271" i="4"/>
  <c r="I271" i="4"/>
  <c r="H271" i="4"/>
  <c r="G271" i="4"/>
  <c r="F271" i="4"/>
  <c r="D271" i="4"/>
  <c r="C271" i="4"/>
  <c r="B271" i="4"/>
  <c r="A271" i="4"/>
  <c r="AC270" i="4"/>
  <c r="AA270" i="4"/>
  <c r="Z270" i="4"/>
  <c r="Y270" i="4"/>
  <c r="W270" i="4"/>
  <c r="S270" i="4"/>
  <c r="R270" i="4"/>
  <c r="Q270" i="4"/>
  <c r="P270" i="4"/>
  <c r="O270" i="4"/>
  <c r="N270" i="4"/>
  <c r="M270" i="4"/>
  <c r="L270" i="4"/>
  <c r="K270" i="4"/>
  <c r="J270" i="4"/>
  <c r="I270" i="4"/>
  <c r="H270" i="4"/>
  <c r="G270" i="4"/>
  <c r="F270" i="4"/>
  <c r="D270" i="4"/>
  <c r="C270" i="4"/>
  <c r="B270" i="4"/>
  <c r="A270" i="4"/>
  <c r="AH269" i="4"/>
  <c r="AG269" i="4"/>
  <c r="AF269" i="4"/>
  <c r="AE269" i="4"/>
  <c r="AD269" i="4"/>
  <c r="AC269" i="4"/>
  <c r="AB269" i="4"/>
  <c r="AA269" i="4"/>
  <c r="Z269" i="4"/>
  <c r="Y269" i="4"/>
  <c r="W269" i="4"/>
  <c r="S269" i="4"/>
  <c r="R269" i="4"/>
  <c r="Q269" i="4"/>
  <c r="P269" i="4"/>
  <c r="O269" i="4"/>
  <c r="N269" i="4"/>
  <c r="M269" i="4"/>
  <c r="L269" i="4"/>
  <c r="K269" i="4"/>
  <c r="J269" i="4"/>
  <c r="I269" i="4"/>
  <c r="H269" i="4"/>
  <c r="G269" i="4"/>
  <c r="F269" i="4"/>
  <c r="D269" i="4"/>
  <c r="C269" i="4"/>
  <c r="B269" i="4"/>
  <c r="A269" i="4"/>
  <c r="AH268" i="4"/>
  <c r="AG268" i="4"/>
  <c r="AF268" i="4"/>
  <c r="AE268" i="4"/>
  <c r="AD268" i="4"/>
  <c r="AC268" i="4"/>
  <c r="AB268" i="4"/>
  <c r="AA268" i="4"/>
  <c r="Z268" i="4"/>
  <c r="Y268" i="4"/>
  <c r="W268" i="4"/>
  <c r="S268" i="4"/>
  <c r="R268" i="4"/>
  <c r="O268" i="4"/>
  <c r="N268" i="4"/>
  <c r="M268" i="4"/>
  <c r="L268" i="4"/>
  <c r="K268" i="4"/>
  <c r="J268" i="4"/>
  <c r="I268" i="4"/>
  <c r="H268" i="4"/>
  <c r="G268" i="4"/>
  <c r="F268" i="4"/>
  <c r="D268" i="4"/>
  <c r="C268" i="4"/>
  <c r="B268" i="4"/>
  <c r="A268" i="4"/>
  <c r="AC267" i="4"/>
  <c r="AA267" i="4"/>
  <c r="Z267" i="4"/>
  <c r="Y267" i="4"/>
  <c r="W267" i="4"/>
  <c r="S267" i="4"/>
  <c r="R267" i="4"/>
  <c r="Q267" i="4"/>
  <c r="P267" i="4"/>
  <c r="O267" i="4"/>
  <c r="N267" i="4"/>
  <c r="M267" i="4"/>
  <c r="L267" i="4"/>
  <c r="K267" i="4"/>
  <c r="J267" i="4"/>
  <c r="I267" i="4"/>
  <c r="H267" i="4"/>
  <c r="G267" i="4"/>
  <c r="F267" i="4"/>
  <c r="D267" i="4"/>
  <c r="C267" i="4"/>
  <c r="B267" i="4"/>
  <c r="A267" i="4"/>
  <c r="AC266" i="4"/>
  <c r="AA266" i="4"/>
  <c r="Z266" i="4"/>
  <c r="Y266" i="4"/>
  <c r="W266" i="4"/>
  <c r="S266" i="4"/>
  <c r="R266" i="4"/>
  <c r="Q266" i="4"/>
  <c r="P266" i="4"/>
  <c r="O266" i="4"/>
  <c r="N266" i="4"/>
  <c r="M266" i="4"/>
  <c r="L266" i="4"/>
  <c r="K266" i="4"/>
  <c r="J266" i="4"/>
  <c r="I266" i="4"/>
  <c r="H266" i="4"/>
  <c r="G266" i="4"/>
  <c r="F266" i="4"/>
  <c r="D266" i="4"/>
  <c r="C266" i="4"/>
  <c r="B266" i="4"/>
  <c r="A266" i="4"/>
  <c r="AC265" i="4"/>
  <c r="AA265" i="4"/>
  <c r="Z265" i="4"/>
  <c r="Y265" i="4"/>
  <c r="W265" i="4"/>
  <c r="S265" i="4"/>
  <c r="R265" i="4"/>
  <c r="Q265" i="4"/>
  <c r="P265" i="4"/>
  <c r="O265" i="4"/>
  <c r="N265" i="4"/>
  <c r="M265" i="4"/>
  <c r="L265" i="4"/>
  <c r="K265" i="4"/>
  <c r="J265" i="4"/>
  <c r="I265" i="4"/>
  <c r="H265" i="4"/>
  <c r="G265" i="4"/>
  <c r="F265" i="4"/>
  <c r="D265" i="4"/>
  <c r="C265" i="4"/>
  <c r="B265" i="4"/>
  <c r="A265" i="4"/>
  <c r="AC264" i="4"/>
  <c r="AA264" i="4"/>
  <c r="Z264" i="4"/>
  <c r="Y264" i="4"/>
  <c r="W264" i="4"/>
  <c r="S264" i="4"/>
  <c r="R264" i="4"/>
  <c r="Q264" i="4"/>
  <c r="P264" i="4"/>
  <c r="O264" i="4"/>
  <c r="N264" i="4"/>
  <c r="M264" i="4"/>
  <c r="L264" i="4"/>
  <c r="K264" i="4"/>
  <c r="J264" i="4"/>
  <c r="I264" i="4"/>
  <c r="H264" i="4"/>
  <c r="G264" i="4"/>
  <c r="F264" i="4"/>
  <c r="D264" i="4"/>
  <c r="C264" i="4"/>
  <c r="B264" i="4"/>
  <c r="A264" i="4"/>
  <c r="AH263" i="4"/>
  <c r="AG263" i="4"/>
  <c r="AF263" i="4"/>
  <c r="AE263" i="4"/>
  <c r="AD263" i="4"/>
  <c r="AC263" i="4"/>
  <c r="AB263" i="4"/>
  <c r="AA263" i="4"/>
  <c r="Z263" i="4"/>
  <c r="Y263" i="4"/>
  <c r="W263" i="4"/>
  <c r="S263" i="4"/>
  <c r="R263" i="4"/>
  <c r="Q263" i="4"/>
  <c r="P263" i="4"/>
  <c r="O263" i="4"/>
  <c r="N263" i="4"/>
  <c r="M263" i="4"/>
  <c r="L263" i="4"/>
  <c r="K263" i="4"/>
  <c r="J263" i="4"/>
  <c r="I263" i="4"/>
  <c r="H263" i="4"/>
  <c r="G263" i="4"/>
  <c r="F263" i="4"/>
  <c r="D263" i="4"/>
  <c r="C263" i="4"/>
  <c r="B263" i="4"/>
  <c r="A263" i="4"/>
  <c r="AC262" i="4"/>
  <c r="AA262" i="4"/>
  <c r="Z262" i="4"/>
  <c r="Y262" i="4"/>
  <c r="W262" i="4"/>
  <c r="S262" i="4"/>
  <c r="R262" i="4"/>
  <c r="Q262" i="4"/>
  <c r="P262" i="4"/>
  <c r="O262" i="4"/>
  <c r="N262" i="4"/>
  <c r="M262" i="4"/>
  <c r="L262" i="4"/>
  <c r="K262" i="4"/>
  <c r="J262" i="4"/>
  <c r="I262" i="4"/>
  <c r="H262" i="4"/>
  <c r="G262" i="4"/>
  <c r="F262" i="4"/>
  <c r="D262" i="4"/>
  <c r="C262" i="4"/>
  <c r="B262" i="4"/>
  <c r="A262" i="4"/>
  <c r="AH261" i="4"/>
  <c r="AG261" i="4"/>
  <c r="AF261" i="4"/>
  <c r="AE261" i="4"/>
  <c r="AD261" i="4"/>
  <c r="AC261" i="4"/>
  <c r="AB261" i="4"/>
  <c r="AA261" i="4"/>
  <c r="Z261" i="4"/>
  <c r="Y261" i="4"/>
  <c r="W261" i="4"/>
  <c r="S261" i="4"/>
  <c r="R261" i="4"/>
  <c r="Q261" i="4"/>
  <c r="P261" i="4"/>
  <c r="O261" i="4"/>
  <c r="N261" i="4"/>
  <c r="M261" i="4"/>
  <c r="L261" i="4"/>
  <c r="K261" i="4"/>
  <c r="J261" i="4"/>
  <c r="I261" i="4"/>
  <c r="H261" i="4"/>
  <c r="G261" i="4"/>
  <c r="F261" i="4"/>
  <c r="D261" i="4"/>
  <c r="C261" i="4"/>
  <c r="B261" i="4"/>
  <c r="A261" i="4"/>
  <c r="AC260" i="4"/>
  <c r="AA260" i="4"/>
  <c r="Z260" i="4"/>
  <c r="Y260" i="4"/>
  <c r="W260" i="4"/>
  <c r="S260" i="4"/>
  <c r="R260" i="4"/>
  <c r="P260" i="4"/>
  <c r="O260" i="4"/>
  <c r="N260" i="4"/>
  <c r="M260" i="4"/>
  <c r="L260" i="4"/>
  <c r="K260" i="4"/>
  <c r="J260" i="4"/>
  <c r="I260" i="4"/>
  <c r="H260" i="4"/>
  <c r="G260" i="4"/>
  <c r="F260" i="4"/>
  <c r="D260" i="4"/>
  <c r="C260" i="4"/>
  <c r="B260" i="4"/>
  <c r="A260" i="4"/>
  <c r="AH259" i="4"/>
  <c r="AG259" i="4"/>
  <c r="AF259" i="4"/>
  <c r="AE259" i="4"/>
  <c r="AC259" i="4"/>
  <c r="AA259" i="4"/>
  <c r="Z259" i="4"/>
  <c r="Y259" i="4"/>
  <c r="W259" i="4"/>
  <c r="T259" i="4"/>
  <c r="S259" i="4"/>
  <c r="R259" i="4"/>
  <c r="Q259" i="4"/>
  <c r="P259" i="4"/>
  <c r="O259" i="4"/>
  <c r="N259" i="4"/>
  <c r="M259" i="4"/>
  <c r="L259" i="4"/>
  <c r="K259" i="4"/>
  <c r="J259" i="4"/>
  <c r="I259" i="4"/>
  <c r="H259" i="4"/>
  <c r="G259" i="4"/>
  <c r="F259" i="4"/>
  <c r="D259" i="4"/>
  <c r="C259" i="4"/>
  <c r="B259" i="4"/>
  <c r="A259" i="4"/>
  <c r="AH258" i="4"/>
  <c r="AG258" i="4"/>
  <c r="AF258" i="4"/>
  <c r="AE258" i="4"/>
  <c r="AD258" i="4"/>
  <c r="AC258" i="4"/>
  <c r="AB258" i="4"/>
  <c r="AA258" i="4"/>
  <c r="Z258" i="4"/>
  <c r="Y258" i="4"/>
  <c r="W258" i="4"/>
  <c r="T258" i="4"/>
  <c r="S258" i="4"/>
  <c r="R258" i="4"/>
  <c r="Q258" i="4"/>
  <c r="P258" i="4"/>
  <c r="O258" i="4"/>
  <c r="N258" i="4"/>
  <c r="M258" i="4"/>
  <c r="L258" i="4"/>
  <c r="K258" i="4"/>
  <c r="J258" i="4"/>
  <c r="I258" i="4"/>
  <c r="H258" i="4"/>
  <c r="G258" i="4"/>
  <c r="F258" i="4"/>
  <c r="D258" i="4"/>
  <c r="C258" i="4"/>
  <c r="B258" i="4"/>
  <c r="A258" i="4"/>
  <c r="AH257" i="4"/>
  <c r="AG257" i="4"/>
  <c r="AF257" i="4"/>
  <c r="AE257" i="4"/>
  <c r="AD257" i="4"/>
  <c r="AC257" i="4"/>
  <c r="AB257" i="4"/>
  <c r="AA257" i="4"/>
  <c r="Z257" i="4"/>
  <c r="Y257" i="4"/>
  <c r="W257" i="4"/>
  <c r="S257" i="4"/>
  <c r="R257" i="4"/>
  <c r="Q257" i="4"/>
  <c r="P257" i="4"/>
  <c r="O257" i="4"/>
  <c r="N257" i="4"/>
  <c r="M257" i="4"/>
  <c r="L257" i="4"/>
  <c r="K257" i="4"/>
  <c r="J257" i="4"/>
  <c r="I257" i="4"/>
  <c r="H257" i="4"/>
  <c r="G257" i="4"/>
  <c r="F257" i="4"/>
  <c r="D257" i="4"/>
  <c r="C257" i="4"/>
  <c r="B257" i="4"/>
  <c r="A257" i="4"/>
  <c r="AH256" i="4"/>
  <c r="AG256" i="4"/>
  <c r="AF256" i="4"/>
  <c r="AE256" i="4"/>
  <c r="AD256" i="4"/>
  <c r="AC256" i="4"/>
  <c r="AB256" i="4"/>
  <c r="AA256" i="4"/>
  <c r="Z256" i="4"/>
  <c r="Y256" i="4"/>
  <c r="W256" i="4"/>
  <c r="T256" i="4"/>
  <c r="S256" i="4"/>
  <c r="R256" i="4"/>
  <c r="Q256" i="4"/>
  <c r="P256" i="4"/>
  <c r="O256" i="4"/>
  <c r="N256" i="4"/>
  <c r="M256" i="4"/>
  <c r="L256" i="4"/>
  <c r="K256" i="4"/>
  <c r="J256" i="4"/>
  <c r="I256" i="4"/>
  <c r="H256" i="4"/>
  <c r="G256" i="4"/>
  <c r="F256" i="4"/>
  <c r="D256" i="4"/>
  <c r="C256" i="4"/>
  <c r="B256" i="4"/>
  <c r="A256" i="4"/>
  <c r="AC255" i="4"/>
  <c r="AA255" i="4"/>
  <c r="Z255" i="4"/>
  <c r="Y255" i="4"/>
  <c r="W255" i="4"/>
  <c r="S255" i="4"/>
  <c r="R255" i="4"/>
  <c r="Q255" i="4"/>
  <c r="P255" i="4"/>
  <c r="O255" i="4"/>
  <c r="N255" i="4"/>
  <c r="M255" i="4"/>
  <c r="L255" i="4"/>
  <c r="K255" i="4"/>
  <c r="J255" i="4"/>
  <c r="I255" i="4"/>
  <c r="H255" i="4"/>
  <c r="G255" i="4"/>
  <c r="F255" i="4"/>
  <c r="D255" i="4"/>
  <c r="C255" i="4"/>
  <c r="B255" i="4"/>
  <c r="A255" i="4"/>
  <c r="AH254" i="4"/>
  <c r="AG254" i="4"/>
  <c r="AF254" i="4"/>
  <c r="AE254" i="4"/>
  <c r="AD254" i="4"/>
  <c r="AC254" i="4"/>
  <c r="AB254" i="4"/>
  <c r="AA254" i="4"/>
  <c r="Z254" i="4"/>
  <c r="Y254" i="4"/>
  <c r="W254" i="4"/>
  <c r="S254" i="4"/>
  <c r="R254" i="4"/>
  <c r="Q254" i="4"/>
  <c r="P254" i="4"/>
  <c r="O254" i="4"/>
  <c r="N254" i="4"/>
  <c r="M254" i="4"/>
  <c r="L254" i="4"/>
  <c r="K254" i="4"/>
  <c r="J254" i="4"/>
  <c r="I254" i="4"/>
  <c r="H254" i="4"/>
  <c r="G254" i="4"/>
  <c r="F254" i="4"/>
  <c r="D254" i="4"/>
  <c r="C254" i="4"/>
  <c r="B254" i="4"/>
  <c r="A254" i="4"/>
  <c r="AC253" i="4"/>
  <c r="AA253" i="4"/>
  <c r="Z253" i="4"/>
  <c r="Y253" i="4"/>
  <c r="W253" i="4"/>
  <c r="S253" i="4"/>
  <c r="R253" i="4"/>
  <c r="Q253" i="4"/>
  <c r="P253" i="4"/>
  <c r="O253" i="4"/>
  <c r="N253" i="4"/>
  <c r="M253" i="4"/>
  <c r="L253" i="4"/>
  <c r="K253" i="4"/>
  <c r="J253" i="4"/>
  <c r="I253" i="4"/>
  <c r="H253" i="4"/>
  <c r="G253" i="4"/>
  <c r="F253" i="4"/>
  <c r="D253" i="4"/>
  <c r="C253" i="4"/>
  <c r="B253" i="4"/>
  <c r="A253" i="4"/>
  <c r="AC252" i="4"/>
  <c r="AA252" i="4"/>
  <c r="Z252" i="4"/>
  <c r="Y252" i="4"/>
  <c r="W252" i="4"/>
  <c r="S252" i="4"/>
  <c r="R252" i="4"/>
  <c r="Q252" i="4"/>
  <c r="P252" i="4"/>
  <c r="O252" i="4"/>
  <c r="N252" i="4"/>
  <c r="M252" i="4"/>
  <c r="L252" i="4"/>
  <c r="K252" i="4"/>
  <c r="J252" i="4"/>
  <c r="I252" i="4"/>
  <c r="H252" i="4"/>
  <c r="G252" i="4"/>
  <c r="F252" i="4"/>
  <c r="D252" i="4"/>
  <c r="C252" i="4"/>
  <c r="B252" i="4"/>
  <c r="A252" i="4"/>
  <c r="AC251" i="4"/>
  <c r="AA251" i="4"/>
  <c r="Z251" i="4"/>
  <c r="Y251" i="4"/>
  <c r="W251" i="4"/>
  <c r="S251" i="4"/>
  <c r="R251" i="4"/>
  <c r="Q251" i="4"/>
  <c r="P251" i="4"/>
  <c r="O251" i="4"/>
  <c r="N251" i="4"/>
  <c r="M251" i="4"/>
  <c r="L251" i="4"/>
  <c r="K251" i="4"/>
  <c r="J251" i="4"/>
  <c r="I251" i="4"/>
  <c r="H251" i="4"/>
  <c r="G251" i="4"/>
  <c r="F251" i="4"/>
  <c r="D251" i="4"/>
  <c r="C251" i="4"/>
  <c r="B251" i="4"/>
  <c r="A251" i="4"/>
  <c r="AC250" i="4"/>
  <c r="AA250" i="4"/>
  <c r="Z250" i="4"/>
  <c r="Y250" i="4"/>
  <c r="W250" i="4"/>
  <c r="S250" i="4"/>
  <c r="R250" i="4"/>
  <c r="Q250" i="4"/>
  <c r="P250" i="4"/>
  <c r="O250" i="4"/>
  <c r="N250" i="4"/>
  <c r="M250" i="4"/>
  <c r="L250" i="4"/>
  <c r="K250" i="4"/>
  <c r="J250" i="4"/>
  <c r="I250" i="4"/>
  <c r="H250" i="4"/>
  <c r="G250" i="4"/>
  <c r="F250" i="4"/>
  <c r="D250" i="4"/>
  <c r="C250" i="4"/>
  <c r="B250" i="4"/>
  <c r="A250" i="4"/>
  <c r="AC249" i="4"/>
  <c r="AA249" i="4"/>
  <c r="Z249" i="4"/>
  <c r="Y249" i="4"/>
  <c r="W249" i="4"/>
  <c r="S249" i="4"/>
  <c r="R249" i="4"/>
  <c r="Q249" i="4"/>
  <c r="P249" i="4"/>
  <c r="O249" i="4"/>
  <c r="N249" i="4"/>
  <c r="M249" i="4"/>
  <c r="L249" i="4"/>
  <c r="K249" i="4"/>
  <c r="J249" i="4"/>
  <c r="I249" i="4"/>
  <c r="H249" i="4"/>
  <c r="G249" i="4"/>
  <c r="F249" i="4"/>
  <c r="D249" i="4"/>
  <c r="C249" i="4"/>
  <c r="B249" i="4"/>
  <c r="A249" i="4"/>
  <c r="AC248" i="4"/>
  <c r="AA248" i="4"/>
  <c r="Z248" i="4"/>
  <c r="Y248" i="4"/>
  <c r="W248" i="4"/>
  <c r="S248" i="4"/>
  <c r="R248" i="4"/>
  <c r="Q248" i="4"/>
  <c r="P248" i="4"/>
  <c r="O248" i="4"/>
  <c r="N248" i="4"/>
  <c r="M248" i="4"/>
  <c r="L248" i="4"/>
  <c r="K248" i="4"/>
  <c r="J248" i="4"/>
  <c r="I248" i="4"/>
  <c r="H248" i="4"/>
  <c r="G248" i="4"/>
  <c r="F248" i="4"/>
  <c r="D248" i="4"/>
  <c r="C248" i="4"/>
  <c r="B248" i="4"/>
  <c r="A248" i="4"/>
  <c r="AC247" i="4"/>
  <c r="AA247" i="4"/>
  <c r="Z247" i="4"/>
  <c r="Y247" i="4"/>
  <c r="W247" i="4"/>
  <c r="S247" i="4"/>
  <c r="R247" i="4"/>
  <c r="Q247" i="4"/>
  <c r="P247" i="4"/>
  <c r="O247" i="4"/>
  <c r="N247" i="4"/>
  <c r="M247" i="4"/>
  <c r="L247" i="4"/>
  <c r="K247" i="4"/>
  <c r="J247" i="4"/>
  <c r="I247" i="4"/>
  <c r="H247" i="4"/>
  <c r="G247" i="4"/>
  <c r="F247" i="4"/>
  <c r="D247" i="4"/>
  <c r="C247" i="4"/>
  <c r="B247" i="4"/>
  <c r="A247" i="4"/>
  <c r="AC246" i="4"/>
  <c r="AA246" i="4"/>
  <c r="Z246" i="4"/>
  <c r="Y246" i="4"/>
  <c r="W246" i="4"/>
  <c r="S246" i="4"/>
  <c r="R246" i="4"/>
  <c r="Q246" i="4"/>
  <c r="P246" i="4"/>
  <c r="O246" i="4"/>
  <c r="N246" i="4"/>
  <c r="M246" i="4"/>
  <c r="L246" i="4"/>
  <c r="K246" i="4"/>
  <c r="J246" i="4"/>
  <c r="I246" i="4"/>
  <c r="H246" i="4"/>
  <c r="G246" i="4"/>
  <c r="F246" i="4"/>
  <c r="D246" i="4"/>
  <c r="C246" i="4"/>
  <c r="B246" i="4"/>
  <c r="A246" i="4"/>
  <c r="AG245" i="4"/>
  <c r="AF245" i="4"/>
  <c r="AE245" i="4"/>
  <c r="AC245" i="4"/>
  <c r="AA245" i="4"/>
  <c r="Z245" i="4"/>
  <c r="Y245" i="4"/>
  <c r="W245" i="4"/>
  <c r="S245" i="4"/>
  <c r="R245" i="4"/>
  <c r="Q245" i="4"/>
  <c r="P245" i="4"/>
  <c r="O245" i="4"/>
  <c r="N245" i="4"/>
  <c r="M245" i="4"/>
  <c r="L245" i="4"/>
  <c r="K245" i="4"/>
  <c r="J245" i="4"/>
  <c r="I245" i="4"/>
  <c r="H245" i="4"/>
  <c r="G245" i="4"/>
  <c r="F245" i="4"/>
  <c r="D245" i="4"/>
  <c r="C245" i="4"/>
  <c r="B245" i="4"/>
  <c r="A245" i="4"/>
  <c r="AH244" i="4"/>
  <c r="AG244" i="4"/>
  <c r="AF244" i="4"/>
  <c r="AE244" i="4"/>
  <c r="AD244" i="4"/>
  <c r="AC244" i="4"/>
  <c r="AB244" i="4"/>
  <c r="AA244" i="4"/>
  <c r="Z244" i="4"/>
  <c r="Y244" i="4"/>
  <c r="W244" i="4"/>
  <c r="T244" i="4"/>
  <c r="S244" i="4"/>
  <c r="R244" i="4"/>
  <c r="O244" i="4"/>
  <c r="N244" i="4"/>
  <c r="M244" i="4"/>
  <c r="L244" i="4"/>
  <c r="K244" i="4"/>
  <c r="J244" i="4"/>
  <c r="I244" i="4"/>
  <c r="H244" i="4"/>
  <c r="G244" i="4"/>
  <c r="F244" i="4"/>
  <c r="D244" i="4"/>
  <c r="C244" i="4"/>
  <c r="B244" i="4"/>
  <c r="A244" i="4"/>
  <c r="AH243" i="4"/>
  <c r="AG243" i="4"/>
  <c r="AF243" i="4"/>
  <c r="AE243" i="4"/>
  <c r="AD243" i="4"/>
  <c r="AC243" i="4"/>
  <c r="AB243" i="4"/>
  <c r="AA243" i="4"/>
  <c r="Z243" i="4"/>
  <c r="Y243" i="4"/>
  <c r="W243" i="4"/>
  <c r="T243" i="4"/>
  <c r="S243" i="4"/>
  <c r="R243" i="4"/>
  <c r="O243" i="4"/>
  <c r="N243" i="4"/>
  <c r="M243" i="4"/>
  <c r="L243" i="4"/>
  <c r="K243" i="4"/>
  <c r="J243" i="4"/>
  <c r="I243" i="4"/>
  <c r="H243" i="4"/>
  <c r="G243" i="4"/>
  <c r="F243" i="4"/>
  <c r="D243" i="4"/>
  <c r="C243" i="4"/>
  <c r="B243" i="4"/>
  <c r="A243" i="4"/>
  <c r="AH242" i="4"/>
  <c r="AG242" i="4"/>
  <c r="AF242" i="4"/>
  <c r="AE242" i="4"/>
  <c r="AD242" i="4"/>
  <c r="AC242" i="4"/>
  <c r="AB242" i="4"/>
  <c r="AA242" i="4"/>
  <c r="Z242" i="4"/>
  <c r="Y242" i="4"/>
  <c r="W242" i="4"/>
  <c r="U242" i="4"/>
  <c r="T242" i="4"/>
  <c r="S242" i="4"/>
  <c r="R242" i="4"/>
  <c r="O242" i="4"/>
  <c r="N242" i="4"/>
  <c r="M242" i="4"/>
  <c r="L242" i="4"/>
  <c r="K242" i="4"/>
  <c r="J242" i="4"/>
  <c r="I242" i="4"/>
  <c r="H242" i="4"/>
  <c r="G242" i="4"/>
  <c r="F242" i="4"/>
  <c r="D242" i="4"/>
  <c r="C242" i="4"/>
  <c r="B242" i="4"/>
  <c r="A242" i="4"/>
  <c r="AH241" i="4"/>
  <c r="AG241" i="4"/>
  <c r="AF241" i="4"/>
  <c r="AE241" i="4"/>
  <c r="AC241" i="4"/>
  <c r="AA241" i="4"/>
  <c r="Z241" i="4"/>
  <c r="Y241" i="4"/>
  <c r="W241" i="4"/>
  <c r="T241" i="4"/>
  <c r="S241" i="4"/>
  <c r="R241" i="4"/>
  <c r="Q241" i="4"/>
  <c r="P241" i="4"/>
  <c r="O241" i="4"/>
  <c r="N241" i="4"/>
  <c r="M241" i="4"/>
  <c r="L241" i="4"/>
  <c r="K241" i="4"/>
  <c r="J241" i="4"/>
  <c r="I241" i="4"/>
  <c r="H241" i="4"/>
  <c r="G241" i="4"/>
  <c r="F241" i="4"/>
  <c r="D241" i="4"/>
  <c r="C241" i="4"/>
  <c r="B241" i="4"/>
  <c r="A241" i="4"/>
  <c r="AH240" i="4"/>
  <c r="AG240" i="4"/>
  <c r="AF240" i="4"/>
  <c r="AE240" i="4"/>
  <c r="AD240" i="4"/>
  <c r="AC240" i="4"/>
  <c r="AB240" i="4"/>
  <c r="AA240" i="4"/>
  <c r="Z240" i="4"/>
  <c r="Y240" i="4"/>
  <c r="W240" i="4"/>
  <c r="T240" i="4"/>
  <c r="S240" i="4"/>
  <c r="R240" i="4"/>
  <c r="Q240" i="4"/>
  <c r="P240" i="4"/>
  <c r="O240" i="4"/>
  <c r="N240" i="4"/>
  <c r="M240" i="4"/>
  <c r="L240" i="4"/>
  <c r="K240" i="4"/>
  <c r="J240" i="4"/>
  <c r="I240" i="4"/>
  <c r="H240" i="4"/>
  <c r="G240" i="4"/>
  <c r="F240" i="4"/>
  <c r="D240" i="4"/>
  <c r="C240" i="4"/>
  <c r="B240" i="4"/>
  <c r="A240" i="4"/>
  <c r="AH239" i="4"/>
  <c r="AG239" i="4"/>
  <c r="AF239" i="4"/>
  <c r="AE239" i="4"/>
  <c r="AD239" i="4"/>
  <c r="AC239" i="4"/>
  <c r="AB239" i="4"/>
  <c r="AA239" i="4"/>
  <c r="Z239" i="4"/>
  <c r="Y239" i="4"/>
  <c r="W239" i="4"/>
  <c r="T239" i="4"/>
  <c r="S239" i="4"/>
  <c r="R239" i="4"/>
  <c r="Q239" i="4"/>
  <c r="P239" i="4"/>
  <c r="O239" i="4"/>
  <c r="N239" i="4"/>
  <c r="M239" i="4"/>
  <c r="L239" i="4"/>
  <c r="K239" i="4"/>
  <c r="J239" i="4"/>
  <c r="I239" i="4"/>
  <c r="H239" i="4"/>
  <c r="G239" i="4"/>
  <c r="F239" i="4"/>
  <c r="D239" i="4"/>
  <c r="C239" i="4"/>
  <c r="B239" i="4"/>
  <c r="A239" i="4"/>
  <c r="AH238" i="4"/>
  <c r="AG238" i="4"/>
  <c r="AF238" i="4"/>
  <c r="AE238" i="4"/>
  <c r="AD238" i="4"/>
  <c r="AC238" i="4"/>
  <c r="AB238" i="4"/>
  <c r="AA238" i="4"/>
  <c r="Z238" i="4"/>
  <c r="Y238" i="4"/>
  <c r="W238" i="4"/>
  <c r="T238" i="4"/>
  <c r="S238" i="4"/>
  <c r="O238" i="4"/>
  <c r="N238" i="4"/>
  <c r="M238" i="4"/>
  <c r="L238" i="4"/>
  <c r="K238" i="4"/>
  <c r="J238" i="4"/>
  <c r="I238" i="4"/>
  <c r="H238" i="4"/>
  <c r="G238" i="4"/>
  <c r="F238" i="4"/>
  <c r="D238" i="4"/>
  <c r="C238" i="4"/>
  <c r="B238" i="4"/>
  <c r="A238" i="4"/>
  <c r="AH237" i="4"/>
  <c r="AG237" i="4"/>
  <c r="AF237" i="4"/>
  <c r="AE237" i="4"/>
  <c r="AD237" i="4"/>
  <c r="AC237" i="4"/>
  <c r="AB237" i="4"/>
  <c r="AA237" i="4"/>
  <c r="Z237" i="4"/>
  <c r="Y237" i="4"/>
  <c r="W237" i="4"/>
  <c r="T237" i="4"/>
  <c r="S237" i="4"/>
  <c r="R237" i="4"/>
  <c r="Q237" i="4"/>
  <c r="P237" i="4"/>
  <c r="O237" i="4"/>
  <c r="N237" i="4"/>
  <c r="M237" i="4"/>
  <c r="L237" i="4"/>
  <c r="K237" i="4"/>
  <c r="J237" i="4"/>
  <c r="I237" i="4"/>
  <c r="H237" i="4"/>
  <c r="G237" i="4"/>
  <c r="F237" i="4"/>
  <c r="D237" i="4"/>
  <c r="C237" i="4"/>
  <c r="B237" i="4"/>
  <c r="A237" i="4"/>
  <c r="AC236" i="4"/>
  <c r="AB236" i="4"/>
  <c r="AA236" i="4"/>
  <c r="Z236" i="4"/>
  <c r="Y236" i="4"/>
  <c r="W236" i="4"/>
  <c r="S236" i="4"/>
  <c r="R236" i="4"/>
  <c r="Q236" i="4"/>
  <c r="P236" i="4"/>
  <c r="O236" i="4"/>
  <c r="N236" i="4"/>
  <c r="M236" i="4"/>
  <c r="L236" i="4"/>
  <c r="K236" i="4"/>
  <c r="J236" i="4"/>
  <c r="I236" i="4"/>
  <c r="H236" i="4"/>
  <c r="G236" i="4"/>
  <c r="F236" i="4"/>
  <c r="D236" i="4"/>
  <c r="C236" i="4"/>
  <c r="B236" i="4"/>
  <c r="A236" i="4"/>
  <c r="AH235" i="4"/>
  <c r="AG235" i="4"/>
  <c r="AF235" i="4"/>
  <c r="AE235" i="4"/>
  <c r="AD235" i="4"/>
  <c r="AC235" i="4"/>
  <c r="AB235" i="4"/>
  <c r="AA235" i="4"/>
  <c r="Z235" i="4"/>
  <c r="Y235" i="4"/>
  <c r="W235" i="4"/>
  <c r="T235" i="4"/>
  <c r="S235" i="4"/>
  <c r="R235" i="4"/>
  <c r="Q235" i="4"/>
  <c r="P235" i="4"/>
  <c r="O235" i="4"/>
  <c r="N235" i="4"/>
  <c r="M235" i="4"/>
  <c r="L235" i="4"/>
  <c r="K235" i="4"/>
  <c r="J235" i="4"/>
  <c r="I235" i="4"/>
  <c r="H235" i="4"/>
  <c r="G235" i="4"/>
  <c r="F235" i="4"/>
  <c r="D235" i="4"/>
  <c r="C235" i="4"/>
  <c r="B235" i="4"/>
  <c r="A235" i="4"/>
  <c r="AG234" i="4"/>
  <c r="AF234" i="4"/>
  <c r="AE234" i="4"/>
  <c r="AC234" i="4"/>
  <c r="AB234" i="4"/>
  <c r="AA234" i="4"/>
  <c r="Z234" i="4"/>
  <c r="Y234" i="4"/>
  <c r="W234" i="4"/>
  <c r="T234" i="4"/>
  <c r="S234" i="4"/>
  <c r="O234" i="4"/>
  <c r="N234" i="4"/>
  <c r="M234" i="4"/>
  <c r="L234" i="4"/>
  <c r="K234" i="4"/>
  <c r="J234" i="4"/>
  <c r="I234" i="4"/>
  <c r="H234" i="4"/>
  <c r="G234" i="4"/>
  <c r="F234" i="4"/>
  <c r="D234" i="4"/>
  <c r="C234" i="4"/>
  <c r="B234" i="4"/>
  <c r="A234" i="4"/>
  <c r="AH233" i="4"/>
  <c r="AG233" i="4"/>
  <c r="AF233" i="4"/>
  <c r="AE233" i="4"/>
  <c r="AD233" i="4"/>
  <c r="AC233" i="4"/>
  <c r="AB233" i="4"/>
  <c r="AA233" i="4"/>
  <c r="Z233" i="4"/>
  <c r="Y233" i="4"/>
  <c r="W233" i="4"/>
  <c r="T233" i="4"/>
  <c r="S233" i="4"/>
  <c r="O233" i="4"/>
  <c r="N233" i="4"/>
  <c r="M233" i="4"/>
  <c r="L233" i="4"/>
  <c r="K233" i="4"/>
  <c r="J233" i="4"/>
  <c r="I233" i="4"/>
  <c r="H233" i="4"/>
  <c r="G233" i="4"/>
  <c r="F233" i="4"/>
  <c r="D233" i="4"/>
  <c r="C233" i="4"/>
  <c r="B233" i="4"/>
  <c r="A233" i="4"/>
  <c r="AC232" i="4"/>
  <c r="AB232" i="4"/>
  <c r="AA232" i="4"/>
  <c r="Z232" i="4"/>
  <c r="Y232" i="4"/>
  <c r="W232" i="4"/>
  <c r="S232" i="4"/>
  <c r="O232" i="4"/>
  <c r="N232" i="4"/>
  <c r="M232" i="4"/>
  <c r="L232" i="4"/>
  <c r="K232" i="4"/>
  <c r="J232" i="4"/>
  <c r="I232" i="4"/>
  <c r="H232" i="4"/>
  <c r="G232" i="4"/>
  <c r="F232" i="4"/>
  <c r="D232" i="4"/>
  <c r="C232" i="4"/>
  <c r="B232" i="4"/>
  <c r="A232" i="4"/>
  <c r="AH231" i="4"/>
  <c r="AG231" i="4"/>
  <c r="AF231" i="4"/>
  <c r="AE231" i="4"/>
  <c r="AD231" i="4"/>
  <c r="AC231" i="4"/>
  <c r="AB231" i="4"/>
  <c r="AA231" i="4"/>
  <c r="Z231" i="4"/>
  <c r="Y231" i="4"/>
  <c r="W231" i="4"/>
  <c r="T231" i="4"/>
  <c r="S231" i="4"/>
  <c r="R231" i="4"/>
  <c r="Q231" i="4"/>
  <c r="P231" i="4"/>
  <c r="O231" i="4"/>
  <c r="N231" i="4"/>
  <c r="M231" i="4"/>
  <c r="L231" i="4"/>
  <c r="K231" i="4"/>
  <c r="J231" i="4"/>
  <c r="I231" i="4"/>
  <c r="H231" i="4"/>
  <c r="G231" i="4"/>
  <c r="F231" i="4"/>
  <c r="D231" i="4"/>
  <c r="C231" i="4"/>
  <c r="B231" i="4"/>
  <c r="A231" i="4"/>
  <c r="AH230" i="4"/>
  <c r="AG230" i="4"/>
  <c r="AF230" i="4"/>
  <c r="AE230" i="4"/>
  <c r="AD230" i="4"/>
  <c r="AC230" i="4"/>
  <c r="AB230" i="4"/>
  <c r="AA230" i="4"/>
  <c r="Z230" i="4"/>
  <c r="Y230" i="4"/>
  <c r="W230" i="4"/>
  <c r="S230" i="4"/>
  <c r="R230" i="4"/>
  <c r="Q230" i="4"/>
  <c r="P230" i="4"/>
  <c r="O230" i="4"/>
  <c r="N230" i="4"/>
  <c r="M230" i="4"/>
  <c r="L230" i="4"/>
  <c r="K230" i="4"/>
  <c r="J230" i="4"/>
  <c r="I230" i="4"/>
  <c r="H230" i="4"/>
  <c r="G230" i="4"/>
  <c r="F230" i="4"/>
  <c r="D230" i="4"/>
  <c r="C230" i="4"/>
  <c r="B230" i="4"/>
  <c r="A230" i="4"/>
  <c r="AH229" i="4"/>
  <c r="AG229" i="4"/>
  <c r="AF229" i="4"/>
  <c r="AE229" i="4"/>
  <c r="AD229" i="4"/>
  <c r="AC229" i="4"/>
  <c r="AB229" i="4"/>
  <c r="AA229" i="4"/>
  <c r="Z229" i="4"/>
  <c r="Y229" i="4"/>
  <c r="W229" i="4"/>
  <c r="T229" i="4"/>
  <c r="S229" i="4"/>
  <c r="R229" i="4"/>
  <c r="Q229" i="4"/>
  <c r="P229" i="4"/>
  <c r="O229" i="4"/>
  <c r="N229" i="4"/>
  <c r="M229" i="4"/>
  <c r="L229" i="4"/>
  <c r="K229" i="4"/>
  <c r="J229" i="4"/>
  <c r="I229" i="4"/>
  <c r="H229" i="4"/>
  <c r="G229" i="4"/>
  <c r="F229" i="4"/>
  <c r="D229" i="4"/>
  <c r="C229" i="4"/>
  <c r="B229" i="4"/>
  <c r="A229" i="4"/>
  <c r="AH228" i="4"/>
  <c r="AC228" i="4"/>
  <c r="AA228" i="4"/>
  <c r="Z228" i="4"/>
  <c r="Y228" i="4"/>
  <c r="W228" i="4"/>
  <c r="T228" i="4"/>
  <c r="S228" i="4"/>
  <c r="R228" i="4"/>
  <c r="O228" i="4"/>
  <c r="N228" i="4"/>
  <c r="M228" i="4"/>
  <c r="L228" i="4"/>
  <c r="K228" i="4"/>
  <c r="J228" i="4"/>
  <c r="I228" i="4"/>
  <c r="H228" i="4"/>
  <c r="G228" i="4"/>
  <c r="F228" i="4"/>
  <c r="D228" i="4"/>
  <c r="C228" i="4"/>
  <c r="B228" i="4"/>
  <c r="A228" i="4"/>
  <c r="AH227" i="4"/>
  <c r="AD227" i="4"/>
  <c r="AC227" i="4"/>
  <c r="AB227" i="4"/>
  <c r="AA227" i="4"/>
  <c r="Z227" i="4"/>
  <c r="Y227" i="4"/>
  <c r="W227" i="4"/>
  <c r="T227" i="4"/>
  <c r="S227" i="4"/>
  <c r="R227" i="4"/>
  <c r="Q227" i="4"/>
  <c r="P227" i="4"/>
  <c r="O227" i="4"/>
  <c r="N227" i="4"/>
  <c r="M227" i="4"/>
  <c r="L227" i="4"/>
  <c r="K227" i="4"/>
  <c r="J227" i="4"/>
  <c r="I227" i="4"/>
  <c r="H227" i="4"/>
  <c r="G227" i="4"/>
  <c r="F227" i="4"/>
  <c r="D227" i="4"/>
  <c r="C227" i="4"/>
  <c r="B227" i="4"/>
  <c r="A227" i="4"/>
  <c r="AH226" i="4"/>
  <c r="AG226" i="4"/>
  <c r="AF226" i="4"/>
  <c r="AE226" i="4"/>
  <c r="AD226" i="4"/>
  <c r="AC226" i="4"/>
  <c r="AB226" i="4"/>
  <c r="AA226" i="4"/>
  <c r="Z226" i="4"/>
  <c r="Y226" i="4"/>
  <c r="W226" i="4"/>
  <c r="T226" i="4"/>
  <c r="S226" i="4"/>
  <c r="R226" i="4"/>
  <c r="Q226" i="4"/>
  <c r="P226" i="4"/>
  <c r="O226" i="4"/>
  <c r="N226" i="4"/>
  <c r="M226" i="4"/>
  <c r="L226" i="4"/>
  <c r="K226" i="4"/>
  <c r="J226" i="4"/>
  <c r="I226" i="4"/>
  <c r="H226" i="4"/>
  <c r="G226" i="4"/>
  <c r="F226" i="4"/>
  <c r="D226" i="4"/>
  <c r="C226" i="4"/>
  <c r="B226" i="4"/>
  <c r="A226" i="4"/>
  <c r="AH225" i="4"/>
  <c r="AG225" i="4"/>
  <c r="AF225" i="4"/>
  <c r="AE225" i="4"/>
  <c r="AD225" i="4"/>
  <c r="AC225" i="4"/>
  <c r="AB225" i="4"/>
  <c r="AA225" i="4"/>
  <c r="Z225" i="4"/>
  <c r="Y225" i="4"/>
  <c r="W225" i="4"/>
  <c r="T225" i="4"/>
  <c r="S225" i="4"/>
  <c r="R225" i="4"/>
  <c r="O225" i="4"/>
  <c r="N225" i="4"/>
  <c r="M225" i="4"/>
  <c r="L225" i="4"/>
  <c r="K225" i="4"/>
  <c r="J225" i="4"/>
  <c r="I225" i="4"/>
  <c r="H225" i="4"/>
  <c r="G225" i="4"/>
  <c r="F225" i="4"/>
  <c r="D225" i="4"/>
  <c r="C225" i="4"/>
  <c r="B225" i="4"/>
  <c r="A225" i="4"/>
  <c r="AC224" i="4"/>
  <c r="AB224" i="4"/>
  <c r="AA224" i="4"/>
  <c r="Z224" i="4"/>
  <c r="Y224" i="4"/>
  <c r="W224" i="4"/>
  <c r="S224" i="4"/>
  <c r="R224" i="4"/>
  <c r="Q224" i="4"/>
  <c r="P224" i="4"/>
  <c r="O224" i="4"/>
  <c r="N224" i="4"/>
  <c r="M224" i="4"/>
  <c r="L224" i="4"/>
  <c r="K224" i="4"/>
  <c r="J224" i="4"/>
  <c r="I224" i="4"/>
  <c r="H224" i="4"/>
  <c r="G224" i="4"/>
  <c r="F224" i="4"/>
  <c r="D224" i="4"/>
  <c r="C224" i="4"/>
  <c r="B224" i="4"/>
  <c r="A224" i="4"/>
  <c r="AH223" i="4"/>
  <c r="AG223" i="4"/>
  <c r="AF223" i="4"/>
  <c r="AE223" i="4"/>
  <c r="AD223" i="4"/>
  <c r="AC223" i="4"/>
  <c r="AB223" i="4"/>
  <c r="AA223" i="4"/>
  <c r="Z223" i="4"/>
  <c r="Y223" i="4"/>
  <c r="W223" i="4"/>
  <c r="T223" i="4"/>
  <c r="S223" i="4"/>
  <c r="R223" i="4"/>
  <c r="Q223" i="4"/>
  <c r="P223" i="4"/>
  <c r="O223" i="4"/>
  <c r="N223" i="4"/>
  <c r="M223" i="4"/>
  <c r="L223" i="4"/>
  <c r="K223" i="4"/>
  <c r="J223" i="4"/>
  <c r="I223" i="4"/>
  <c r="H223" i="4"/>
  <c r="G223" i="4"/>
  <c r="F223" i="4"/>
  <c r="D223" i="4"/>
  <c r="C223" i="4"/>
  <c r="B223" i="4"/>
  <c r="A223" i="4"/>
  <c r="AH222" i="4"/>
  <c r="AG222" i="4"/>
  <c r="AF222" i="4"/>
  <c r="AE222" i="4"/>
  <c r="AD222" i="4"/>
  <c r="AC222" i="4"/>
  <c r="AB222" i="4"/>
  <c r="AA222" i="4"/>
  <c r="Z222" i="4"/>
  <c r="Y222" i="4"/>
  <c r="W222" i="4"/>
  <c r="T222" i="4"/>
  <c r="S222" i="4"/>
  <c r="R222" i="4"/>
  <c r="Q222" i="4"/>
  <c r="P222" i="4"/>
  <c r="O222" i="4"/>
  <c r="N222" i="4"/>
  <c r="M222" i="4"/>
  <c r="L222" i="4"/>
  <c r="K222" i="4"/>
  <c r="J222" i="4"/>
  <c r="I222" i="4"/>
  <c r="H222" i="4"/>
  <c r="G222" i="4"/>
  <c r="F222" i="4"/>
  <c r="D222" i="4"/>
  <c r="C222" i="4"/>
  <c r="B222" i="4"/>
  <c r="A222" i="4"/>
  <c r="AH221" i="4"/>
  <c r="AG221" i="4"/>
  <c r="AF221" i="4"/>
  <c r="AE221" i="4"/>
  <c r="AD221" i="4"/>
  <c r="AC221" i="4"/>
  <c r="AB221" i="4"/>
  <c r="AA221" i="4"/>
  <c r="Z221" i="4"/>
  <c r="Y221" i="4"/>
  <c r="W221" i="4"/>
  <c r="T221" i="4"/>
  <c r="S221" i="4"/>
  <c r="R221" i="4"/>
  <c r="O221" i="4"/>
  <c r="N221" i="4"/>
  <c r="M221" i="4"/>
  <c r="L221" i="4"/>
  <c r="K221" i="4"/>
  <c r="J221" i="4"/>
  <c r="I221" i="4"/>
  <c r="H221" i="4"/>
  <c r="G221" i="4"/>
  <c r="F221" i="4"/>
  <c r="D221" i="4"/>
  <c r="C221" i="4"/>
  <c r="B221" i="4"/>
  <c r="A221" i="4"/>
  <c r="AH220" i="4"/>
  <c r="AG220" i="4"/>
  <c r="AF220" i="4"/>
  <c r="AE220" i="4"/>
  <c r="AD220" i="4"/>
  <c r="AC220" i="4"/>
  <c r="AB220" i="4"/>
  <c r="AA220" i="4"/>
  <c r="Z220" i="4"/>
  <c r="Y220" i="4"/>
  <c r="W220" i="4"/>
  <c r="T220" i="4"/>
  <c r="S220" i="4"/>
  <c r="R220" i="4"/>
  <c r="Q220" i="4"/>
  <c r="P220" i="4"/>
  <c r="O220" i="4"/>
  <c r="N220" i="4"/>
  <c r="M220" i="4"/>
  <c r="L220" i="4"/>
  <c r="K220" i="4"/>
  <c r="J220" i="4"/>
  <c r="I220" i="4"/>
  <c r="H220" i="4"/>
  <c r="G220" i="4"/>
  <c r="F220" i="4"/>
  <c r="D220" i="4"/>
  <c r="C220" i="4"/>
  <c r="B220" i="4"/>
  <c r="A220" i="4"/>
  <c r="AH219" i="4"/>
  <c r="AG219" i="4"/>
  <c r="AF219" i="4"/>
  <c r="AE219" i="4"/>
  <c r="AD219" i="4"/>
  <c r="AC219" i="4"/>
  <c r="AB219" i="4"/>
  <c r="AA219" i="4"/>
  <c r="Z219" i="4"/>
  <c r="Y219" i="4"/>
  <c r="W219" i="4"/>
  <c r="T219" i="4"/>
  <c r="S219" i="4"/>
  <c r="R219" i="4"/>
  <c r="O219" i="4"/>
  <c r="N219" i="4"/>
  <c r="M219" i="4"/>
  <c r="L219" i="4"/>
  <c r="K219" i="4"/>
  <c r="J219" i="4"/>
  <c r="I219" i="4"/>
  <c r="H219" i="4"/>
  <c r="G219" i="4"/>
  <c r="F219" i="4"/>
  <c r="D219" i="4"/>
  <c r="C219" i="4"/>
  <c r="B219" i="4"/>
  <c r="A219" i="4"/>
  <c r="AH218" i="4"/>
  <c r="AG218" i="4"/>
  <c r="AF218" i="4"/>
  <c r="AE218" i="4"/>
  <c r="AD218" i="4"/>
  <c r="AC218" i="4"/>
  <c r="AB218" i="4"/>
  <c r="AA218" i="4"/>
  <c r="Z218" i="4"/>
  <c r="Y218" i="4"/>
  <c r="W218" i="4"/>
  <c r="T218" i="4"/>
  <c r="S218" i="4"/>
  <c r="R218" i="4"/>
  <c r="O218" i="4"/>
  <c r="N218" i="4"/>
  <c r="M218" i="4"/>
  <c r="L218" i="4"/>
  <c r="K218" i="4"/>
  <c r="J218" i="4"/>
  <c r="I218" i="4"/>
  <c r="H218" i="4"/>
  <c r="G218" i="4"/>
  <c r="F218" i="4"/>
  <c r="D218" i="4"/>
  <c r="C218" i="4"/>
  <c r="B218" i="4"/>
  <c r="A218" i="4"/>
  <c r="AH217" i="4"/>
  <c r="AG217" i="4"/>
  <c r="AF217" i="4"/>
  <c r="AE217" i="4"/>
  <c r="AC217" i="4"/>
  <c r="AA217" i="4"/>
  <c r="Z217" i="4"/>
  <c r="Y217" i="4"/>
  <c r="W217" i="4"/>
  <c r="T217" i="4"/>
  <c r="S217" i="4"/>
  <c r="R217" i="4"/>
  <c r="Q217" i="4"/>
  <c r="P217" i="4"/>
  <c r="O217" i="4"/>
  <c r="N217" i="4"/>
  <c r="M217" i="4"/>
  <c r="L217" i="4"/>
  <c r="K217" i="4"/>
  <c r="J217" i="4"/>
  <c r="I217" i="4"/>
  <c r="H217" i="4"/>
  <c r="G217" i="4"/>
  <c r="F217" i="4"/>
  <c r="D217" i="4"/>
  <c r="C217" i="4"/>
  <c r="B217" i="4"/>
  <c r="A217" i="4"/>
  <c r="AH216" i="4"/>
  <c r="AG216" i="4"/>
  <c r="AF216" i="4"/>
  <c r="AE216" i="4"/>
  <c r="AD216" i="4"/>
  <c r="AC216" i="4"/>
  <c r="AB216" i="4"/>
  <c r="AA216" i="4"/>
  <c r="Z216" i="4"/>
  <c r="Y216" i="4"/>
  <c r="W216" i="4"/>
  <c r="T216" i="4"/>
  <c r="S216" i="4"/>
  <c r="R216" i="4"/>
  <c r="O216" i="4"/>
  <c r="N216" i="4"/>
  <c r="M216" i="4"/>
  <c r="L216" i="4"/>
  <c r="K216" i="4"/>
  <c r="J216" i="4"/>
  <c r="I216" i="4"/>
  <c r="H216" i="4"/>
  <c r="G216" i="4"/>
  <c r="F216" i="4"/>
  <c r="D216" i="4"/>
  <c r="C216" i="4"/>
  <c r="B216" i="4"/>
  <c r="A216" i="4"/>
  <c r="AH215" i="4"/>
  <c r="AG215" i="4"/>
  <c r="AF215" i="4"/>
  <c r="AE215" i="4"/>
  <c r="AD215" i="4"/>
  <c r="AC215" i="4"/>
  <c r="AB215" i="4"/>
  <c r="AA215" i="4"/>
  <c r="Z215" i="4"/>
  <c r="Y215" i="4"/>
  <c r="W215" i="4"/>
  <c r="U215" i="4"/>
  <c r="T215" i="4"/>
  <c r="S215" i="4"/>
  <c r="R215" i="4"/>
  <c r="O215" i="4"/>
  <c r="N215" i="4"/>
  <c r="M215" i="4"/>
  <c r="L215" i="4"/>
  <c r="K215" i="4"/>
  <c r="J215" i="4"/>
  <c r="I215" i="4"/>
  <c r="H215" i="4"/>
  <c r="G215" i="4"/>
  <c r="F215" i="4"/>
  <c r="D215" i="4"/>
  <c r="C215" i="4"/>
  <c r="B215" i="4"/>
  <c r="A215" i="4"/>
  <c r="AH214" i="4"/>
  <c r="AG214" i="4"/>
  <c r="AF214" i="4"/>
  <c r="AE214" i="4"/>
  <c r="AD214" i="4"/>
  <c r="AC214" i="4"/>
  <c r="AB214" i="4"/>
  <c r="AA214" i="4"/>
  <c r="Z214" i="4"/>
  <c r="Y214" i="4"/>
  <c r="W214" i="4"/>
  <c r="T214" i="4"/>
  <c r="S214" i="4"/>
  <c r="R214" i="4"/>
  <c r="O214" i="4"/>
  <c r="N214" i="4"/>
  <c r="M214" i="4"/>
  <c r="L214" i="4"/>
  <c r="K214" i="4"/>
  <c r="J214" i="4"/>
  <c r="I214" i="4"/>
  <c r="H214" i="4"/>
  <c r="G214" i="4"/>
  <c r="F214" i="4"/>
  <c r="D214" i="4"/>
  <c r="C214" i="4"/>
  <c r="B214" i="4"/>
  <c r="A214" i="4"/>
  <c r="AH213" i="4"/>
  <c r="AG213" i="4"/>
  <c r="AF213" i="4"/>
  <c r="AE213" i="4"/>
  <c r="AD213" i="4"/>
  <c r="AC213" i="4"/>
  <c r="AB213" i="4"/>
  <c r="AA213" i="4"/>
  <c r="Z213" i="4"/>
  <c r="Y213" i="4"/>
  <c r="W213" i="4"/>
  <c r="T213" i="4"/>
  <c r="S213" i="4"/>
  <c r="R213" i="4"/>
  <c r="O213" i="4"/>
  <c r="N213" i="4"/>
  <c r="M213" i="4"/>
  <c r="L213" i="4"/>
  <c r="K213" i="4"/>
  <c r="J213" i="4"/>
  <c r="I213" i="4"/>
  <c r="H213" i="4"/>
  <c r="G213" i="4"/>
  <c r="F213" i="4"/>
  <c r="D213" i="4"/>
  <c r="C213" i="4"/>
  <c r="B213" i="4"/>
  <c r="A213" i="4"/>
  <c r="AH212" i="4"/>
  <c r="AG212" i="4"/>
  <c r="AF212" i="4"/>
  <c r="AE212" i="4"/>
  <c r="AD212" i="4"/>
  <c r="AC212" i="4"/>
  <c r="AB212" i="4"/>
  <c r="AA212" i="4"/>
  <c r="Z212" i="4"/>
  <c r="Y212" i="4"/>
  <c r="W212" i="4"/>
  <c r="T212" i="4"/>
  <c r="S212" i="4"/>
  <c r="R212" i="4"/>
  <c r="O212" i="4"/>
  <c r="N212" i="4"/>
  <c r="M212" i="4"/>
  <c r="L212" i="4"/>
  <c r="K212" i="4"/>
  <c r="J212" i="4"/>
  <c r="I212" i="4"/>
  <c r="H212" i="4"/>
  <c r="G212" i="4"/>
  <c r="F212" i="4"/>
  <c r="D212" i="4"/>
  <c r="C212" i="4"/>
  <c r="B212" i="4"/>
  <c r="A212" i="4"/>
  <c r="AH211" i="4"/>
  <c r="AG211" i="4"/>
  <c r="AF211" i="4"/>
  <c r="AE211" i="4"/>
  <c r="AD211" i="4"/>
  <c r="AC211" i="4"/>
  <c r="AB211" i="4"/>
  <c r="AA211" i="4"/>
  <c r="Z211" i="4"/>
  <c r="Y211" i="4"/>
  <c r="W211" i="4"/>
  <c r="T211" i="4"/>
  <c r="S211" i="4"/>
  <c r="R211" i="4"/>
  <c r="O211" i="4"/>
  <c r="N211" i="4"/>
  <c r="M211" i="4"/>
  <c r="L211" i="4"/>
  <c r="K211" i="4"/>
  <c r="J211" i="4"/>
  <c r="I211" i="4"/>
  <c r="H211" i="4"/>
  <c r="G211" i="4"/>
  <c r="F211" i="4"/>
  <c r="D211" i="4"/>
  <c r="C211" i="4"/>
  <c r="B211" i="4"/>
  <c r="A211" i="4"/>
  <c r="AH210" i="4"/>
  <c r="AG210" i="4"/>
  <c r="AF210" i="4"/>
  <c r="AE210" i="4"/>
  <c r="AD210" i="4"/>
  <c r="AC210" i="4"/>
  <c r="AB210" i="4"/>
  <c r="AA210" i="4"/>
  <c r="Z210" i="4"/>
  <c r="Y210" i="4"/>
  <c r="W210" i="4"/>
  <c r="T210" i="4"/>
  <c r="S210" i="4"/>
  <c r="R210" i="4"/>
  <c r="O210" i="4"/>
  <c r="N210" i="4"/>
  <c r="M210" i="4"/>
  <c r="L210" i="4"/>
  <c r="K210" i="4"/>
  <c r="J210" i="4"/>
  <c r="I210" i="4"/>
  <c r="H210" i="4"/>
  <c r="G210" i="4"/>
  <c r="F210" i="4"/>
  <c r="D210" i="4"/>
  <c r="C210" i="4"/>
  <c r="B210" i="4"/>
  <c r="A210" i="4"/>
  <c r="AH209" i="4"/>
  <c r="AG209" i="4"/>
  <c r="AF209" i="4"/>
  <c r="AE209" i="4"/>
  <c r="AD209" i="4"/>
  <c r="AC209" i="4"/>
  <c r="AB209" i="4"/>
  <c r="AA209" i="4"/>
  <c r="Z209" i="4"/>
  <c r="Y209" i="4"/>
  <c r="W209" i="4"/>
  <c r="T209" i="4"/>
  <c r="S209" i="4"/>
  <c r="R209" i="4"/>
  <c r="O209" i="4"/>
  <c r="N209" i="4"/>
  <c r="M209" i="4"/>
  <c r="L209" i="4"/>
  <c r="K209" i="4"/>
  <c r="J209" i="4"/>
  <c r="I209" i="4"/>
  <c r="H209" i="4"/>
  <c r="G209" i="4"/>
  <c r="F209" i="4"/>
  <c r="D209" i="4"/>
  <c r="C209" i="4"/>
  <c r="B209" i="4"/>
  <c r="A209" i="4"/>
  <c r="AH208" i="4"/>
  <c r="AG208" i="4"/>
  <c r="AF208" i="4"/>
  <c r="AE208" i="4"/>
  <c r="AD208" i="4"/>
  <c r="AC208" i="4"/>
  <c r="AB208" i="4"/>
  <c r="AA208" i="4"/>
  <c r="Z208" i="4"/>
  <c r="Y208" i="4"/>
  <c r="W208" i="4"/>
  <c r="T208" i="4"/>
  <c r="S208" i="4"/>
  <c r="R208" i="4"/>
  <c r="O208" i="4"/>
  <c r="N208" i="4"/>
  <c r="M208" i="4"/>
  <c r="L208" i="4"/>
  <c r="K208" i="4"/>
  <c r="J208" i="4"/>
  <c r="I208" i="4"/>
  <c r="H208" i="4"/>
  <c r="G208" i="4"/>
  <c r="F208" i="4"/>
  <c r="D208" i="4"/>
  <c r="C208" i="4"/>
  <c r="B208" i="4"/>
  <c r="A208" i="4"/>
  <c r="AH207" i="4"/>
  <c r="AG207" i="4"/>
  <c r="AF207" i="4"/>
  <c r="AE207" i="4"/>
  <c r="AD207" i="4"/>
  <c r="AC207" i="4"/>
  <c r="AB207" i="4"/>
  <c r="AA207" i="4"/>
  <c r="Z207" i="4"/>
  <c r="Y207" i="4"/>
  <c r="W207" i="4"/>
  <c r="T207" i="4"/>
  <c r="S207" i="4"/>
  <c r="R207" i="4"/>
  <c r="O207" i="4"/>
  <c r="N207" i="4"/>
  <c r="M207" i="4"/>
  <c r="L207" i="4"/>
  <c r="K207" i="4"/>
  <c r="J207" i="4"/>
  <c r="I207" i="4"/>
  <c r="H207" i="4"/>
  <c r="G207" i="4"/>
  <c r="F207" i="4"/>
  <c r="D207" i="4"/>
  <c r="C207" i="4"/>
  <c r="B207" i="4"/>
  <c r="A207" i="4"/>
  <c r="AH206" i="4"/>
  <c r="AG206" i="4"/>
  <c r="AF206" i="4"/>
  <c r="AE206" i="4"/>
  <c r="AD206" i="4"/>
  <c r="AC206" i="4"/>
  <c r="AB206" i="4"/>
  <c r="AA206" i="4"/>
  <c r="Z206" i="4"/>
  <c r="Y206" i="4"/>
  <c r="W206" i="4"/>
  <c r="T206" i="4"/>
  <c r="S206" i="4"/>
  <c r="R206" i="4"/>
  <c r="O206" i="4"/>
  <c r="N206" i="4"/>
  <c r="M206" i="4"/>
  <c r="L206" i="4"/>
  <c r="K206" i="4"/>
  <c r="J206" i="4"/>
  <c r="I206" i="4"/>
  <c r="H206" i="4"/>
  <c r="G206" i="4"/>
  <c r="F206" i="4"/>
  <c r="D206" i="4"/>
  <c r="C206" i="4"/>
  <c r="B206" i="4"/>
  <c r="A206" i="4"/>
  <c r="AH205" i="4"/>
  <c r="AG205" i="4"/>
  <c r="AF205" i="4"/>
  <c r="AE205" i="4"/>
  <c r="AD205" i="4"/>
  <c r="AC205" i="4"/>
  <c r="AB205" i="4"/>
  <c r="AA205" i="4"/>
  <c r="Z205" i="4"/>
  <c r="Y205" i="4"/>
  <c r="W205" i="4"/>
  <c r="T205" i="4"/>
  <c r="S205" i="4"/>
  <c r="R205" i="4"/>
  <c r="O205" i="4"/>
  <c r="N205" i="4"/>
  <c r="M205" i="4"/>
  <c r="L205" i="4"/>
  <c r="K205" i="4"/>
  <c r="J205" i="4"/>
  <c r="I205" i="4"/>
  <c r="H205" i="4"/>
  <c r="G205" i="4"/>
  <c r="F205" i="4"/>
  <c r="D205" i="4"/>
  <c r="C205" i="4"/>
  <c r="B205" i="4"/>
  <c r="A205" i="4"/>
  <c r="AH204" i="4"/>
  <c r="AG204" i="4"/>
  <c r="AF204" i="4"/>
  <c r="AE204" i="4"/>
  <c r="AD204" i="4"/>
  <c r="AC204" i="4"/>
  <c r="AB204" i="4"/>
  <c r="AA204" i="4"/>
  <c r="Z204" i="4"/>
  <c r="Y204" i="4"/>
  <c r="W204" i="4"/>
  <c r="T204" i="4"/>
  <c r="S204" i="4"/>
  <c r="R204" i="4"/>
  <c r="O204" i="4"/>
  <c r="N204" i="4"/>
  <c r="M204" i="4"/>
  <c r="L204" i="4"/>
  <c r="K204" i="4"/>
  <c r="J204" i="4"/>
  <c r="I204" i="4"/>
  <c r="H204" i="4"/>
  <c r="G204" i="4"/>
  <c r="F204" i="4"/>
  <c r="D204" i="4"/>
  <c r="C204" i="4"/>
  <c r="B204" i="4"/>
  <c r="A204" i="4"/>
  <c r="AH203" i="4"/>
  <c r="AG203" i="4"/>
  <c r="AF203" i="4"/>
  <c r="AE203" i="4"/>
  <c r="AD203" i="4"/>
  <c r="AC203" i="4"/>
  <c r="AB203" i="4"/>
  <c r="AA203" i="4"/>
  <c r="Z203" i="4"/>
  <c r="Y203" i="4"/>
  <c r="W203" i="4"/>
  <c r="T203" i="4"/>
  <c r="S203" i="4"/>
  <c r="R203" i="4"/>
  <c r="O203" i="4"/>
  <c r="N203" i="4"/>
  <c r="M203" i="4"/>
  <c r="L203" i="4"/>
  <c r="K203" i="4"/>
  <c r="J203" i="4"/>
  <c r="I203" i="4"/>
  <c r="H203" i="4"/>
  <c r="G203" i="4"/>
  <c r="F203" i="4"/>
  <c r="D203" i="4"/>
  <c r="C203" i="4"/>
  <c r="B203" i="4"/>
  <c r="A203" i="4"/>
  <c r="AH202" i="4"/>
  <c r="AG202" i="4"/>
  <c r="AF202" i="4"/>
  <c r="AE202" i="4"/>
  <c r="AD202" i="4"/>
  <c r="AC202" i="4"/>
  <c r="AB202" i="4"/>
  <c r="AA202" i="4"/>
  <c r="Z202" i="4"/>
  <c r="Y202" i="4"/>
  <c r="W202" i="4"/>
  <c r="T202" i="4"/>
  <c r="S202" i="4"/>
  <c r="R202" i="4"/>
  <c r="O202" i="4"/>
  <c r="N202" i="4"/>
  <c r="M202" i="4"/>
  <c r="L202" i="4"/>
  <c r="K202" i="4"/>
  <c r="J202" i="4"/>
  <c r="I202" i="4"/>
  <c r="H202" i="4"/>
  <c r="G202" i="4"/>
  <c r="F202" i="4"/>
  <c r="D202" i="4"/>
  <c r="C202" i="4"/>
  <c r="B202" i="4"/>
  <c r="A202" i="4"/>
  <c r="AH201" i="4"/>
  <c r="AG201" i="4"/>
  <c r="AF201" i="4"/>
  <c r="AE201" i="4"/>
  <c r="AD201" i="4"/>
  <c r="AC201" i="4"/>
  <c r="AB201" i="4"/>
  <c r="AA201" i="4"/>
  <c r="Z201" i="4"/>
  <c r="Y201" i="4"/>
  <c r="W201" i="4"/>
  <c r="T201" i="4"/>
  <c r="S201" i="4"/>
  <c r="R201" i="4"/>
  <c r="O201" i="4"/>
  <c r="N201" i="4"/>
  <c r="M201" i="4"/>
  <c r="L201" i="4"/>
  <c r="K201" i="4"/>
  <c r="J201" i="4"/>
  <c r="I201" i="4"/>
  <c r="H201" i="4"/>
  <c r="G201" i="4"/>
  <c r="F201" i="4"/>
  <c r="D201" i="4"/>
  <c r="C201" i="4"/>
  <c r="B201" i="4"/>
  <c r="A201" i="4"/>
  <c r="AH200" i="4"/>
  <c r="AG200" i="4"/>
  <c r="AF200" i="4"/>
  <c r="AE200" i="4"/>
  <c r="AD200" i="4"/>
  <c r="AC200" i="4"/>
  <c r="AB200" i="4"/>
  <c r="AA200" i="4"/>
  <c r="Z200" i="4"/>
  <c r="Y200" i="4"/>
  <c r="W200" i="4"/>
  <c r="T200" i="4"/>
  <c r="S200" i="4"/>
  <c r="R200" i="4"/>
  <c r="O200" i="4"/>
  <c r="N200" i="4"/>
  <c r="M200" i="4"/>
  <c r="L200" i="4"/>
  <c r="K200" i="4"/>
  <c r="J200" i="4"/>
  <c r="I200" i="4"/>
  <c r="H200" i="4"/>
  <c r="G200" i="4"/>
  <c r="F200" i="4"/>
  <c r="D200" i="4"/>
  <c r="C200" i="4"/>
  <c r="B200" i="4"/>
  <c r="A200" i="4"/>
  <c r="AH199" i="4"/>
  <c r="AG199" i="4"/>
  <c r="AF199" i="4"/>
  <c r="AE199" i="4"/>
  <c r="AD199" i="4"/>
  <c r="AC199" i="4"/>
  <c r="AB199" i="4"/>
  <c r="AA199" i="4"/>
  <c r="Z199" i="4"/>
  <c r="Y199" i="4"/>
  <c r="W199" i="4"/>
  <c r="T199" i="4"/>
  <c r="S199" i="4"/>
  <c r="R199" i="4"/>
  <c r="O199" i="4"/>
  <c r="N199" i="4"/>
  <c r="M199" i="4"/>
  <c r="L199" i="4"/>
  <c r="K199" i="4"/>
  <c r="J199" i="4"/>
  <c r="I199" i="4"/>
  <c r="H199" i="4"/>
  <c r="G199" i="4"/>
  <c r="F199" i="4"/>
  <c r="D199" i="4"/>
  <c r="C199" i="4"/>
  <c r="B199" i="4"/>
  <c r="A199" i="4"/>
  <c r="AH198" i="4"/>
  <c r="AG198" i="4"/>
  <c r="AF198" i="4"/>
  <c r="AE198" i="4"/>
  <c r="AD198" i="4"/>
  <c r="AC198" i="4"/>
  <c r="AB198" i="4"/>
  <c r="AA198" i="4"/>
  <c r="Z198" i="4"/>
  <c r="Y198" i="4"/>
  <c r="W198" i="4"/>
  <c r="T198" i="4"/>
  <c r="S198" i="4"/>
  <c r="R198" i="4"/>
  <c r="O198" i="4"/>
  <c r="N198" i="4"/>
  <c r="M198" i="4"/>
  <c r="L198" i="4"/>
  <c r="K198" i="4"/>
  <c r="J198" i="4"/>
  <c r="I198" i="4"/>
  <c r="H198" i="4"/>
  <c r="G198" i="4"/>
  <c r="F198" i="4"/>
  <c r="D198" i="4"/>
  <c r="C198" i="4"/>
  <c r="B198" i="4"/>
  <c r="A198" i="4"/>
  <c r="AH197" i="4"/>
  <c r="AG197" i="4"/>
  <c r="AF197" i="4"/>
  <c r="AE197" i="4"/>
  <c r="AD197" i="4"/>
  <c r="AC197" i="4"/>
  <c r="AB197" i="4"/>
  <c r="AA197" i="4"/>
  <c r="Z197" i="4"/>
  <c r="Y197" i="4"/>
  <c r="W197" i="4"/>
  <c r="T197" i="4"/>
  <c r="S197" i="4"/>
  <c r="R197" i="4"/>
  <c r="O197" i="4"/>
  <c r="N197" i="4"/>
  <c r="M197" i="4"/>
  <c r="L197" i="4"/>
  <c r="K197" i="4"/>
  <c r="J197" i="4"/>
  <c r="I197" i="4"/>
  <c r="H197" i="4"/>
  <c r="G197" i="4"/>
  <c r="F197" i="4"/>
  <c r="D197" i="4"/>
  <c r="C197" i="4"/>
  <c r="B197" i="4"/>
  <c r="A197" i="4"/>
  <c r="AH196" i="4"/>
  <c r="AG196" i="4"/>
  <c r="AF196" i="4"/>
  <c r="AE196" i="4"/>
  <c r="AD196" i="4"/>
  <c r="AC196" i="4"/>
  <c r="AB196" i="4"/>
  <c r="AA196" i="4"/>
  <c r="Z196" i="4"/>
  <c r="Y196" i="4"/>
  <c r="W196" i="4"/>
  <c r="T196" i="4"/>
  <c r="S196" i="4"/>
  <c r="R196" i="4"/>
  <c r="O196" i="4"/>
  <c r="N196" i="4"/>
  <c r="M196" i="4"/>
  <c r="L196" i="4"/>
  <c r="K196" i="4"/>
  <c r="J196" i="4"/>
  <c r="I196" i="4"/>
  <c r="H196" i="4"/>
  <c r="G196" i="4"/>
  <c r="F196" i="4"/>
  <c r="D196" i="4"/>
  <c r="C196" i="4"/>
  <c r="B196" i="4"/>
  <c r="A196" i="4"/>
  <c r="AH195" i="4"/>
  <c r="AG195" i="4"/>
  <c r="AF195" i="4"/>
  <c r="AE195" i="4"/>
  <c r="AD195" i="4"/>
  <c r="AC195" i="4"/>
  <c r="AB195" i="4"/>
  <c r="AA195" i="4"/>
  <c r="Z195" i="4"/>
  <c r="Y195" i="4"/>
  <c r="W195" i="4"/>
  <c r="U195" i="4"/>
  <c r="T195" i="4"/>
  <c r="S195" i="4"/>
  <c r="R195" i="4"/>
  <c r="O195" i="4"/>
  <c r="N195" i="4"/>
  <c r="M195" i="4"/>
  <c r="L195" i="4"/>
  <c r="K195" i="4"/>
  <c r="J195" i="4"/>
  <c r="I195" i="4"/>
  <c r="H195" i="4"/>
  <c r="G195" i="4"/>
  <c r="F195" i="4"/>
  <c r="D195" i="4"/>
  <c r="C195" i="4"/>
  <c r="B195" i="4"/>
  <c r="A195" i="4"/>
  <c r="AH194" i="4"/>
  <c r="AG194" i="4"/>
  <c r="AF194" i="4"/>
  <c r="AE194" i="4"/>
  <c r="AD194" i="4"/>
  <c r="AC194" i="4"/>
  <c r="AB194" i="4"/>
  <c r="AA194" i="4"/>
  <c r="Z194" i="4"/>
  <c r="Y194" i="4"/>
  <c r="W194" i="4"/>
  <c r="T194" i="4"/>
  <c r="S194" i="4"/>
  <c r="R194" i="4"/>
  <c r="O194" i="4"/>
  <c r="N194" i="4"/>
  <c r="M194" i="4"/>
  <c r="L194" i="4"/>
  <c r="K194" i="4"/>
  <c r="J194" i="4"/>
  <c r="I194" i="4"/>
  <c r="H194" i="4"/>
  <c r="G194" i="4"/>
  <c r="F194" i="4"/>
  <c r="D194" i="4"/>
  <c r="C194" i="4"/>
  <c r="B194" i="4"/>
  <c r="A194" i="4"/>
  <c r="AH193" i="4"/>
  <c r="AG193" i="4"/>
  <c r="AF193" i="4"/>
  <c r="AE193" i="4"/>
  <c r="AD193" i="4"/>
  <c r="AC193" i="4"/>
  <c r="AB193" i="4"/>
  <c r="AA193" i="4"/>
  <c r="Z193" i="4"/>
  <c r="Y193" i="4"/>
  <c r="W193" i="4"/>
  <c r="T193" i="4"/>
  <c r="S193" i="4"/>
  <c r="R193" i="4"/>
  <c r="O193" i="4"/>
  <c r="N193" i="4"/>
  <c r="M193" i="4"/>
  <c r="L193" i="4"/>
  <c r="K193" i="4"/>
  <c r="J193" i="4"/>
  <c r="I193" i="4"/>
  <c r="H193" i="4"/>
  <c r="G193" i="4"/>
  <c r="F193" i="4"/>
  <c r="D193" i="4"/>
  <c r="C193" i="4"/>
  <c r="B193" i="4"/>
  <c r="A193" i="4"/>
  <c r="AH192" i="4"/>
  <c r="AG192" i="4"/>
  <c r="AF192" i="4"/>
  <c r="AE192" i="4"/>
  <c r="AD192" i="4"/>
  <c r="AC192" i="4"/>
  <c r="AA192" i="4"/>
  <c r="Z192" i="4"/>
  <c r="Y192" i="4"/>
  <c r="W192" i="4"/>
  <c r="T192" i="4"/>
  <c r="S192" i="4"/>
  <c r="R192" i="4"/>
  <c r="O192" i="4"/>
  <c r="N192" i="4"/>
  <c r="M192" i="4"/>
  <c r="L192" i="4"/>
  <c r="K192" i="4"/>
  <c r="J192" i="4"/>
  <c r="I192" i="4"/>
  <c r="H192" i="4"/>
  <c r="G192" i="4"/>
  <c r="F192" i="4"/>
  <c r="D192" i="4"/>
  <c r="C192" i="4"/>
  <c r="B192" i="4"/>
  <c r="A192" i="4"/>
  <c r="AH191" i="4"/>
  <c r="AG191" i="4"/>
  <c r="AF191" i="4"/>
  <c r="AE191" i="4"/>
  <c r="AC191" i="4"/>
  <c r="AA191" i="4"/>
  <c r="Z191" i="4"/>
  <c r="Y191" i="4"/>
  <c r="W191" i="4"/>
  <c r="T191" i="4"/>
  <c r="S191" i="4"/>
  <c r="R191" i="4"/>
  <c r="Q191" i="4"/>
  <c r="P191" i="4"/>
  <c r="O191" i="4"/>
  <c r="N191" i="4"/>
  <c r="M191" i="4"/>
  <c r="L191" i="4"/>
  <c r="K191" i="4"/>
  <c r="J191" i="4"/>
  <c r="I191" i="4"/>
  <c r="H191" i="4"/>
  <c r="G191" i="4"/>
  <c r="F191" i="4"/>
  <c r="D191" i="4"/>
  <c r="C191" i="4"/>
  <c r="B191" i="4"/>
  <c r="A191" i="4"/>
  <c r="AH190" i="4"/>
  <c r="AG190" i="4"/>
  <c r="AF190" i="4"/>
  <c r="AE190" i="4"/>
  <c r="AD190" i="4"/>
  <c r="AC190" i="4"/>
  <c r="AB190" i="4"/>
  <c r="AA190" i="4"/>
  <c r="Z190" i="4"/>
  <c r="Y190" i="4"/>
  <c r="W190" i="4"/>
  <c r="T190" i="4"/>
  <c r="S190" i="4"/>
  <c r="R190" i="4"/>
  <c r="O190" i="4"/>
  <c r="N190" i="4"/>
  <c r="M190" i="4"/>
  <c r="L190" i="4"/>
  <c r="K190" i="4"/>
  <c r="J190" i="4"/>
  <c r="I190" i="4"/>
  <c r="H190" i="4"/>
  <c r="G190" i="4"/>
  <c r="F190" i="4"/>
  <c r="D190" i="4"/>
  <c r="C190" i="4"/>
  <c r="B190" i="4"/>
  <c r="A190" i="4"/>
  <c r="AH189" i="4"/>
  <c r="AG189" i="4"/>
  <c r="AF189" i="4"/>
  <c r="AE189" i="4"/>
  <c r="AD189" i="4"/>
  <c r="AC189" i="4"/>
  <c r="AB189" i="4"/>
  <c r="AA189" i="4"/>
  <c r="Z189" i="4"/>
  <c r="Y189" i="4"/>
  <c r="W189" i="4"/>
  <c r="U189" i="4"/>
  <c r="T189" i="4"/>
  <c r="S189" i="4"/>
  <c r="R189" i="4"/>
  <c r="O189" i="4"/>
  <c r="N189" i="4"/>
  <c r="M189" i="4"/>
  <c r="L189" i="4"/>
  <c r="K189" i="4"/>
  <c r="J189" i="4"/>
  <c r="I189" i="4"/>
  <c r="H189" i="4"/>
  <c r="G189" i="4"/>
  <c r="F189" i="4"/>
  <c r="D189" i="4"/>
  <c r="C189" i="4"/>
  <c r="B189" i="4"/>
  <c r="A189" i="4"/>
  <c r="AH188" i="4"/>
  <c r="AG188" i="4"/>
  <c r="AF188" i="4"/>
  <c r="AE188" i="4"/>
  <c r="AD188" i="4"/>
  <c r="AC188" i="4"/>
  <c r="AB188" i="4"/>
  <c r="AA188" i="4"/>
  <c r="Z188" i="4"/>
  <c r="Y188" i="4"/>
  <c r="W188" i="4"/>
  <c r="T188" i="4"/>
  <c r="S188" i="4"/>
  <c r="R188" i="4"/>
  <c r="Q188" i="4"/>
  <c r="O188" i="4"/>
  <c r="N188" i="4"/>
  <c r="M188" i="4"/>
  <c r="L188" i="4"/>
  <c r="K188" i="4"/>
  <c r="J188" i="4"/>
  <c r="I188" i="4"/>
  <c r="H188" i="4"/>
  <c r="G188" i="4"/>
  <c r="F188" i="4"/>
  <c r="D188" i="4"/>
  <c r="C188" i="4"/>
  <c r="B188" i="4"/>
  <c r="A188" i="4"/>
  <c r="AH187" i="4"/>
  <c r="AG187" i="4"/>
  <c r="AF187" i="4"/>
  <c r="AE187" i="4"/>
  <c r="AD187" i="4"/>
  <c r="AC187" i="4"/>
  <c r="AB187" i="4"/>
  <c r="AA187" i="4"/>
  <c r="Z187" i="4"/>
  <c r="Y187" i="4"/>
  <c r="W187" i="4"/>
  <c r="T187" i="4"/>
  <c r="S187" i="4"/>
  <c r="R187" i="4"/>
  <c r="Q187" i="4"/>
  <c r="P187" i="4"/>
  <c r="O187" i="4"/>
  <c r="N187" i="4"/>
  <c r="M187" i="4"/>
  <c r="L187" i="4"/>
  <c r="K187" i="4"/>
  <c r="J187" i="4"/>
  <c r="I187" i="4"/>
  <c r="H187" i="4"/>
  <c r="G187" i="4"/>
  <c r="F187" i="4"/>
  <c r="D187" i="4"/>
  <c r="C187" i="4"/>
  <c r="B187" i="4"/>
  <c r="A187" i="4"/>
  <c r="AH186" i="4"/>
  <c r="AG186" i="4"/>
  <c r="AF186" i="4"/>
  <c r="AE186" i="4"/>
  <c r="AD186" i="4"/>
  <c r="AC186" i="4"/>
  <c r="AB186" i="4"/>
  <c r="AA186" i="4"/>
  <c r="Z186" i="4"/>
  <c r="Y186" i="4"/>
  <c r="W186" i="4"/>
  <c r="S186" i="4"/>
  <c r="R186" i="4"/>
  <c r="Q186" i="4"/>
  <c r="P186" i="4"/>
  <c r="O186" i="4"/>
  <c r="N186" i="4"/>
  <c r="M186" i="4"/>
  <c r="L186" i="4"/>
  <c r="K186" i="4"/>
  <c r="J186" i="4"/>
  <c r="I186" i="4"/>
  <c r="H186" i="4"/>
  <c r="G186" i="4"/>
  <c r="F186" i="4"/>
  <c r="D186" i="4"/>
  <c r="C186" i="4"/>
  <c r="B186" i="4"/>
  <c r="A186" i="4"/>
  <c r="AH185" i="4"/>
  <c r="AG185" i="4"/>
  <c r="AF185" i="4"/>
  <c r="AE185" i="4"/>
  <c r="AD185" i="4"/>
  <c r="AC185" i="4"/>
  <c r="AA185" i="4"/>
  <c r="Z185" i="4"/>
  <c r="Y185" i="4"/>
  <c r="W185" i="4"/>
  <c r="T185" i="4"/>
  <c r="S185" i="4"/>
  <c r="R185" i="4"/>
  <c r="O185" i="4"/>
  <c r="N185" i="4"/>
  <c r="M185" i="4"/>
  <c r="L185" i="4"/>
  <c r="K185" i="4"/>
  <c r="J185" i="4"/>
  <c r="I185" i="4"/>
  <c r="H185" i="4"/>
  <c r="G185" i="4"/>
  <c r="F185" i="4"/>
  <c r="D185" i="4"/>
  <c r="C185" i="4"/>
  <c r="B185" i="4"/>
  <c r="A185" i="4"/>
  <c r="AH184" i="4"/>
  <c r="AG184" i="4"/>
  <c r="AF184" i="4"/>
  <c r="AE184" i="4"/>
  <c r="AD184" i="4"/>
  <c r="AC184" i="4"/>
  <c r="AB184" i="4"/>
  <c r="AA184" i="4"/>
  <c r="Z184" i="4"/>
  <c r="Y184" i="4"/>
  <c r="W184" i="4"/>
  <c r="T184" i="4"/>
  <c r="S184" i="4"/>
  <c r="R184" i="4"/>
  <c r="Q184" i="4"/>
  <c r="P184" i="4"/>
  <c r="O184" i="4"/>
  <c r="N184" i="4"/>
  <c r="M184" i="4"/>
  <c r="L184" i="4"/>
  <c r="K184" i="4"/>
  <c r="J184" i="4"/>
  <c r="I184" i="4"/>
  <c r="H184" i="4"/>
  <c r="G184" i="4"/>
  <c r="F184" i="4"/>
  <c r="D184" i="4"/>
  <c r="C184" i="4"/>
  <c r="B184" i="4"/>
  <c r="A184" i="4"/>
  <c r="AH183" i="4"/>
  <c r="AG183" i="4"/>
  <c r="AF183" i="4"/>
  <c r="AE183" i="4"/>
  <c r="AD183" i="4"/>
  <c r="AC183" i="4"/>
  <c r="AB183" i="4"/>
  <c r="AA183" i="4"/>
  <c r="Z183" i="4"/>
  <c r="Y183" i="4"/>
  <c r="W183" i="4"/>
  <c r="T183" i="4"/>
  <c r="S183" i="4"/>
  <c r="R183" i="4"/>
  <c r="O183" i="4"/>
  <c r="N183" i="4"/>
  <c r="M183" i="4"/>
  <c r="L183" i="4"/>
  <c r="K183" i="4"/>
  <c r="J183" i="4"/>
  <c r="I183" i="4"/>
  <c r="H183" i="4"/>
  <c r="G183" i="4"/>
  <c r="F183" i="4"/>
  <c r="D183" i="4"/>
  <c r="C183" i="4"/>
  <c r="B183" i="4"/>
  <c r="A183" i="4"/>
  <c r="AH182" i="4"/>
  <c r="AG182" i="4"/>
  <c r="AF182" i="4"/>
  <c r="AE182" i="4"/>
  <c r="AD182" i="4"/>
  <c r="AC182" i="4"/>
  <c r="AB182" i="4"/>
  <c r="AA182" i="4"/>
  <c r="Z182" i="4"/>
  <c r="Y182" i="4"/>
  <c r="W182" i="4"/>
  <c r="T182" i="4"/>
  <c r="S182" i="4"/>
  <c r="R182" i="4"/>
  <c r="O182" i="4"/>
  <c r="N182" i="4"/>
  <c r="M182" i="4"/>
  <c r="L182" i="4"/>
  <c r="K182" i="4"/>
  <c r="J182" i="4"/>
  <c r="I182" i="4"/>
  <c r="H182" i="4"/>
  <c r="G182" i="4"/>
  <c r="F182" i="4"/>
  <c r="D182" i="4"/>
  <c r="C182" i="4"/>
  <c r="B182" i="4"/>
  <c r="A182" i="4"/>
  <c r="AH181" i="4"/>
  <c r="AG181" i="4"/>
  <c r="AF181" i="4"/>
  <c r="AE181" i="4"/>
  <c r="AD181" i="4"/>
  <c r="AC181" i="4"/>
  <c r="AB181" i="4"/>
  <c r="AA181" i="4"/>
  <c r="Z181" i="4"/>
  <c r="Y181" i="4"/>
  <c r="W181" i="4"/>
  <c r="T181" i="4"/>
  <c r="S181" i="4"/>
  <c r="R181" i="4"/>
  <c r="O181" i="4"/>
  <c r="N181" i="4"/>
  <c r="M181" i="4"/>
  <c r="L181" i="4"/>
  <c r="K181" i="4"/>
  <c r="J181" i="4"/>
  <c r="I181" i="4"/>
  <c r="H181" i="4"/>
  <c r="G181" i="4"/>
  <c r="F181" i="4"/>
  <c r="D181" i="4"/>
  <c r="C181" i="4"/>
  <c r="B181" i="4"/>
  <c r="A181" i="4"/>
  <c r="AH180" i="4"/>
  <c r="AG180" i="4"/>
  <c r="AF180" i="4"/>
  <c r="AE180" i="4"/>
  <c r="AD180" i="4"/>
  <c r="AC180" i="4"/>
  <c r="AB180" i="4"/>
  <c r="AA180" i="4"/>
  <c r="Z180" i="4"/>
  <c r="Y180" i="4"/>
  <c r="W180" i="4"/>
  <c r="T180" i="4"/>
  <c r="S180" i="4"/>
  <c r="R180" i="4"/>
  <c r="O180" i="4"/>
  <c r="N180" i="4"/>
  <c r="M180" i="4"/>
  <c r="L180" i="4"/>
  <c r="K180" i="4"/>
  <c r="J180" i="4"/>
  <c r="I180" i="4"/>
  <c r="H180" i="4"/>
  <c r="G180" i="4"/>
  <c r="F180" i="4"/>
  <c r="D180" i="4"/>
  <c r="C180" i="4"/>
  <c r="B180" i="4"/>
  <c r="A180" i="4"/>
  <c r="AH179" i="4"/>
  <c r="AG179" i="4"/>
  <c r="AF179" i="4"/>
  <c r="AE179" i="4"/>
  <c r="AD179" i="4"/>
  <c r="AC179" i="4"/>
  <c r="AB179" i="4"/>
  <c r="AA179" i="4"/>
  <c r="Z179" i="4"/>
  <c r="Y179" i="4"/>
  <c r="W179" i="4"/>
  <c r="T179" i="4"/>
  <c r="S179" i="4"/>
  <c r="R179" i="4"/>
  <c r="O179" i="4"/>
  <c r="N179" i="4"/>
  <c r="M179" i="4"/>
  <c r="L179" i="4"/>
  <c r="K179" i="4"/>
  <c r="J179" i="4"/>
  <c r="I179" i="4"/>
  <c r="H179" i="4"/>
  <c r="G179" i="4"/>
  <c r="F179" i="4"/>
  <c r="D179" i="4"/>
  <c r="C179" i="4"/>
  <c r="B179" i="4"/>
  <c r="A179" i="4"/>
  <c r="AH178" i="4"/>
  <c r="AG178" i="4"/>
  <c r="AF178" i="4"/>
  <c r="AE178" i="4"/>
  <c r="AD178" i="4"/>
  <c r="AC178" i="4"/>
  <c r="AB178" i="4"/>
  <c r="AA178" i="4"/>
  <c r="Z178" i="4"/>
  <c r="Y178" i="4"/>
  <c r="W178" i="4"/>
  <c r="T178" i="4"/>
  <c r="S178" i="4"/>
  <c r="R178" i="4"/>
  <c r="O178" i="4"/>
  <c r="N178" i="4"/>
  <c r="M178" i="4"/>
  <c r="L178" i="4"/>
  <c r="K178" i="4"/>
  <c r="J178" i="4"/>
  <c r="I178" i="4"/>
  <c r="H178" i="4"/>
  <c r="G178" i="4"/>
  <c r="F178" i="4"/>
  <c r="D178" i="4"/>
  <c r="C178" i="4"/>
  <c r="B178" i="4"/>
  <c r="A178" i="4"/>
  <c r="AH177" i="4"/>
  <c r="AG177" i="4"/>
  <c r="AF177" i="4"/>
  <c r="AE177" i="4"/>
  <c r="AD177" i="4"/>
  <c r="AC177" i="4"/>
  <c r="AB177" i="4"/>
  <c r="AA177" i="4"/>
  <c r="Z177" i="4"/>
  <c r="Y177" i="4"/>
  <c r="W177" i="4"/>
  <c r="T177" i="4"/>
  <c r="S177" i="4"/>
  <c r="R177" i="4"/>
  <c r="O177" i="4"/>
  <c r="N177" i="4"/>
  <c r="M177" i="4"/>
  <c r="L177" i="4"/>
  <c r="K177" i="4"/>
  <c r="J177" i="4"/>
  <c r="I177" i="4"/>
  <c r="H177" i="4"/>
  <c r="G177" i="4"/>
  <c r="F177" i="4"/>
  <c r="D177" i="4"/>
  <c r="C177" i="4"/>
  <c r="B177" i="4"/>
  <c r="A177" i="4"/>
  <c r="AH176" i="4"/>
  <c r="AG176" i="4"/>
  <c r="AF176" i="4"/>
  <c r="AE176" i="4"/>
  <c r="AD176" i="4"/>
  <c r="AC176" i="4"/>
  <c r="AB176" i="4"/>
  <c r="AA176" i="4"/>
  <c r="Z176" i="4"/>
  <c r="Y176" i="4"/>
  <c r="W176" i="4"/>
  <c r="T176" i="4"/>
  <c r="S176" i="4"/>
  <c r="R176" i="4"/>
  <c r="O176" i="4"/>
  <c r="N176" i="4"/>
  <c r="M176" i="4"/>
  <c r="L176" i="4"/>
  <c r="K176" i="4"/>
  <c r="J176" i="4"/>
  <c r="I176" i="4"/>
  <c r="H176" i="4"/>
  <c r="G176" i="4"/>
  <c r="F176" i="4"/>
  <c r="D176" i="4"/>
  <c r="C176" i="4"/>
  <c r="B176" i="4"/>
  <c r="A176" i="4"/>
  <c r="AH175" i="4"/>
  <c r="AG175" i="4"/>
  <c r="AF175" i="4"/>
  <c r="AE175" i="4"/>
  <c r="AD175" i="4"/>
  <c r="AC175" i="4"/>
  <c r="AB175" i="4"/>
  <c r="AA175" i="4"/>
  <c r="Z175" i="4"/>
  <c r="Y175" i="4"/>
  <c r="W175" i="4"/>
  <c r="T175" i="4"/>
  <c r="S175" i="4"/>
  <c r="R175" i="4"/>
  <c r="O175" i="4"/>
  <c r="N175" i="4"/>
  <c r="M175" i="4"/>
  <c r="L175" i="4"/>
  <c r="K175" i="4"/>
  <c r="J175" i="4"/>
  <c r="I175" i="4"/>
  <c r="H175" i="4"/>
  <c r="G175" i="4"/>
  <c r="F175" i="4"/>
  <c r="D175" i="4"/>
  <c r="C175" i="4"/>
  <c r="B175" i="4"/>
  <c r="A175" i="4"/>
  <c r="AH174" i="4"/>
  <c r="AG174" i="4"/>
  <c r="AF174" i="4"/>
  <c r="AE174" i="4"/>
  <c r="AD174" i="4"/>
  <c r="AC174" i="4"/>
  <c r="AA174" i="4"/>
  <c r="Z174" i="4"/>
  <c r="Y174" i="4"/>
  <c r="W174" i="4"/>
  <c r="S174" i="4"/>
  <c r="R174" i="4"/>
  <c r="Q174" i="4"/>
  <c r="P174" i="4"/>
  <c r="O174" i="4"/>
  <c r="N174" i="4"/>
  <c r="M174" i="4"/>
  <c r="L174" i="4"/>
  <c r="K174" i="4"/>
  <c r="J174" i="4"/>
  <c r="I174" i="4"/>
  <c r="H174" i="4"/>
  <c r="G174" i="4"/>
  <c r="F174" i="4"/>
  <c r="D174" i="4"/>
  <c r="C174" i="4"/>
  <c r="B174" i="4"/>
  <c r="A174" i="4"/>
  <c r="AH173" i="4"/>
  <c r="AG173" i="4"/>
  <c r="AF173" i="4"/>
  <c r="AE173" i="4"/>
  <c r="AD173" i="4"/>
  <c r="AC173" i="4"/>
  <c r="AB173" i="4"/>
  <c r="AA173" i="4"/>
  <c r="Z173" i="4"/>
  <c r="Y173" i="4"/>
  <c r="W173" i="4"/>
  <c r="T173" i="4"/>
  <c r="S173" i="4"/>
  <c r="R173" i="4"/>
  <c r="O173" i="4"/>
  <c r="N173" i="4"/>
  <c r="M173" i="4"/>
  <c r="L173" i="4"/>
  <c r="K173" i="4"/>
  <c r="J173" i="4"/>
  <c r="I173" i="4"/>
  <c r="H173" i="4"/>
  <c r="G173" i="4"/>
  <c r="F173" i="4"/>
  <c r="D173" i="4"/>
  <c r="C173" i="4"/>
  <c r="B173" i="4"/>
  <c r="A173" i="4"/>
  <c r="AH172" i="4"/>
  <c r="AG172" i="4"/>
  <c r="AF172" i="4"/>
  <c r="AE172" i="4"/>
  <c r="AD172" i="4"/>
  <c r="AC172" i="4"/>
  <c r="AB172" i="4"/>
  <c r="AA172" i="4"/>
  <c r="Z172" i="4"/>
  <c r="Y172" i="4"/>
  <c r="W172" i="4"/>
  <c r="T172" i="4"/>
  <c r="S172" i="4"/>
  <c r="R172" i="4"/>
  <c r="O172" i="4"/>
  <c r="N172" i="4"/>
  <c r="M172" i="4"/>
  <c r="L172" i="4"/>
  <c r="K172" i="4"/>
  <c r="J172" i="4"/>
  <c r="I172" i="4"/>
  <c r="H172" i="4"/>
  <c r="G172" i="4"/>
  <c r="F172" i="4"/>
  <c r="D172" i="4"/>
  <c r="C172" i="4"/>
  <c r="B172" i="4"/>
  <c r="A172" i="4"/>
  <c r="AG171" i="4"/>
  <c r="AF171" i="4"/>
  <c r="AE171" i="4"/>
  <c r="AC171" i="4"/>
  <c r="AA171" i="4"/>
  <c r="Z171" i="4"/>
  <c r="Y171" i="4"/>
  <c r="W171" i="4"/>
  <c r="T171" i="4"/>
  <c r="S171" i="4"/>
  <c r="R171" i="4"/>
  <c r="O171" i="4"/>
  <c r="N171" i="4"/>
  <c r="M171" i="4"/>
  <c r="L171" i="4"/>
  <c r="K171" i="4"/>
  <c r="J171" i="4"/>
  <c r="I171" i="4"/>
  <c r="H171" i="4"/>
  <c r="G171" i="4"/>
  <c r="F171" i="4"/>
  <c r="D171" i="4"/>
  <c r="C171" i="4"/>
  <c r="B171" i="4"/>
  <c r="A171" i="4"/>
  <c r="AH170" i="4"/>
  <c r="AG170" i="4"/>
  <c r="AF170" i="4"/>
  <c r="AE170" i="4"/>
  <c r="AD170" i="4"/>
  <c r="AC170" i="4"/>
  <c r="AB170" i="4"/>
  <c r="AA170" i="4"/>
  <c r="Z170" i="4"/>
  <c r="Y170" i="4"/>
  <c r="W170" i="4"/>
  <c r="U170" i="4"/>
  <c r="S170" i="4"/>
  <c r="R170" i="4"/>
  <c r="Q170" i="4"/>
  <c r="P170" i="4"/>
  <c r="O170" i="4"/>
  <c r="N170" i="4"/>
  <c r="M170" i="4"/>
  <c r="L170" i="4"/>
  <c r="K170" i="4"/>
  <c r="J170" i="4"/>
  <c r="I170" i="4"/>
  <c r="H170" i="4"/>
  <c r="G170" i="4"/>
  <c r="F170" i="4"/>
  <c r="D170" i="4"/>
  <c r="C170" i="4"/>
  <c r="B170" i="4"/>
  <c r="A170" i="4"/>
  <c r="AH169" i="4"/>
  <c r="AG169" i="4"/>
  <c r="AF169" i="4"/>
  <c r="AE169" i="4"/>
  <c r="AD169" i="4"/>
  <c r="AC169" i="4"/>
  <c r="AB169" i="4"/>
  <c r="AA169" i="4"/>
  <c r="Z169" i="4"/>
  <c r="Y169" i="4"/>
  <c r="W169" i="4"/>
  <c r="T169" i="4"/>
  <c r="S169" i="4"/>
  <c r="R169" i="4"/>
  <c r="O169" i="4"/>
  <c r="N169" i="4"/>
  <c r="M169" i="4"/>
  <c r="L169" i="4"/>
  <c r="K169" i="4"/>
  <c r="J169" i="4"/>
  <c r="I169" i="4"/>
  <c r="H169" i="4"/>
  <c r="G169" i="4"/>
  <c r="F169" i="4"/>
  <c r="D169" i="4"/>
  <c r="C169" i="4"/>
  <c r="B169" i="4"/>
  <c r="A169" i="4"/>
  <c r="AH168" i="4"/>
  <c r="AG168" i="4"/>
  <c r="AF168" i="4"/>
  <c r="AE168" i="4"/>
  <c r="AD168" i="4"/>
  <c r="AC168" i="4"/>
  <c r="AB168" i="4"/>
  <c r="AA168" i="4"/>
  <c r="Z168" i="4"/>
  <c r="Y168" i="4"/>
  <c r="W168" i="4"/>
  <c r="T168" i="4"/>
  <c r="S168" i="4"/>
  <c r="R168" i="4"/>
  <c r="O168" i="4"/>
  <c r="N168" i="4"/>
  <c r="M168" i="4"/>
  <c r="L168" i="4"/>
  <c r="K168" i="4"/>
  <c r="J168" i="4"/>
  <c r="I168" i="4"/>
  <c r="H168" i="4"/>
  <c r="G168" i="4"/>
  <c r="F168" i="4"/>
  <c r="D168" i="4"/>
  <c r="C168" i="4"/>
  <c r="B168" i="4"/>
  <c r="A168" i="4"/>
  <c r="AH167" i="4"/>
  <c r="AG167" i="4"/>
  <c r="AF167" i="4"/>
  <c r="AE167" i="4"/>
  <c r="AC167" i="4"/>
  <c r="AA167" i="4"/>
  <c r="Z167" i="4"/>
  <c r="Y167" i="4"/>
  <c r="W167" i="4"/>
  <c r="T167" i="4"/>
  <c r="S167" i="4"/>
  <c r="R167" i="4"/>
  <c r="Q167" i="4"/>
  <c r="P167" i="4"/>
  <c r="O167" i="4"/>
  <c r="N167" i="4"/>
  <c r="M167" i="4"/>
  <c r="L167" i="4"/>
  <c r="K167" i="4"/>
  <c r="J167" i="4"/>
  <c r="I167" i="4"/>
  <c r="H167" i="4"/>
  <c r="G167" i="4"/>
  <c r="F167" i="4"/>
  <c r="D167" i="4"/>
  <c r="C167" i="4"/>
  <c r="B167" i="4"/>
  <c r="A167" i="4"/>
  <c r="AH166" i="4"/>
  <c r="AG166" i="4"/>
  <c r="AF166" i="4"/>
  <c r="AE166" i="4"/>
  <c r="AD166" i="4"/>
  <c r="AC166" i="4"/>
  <c r="AB166" i="4"/>
  <c r="AA166" i="4"/>
  <c r="Z166" i="4"/>
  <c r="Y166" i="4"/>
  <c r="W166" i="4"/>
  <c r="T166" i="4"/>
  <c r="S166" i="4"/>
  <c r="R166" i="4"/>
  <c r="O166" i="4"/>
  <c r="N166" i="4"/>
  <c r="M166" i="4"/>
  <c r="L166" i="4"/>
  <c r="K166" i="4"/>
  <c r="J166" i="4"/>
  <c r="I166" i="4"/>
  <c r="H166" i="4"/>
  <c r="G166" i="4"/>
  <c r="F166" i="4"/>
  <c r="D166" i="4"/>
  <c r="C166" i="4"/>
  <c r="B166" i="4"/>
  <c r="A166" i="4"/>
  <c r="AH165" i="4"/>
  <c r="AG165" i="4"/>
  <c r="AF165" i="4"/>
  <c r="AE165" i="4"/>
  <c r="AD165" i="4"/>
  <c r="AC165" i="4"/>
  <c r="AB165" i="4"/>
  <c r="AA165" i="4"/>
  <c r="Z165" i="4"/>
  <c r="Y165" i="4"/>
  <c r="W165" i="4"/>
  <c r="T165" i="4"/>
  <c r="S165" i="4"/>
  <c r="R165" i="4"/>
  <c r="O165" i="4"/>
  <c r="N165" i="4"/>
  <c r="M165" i="4"/>
  <c r="L165" i="4"/>
  <c r="K165" i="4"/>
  <c r="J165" i="4"/>
  <c r="I165" i="4"/>
  <c r="H165" i="4"/>
  <c r="G165" i="4"/>
  <c r="F165" i="4"/>
  <c r="D165" i="4"/>
  <c r="C165" i="4"/>
  <c r="B165" i="4"/>
  <c r="A165" i="4"/>
  <c r="AH164" i="4"/>
  <c r="AG164" i="4"/>
  <c r="AF164" i="4"/>
  <c r="AE164" i="4"/>
  <c r="AD164" i="4"/>
  <c r="AC164" i="4"/>
  <c r="AB164" i="4"/>
  <c r="AA164" i="4"/>
  <c r="Z164" i="4"/>
  <c r="Y164" i="4"/>
  <c r="W164" i="4"/>
  <c r="T164" i="4"/>
  <c r="S164" i="4"/>
  <c r="R164" i="4"/>
  <c r="O164" i="4"/>
  <c r="N164" i="4"/>
  <c r="M164" i="4"/>
  <c r="L164" i="4"/>
  <c r="K164" i="4"/>
  <c r="J164" i="4"/>
  <c r="I164" i="4"/>
  <c r="H164" i="4"/>
  <c r="G164" i="4"/>
  <c r="F164" i="4"/>
  <c r="D164" i="4"/>
  <c r="C164" i="4"/>
  <c r="B164" i="4"/>
  <c r="A164" i="4"/>
  <c r="AG163" i="4"/>
  <c r="AF163" i="4"/>
  <c r="AE163" i="4"/>
  <c r="AC163" i="4"/>
  <c r="AB163" i="4"/>
  <c r="AA163" i="4"/>
  <c r="Z163" i="4"/>
  <c r="Y163" i="4"/>
  <c r="W163" i="4"/>
  <c r="T163" i="4"/>
  <c r="S163" i="4"/>
  <c r="R163" i="4"/>
  <c r="O163" i="4"/>
  <c r="N163" i="4"/>
  <c r="M163" i="4"/>
  <c r="L163" i="4"/>
  <c r="K163" i="4"/>
  <c r="J163" i="4"/>
  <c r="I163" i="4"/>
  <c r="H163" i="4"/>
  <c r="G163" i="4"/>
  <c r="F163" i="4"/>
  <c r="D163" i="4"/>
  <c r="C163" i="4"/>
  <c r="B163" i="4"/>
  <c r="A163" i="4"/>
  <c r="AH162" i="4"/>
  <c r="AG162" i="4"/>
  <c r="AF162" i="4"/>
  <c r="AE162" i="4"/>
  <c r="AD162" i="4"/>
  <c r="AC162" i="4"/>
  <c r="AB162" i="4"/>
  <c r="AA162" i="4"/>
  <c r="Z162" i="4"/>
  <c r="Y162" i="4"/>
  <c r="W162" i="4"/>
  <c r="T162" i="4"/>
  <c r="S162" i="4"/>
  <c r="R162" i="4"/>
  <c r="Q162" i="4"/>
  <c r="P162" i="4"/>
  <c r="O162" i="4"/>
  <c r="N162" i="4"/>
  <c r="M162" i="4"/>
  <c r="L162" i="4"/>
  <c r="K162" i="4"/>
  <c r="J162" i="4"/>
  <c r="I162" i="4"/>
  <c r="H162" i="4"/>
  <c r="G162" i="4"/>
  <c r="F162" i="4"/>
  <c r="D162" i="4"/>
  <c r="C162" i="4"/>
  <c r="B162" i="4"/>
  <c r="A162" i="4"/>
  <c r="AH161" i="4"/>
  <c r="AG161" i="4"/>
  <c r="AF161" i="4"/>
  <c r="AE161" i="4"/>
  <c r="AD161" i="4"/>
  <c r="AC161" i="4"/>
  <c r="AB161" i="4"/>
  <c r="AA161" i="4"/>
  <c r="Z161" i="4"/>
  <c r="Y161" i="4"/>
  <c r="W161" i="4"/>
  <c r="T161" i="4"/>
  <c r="S161" i="4"/>
  <c r="R161" i="4"/>
  <c r="O161" i="4"/>
  <c r="N161" i="4"/>
  <c r="M161" i="4"/>
  <c r="L161" i="4"/>
  <c r="K161" i="4"/>
  <c r="J161" i="4"/>
  <c r="I161" i="4"/>
  <c r="H161" i="4"/>
  <c r="G161" i="4"/>
  <c r="F161" i="4"/>
  <c r="D161" i="4"/>
  <c r="C161" i="4"/>
  <c r="B161" i="4"/>
  <c r="A161" i="4"/>
  <c r="AG160" i="4"/>
  <c r="AF160" i="4"/>
  <c r="AE160" i="4"/>
  <c r="AC160" i="4"/>
  <c r="AB160" i="4"/>
  <c r="AA160" i="4"/>
  <c r="Z160" i="4"/>
  <c r="Y160" i="4"/>
  <c r="W160" i="4"/>
  <c r="T160" i="4"/>
  <c r="S160" i="4"/>
  <c r="R160" i="4"/>
  <c r="O160" i="4"/>
  <c r="N160" i="4"/>
  <c r="M160" i="4"/>
  <c r="L160" i="4"/>
  <c r="K160" i="4"/>
  <c r="J160" i="4"/>
  <c r="I160" i="4"/>
  <c r="H160" i="4"/>
  <c r="G160" i="4"/>
  <c r="F160" i="4"/>
  <c r="D160" i="4"/>
  <c r="C160" i="4"/>
  <c r="B160" i="4"/>
  <c r="A160" i="4"/>
  <c r="AH159" i="4"/>
  <c r="AG159" i="4"/>
  <c r="AF159" i="4"/>
  <c r="AE159" i="4"/>
  <c r="AC159" i="4"/>
  <c r="AA159" i="4"/>
  <c r="Z159" i="4"/>
  <c r="Y159" i="4"/>
  <c r="W159" i="4"/>
  <c r="T159" i="4"/>
  <c r="S159" i="4"/>
  <c r="R159" i="4"/>
  <c r="Q159" i="4"/>
  <c r="P159" i="4"/>
  <c r="O159" i="4"/>
  <c r="N159" i="4"/>
  <c r="M159" i="4"/>
  <c r="L159" i="4"/>
  <c r="K159" i="4"/>
  <c r="J159" i="4"/>
  <c r="I159" i="4"/>
  <c r="H159" i="4"/>
  <c r="G159" i="4"/>
  <c r="F159" i="4"/>
  <c r="D159" i="4"/>
  <c r="C159" i="4"/>
  <c r="B159" i="4"/>
  <c r="A159" i="4"/>
  <c r="AH158" i="4"/>
  <c r="AG158" i="4"/>
  <c r="AF158" i="4"/>
  <c r="AE158" i="4"/>
  <c r="AD158" i="4"/>
  <c r="AC158" i="4"/>
  <c r="AB158" i="4"/>
  <c r="AA158" i="4"/>
  <c r="Z158" i="4"/>
  <c r="Y158" i="4"/>
  <c r="W158" i="4"/>
  <c r="T158" i="4"/>
  <c r="S158" i="4"/>
  <c r="R158" i="4"/>
  <c r="O158" i="4"/>
  <c r="N158" i="4"/>
  <c r="M158" i="4"/>
  <c r="L158" i="4"/>
  <c r="K158" i="4"/>
  <c r="J158" i="4"/>
  <c r="I158" i="4"/>
  <c r="H158" i="4"/>
  <c r="G158" i="4"/>
  <c r="F158" i="4"/>
  <c r="D158" i="4"/>
  <c r="C158" i="4"/>
  <c r="B158" i="4"/>
  <c r="A158" i="4"/>
  <c r="AH157" i="4"/>
  <c r="AG157" i="4"/>
  <c r="AF157" i="4"/>
  <c r="AE157" i="4"/>
  <c r="AD157" i="4"/>
  <c r="AC157" i="4"/>
  <c r="AB157" i="4"/>
  <c r="AA157" i="4"/>
  <c r="Z157" i="4"/>
  <c r="Y157" i="4"/>
  <c r="W157" i="4"/>
  <c r="U157" i="4"/>
  <c r="T157" i="4"/>
  <c r="S157" i="4"/>
  <c r="R157" i="4"/>
  <c r="O157" i="4"/>
  <c r="N157" i="4"/>
  <c r="M157" i="4"/>
  <c r="L157" i="4"/>
  <c r="K157" i="4"/>
  <c r="J157" i="4"/>
  <c r="I157" i="4"/>
  <c r="H157" i="4"/>
  <c r="G157" i="4"/>
  <c r="F157" i="4"/>
  <c r="D157" i="4"/>
  <c r="C157" i="4"/>
  <c r="B157" i="4"/>
  <c r="A157" i="4"/>
  <c r="AH156" i="4"/>
  <c r="AG156" i="4"/>
  <c r="AF156" i="4"/>
  <c r="AE156" i="4"/>
  <c r="AD156" i="4"/>
  <c r="AC156" i="4"/>
  <c r="AB156" i="4"/>
  <c r="AA156" i="4"/>
  <c r="Z156" i="4"/>
  <c r="Y156" i="4"/>
  <c r="W156" i="4"/>
  <c r="U156" i="4"/>
  <c r="T156" i="4"/>
  <c r="S156" i="4"/>
  <c r="R156" i="4"/>
  <c r="O156" i="4"/>
  <c r="N156" i="4"/>
  <c r="M156" i="4"/>
  <c r="L156" i="4"/>
  <c r="K156" i="4"/>
  <c r="J156" i="4"/>
  <c r="I156" i="4"/>
  <c r="H156" i="4"/>
  <c r="G156" i="4"/>
  <c r="F156" i="4"/>
  <c r="D156" i="4"/>
  <c r="C156" i="4"/>
  <c r="B156" i="4"/>
  <c r="A156" i="4"/>
  <c r="AH155" i="4"/>
  <c r="AG155" i="4"/>
  <c r="AF155" i="4"/>
  <c r="AE155" i="4"/>
  <c r="AD155" i="4"/>
  <c r="AC155" i="4"/>
  <c r="AB155" i="4"/>
  <c r="AA155" i="4"/>
  <c r="Z155" i="4"/>
  <c r="Y155" i="4"/>
  <c r="W155" i="4"/>
  <c r="T155" i="4"/>
  <c r="S155" i="4"/>
  <c r="R155" i="4"/>
  <c r="O155" i="4"/>
  <c r="N155" i="4"/>
  <c r="M155" i="4"/>
  <c r="L155" i="4"/>
  <c r="K155" i="4"/>
  <c r="J155" i="4"/>
  <c r="I155" i="4"/>
  <c r="H155" i="4"/>
  <c r="G155" i="4"/>
  <c r="F155" i="4"/>
  <c r="D155" i="4"/>
  <c r="C155" i="4"/>
  <c r="B155" i="4"/>
  <c r="A155" i="4"/>
  <c r="AH154" i="4"/>
  <c r="AG154" i="4"/>
  <c r="AF154" i="4"/>
  <c r="AE154" i="4"/>
  <c r="AD154" i="4"/>
  <c r="AC154" i="4"/>
  <c r="AB154" i="4"/>
  <c r="AA154" i="4"/>
  <c r="Z154" i="4"/>
  <c r="Y154" i="4"/>
  <c r="W154" i="4"/>
  <c r="T154" i="4"/>
  <c r="S154" i="4"/>
  <c r="R154" i="4"/>
  <c r="O154" i="4"/>
  <c r="N154" i="4"/>
  <c r="M154" i="4"/>
  <c r="L154" i="4"/>
  <c r="K154" i="4"/>
  <c r="J154" i="4"/>
  <c r="I154" i="4"/>
  <c r="H154" i="4"/>
  <c r="G154" i="4"/>
  <c r="F154" i="4"/>
  <c r="D154" i="4"/>
  <c r="C154" i="4"/>
  <c r="B154" i="4"/>
  <c r="A154" i="4"/>
  <c r="AH153" i="4"/>
  <c r="AG153" i="4"/>
  <c r="AF153" i="4"/>
  <c r="AE153" i="4"/>
  <c r="AD153" i="4"/>
  <c r="AC153" i="4"/>
  <c r="AB153" i="4"/>
  <c r="AA153" i="4"/>
  <c r="Z153" i="4"/>
  <c r="Y153" i="4"/>
  <c r="W153" i="4"/>
  <c r="T153" i="4"/>
  <c r="S153" i="4"/>
  <c r="R153" i="4"/>
  <c r="O153" i="4"/>
  <c r="N153" i="4"/>
  <c r="M153" i="4"/>
  <c r="L153" i="4"/>
  <c r="K153" i="4"/>
  <c r="J153" i="4"/>
  <c r="I153" i="4"/>
  <c r="H153" i="4"/>
  <c r="G153" i="4"/>
  <c r="F153" i="4"/>
  <c r="D153" i="4"/>
  <c r="C153" i="4"/>
  <c r="B153" i="4"/>
  <c r="A153" i="4"/>
  <c r="AH152" i="4"/>
  <c r="AG152" i="4"/>
  <c r="AF152" i="4"/>
  <c r="AE152" i="4"/>
  <c r="AD152" i="4"/>
  <c r="AC152" i="4"/>
  <c r="AB152" i="4"/>
  <c r="AA152" i="4"/>
  <c r="Z152" i="4"/>
  <c r="Y152" i="4"/>
  <c r="W152" i="4"/>
  <c r="T152" i="4"/>
  <c r="S152" i="4"/>
  <c r="R152" i="4"/>
  <c r="O152" i="4"/>
  <c r="N152" i="4"/>
  <c r="M152" i="4"/>
  <c r="L152" i="4"/>
  <c r="K152" i="4"/>
  <c r="J152" i="4"/>
  <c r="I152" i="4"/>
  <c r="H152" i="4"/>
  <c r="G152" i="4"/>
  <c r="F152" i="4"/>
  <c r="D152" i="4"/>
  <c r="C152" i="4"/>
  <c r="B152" i="4"/>
  <c r="A152" i="4"/>
  <c r="AH151" i="4"/>
  <c r="AG151" i="4"/>
  <c r="AF151" i="4"/>
  <c r="AE151" i="4"/>
  <c r="AC151" i="4"/>
  <c r="AA151" i="4"/>
  <c r="Z151" i="4"/>
  <c r="Y151" i="4"/>
  <c r="W151" i="4"/>
  <c r="T151" i="4"/>
  <c r="S151" i="4"/>
  <c r="R151" i="4"/>
  <c r="Q151" i="4"/>
  <c r="P151" i="4"/>
  <c r="O151" i="4"/>
  <c r="N151" i="4"/>
  <c r="M151" i="4"/>
  <c r="L151" i="4"/>
  <c r="K151" i="4"/>
  <c r="J151" i="4"/>
  <c r="I151" i="4"/>
  <c r="H151" i="4"/>
  <c r="G151" i="4"/>
  <c r="F151" i="4"/>
  <c r="D151" i="4"/>
  <c r="C151" i="4"/>
  <c r="B151" i="4"/>
  <c r="A151" i="4"/>
  <c r="AH150" i="4"/>
  <c r="AG150" i="4"/>
  <c r="AF150" i="4"/>
  <c r="AE150" i="4"/>
  <c r="AD150" i="4"/>
  <c r="AC150" i="4"/>
  <c r="AB150" i="4"/>
  <c r="AA150" i="4"/>
  <c r="Z150" i="4"/>
  <c r="Y150" i="4"/>
  <c r="W150" i="4"/>
  <c r="T150" i="4"/>
  <c r="S150" i="4"/>
  <c r="R150" i="4"/>
  <c r="O150" i="4"/>
  <c r="N150" i="4"/>
  <c r="M150" i="4"/>
  <c r="L150" i="4"/>
  <c r="K150" i="4"/>
  <c r="J150" i="4"/>
  <c r="I150" i="4"/>
  <c r="H150" i="4"/>
  <c r="G150" i="4"/>
  <c r="F150" i="4"/>
  <c r="D150" i="4"/>
  <c r="C150" i="4"/>
  <c r="B150" i="4"/>
  <c r="A150" i="4"/>
  <c r="AH149" i="4"/>
  <c r="AG149" i="4"/>
  <c r="AF149" i="4"/>
  <c r="AE149" i="4"/>
  <c r="AD149" i="4"/>
  <c r="AC149" i="4"/>
  <c r="AB149" i="4"/>
  <c r="AA149" i="4"/>
  <c r="Z149" i="4"/>
  <c r="Y149" i="4"/>
  <c r="W149" i="4"/>
  <c r="T149" i="4"/>
  <c r="S149" i="4"/>
  <c r="R149" i="4"/>
  <c r="O149" i="4"/>
  <c r="N149" i="4"/>
  <c r="M149" i="4"/>
  <c r="L149" i="4"/>
  <c r="K149" i="4"/>
  <c r="J149" i="4"/>
  <c r="I149" i="4"/>
  <c r="H149" i="4"/>
  <c r="G149" i="4"/>
  <c r="F149" i="4"/>
  <c r="D149" i="4"/>
  <c r="C149" i="4"/>
  <c r="B149" i="4"/>
  <c r="A149" i="4"/>
  <c r="AH148" i="4"/>
  <c r="AG148" i="4"/>
  <c r="AF148" i="4"/>
  <c r="AE148" i="4"/>
  <c r="AD148" i="4"/>
  <c r="AC148" i="4"/>
  <c r="AB148" i="4"/>
  <c r="AA148" i="4"/>
  <c r="Z148" i="4"/>
  <c r="Y148" i="4"/>
  <c r="W148" i="4"/>
  <c r="T148" i="4"/>
  <c r="S148" i="4"/>
  <c r="R148" i="4"/>
  <c r="O148" i="4"/>
  <c r="N148" i="4"/>
  <c r="M148" i="4"/>
  <c r="L148" i="4"/>
  <c r="K148" i="4"/>
  <c r="J148" i="4"/>
  <c r="I148" i="4"/>
  <c r="H148" i="4"/>
  <c r="G148" i="4"/>
  <c r="F148" i="4"/>
  <c r="D148" i="4"/>
  <c r="C148" i="4"/>
  <c r="B148" i="4"/>
  <c r="A148" i="4"/>
  <c r="AH147" i="4"/>
  <c r="AG147" i="4"/>
  <c r="AF147" i="4"/>
  <c r="AE147" i="4"/>
  <c r="AD147" i="4"/>
  <c r="AC147" i="4"/>
  <c r="AB147" i="4"/>
  <c r="AA147" i="4"/>
  <c r="Z147" i="4"/>
  <c r="Y147" i="4"/>
  <c r="W147" i="4"/>
  <c r="U147" i="4"/>
  <c r="T147" i="4"/>
  <c r="S147" i="4"/>
  <c r="R147" i="4"/>
  <c r="O147" i="4"/>
  <c r="N147" i="4"/>
  <c r="M147" i="4"/>
  <c r="L147" i="4"/>
  <c r="K147" i="4"/>
  <c r="J147" i="4"/>
  <c r="I147" i="4"/>
  <c r="H147" i="4"/>
  <c r="G147" i="4"/>
  <c r="F147" i="4"/>
  <c r="D147" i="4"/>
  <c r="C147" i="4"/>
  <c r="B147" i="4"/>
  <c r="A147" i="4"/>
  <c r="AH146" i="4"/>
  <c r="AG146" i="4"/>
  <c r="AF146" i="4"/>
  <c r="AE146" i="4"/>
  <c r="AD146" i="4"/>
  <c r="AC146" i="4"/>
  <c r="AB146" i="4"/>
  <c r="AA146" i="4"/>
  <c r="Z146" i="4"/>
  <c r="Y146" i="4"/>
  <c r="W146" i="4"/>
  <c r="T146" i="4"/>
  <c r="S146" i="4"/>
  <c r="R146" i="4"/>
  <c r="O146" i="4"/>
  <c r="N146" i="4"/>
  <c r="M146" i="4"/>
  <c r="L146" i="4"/>
  <c r="K146" i="4"/>
  <c r="J146" i="4"/>
  <c r="I146" i="4"/>
  <c r="H146" i="4"/>
  <c r="G146" i="4"/>
  <c r="F146" i="4"/>
  <c r="D146" i="4"/>
  <c r="C146" i="4"/>
  <c r="B146" i="4"/>
  <c r="A146" i="4"/>
  <c r="AH145" i="4"/>
  <c r="AG145" i="4"/>
  <c r="AF145" i="4"/>
  <c r="AE145" i="4"/>
  <c r="AD145" i="4"/>
  <c r="AC145" i="4"/>
  <c r="AB145" i="4"/>
  <c r="AA145" i="4"/>
  <c r="Z145" i="4"/>
  <c r="Y145" i="4"/>
  <c r="W145" i="4"/>
  <c r="T145" i="4"/>
  <c r="S145" i="4"/>
  <c r="R145" i="4"/>
  <c r="O145" i="4"/>
  <c r="N145" i="4"/>
  <c r="M145" i="4"/>
  <c r="L145" i="4"/>
  <c r="K145" i="4"/>
  <c r="J145" i="4"/>
  <c r="I145" i="4"/>
  <c r="H145" i="4"/>
  <c r="G145" i="4"/>
  <c r="F145" i="4"/>
  <c r="D145" i="4"/>
  <c r="C145" i="4"/>
  <c r="B145" i="4"/>
  <c r="A145" i="4"/>
  <c r="AH144" i="4"/>
  <c r="AG144" i="4"/>
  <c r="AF144" i="4"/>
  <c r="AE144" i="4"/>
  <c r="AD144" i="4"/>
  <c r="AC144" i="4"/>
  <c r="AB144" i="4"/>
  <c r="AA144" i="4"/>
  <c r="Z144" i="4"/>
  <c r="Y144" i="4"/>
  <c r="W144" i="4"/>
  <c r="T144" i="4"/>
  <c r="S144" i="4"/>
  <c r="R144" i="4"/>
  <c r="O144" i="4"/>
  <c r="N144" i="4"/>
  <c r="M144" i="4"/>
  <c r="L144" i="4"/>
  <c r="K144" i="4"/>
  <c r="J144" i="4"/>
  <c r="I144" i="4"/>
  <c r="H144" i="4"/>
  <c r="G144" i="4"/>
  <c r="F144" i="4"/>
  <c r="D144" i="4"/>
  <c r="C144" i="4"/>
  <c r="B144" i="4"/>
  <c r="A144" i="4"/>
  <c r="AH143" i="4"/>
  <c r="AG143" i="4"/>
  <c r="AF143" i="4"/>
  <c r="AE143" i="4"/>
  <c r="AD143" i="4"/>
  <c r="AC143" i="4"/>
  <c r="AB143" i="4"/>
  <c r="AA143" i="4"/>
  <c r="Z143" i="4"/>
  <c r="Y143" i="4"/>
  <c r="W143" i="4"/>
  <c r="T143" i="4"/>
  <c r="S143" i="4"/>
  <c r="R143" i="4"/>
  <c r="O143" i="4"/>
  <c r="N143" i="4"/>
  <c r="M143" i="4"/>
  <c r="L143" i="4"/>
  <c r="K143" i="4"/>
  <c r="J143" i="4"/>
  <c r="I143" i="4"/>
  <c r="H143" i="4"/>
  <c r="G143" i="4"/>
  <c r="F143" i="4"/>
  <c r="D143" i="4"/>
  <c r="C143" i="4"/>
  <c r="B143" i="4"/>
  <c r="A143" i="4"/>
  <c r="AH142" i="4"/>
  <c r="AG142" i="4"/>
  <c r="AF142" i="4"/>
  <c r="AE142" i="4"/>
  <c r="AD142" i="4"/>
  <c r="AC142" i="4"/>
  <c r="AB142" i="4"/>
  <c r="AA142" i="4"/>
  <c r="Z142" i="4"/>
  <c r="Y142" i="4"/>
  <c r="W142" i="4"/>
  <c r="T142" i="4"/>
  <c r="S142" i="4"/>
  <c r="R142" i="4"/>
  <c r="O142" i="4"/>
  <c r="N142" i="4"/>
  <c r="M142" i="4"/>
  <c r="L142" i="4"/>
  <c r="K142" i="4"/>
  <c r="J142" i="4"/>
  <c r="I142" i="4"/>
  <c r="H142" i="4"/>
  <c r="G142" i="4"/>
  <c r="F142" i="4"/>
  <c r="D142" i="4"/>
  <c r="C142" i="4"/>
  <c r="B142" i="4"/>
  <c r="A142" i="4"/>
  <c r="AH141" i="4"/>
  <c r="AG141" i="4"/>
  <c r="AF141" i="4"/>
  <c r="AE141" i="4"/>
  <c r="AD141" i="4"/>
  <c r="AC141" i="4"/>
  <c r="AB141" i="4"/>
  <c r="AA141" i="4"/>
  <c r="Z141" i="4"/>
  <c r="Y141" i="4"/>
  <c r="W141" i="4"/>
  <c r="T141" i="4"/>
  <c r="S141" i="4"/>
  <c r="R141" i="4"/>
  <c r="O141" i="4"/>
  <c r="N141" i="4"/>
  <c r="M141" i="4"/>
  <c r="L141" i="4"/>
  <c r="K141" i="4"/>
  <c r="J141" i="4"/>
  <c r="I141" i="4"/>
  <c r="H141" i="4"/>
  <c r="G141" i="4"/>
  <c r="F141" i="4"/>
  <c r="D141" i="4"/>
  <c r="C141" i="4"/>
  <c r="B141" i="4"/>
  <c r="A141" i="4"/>
  <c r="AH140" i="4"/>
  <c r="AG140" i="4"/>
  <c r="AF140" i="4"/>
  <c r="AE140" i="4"/>
  <c r="AD140" i="4"/>
  <c r="AC140" i="4"/>
  <c r="AB140" i="4"/>
  <c r="AA140" i="4"/>
  <c r="Z140" i="4"/>
  <c r="Y140" i="4"/>
  <c r="W140" i="4"/>
  <c r="T140" i="4"/>
  <c r="S140" i="4"/>
  <c r="R140" i="4"/>
  <c r="O140" i="4"/>
  <c r="N140" i="4"/>
  <c r="M140" i="4"/>
  <c r="L140" i="4"/>
  <c r="K140" i="4"/>
  <c r="J140" i="4"/>
  <c r="I140" i="4"/>
  <c r="H140" i="4"/>
  <c r="G140" i="4"/>
  <c r="F140" i="4"/>
  <c r="D140" i="4"/>
  <c r="C140" i="4"/>
  <c r="B140" i="4"/>
  <c r="A140" i="4"/>
  <c r="AC139" i="4"/>
  <c r="AB139" i="4"/>
  <c r="AA139" i="4"/>
  <c r="Z139" i="4"/>
  <c r="Y139" i="4"/>
  <c r="W139" i="4"/>
  <c r="S139" i="4"/>
  <c r="R139" i="4"/>
  <c r="Q139" i="4"/>
  <c r="P139" i="4"/>
  <c r="O139" i="4"/>
  <c r="N139" i="4"/>
  <c r="M139" i="4"/>
  <c r="L139" i="4"/>
  <c r="K139" i="4"/>
  <c r="J139" i="4"/>
  <c r="I139" i="4"/>
  <c r="H139" i="4"/>
  <c r="G139" i="4"/>
  <c r="F139" i="4"/>
  <c r="D139" i="4"/>
  <c r="C139" i="4"/>
  <c r="B139" i="4"/>
  <c r="A139" i="4"/>
  <c r="AH138" i="4"/>
  <c r="AG138" i="4"/>
  <c r="AF138" i="4"/>
  <c r="AE138" i="4"/>
  <c r="AD138" i="4"/>
  <c r="AC138" i="4"/>
  <c r="AB138" i="4"/>
  <c r="AA138" i="4"/>
  <c r="Z138" i="4"/>
  <c r="Y138" i="4"/>
  <c r="W138" i="4"/>
  <c r="T138" i="4"/>
  <c r="S138" i="4"/>
  <c r="R138" i="4"/>
  <c r="O138" i="4"/>
  <c r="N138" i="4"/>
  <c r="M138" i="4"/>
  <c r="L138" i="4"/>
  <c r="K138" i="4"/>
  <c r="J138" i="4"/>
  <c r="I138" i="4"/>
  <c r="H138" i="4"/>
  <c r="G138" i="4"/>
  <c r="F138" i="4"/>
  <c r="D138" i="4"/>
  <c r="C138" i="4"/>
  <c r="B138" i="4"/>
  <c r="A138" i="4"/>
  <c r="AG137" i="4"/>
  <c r="AF137" i="4"/>
  <c r="AE137" i="4"/>
  <c r="AC137" i="4"/>
  <c r="AB137" i="4"/>
  <c r="AA137" i="4"/>
  <c r="Z137" i="4"/>
  <c r="Y137" i="4"/>
  <c r="W137" i="4"/>
  <c r="S137" i="4"/>
  <c r="R137" i="4"/>
  <c r="O137" i="4"/>
  <c r="N137" i="4"/>
  <c r="M137" i="4"/>
  <c r="L137" i="4"/>
  <c r="K137" i="4"/>
  <c r="J137" i="4"/>
  <c r="I137" i="4"/>
  <c r="H137" i="4"/>
  <c r="G137" i="4"/>
  <c r="F137" i="4"/>
  <c r="D137" i="4"/>
  <c r="C137" i="4"/>
  <c r="B137" i="4"/>
  <c r="A137" i="4"/>
  <c r="AH136" i="4"/>
  <c r="AG136" i="4"/>
  <c r="AF136" i="4"/>
  <c r="AE136" i="4"/>
  <c r="AD136" i="4"/>
  <c r="AC136" i="4"/>
  <c r="AB136" i="4"/>
  <c r="AA136" i="4"/>
  <c r="Z136" i="4"/>
  <c r="Y136" i="4"/>
  <c r="W136" i="4"/>
  <c r="T136" i="4"/>
  <c r="S136" i="4"/>
  <c r="R136" i="4"/>
  <c r="O136" i="4"/>
  <c r="N136" i="4"/>
  <c r="M136" i="4"/>
  <c r="L136" i="4"/>
  <c r="K136" i="4"/>
  <c r="J136" i="4"/>
  <c r="I136" i="4"/>
  <c r="H136" i="4"/>
  <c r="G136" i="4"/>
  <c r="F136" i="4"/>
  <c r="D136" i="4"/>
  <c r="C136" i="4"/>
  <c r="B136" i="4"/>
  <c r="A136" i="4"/>
  <c r="AH135" i="4"/>
  <c r="AG135" i="4"/>
  <c r="AF135" i="4"/>
  <c r="AE135" i="4"/>
  <c r="AC135" i="4"/>
  <c r="AB135" i="4"/>
  <c r="AA135" i="4"/>
  <c r="Z135" i="4"/>
  <c r="Y135" i="4"/>
  <c r="W135" i="4"/>
  <c r="T135" i="4"/>
  <c r="S135" i="4"/>
  <c r="R135" i="4"/>
  <c r="Q135" i="4"/>
  <c r="P135" i="4"/>
  <c r="O135" i="4"/>
  <c r="N135" i="4"/>
  <c r="M135" i="4"/>
  <c r="L135" i="4"/>
  <c r="K135" i="4"/>
  <c r="J135" i="4"/>
  <c r="I135" i="4"/>
  <c r="H135" i="4"/>
  <c r="G135" i="4"/>
  <c r="F135" i="4"/>
  <c r="D135" i="4"/>
  <c r="C135" i="4"/>
  <c r="B135" i="4"/>
  <c r="A135" i="4"/>
  <c r="AH134" i="4"/>
  <c r="AG134" i="4"/>
  <c r="AF134" i="4"/>
  <c r="AE134" i="4"/>
  <c r="AD134" i="4"/>
  <c r="AC134" i="4"/>
  <c r="AB134" i="4"/>
  <c r="AA134" i="4"/>
  <c r="Z134" i="4"/>
  <c r="Y134" i="4"/>
  <c r="W134" i="4"/>
  <c r="T134" i="4"/>
  <c r="S134" i="4"/>
  <c r="R134" i="4"/>
  <c r="O134" i="4"/>
  <c r="N134" i="4"/>
  <c r="M134" i="4"/>
  <c r="L134" i="4"/>
  <c r="K134" i="4"/>
  <c r="J134" i="4"/>
  <c r="I134" i="4"/>
  <c r="H134" i="4"/>
  <c r="G134" i="4"/>
  <c r="F134" i="4"/>
  <c r="D134" i="4"/>
  <c r="C134" i="4"/>
  <c r="B134" i="4"/>
  <c r="A134" i="4"/>
  <c r="AH133" i="4"/>
  <c r="AG133" i="4"/>
  <c r="AF133" i="4"/>
  <c r="AE133" i="4"/>
  <c r="AD133" i="4"/>
  <c r="AC133" i="4"/>
  <c r="AA133" i="4"/>
  <c r="Z133" i="4"/>
  <c r="Y133" i="4"/>
  <c r="W133" i="4"/>
  <c r="T133" i="4"/>
  <c r="S133" i="4"/>
  <c r="R133" i="4"/>
  <c r="O133" i="4"/>
  <c r="N133" i="4"/>
  <c r="M133" i="4"/>
  <c r="L133" i="4"/>
  <c r="K133" i="4"/>
  <c r="J133" i="4"/>
  <c r="I133" i="4"/>
  <c r="H133" i="4"/>
  <c r="G133" i="4"/>
  <c r="F133" i="4"/>
  <c r="D133" i="4"/>
  <c r="C133" i="4"/>
  <c r="B133" i="4"/>
  <c r="A133" i="4"/>
  <c r="AH132" i="4"/>
  <c r="AG132" i="4"/>
  <c r="AF132" i="4"/>
  <c r="AE132" i="4"/>
  <c r="AD132" i="4"/>
  <c r="AC132" i="4"/>
  <c r="AB132" i="4"/>
  <c r="AA132" i="4"/>
  <c r="Z132" i="4"/>
  <c r="Y132" i="4"/>
  <c r="W132" i="4"/>
  <c r="U132" i="4"/>
  <c r="T132" i="4"/>
  <c r="S132" i="4"/>
  <c r="R132" i="4"/>
  <c r="O132" i="4"/>
  <c r="N132" i="4"/>
  <c r="M132" i="4"/>
  <c r="L132" i="4"/>
  <c r="K132" i="4"/>
  <c r="J132" i="4"/>
  <c r="I132" i="4"/>
  <c r="H132" i="4"/>
  <c r="G132" i="4"/>
  <c r="F132" i="4"/>
  <c r="D132" i="4"/>
  <c r="C132" i="4"/>
  <c r="B132" i="4"/>
  <c r="A132" i="4"/>
  <c r="AH131" i="4"/>
  <c r="AG131" i="4"/>
  <c r="AF131" i="4"/>
  <c r="AE131" i="4"/>
  <c r="AD131" i="4"/>
  <c r="AC131" i="4"/>
  <c r="AB131" i="4"/>
  <c r="AA131" i="4"/>
  <c r="Z131" i="4"/>
  <c r="Y131" i="4"/>
  <c r="W131" i="4"/>
  <c r="T131" i="4"/>
  <c r="S131" i="4"/>
  <c r="R131" i="4"/>
  <c r="O131" i="4"/>
  <c r="N131" i="4"/>
  <c r="M131" i="4"/>
  <c r="L131" i="4"/>
  <c r="K131" i="4"/>
  <c r="J131" i="4"/>
  <c r="I131" i="4"/>
  <c r="H131" i="4"/>
  <c r="G131" i="4"/>
  <c r="F131" i="4"/>
  <c r="D131" i="4"/>
  <c r="C131" i="4"/>
  <c r="B131" i="4"/>
  <c r="A131" i="4"/>
  <c r="AH130" i="4"/>
  <c r="AG130" i="4"/>
  <c r="AF130" i="4"/>
  <c r="AE130" i="4"/>
  <c r="AD130" i="4"/>
  <c r="AC130" i="4"/>
  <c r="AB130" i="4"/>
  <c r="AA130" i="4"/>
  <c r="Z130" i="4"/>
  <c r="Y130" i="4"/>
  <c r="W130" i="4"/>
  <c r="T130" i="4"/>
  <c r="S130" i="4"/>
  <c r="R130" i="4"/>
  <c r="O130" i="4"/>
  <c r="N130" i="4"/>
  <c r="M130" i="4"/>
  <c r="L130" i="4"/>
  <c r="K130" i="4"/>
  <c r="J130" i="4"/>
  <c r="I130" i="4"/>
  <c r="H130" i="4"/>
  <c r="G130" i="4"/>
  <c r="F130" i="4"/>
  <c r="D130" i="4"/>
  <c r="C130" i="4"/>
  <c r="B130" i="4"/>
  <c r="A130" i="4"/>
  <c r="AH129" i="4"/>
  <c r="AG129" i="4"/>
  <c r="AF129" i="4"/>
  <c r="AE129" i="4"/>
  <c r="AD129" i="4"/>
  <c r="AC129" i="4"/>
  <c r="AB129" i="4"/>
  <c r="AA129" i="4"/>
  <c r="Z129" i="4"/>
  <c r="Y129" i="4"/>
  <c r="W129" i="4"/>
  <c r="T129" i="4"/>
  <c r="S129" i="4"/>
  <c r="R129" i="4"/>
  <c r="O129" i="4"/>
  <c r="N129" i="4"/>
  <c r="M129" i="4"/>
  <c r="L129" i="4"/>
  <c r="K129" i="4"/>
  <c r="J129" i="4"/>
  <c r="I129" i="4"/>
  <c r="H129" i="4"/>
  <c r="G129" i="4"/>
  <c r="F129" i="4"/>
  <c r="D129" i="4"/>
  <c r="C129" i="4"/>
  <c r="B129" i="4"/>
  <c r="A129" i="4"/>
  <c r="AH128" i="4"/>
  <c r="AG128" i="4"/>
  <c r="AF128" i="4"/>
  <c r="AE128" i="4"/>
  <c r="AD128" i="4"/>
  <c r="AC128" i="4"/>
  <c r="AB128" i="4"/>
  <c r="AA128" i="4"/>
  <c r="Z128" i="4"/>
  <c r="Y128" i="4"/>
  <c r="W128" i="4"/>
  <c r="T128" i="4"/>
  <c r="S128" i="4"/>
  <c r="R128" i="4"/>
  <c r="O128" i="4"/>
  <c r="N128" i="4"/>
  <c r="M128" i="4"/>
  <c r="L128" i="4"/>
  <c r="K128" i="4"/>
  <c r="J128" i="4"/>
  <c r="I128" i="4"/>
  <c r="H128" i="4"/>
  <c r="G128" i="4"/>
  <c r="F128" i="4"/>
  <c r="D128" i="4"/>
  <c r="C128" i="4"/>
  <c r="B128" i="4"/>
  <c r="A128" i="4"/>
  <c r="AH127" i="4"/>
  <c r="AG127" i="4"/>
  <c r="AF127" i="4"/>
  <c r="AE127" i="4"/>
  <c r="AD127" i="4"/>
  <c r="AC127" i="4"/>
  <c r="AB127" i="4"/>
  <c r="AA127" i="4"/>
  <c r="Z127" i="4"/>
  <c r="Y127" i="4"/>
  <c r="W127" i="4"/>
  <c r="T127" i="4"/>
  <c r="S127" i="4"/>
  <c r="R127" i="4"/>
  <c r="O127" i="4"/>
  <c r="N127" i="4"/>
  <c r="M127" i="4"/>
  <c r="L127" i="4"/>
  <c r="K127" i="4"/>
  <c r="J127" i="4"/>
  <c r="I127" i="4"/>
  <c r="H127" i="4"/>
  <c r="G127" i="4"/>
  <c r="F127" i="4"/>
  <c r="D127" i="4"/>
  <c r="C127" i="4"/>
  <c r="B127" i="4"/>
  <c r="A127" i="4"/>
  <c r="AH126" i="4"/>
  <c r="AG126" i="4"/>
  <c r="AF126" i="4"/>
  <c r="AE126" i="4"/>
  <c r="AD126" i="4"/>
  <c r="AC126" i="4"/>
  <c r="AB126" i="4"/>
  <c r="AA126" i="4"/>
  <c r="Z126" i="4"/>
  <c r="Y126" i="4"/>
  <c r="W126" i="4"/>
  <c r="T126" i="4"/>
  <c r="S126" i="4"/>
  <c r="R126" i="4"/>
  <c r="O126" i="4"/>
  <c r="N126" i="4"/>
  <c r="M126" i="4"/>
  <c r="L126" i="4"/>
  <c r="K126" i="4"/>
  <c r="J126" i="4"/>
  <c r="I126" i="4"/>
  <c r="H126" i="4"/>
  <c r="G126" i="4"/>
  <c r="F126" i="4"/>
  <c r="D126" i="4"/>
  <c r="C126" i="4"/>
  <c r="B126" i="4"/>
  <c r="A126" i="4"/>
  <c r="AH125" i="4"/>
  <c r="AG125" i="4"/>
  <c r="AF125" i="4"/>
  <c r="AE125" i="4"/>
  <c r="AD125" i="4"/>
  <c r="AC125" i="4"/>
  <c r="AB125" i="4"/>
  <c r="AA125" i="4"/>
  <c r="Z125" i="4"/>
  <c r="Y125" i="4"/>
  <c r="W125" i="4"/>
  <c r="T125" i="4"/>
  <c r="S125" i="4"/>
  <c r="R125" i="4"/>
  <c r="O125" i="4"/>
  <c r="N125" i="4"/>
  <c r="M125" i="4"/>
  <c r="L125" i="4"/>
  <c r="K125" i="4"/>
  <c r="J125" i="4"/>
  <c r="I125" i="4"/>
  <c r="H125" i="4"/>
  <c r="G125" i="4"/>
  <c r="F125" i="4"/>
  <c r="D125" i="4"/>
  <c r="C125" i="4"/>
  <c r="B125" i="4"/>
  <c r="A125" i="4"/>
  <c r="AH124" i="4"/>
  <c r="AG124" i="4"/>
  <c r="AF124" i="4"/>
  <c r="AE124" i="4"/>
  <c r="AD124" i="4"/>
  <c r="AC124" i="4"/>
  <c r="AB124" i="4"/>
  <c r="AA124" i="4"/>
  <c r="Z124" i="4"/>
  <c r="Y124" i="4"/>
  <c r="W124" i="4"/>
  <c r="T124" i="4"/>
  <c r="S124" i="4"/>
  <c r="R124" i="4"/>
  <c r="O124" i="4"/>
  <c r="N124" i="4"/>
  <c r="M124" i="4"/>
  <c r="L124" i="4"/>
  <c r="K124" i="4"/>
  <c r="J124" i="4"/>
  <c r="I124" i="4"/>
  <c r="H124" i="4"/>
  <c r="G124" i="4"/>
  <c r="F124" i="4"/>
  <c r="D124" i="4"/>
  <c r="C124" i="4"/>
  <c r="B124" i="4"/>
  <c r="A124" i="4"/>
  <c r="AH123" i="4"/>
  <c r="AG123" i="4"/>
  <c r="AF123" i="4"/>
  <c r="AE123" i="4"/>
  <c r="AD123" i="4"/>
  <c r="AC123" i="4"/>
  <c r="AB123" i="4"/>
  <c r="AA123" i="4"/>
  <c r="Z123" i="4"/>
  <c r="Y123" i="4"/>
  <c r="W123" i="4"/>
  <c r="T123" i="4"/>
  <c r="S123" i="4"/>
  <c r="R123" i="4"/>
  <c r="O123" i="4"/>
  <c r="N123" i="4"/>
  <c r="M123" i="4"/>
  <c r="L123" i="4"/>
  <c r="K123" i="4"/>
  <c r="J123" i="4"/>
  <c r="I123" i="4"/>
  <c r="H123" i="4"/>
  <c r="G123" i="4"/>
  <c r="F123" i="4"/>
  <c r="D123" i="4"/>
  <c r="C123" i="4"/>
  <c r="B123" i="4"/>
  <c r="A123" i="4"/>
  <c r="AH122" i="4"/>
  <c r="AG122" i="4"/>
  <c r="AF122" i="4"/>
  <c r="AE122" i="4"/>
  <c r="AD122" i="4"/>
  <c r="AC122" i="4"/>
  <c r="AB122" i="4"/>
  <c r="AA122" i="4"/>
  <c r="Z122" i="4"/>
  <c r="Y122" i="4"/>
  <c r="W122" i="4"/>
  <c r="T122" i="4"/>
  <c r="S122" i="4"/>
  <c r="R122" i="4"/>
  <c r="Q122" i="4"/>
  <c r="P122" i="4"/>
  <c r="O122" i="4"/>
  <c r="N122" i="4"/>
  <c r="M122" i="4"/>
  <c r="L122" i="4"/>
  <c r="K122" i="4"/>
  <c r="J122" i="4"/>
  <c r="I122" i="4"/>
  <c r="H122" i="4"/>
  <c r="G122" i="4"/>
  <c r="F122" i="4"/>
  <c r="D122" i="4"/>
  <c r="C122" i="4"/>
  <c r="B122" i="4"/>
  <c r="A122" i="4"/>
  <c r="AH121" i="4"/>
  <c r="AG121" i="4"/>
  <c r="AF121" i="4"/>
  <c r="AE121" i="4"/>
  <c r="AD121" i="4"/>
  <c r="AC121" i="4"/>
  <c r="AB121" i="4"/>
  <c r="AA121" i="4"/>
  <c r="Z121" i="4"/>
  <c r="Y121" i="4"/>
  <c r="W121" i="4"/>
  <c r="T121" i="4"/>
  <c r="S121" i="4"/>
  <c r="R121" i="4"/>
  <c r="O121" i="4"/>
  <c r="N121" i="4"/>
  <c r="M121" i="4"/>
  <c r="L121" i="4"/>
  <c r="K121" i="4"/>
  <c r="J121" i="4"/>
  <c r="I121" i="4"/>
  <c r="H121" i="4"/>
  <c r="G121" i="4"/>
  <c r="F121" i="4"/>
  <c r="D121" i="4"/>
  <c r="C121" i="4"/>
  <c r="B121" i="4"/>
  <c r="A121" i="4"/>
  <c r="AH120" i="4"/>
  <c r="AG120" i="4"/>
  <c r="AF120" i="4"/>
  <c r="AE120" i="4"/>
  <c r="AD120" i="4"/>
  <c r="AC120" i="4"/>
  <c r="AB120" i="4"/>
  <c r="AA120" i="4"/>
  <c r="Z120" i="4"/>
  <c r="Y120" i="4"/>
  <c r="W120" i="4"/>
  <c r="T120" i="4"/>
  <c r="S120" i="4"/>
  <c r="R120" i="4"/>
  <c r="O120" i="4"/>
  <c r="N120" i="4"/>
  <c r="M120" i="4"/>
  <c r="L120" i="4"/>
  <c r="K120" i="4"/>
  <c r="J120" i="4"/>
  <c r="I120" i="4"/>
  <c r="H120" i="4"/>
  <c r="G120" i="4"/>
  <c r="F120" i="4"/>
  <c r="D120" i="4"/>
  <c r="C120" i="4"/>
  <c r="B120" i="4"/>
  <c r="A120" i="4"/>
  <c r="AH119" i="4"/>
  <c r="AG119" i="4"/>
  <c r="AF119" i="4"/>
  <c r="AE119" i="4"/>
  <c r="AD119" i="4"/>
  <c r="AC119" i="4"/>
  <c r="AB119" i="4"/>
  <c r="AA119" i="4"/>
  <c r="Z119" i="4"/>
  <c r="Y119" i="4"/>
  <c r="W119" i="4"/>
  <c r="T119" i="4"/>
  <c r="S119" i="4"/>
  <c r="R119" i="4"/>
  <c r="O119" i="4"/>
  <c r="N119" i="4"/>
  <c r="M119" i="4"/>
  <c r="L119" i="4"/>
  <c r="K119" i="4"/>
  <c r="J119" i="4"/>
  <c r="I119" i="4"/>
  <c r="H119" i="4"/>
  <c r="G119" i="4"/>
  <c r="F119" i="4"/>
  <c r="D119" i="4"/>
  <c r="C119" i="4"/>
  <c r="B119" i="4"/>
  <c r="A119" i="4"/>
  <c r="AH118" i="4"/>
  <c r="AG118" i="4"/>
  <c r="AF118" i="4"/>
  <c r="AE118" i="4"/>
  <c r="AD118" i="4"/>
  <c r="AC118" i="4"/>
  <c r="AB118" i="4"/>
  <c r="AA118" i="4"/>
  <c r="Z118" i="4"/>
  <c r="Y118" i="4"/>
  <c r="W118" i="4"/>
  <c r="U118" i="4"/>
  <c r="T118" i="4"/>
  <c r="S118" i="4"/>
  <c r="R118" i="4"/>
  <c r="O118" i="4"/>
  <c r="N118" i="4"/>
  <c r="M118" i="4"/>
  <c r="L118" i="4"/>
  <c r="K118" i="4"/>
  <c r="J118" i="4"/>
  <c r="I118" i="4"/>
  <c r="H118" i="4"/>
  <c r="G118" i="4"/>
  <c r="F118" i="4"/>
  <c r="D118" i="4"/>
  <c r="C118" i="4"/>
  <c r="B118" i="4"/>
  <c r="A118" i="4"/>
  <c r="AH117" i="4"/>
  <c r="AG117" i="4"/>
  <c r="AF117" i="4"/>
  <c r="AE117" i="4"/>
  <c r="AD117" i="4"/>
  <c r="AC117" i="4"/>
  <c r="AB117" i="4"/>
  <c r="AA117" i="4"/>
  <c r="Z117" i="4"/>
  <c r="Y117" i="4"/>
  <c r="W117" i="4"/>
  <c r="T117" i="4"/>
  <c r="S117" i="4"/>
  <c r="R117" i="4"/>
  <c r="O117" i="4"/>
  <c r="N117" i="4"/>
  <c r="M117" i="4"/>
  <c r="L117" i="4"/>
  <c r="K117" i="4"/>
  <c r="J117" i="4"/>
  <c r="I117" i="4"/>
  <c r="H117" i="4"/>
  <c r="G117" i="4"/>
  <c r="F117" i="4"/>
  <c r="D117" i="4"/>
  <c r="C117" i="4"/>
  <c r="B117" i="4"/>
  <c r="A117" i="4"/>
  <c r="AH116" i="4"/>
  <c r="AG116" i="4"/>
  <c r="AF116" i="4"/>
  <c r="AE116" i="4"/>
  <c r="AD116" i="4"/>
  <c r="AC116" i="4"/>
  <c r="AB116" i="4"/>
  <c r="AA116" i="4"/>
  <c r="Z116" i="4"/>
  <c r="Y116" i="4"/>
  <c r="W116" i="4"/>
  <c r="U116" i="4"/>
  <c r="T116" i="4"/>
  <c r="S116" i="4"/>
  <c r="R116" i="4"/>
  <c r="O116" i="4"/>
  <c r="N116" i="4"/>
  <c r="M116" i="4"/>
  <c r="L116" i="4"/>
  <c r="K116" i="4"/>
  <c r="J116" i="4"/>
  <c r="I116" i="4"/>
  <c r="H116" i="4"/>
  <c r="G116" i="4"/>
  <c r="F116" i="4"/>
  <c r="D116" i="4"/>
  <c r="C116" i="4"/>
  <c r="B116" i="4"/>
  <c r="A116" i="4"/>
  <c r="AH115" i="4"/>
  <c r="AG115" i="4"/>
  <c r="AF115" i="4"/>
  <c r="AE115" i="4"/>
  <c r="AD115" i="4"/>
  <c r="AC115" i="4"/>
  <c r="AB115" i="4"/>
  <c r="AA115" i="4"/>
  <c r="Z115" i="4"/>
  <c r="Y115" i="4"/>
  <c r="W115" i="4"/>
  <c r="U115" i="4"/>
  <c r="T115" i="4"/>
  <c r="S115" i="4"/>
  <c r="R115" i="4"/>
  <c r="O115" i="4"/>
  <c r="N115" i="4"/>
  <c r="M115" i="4"/>
  <c r="L115" i="4"/>
  <c r="K115" i="4"/>
  <c r="J115" i="4"/>
  <c r="I115" i="4"/>
  <c r="H115" i="4"/>
  <c r="G115" i="4"/>
  <c r="F115" i="4"/>
  <c r="D115" i="4"/>
  <c r="C115" i="4"/>
  <c r="B115" i="4"/>
  <c r="A115" i="4"/>
  <c r="AH114" i="4"/>
  <c r="AG114" i="4"/>
  <c r="AF114" i="4"/>
  <c r="AE114" i="4"/>
  <c r="AD114" i="4"/>
  <c r="AC114" i="4"/>
  <c r="AB114" i="4"/>
  <c r="AA114" i="4"/>
  <c r="Z114" i="4"/>
  <c r="Y114" i="4"/>
  <c r="W114" i="4"/>
  <c r="T114" i="4"/>
  <c r="S114" i="4"/>
  <c r="R114" i="4"/>
  <c r="O114" i="4"/>
  <c r="N114" i="4"/>
  <c r="M114" i="4"/>
  <c r="L114" i="4"/>
  <c r="K114" i="4"/>
  <c r="J114" i="4"/>
  <c r="I114" i="4"/>
  <c r="H114" i="4"/>
  <c r="G114" i="4"/>
  <c r="F114" i="4"/>
  <c r="D114" i="4"/>
  <c r="C114" i="4"/>
  <c r="B114" i="4"/>
  <c r="A114" i="4"/>
  <c r="AH113" i="4"/>
  <c r="AG113" i="4"/>
  <c r="AF113" i="4"/>
  <c r="AE113" i="4"/>
  <c r="AD113" i="4"/>
  <c r="AC113" i="4"/>
  <c r="AB113" i="4"/>
  <c r="AA113" i="4"/>
  <c r="Z113" i="4"/>
  <c r="Y113" i="4"/>
  <c r="W113" i="4"/>
  <c r="T113" i="4"/>
  <c r="S113" i="4"/>
  <c r="R113" i="4"/>
  <c r="O113" i="4"/>
  <c r="N113" i="4"/>
  <c r="M113" i="4"/>
  <c r="L113" i="4"/>
  <c r="K113" i="4"/>
  <c r="J113" i="4"/>
  <c r="I113" i="4"/>
  <c r="H113" i="4"/>
  <c r="G113" i="4"/>
  <c r="F113" i="4"/>
  <c r="D113" i="4"/>
  <c r="C113" i="4"/>
  <c r="B113" i="4"/>
  <c r="A113" i="4"/>
  <c r="AH112" i="4"/>
  <c r="AG112" i="4"/>
  <c r="AF112" i="4"/>
  <c r="AE112" i="4"/>
  <c r="AD112" i="4"/>
  <c r="AC112" i="4"/>
  <c r="AB112" i="4"/>
  <c r="AA112" i="4"/>
  <c r="Z112" i="4"/>
  <c r="Y112" i="4"/>
  <c r="W112" i="4"/>
  <c r="T112" i="4"/>
  <c r="S112" i="4"/>
  <c r="R112" i="4"/>
  <c r="O112" i="4"/>
  <c r="N112" i="4"/>
  <c r="M112" i="4"/>
  <c r="L112" i="4"/>
  <c r="K112" i="4"/>
  <c r="J112" i="4"/>
  <c r="I112" i="4"/>
  <c r="H112" i="4"/>
  <c r="G112" i="4"/>
  <c r="F112" i="4"/>
  <c r="D112" i="4"/>
  <c r="C112" i="4"/>
  <c r="B112" i="4"/>
  <c r="A112" i="4"/>
  <c r="AH111" i="4"/>
  <c r="AG111" i="4"/>
  <c r="AF111" i="4"/>
  <c r="AE111" i="4"/>
  <c r="AD111" i="4"/>
  <c r="AC111" i="4"/>
  <c r="AB111" i="4"/>
  <c r="AA111" i="4"/>
  <c r="Z111" i="4"/>
  <c r="Y111" i="4"/>
  <c r="W111" i="4"/>
  <c r="U111" i="4"/>
  <c r="T111" i="4"/>
  <c r="S111" i="4"/>
  <c r="R111" i="4"/>
  <c r="O111" i="4"/>
  <c r="N111" i="4"/>
  <c r="M111" i="4"/>
  <c r="L111" i="4"/>
  <c r="K111" i="4"/>
  <c r="J111" i="4"/>
  <c r="I111" i="4"/>
  <c r="H111" i="4"/>
  <c r="G111" i="4"/>
  <c r="F111" i="4"/>
  <c r="D111" i="4"/>
  <c r="C111" i="4"/>
  <c r="B111" i="4"/>
  <c r="A111" i="4"/>
  <c r="AG110" i="4"/>
  <c r="AF110" i="4"/>
  <c r="AE110" i="4"/>
  <c r="AC110" i="4"/>
  <c r="AB110" i="4"/>
  <c r="AA110" i="4"/>
  <c r="Z110" i="4"/>
  <c r="Y110" i="4"/>
  <c r="W110" i="4"/>
  <c r="U110" i="4"/>
  <c r="T110" i="4"/>
  <c r="S110" i="4"/>
  <c r="R110" i="4"/>
  <c r="Q110" i="4"/>
  <c r="P110" i="4"/>
  <c r="O110" i="4"/>
  <c r="N110" i="4"/>
  <c r="M110" i="4"/>
  <c r="L110" i="4"/>
  <c r="K110" i="4"/>
  <c r="J110" i="4"/>
  <c r="I110" i="4"/>
  <c r="H110" i="4"/>
  <c r="G110" i="4"/>
  <c r="F110" i="4"/>
  <c r="D110" i="4"/>
  <c r="C110" i="4"/>
  <c r="B110" i="4"/>
  <c r="A110" i="4"/>
  <c r="AH109" i="4"/>
  <c r="AG109" i="4"/>
  <c r="AF109" i="4"/>
  <c r="AE109" i="4"/>
  <c r="AD109" i="4"/>
  <c r="AC109" i="4"/>
  <c r="AA109" i="4"/>
  <c r="Z109" i="4"/>
  <c r="Y109" i="4"/>
  <c r="W109" i="4"/>
  <c r="T109" i="4"/>
  <c r="S109" i="4"/>
  <c r="R109" i="4"/>
  <c r="O109" i="4"/>
  <c r="N109" i="4"/>
  <c r="M109" i="4"/>
  <c r="L109" i="4"/>
  <c r="K109" i="4"/>
  <c r="J109" i="4"/>
  <c r="I109" i="4"/>
  <c r="H109" i="4"/>
  <c r="G109" i="4"/>
  <c r="F109" i="4"/>
  <c r="D109" i="4"/>
  <c r="C109" i="4"/>
  <c r="B109" i="4"/>
  <c r="A109" i="4"/>
  <c r="AH108" i="4"/>
  <c r="AG108" i="4"/>
  <c r="AF108" i="4"/>
  <c r="AE108" i="4"/>
  <c r="AD108" i="4"/>
  <c r="AC108" i="4"/>
  <c r="AB108" i="4"/>
  <c r="AA108" i="4"/>
  <c r="Z108" i="4"/>
  <c r="Y108" i="4"/>
  <c r="W108" i="4"/>
  <c r="T108" i="4"/>
  <c r="S108" i="4"/>
  <c r="R108" i="4"/>
  <c r="O108" i="4"/>
  <c r="N108" i="4"/>
  <c r="M108" i="4"/>
  <c r="L108" i="4"/>
  <c r="K108" i="4"/>
  <c r="J108" i="4"/>
  <c r="I108" i="4"/>
  <c r="H108" i="4"/>
  <c r="G108" i="4"/>
  <c r="F108" i="4"/>
  <c r="D108" i="4"/>
  <c r="C108" i="4"/>
  <c r="B108" i="4"/>
  <c r="A108" i="4"/>
  <c r="AH107" i="4"/>
  <c r="AG107" i="4"/>
  <c r="AF107" i="4"/>
  <c r="AE107" i="4"/>
  <c r="AD107" i="4"/>
  <c r="AC107" i="4"/>
  <c r="AB107" i="4"/>
  <c r="AA107" i="4"/>
  <c r="Z107" i="4"/>
  <c r="Y107" i="4"/>
  <c r="W107" i="4"/>
  <c r="U107" i="4"/>
  <c r="T107" i="4"/>
  <c r="S107" i="4"/>
  <c r="R107" i="4"/>
  <c r="O107" i="4"/>
  <c r="N107" i="4"/>
  <c r="M107" i="4"/>
  <c r="L107" i="4"/>
  <c r="K107" i="4"/>
  <c r="J107" i="4"/>
  <c r="I107" i="4"/>
  <c r="H107" i="4"/>
  <c r="G107" i="4"/>
  <c r="F107" i="4"/>
  <c r="D107" i="4"/>
  <c r="C107" i="4"/>
  <c r="B107" i="4"/>
  <c r="A107" i="4"/>
  <c r="AH106" i="4"/>
  <c r="AG106" i="4"/>
  <c r="AF106" i="4"/>
  <c r="AE106" i="4"/>
  <c r="AC106" i="4"/>
  <c r="AA106" i="4"/>
  <c r="Z106" i="4"/>
  <c r="Y106" i="4"/>
  <c r="W106" i="4"/>
  <c r="T106" i="4"/>
  <c r="S106" i="4"/>
  <c r="R106" i="4"/>
  <c r="Q106" i="4"/>
  <c r="P106" i="4"/>
  <c r="O106" i="4"/>
  <c r="N106" i="4"/>
  <c r="M106" i="4"/>
  <c r="L106" i="4"/>
  <c r="K106" i="4"/>
  <c r="J106" i="4"/>
  <c r="I106" i="4"/>
  <c r="H106" i="4"/>
  <c r="G106" i="4"/>
  <c r="F106" i="4"/>
  <c r="D106" i="4"/>
  <c r="C106" i="4"/>
  <c r="B106" i="4"/>
  <c r="A106" i="4"/>
  <c r="AH105" i="4"/>
  <c r="AG105" i="4"/>
  <c r="AF105" i="4"/>
  <c r="AE105" i="4"/>
  <c r="AC105" i="4"/>
  <c r="AA105" i="4"/>
  <c r="Z105" i="4"/>
  <c r="Y105" i="4"/>
  <c r="W105" i="4"/>
  <c r="T105" i="4"/>
  <c r="S105" i="4"/>
  <c r="R105" i="4"/>
  <c r="Q105" i="4"/>
  <c r="P105" i="4"/>
  <c r="O105" i="4"/>
  <c r="N105" i="4"/>
  <c r="M105" i="4"/>
  <c r="L105" i="4"/>
  <c r="K105" i="4"/>
  <c r="J105" i="4"/>
  <c r="I105" i="4"/>
  <c r="H105" i="4"/>
  <c r="G105" i="4"/>
  <c r="F105" i="4"/>
  <c r="D105" i="4"/>
  <c r="C105" i="4"/>
  <c r="B105" i="4"/>
  <c r="A105" i="4"/>
  <c r="AH104" i="4"/>
  <c r="AG104" i="4"/>
  <c r="AF104" i="4"/>
  <c r="AE104" i="4"/>
  <c r="AD104" i="4"/>
  <c r="AC104" i="4"/>
  <c r="AB104" i="4"/>
  <c r="AA104" i="4"/>
  <c r="Z104" i="4"/>
  <c r="Y104" i="4"/>
  <c r="W104" i="4"/>
  <c r="T104" i="4"/>
  <c r="S104" i="4"/>
  <c r="R104" i="4"/>
  <c r="O104" i="4"/>
  <c r="N104" i="4"/>
  <c r="M104" i="4"/>
  <c r="L104" i="4"/>
  <c r="K104" i="4"/>
  <c r="J104" i="4"/>
  <c r="I104" i="4"/>
  <c r="H104" i="4"/>
  <c r="G104" i="4"/>
  <c r="F104" i="4"/>
  <c r="D104" i="4"/>
  <c r="C104" i="4"/>
  <c r="B104" i="4"/>
  <c r="A104" i="4"/>
  <c r="AH103" i="4"/>
  <c r="AG103" i="4"/>
  <c r="AF103" i="4"/>
  <c r="AE103" i="4"/>
  <c r="AD103" i="4"/>
  <c r="AC103" i="4"/>
  <c r="AB103" i="4"/>
  <c r="AA103" i="4"/>
  <c r="Z103" i="4"/>
  <c r="Y103" i="4"/>
  <c r="W103" i="4"/>
  <c r="T103" i="4"/>
  <c r="S103" i="4"/>
  <c r="R103" i="4"/>
  <c r="O103" i="4"/>
  <c r="N103" i="4"/>
  <c r="M103" i="4"/>
  <c r="L103" i="4"/>
  <c r="K103" i="4"/>
  <c r="J103" i="4"/>
  <c r="I103" i="4"/>
  <c r="H103" i="4"/>
  <c r="G103" i="4"/>
  <c r="F103" i="4"/>
  <c r="D103" i="4"/>
  <c r="C103" i="4"/>
  <c r="B103" i="4"/>
  <c r="A103" i="4"/>
  <c r="AH102" i="4"/>
  <c r="AG102" i="4"/>
  <c r="AF102" i="4"/>
  <c r="AE102" i="4"/>
  <c r="AD102" i="4"/>
  <c r="AC102" i="4"/>
  <c r="AB102" i="4"/>
  <c r="AA102" i="4"/>
  <c r="Z102" i="4"/>
  <c r="Y102" i="4"/>
  <c r="W102" i="4"/>
  <c r="T102" i="4"/>
  <c r="S102" i="4"/>
  <c r="R102" i="4"/>
  <c r="O102" i="4"/>
  <c r="N102" i="4"/>
  <c r="M102" i="4"/>
  <c r="L102" i="4"/>
  <c r="K102" i="4"/>
  <c r="J102" i="4"/>
  <c r="I102" i="4"/>
  <c r="H102" i="4"/>
  <c r="G102" i="4"/>
  <c r="F102" i="4"/>
  <c r="D102" i="4"/>
  <c r="C102" i="4"/>
  <c r="B102" i="4"/>
  <c r="A102" i="4"/>
  <c r="AH101" i="4"/>
  <c r="AG101" i="4"/>
  <c r="AF101" i="4"/>
  <c r="AE101" i="4"/>
  <c r="AD101" i="4"/>
  <c r="AC101" i="4"/>
  <c r="AB101" i="4"/>
  <c r="AA101" i="4"/>
  <c r="Z101" i="4"/>
  <c r="Y101" i="4"/>
  <c r="W101" i="4"/>
  <c r="T101" i="4"/>
  <c r="S101" i="4"/>
  <c r="R101" i="4"/>
  <c r="O101" i="4"/>
  <c r="N101" i="4"/>
  <c r="M101" i="4"/>
  <c r="L101" i="4"/>
  <c r="K101" i="4"/>
  <c r="J101" i="4"/>
  <c r="I101" i="4"/>
  <c r="H101" i="4"/>
  <c r="G101" i="4"/>
  <c r="F101" i="4"/>
  <c r="D101" i="4"/>
  <c r="C101" i="4"/>
  <c r="B101" i="4"/>
  <c r="A101" i="4"/>
  <c r="AH100" i="4"/>
  <c r="AG100" i="4"/>
  <c r="AF100" i="4"/>
  <c r="AE100" i="4"/>
  <c r="AD100" i="4"/>
  <c r="AC100" i="4"/>
  <c r="AB100" i="4"/>
  <c r="AA100" i="4"/>
  <c r="Z100" i="4"/>
  <c r="Y100" i="4"/>
  <c r="W100" i="4"/>
  <c r="T100" i="4"/>
  <c r="S100" i="4"/>
  <c r="R100" i="4"/>
  <c r="O100" i="4"/>
  <c r="N100" i="4"/>
  <c r="M100" i="4"/>
  <c r="L100" i="4"/>
  <c r="K100" i="4"/>
  <c r="J100" i="4"/>
  <c r="I100" i="4"/>
  <c r="H100" i="4"/>
  <c r="G100" i="4"/>
  <c r="F100" i="4"/>
  <c r="D100" i="4"/>
  <c r="C100" i="4"/>
  <c r="B100" i="4"/>
  <c r="A100" i="4"/>
  <c r="AG99" i="4"/>
  <c r="AF99" i="4"/>
  <c r="AE99" i="4"/>
  <c r="AC99" i="4"/>
  <c r="AB99" i="4"/>
  <c r="AA99" i="4"/>
  <c r="Z99" i="4"/>
  <c r="Y99" i="4"/>
  <c r="W99" i="4"/>
  <c r="S99" i="4"/>
  <c r="R99" i="4"/>
  <c r="O99" i="4"/>
  <c r="N99" i="4"/>
  <c r="M99" i="4"/>
  <c r="L99" i="4"/>
  <c r="K99" i="4"/>
  <c r="J99" i="4"/>
  <c r="I99" i="4"/>
  <c r="H99" i="4"/>
  <c r="G99" i="4"/>
  <c r="F99" i="4"/>
  <c r="D99" i="4"/>
  <c r="C99" i="4"/>
  <c r="B99" i="4"/>
  <c r="A99" i="4"/>
  <c r="AH98" i="4"/>
  <c r="AG98" i="4"/>
  <c r="AF98" i="4"/>
  <c r="AE98" i="4"/>
  <c r="AD98" i="4"/>
  <c r="AC98" i="4"/>
  <c r="AB98" i="4"/>
  <c r="AA98" i="4"/>
  <c r="Z98" i="4"/>
  <c r="Y98" i="4"/>
  <c r="W98" i="4"/>
  <c r="T98" i="4"/>
  <c r="S98" i="4"/>
  <c r="R98" i="4"/>
  <c r="O98" i="4"/>
  <c r="N98" i="4"/>
  <c r="M98" i="4"/>
  <c r="L98" i="4"/>
  <c r="K98" i="4"/>
  <c r="J98" i="4"/>
  <c r="I98" i="4"/>
  <c r="H98" i="4"/>
  <c r="G98" i="4"/>
  <c r="F98" i="4"/>
  <c r="D98" i="4"/>
  <c r="C98" i="4"/>
  <c r="B98" i="4"/>
  <c r="A98" i="4"/>
  <c r="AH97" i="4"/>
  <c r="AG97" i="4"/>
  <c r="AF97" i="4"/>
  <c r="AE97" i="4"/>
  <c r="AD97" i="4"/>
  <c r="AC97" i="4"/>
  <c r="AB97" i="4"/>
  <c r="AA97" i="4"/>
  <c r="Z97" i="4"/>
  <c r="Y97" i="4"/>
  <c r="W97" i="4"/>
  <c r="T97" i="4"/>
  <c r="S97" i="4"/>
  <c r="R97" i="4"/>
  <c r="O97" i="4"/>
  <c r="N97" i="4"/>
  <c r="M97" i="4"/>
  <c r="L97" i="4"/>
  <c r="K97" i="4"/>
  <c r="J97" i="4"/>
  <c r="I97" i="4"/>
  <c r="H97" i="4"/>
  <c r="G97" i="4"/>
  <c r="F97" i="4"/>
  <c r="D97" i="4"/>
  <c r="C97" i="4"/>
  <c r="B97" i="4"/>
  <c r="A97" i="4"/>
  <c r="AH96" i="4"/>
  <c r="AG96" i="4"/>
  <c r="AF96" i="4"/>
  <c r="AE96" i="4"/>
  <c r="AD96" i="4"/>
  <c r="AC96" i="4"/>
  <c r="AB96" i="4"/>
  <c r="AA96" i="4"/>
  <c r="Z96" i="4"/>
  <c r="Y96" i="4"/>
  <c r="W96" i="4"/>
  <c r="T96" i="4"/>
  <c r="S96" i="4"/>
  <c r="R96" i="4"/>
  <c r="O96" i="4"/>
  <c r="N96" i="4"/>
  <c r="M96" i="4"/>
  <c r="L96" i="4"/>
  <c r="K96" i="4"/>
  <c r="J96" i="4"/>
  <c r="I96" i="4"/>
  <c r="H96" i="4"/>
  <c r="G96" i="4"/>
  <c r="F96" i="4"/>
  <c r="D96" i="4"/>
  <c r="C96" i="4"/>
  <c r="B96" i="4"/>
  <c r="A96" i="4"/>
  <c r="AH95" i="4"/>
  <c r="AG95" i="4"/>
  <c r="AF95" i="4"/>
  <c r="AE95" i="4"/>
  <c r="AD95" i="4"/>
  <c r="AC95" i="4"/>
  <c r="AB95" i="4"/>
  <c r="AA95" i="4"/>
  <c r="Z95" i="4"/>
  <c r="Y95" i="4"/>
  <c r="W95" i="4"/>
  <c r="U95" i="4"/>
  <c r="T95" i="4"/>
  <c r="S95" i="4"/>
  <c r="R95" i="4"/>
  <c r="O95" i="4"/>
  <c r="N95" i="4"/>
  <c r="M95" i="4"/>
  <c r="L95" i="4"/>
  <c r="K95" i="4"/>
  <c r="J95" i="4"/>
  <c r="I95" i="4"/>
  <c r="H95" i="4"/>
  <c r="G95" i="4"/>
  <c r="F95" i="4"/>
  <c r="D95" i="4"/>
  <c r="C95" i="4"/>
  <c r="B95" i="4"/>
  <c r="A95" i="4"/>
  <c r="AH94" i="4"/>
  <c r="AG94" i="4"/>
  <c r="AF94" i="4"/>
  <c r="AE94" i="4"/>
  <c r="AD94" i="4"/>
  <c r="AC94" i="4"/>
  <c r="AB94" i="4"/>
  <c r="AA94" i="4"/>
  <c r="Z94" i="4"/>
  <c r="Y94" i="4"/>
  <c r="W94" i="4"/>
  <c r="T94" i="4"/>
  <c r="S94" i="4"/>
  <c r="R94" i="4"/>
  <c r="O94" i="4"/>
  <c r="N94" i="4"/>
  <c r="M94" i="4"/>
  <c r="L94" i="4"/>
  <c r="K94" i="4"/>
  <c r="J94" i="4"/>
  <c r="I94" i="4"/>
  <c r="H94" i="4"/>
  <c r="G94" i="4"/>
  <c r="F94" i="4"/>
  <c r="D94" i="4"/>
  <c r="C94" i="4"/>
  <c r="B94" i="4"/>
  <c r="A94" i="4"/>
  <c r="AH93" i="4"/>
  <c r="AG93" i="4"/>
  <c r="AF93" i="4"/>
  <c r="AE93" i="4"/>
  <c r="AD93" i="4"/>
  <c r="AC93" i="4"/>
  <c r="AB93" i="4"/>
  <c r="AA93" i="4"/>
  <c r="Z93" i="4"/>
  <c r="Y93" i="4"/>
  <c r="W93" i="4"/>
  <c r="T93" i="4"/>
  <c r="S93" i="4"/>
  <c r="R93" i="4"/>
  <c r="O93" i="4"/>
  <c r="N93" i="4"/>
  <c r="M93" i="4"/>
  <c r="L93" i="4"/>
  <c r="K93" i="4"/>
  <c r="J93" i="4"/>
  <c r="I93" i="4"/>
  <c r="H93" i="4"/>
  <c r="G93" i="4"/>
  <c r="F93" i="4"/>
  <c r="D93" i="4"/>
  <c r="C93" i="4"/>
  <c r="B93" i="4"/>
  <c r="A93" i="4"/>
  <c r="AH92" i="4"/>
  <c r="AG92" i="4"/>
  <c r="AF92" i="4"/>
  <c r="AE92" i="4"/>
  <c r="AD92" i="4"/>
  <c r="AC92" i="4"/>
  <c r="AB92" i="4"/>
  <c r="AA92" i="4"/>
  <c r="Z92" i="4"/>
  <c r="Y92" i="4"/>
  <c r="W92" i="4"/>
  <c r="T92" i="4"/>
  <c r="S92" i="4"/>
  <c r="R92" i="4"/>
  <c r="O92" i="4"/>
  <c r="N92" i="4"/>
  <c r="M92" i="4"/>
  <c r="L92" i="4"/>
  <c r="K92" i="4"/>
  <c r="J92" i="4"/>
  <c r="I92" i="4"/>
  <c r="H92" i="4"/>
  <c r="G92" i="4"/>
  <c r="F92" i="4"/>
  <c r="D92" i="4"/>
  <c r="C92" i="4"/>
  <c r="B92" i="4"/>
  <c r="A92" i="4"/>
  <c r="AH91" i="4"/>
  <c r="AG91" i="4"/>
  <c r="AF91" i="4"/>
  <c r="AE91" i="4"/>
  <c r="AD91" i="4"/>
  <c r="AC91" i="4"/>
  <c r="AB91" i="4"/>
  <c r="AA91" i="4"/>
  <c r="Z91" i="4"/>
  <c r="Y91" i="4"/>
  <c r="W91" i="4"/>
  <c r="U91" i="4"/>
  <c r="T91" i="4"/>
  <c r="S91" i="4"/>
  <c r="R91" i="4"/>
  <c r="O91" i="4"/>
  <c r="N91" i="4"/>
  <c r="M91" i="4"/>
  <c r="L91" i="4"/>
  <c r="K91" i="4"/>
  <c r="J91" i="4"/>
  <c r="I91" i="4"/>
  <c r="H91" i="4"/>
  <c r="G91" i="4"/>
  <c r="F91" i="4"/>
  <c r="D91" i="4"/>
  <c r="C91" i="4"/>
  <c r="B91" i="4"/>
  <c r="A91" i="4"/>
  <c r="AH90" i="4"/>
  <c r="AG90" i="4"/>
  <c r="AF90" i="4"/>
  <c r="AE90" i="4"/>
  <c r="AD90" i="4"/>
  <c r="AC90" i="4"/>
  <c r="AB90" i="4"/>
  <c r="AA90" i="4"/>
  <c r="Z90" i="4"/>
  <c r="Y90" i="4"/>
  <c r="W90" i="4"/>
  <c r="T90" i="4"/>
  <c r="S90" i="4"/>
  <c r="R90" i="4"/>
  <c r="O90" i="4"/>
  <c r="N90" i="4"/>
  <c r="M90" i="4"/>
  <c r="L90" i="4"/>
  <c r="K90" i="4"/>
  <c r="J90" i="4"/>
  <c r="I90" i="4"/>
  <c r="H90" i="4"/>
  <c r="G90" i="4"/>
  <c r="F90" i="4"/>
  <c r="D90" i="4"/>
  <c r="C90" i="4"/>
  <c r="B90" i="4"/>
  <c r="A90" i="4"/>
  <c r="AH89" i="4"/>
  <c r="AG89" i="4"/>
  <c r="AF89" i="4"/>
  <c r="AE89" i="4"/>
  <c r="AD89" i="4"/>
  <c r="AC89" i="4"/>
  <c r="AB89" i="4"/>
  <c r="AA89" i="4"/>
  <c r="Z89" i="4"/>
  <c r="Y89" i="4"/>
  <c r="W89" i="4"/>
  <c r="T89" i="4"/>
  <c r="S89" i="4"/>
  <c r="R89" i="4"/>
  <c r="O89" i="4"/>
  <c r="N89" i="4"/>
  <c r="M89" i="4"/>
  <c r="L89" i="4"/>
  <c r="K89" i="4"/>
  <c r="J89" i="4"/>
  <c r="I89" i="4"/>
  <c r="H89" i="4"/>
  <c r="G89" i="4"/>
  <c r="F89" i="4"/>
  <c r="D89" i="4"/>
  <c r="C89" i="4"/>
  <c r="B89" i="4"/>
  <c r="A89" i="4"/>
  <c r="AH88" i="4"/>
  <c r="AG88" i="4"/>
  <c r="AF88" i="4"/>
  <c r="AE88" i="4"/>
  <c r="AD88" i="4"/>
  <c r="AC88" i="4"/>
  <c r="AB88" i="4"/>
  <c r="AA88" i="4"/>
  <c r="Z88" i="4"/>
  <c r="Y88" i="4"/>
  <c r="W88" i="4"/>
  <c r="T88" i="4"/>
  <c r="S88" i="4"/>
  <c r="R88" i="4"/>
  <c r="O88" i="4"/>
  <c r="N88" i="4"/>
  <c r="M88" i="4"/>
  <c r="L88" i="4"/>
  <c r="K88" i="4"/>
  <c r="J88" i="4"/>
  <c r="I88" i="4"/>
  <c r="H88" i="4"/>
  <c r="G88" i="4"/>
  <c r="F88" i="4"/>
  <c r="D88" i="4"/>
  <c r="C88" i="4"/>
  <c r="B88" i="4"/>
  <c r="A88" i="4"/>
  <c r="AH87" i="4"/>
  <c r="AG87" i="4"/>
  <c r="AF87" i="4"/>
  <c r="AE87" i="4"/>
  <c r="AD87" i="4"/>
  <c r="AC87" i="4"/>
  <c r="AB87" i="4"/>
  <c r="AA87" i="4"/>
  <c r="Z87" i="4"/>
  <c r="Y87" i="4"/>
  <c r="W87" i="4"/>
  <c r="T87" i="4"/>
  <c r="S87" i="4"/>
  <c r="R87" i="4"/>
  <c r="O87" i="4"/>
  <c r="N87" i="4"/>
  <c r="M87" i="4"/>
  <c r="L87" i="4"/>
  <c r="K87" i="4"/>
  <c r="J87" i="4"/>
  <c r="I87" i="4"/>
  <c r="H87" i="4"/>
  <c r="G87" i="4"/>
  <c r="F87" i="4"/>
  <c r="D87" i="4"/>
  <c r="C87" i="4"/>
  <c r="B87" i="4"/>
  <c r="A87" i="4"/>
  <c r="AH86" i="4"/>
  <c r="AG86" i="4"/>
  <c r="AF86" i="4"/>
  <c r="AE86" i="4"/>
  <c r="AD86" i="4"/>
  <c r="AC86" i="4"/>
  <c r="AB86" i="4"/>
  <c r="AA86" i="4"/>
  <c r="Z86" i="4"/>
  <c r="Y86" i="4"/>
  <c r="W86" i="4"/>
  <c r="T86" i="4"/>
  <c r="S86" i="4"/>
  <c r="R86" i="4"/>
  <c r="O86" i="4"/>
  <c r="N86" i="4"/>
  <c r="M86" i="4"/>
  <c r="L86" i="4"/>
  <c r="K86" i="4"/>
  <c r="J86" i="4"/>
  <c r="I86" i="4"/>
  <c r="H86" i="4"/>
  <c r="G86" i="4"/>
  <c r="F86" i="4"/>
  <c r="D86" i="4"/>
  <c r="C86" i="4"/>
  <c r="B86" i="4"/>
  <c r="A86" i="4"/>
  <c r="AH85" i="4"/>
  <c r="AG85" i="4"/>
  <c r="AF85" i="4"/>
  <c r="AE85" i="4"/>
  <c r="AD85" i="4"/>
  <c r="AC85" i="4"/>
  <c r="AB85" i="4"/>
  <c r="AA85" i="4"/>
  <c r="Z85" i="4"/>
  <c r="Y85" i="4"/>
  <c r="W85" i="4"/>
  <c r="U85" i="4"/>
  <c r="T85" i="4"/>
  <c r="S85" i="4"/>
  <c r="R85" i="4"/>
  <c r="O85" i="4"/>
  <c r="N85" i="4"/>
  <c r="M85" i="4"/>
  <c r="L85" i="4"/>
  <c r="K85" i="4"/>
  <c r="J85" i="4"/>
  <c r="I85" i="4"/>
  <c r="H85" i="4"/>
  <c r="G85" i="4"/>
  <c r="F85" i="4"/>
  <c r="D85" i="4"/>
  <c r="C85" i="4"/>
  <c r="B85" i="4"/>
  <c r="A85" i="4"/>
  <c r="AH84" i="4"/>
  <c r="AG84" i="4"/>
  <c r="AF84" i="4"/>
  <c r="AE84" i="4"/>
  <c r="AD84" i="4"/>
  <c r="AC84" i="4"/>
  <c r="AB84" i="4"/>
  <c r="AA84" i="4"/>
  <c r="Z84" i="4"/>
  <c r="Y84" i="4"/>
  <c r="W84" i="4"/>
  <c r="T84" i="4"/>
  <c r="S84" i="4"/>
  <c r="R84" i="4"/>
  <c r="O84" i="4"/>
  <c r="N84" i="4"/>
  <c r="M84" i="4"/>
  <c r="L84" i="4"/>
  <c r="K84" i="4"/>
  <c r="J84" i="4"/>
  <c r="I84" i="4"/>
  <c r="H84" i="4"/>
  <c r="G84" i="4"/>
  <c r="F84" i="4"/>
  <c r="D84" i="4"/>
  <c r="C84" i="4"/>
  <c r="B84" i="4"/>
  <c r="A84" i="4"/>
  <c r="AH83" i="4"/>
  <c r="AG83" i="4"/>
  <c r="AF83" i="4"/>
  <c r="AE83" i="4"/>
  <c r="AD83" i="4"/>
  <c r="AC83" i="4"/>
  <c r="AB83" i="4"/>
  <c r="AA83" i="4"/>
  <c r="Z83" i="4"/>
  <c r="Y83" i="4"/>
  <c r="W83" i="4"/>
  <c r="T83" i="4"/>
  <c r="S83" i="4"/>
  <c r="R83" i="4"/>
  <c r="O83" i="4"/>
  <c r="N83" i="4"/>
  <c r="M83" i="4"/>
  <c r="L83" i="4"/>
  <c r="K83" i="4"/>
  <c r="J83" i="4"/>
  <c r="I83" i="4"/>
  <c r="H83" i="4"/>
  <c r="G83" i="4"/>
  <c r="F83" i="4"/>
  <c r="D83" i="4"/>
  <c r="C83" i="4"/>
  <c r="B83" i="4"/>
  <c r="A83" i="4"/>
  <c r="AH82" i="4"/>
  <c r="AG82" i="4"/>
  <c r="AF82" i="4"/>
  <c r="AE82" i="4"/>
  <c r="AD82" i="4"/>
  <c r="AC82" i="4"/>
  <c r="AB82" i="4"/>
  <c r="AA82" i="4"/>
  <c r="Z82" i="4"/>
  <c r="Y82" i="4"/>
  <c r="W82" i="4"/>
  <c r="T82" i="4"/>
  <c r="S82" i="4"/>
  <c r="R82" i="4"/>
  <c r="O82" i="4"/>
  <c r="N82" i="4"/>
  <c r="M82" i="4"/>
  <c r="L82" i="4"/>
  <c r="K82" i="4"/>
  <c r="J82" i="4"/>
  <c r="I82" i="4"/>
  <c r="H82" i="4"/>
  <c r="G82" i="4"/>
  <c r="F82" i="4"/>
  <c r="D82" i="4"/>
  <c r="C82" i="4"/>
  <c r="B82" i="4"/>
  <c r="A82" i="4"/>
  <c r="AH81" i="4"/>
  <c r="AG81" i="4"/>
  <c r="AF81" i="4"/>
  <c r="AE81" i="4"/>
  <c r="AD81" i="4"/>
  <c r="AC81" i="4"/>
  <c r="AB81" i="4"/>
  <c r="AA81" i="4"/>
  <c r="Z81" i="4"/>
  <c r="Y81" i="4"/>
  <c r="W81" i="4"/>
  <c r="T81" i="4"/>
  <c r="S81" i="4"/>
  <c r="R81" i="4"/>
  <c r="O81" i="4"/>
  <c r="N81" i="4"/>
  <c r="M81" i="4"/>
  <c r="L81" i="4"/>
  <c r="K81" i="4"/>
  <c r="J81" i="4"/>
  <c r="I81" i="4"/>
  <c r="H81" i="4"/>
  <c r="G81" i="4"/>
  <c r="F81" i="4"/>
  <c r="D81" i="4"/>
  <c r="C81" i="4"/>
  <c r="B81" i="4"/>
  <c r="A81" i="4"/>
  <c r="AH80" i="4"/>
  <c r="AG80" i="4"/>
  <c r="AF80" i="4"/>
  <c r="AE80" i="4"/>
  <c r="AD80" i="4"/>
  <c r="AC80" i="4"/>
  <c r="AB80" i="4"/>
  <c r="AA80" i="4"/>
  <c r="Z80" i="4"/>
  <c r="Y80" i="4"/>
  <c r="W80" i="4"/>
  <c r="T80" i="4"/>
  <c r="S80" i="4"/>
  <c r="R80" i="4"/>
  <c r="O80" i="4"/>
  <c r="N80" i="4"/>
  <c r="M80" i="4"/>
  <c r="L80" i="4"/>
  <c r="K80" i="4"/>
  <c r="J80" i="4"/>
  <c r="I80" i="4"/>
  <c r="H80" i="4"/>
  <c r="G80" i="4"/>
  <c r="F80" i="4"/>
  <c r="D80" i="4"/>
  <c r="C80" i="4"/>
  <c r="B80" i="4"/>
  <c r="A80" i="4"/>
  <c r="AH79" i="4"/>
  <c r="AG79" i="4"/>
  <c r="AF79" i="4"/>
  <c r="AE79" i="4"/>
  <c r="AD79" i="4"/>
  <c r="AC79" i="4"/>
  <c r="AB79" i="4"/>
  <c r="AA79" i="4"/>
  <c r="Z79" i="4"/>
  <c r="Y79" i="4"/>
  <c r="W79" i="4"/>
  <c r="T79" i="4"/>
  <c r="S79" i="4"/>
  <c r="R79" i="4"/>
  <c r="O79" i="4"/>
  <c r="N79" i="4"/>
  <c r="M79" i="4"/>
  <c r="L79" i="4"/>
  <c r="K79" i="4"/>
  <c r="J79" i="4"/>
  <c r="I79" i="4"/>
  <c r="H79" i="4"/>
  <c r="G79" i="4"/>
  <c r="F79" i="4"/>
  <c r="D79" i="4"/>
  <c r="C79" i="4"/>
  <c r="B79" i="4"/>
  <c r="A79" i="4"/>
  <c r="AH78" i="4"/>
  <c r="AG78" i="4"/>
  <c r="AF78" i="4"/>
  <c r="AE78" i="4"/>
  <c r="AD78" i="4"/>
  <c r="AC78" i="4"/>
  <c r="AB78" i="4"/>
  <c r="AA78" i="4"/>
  <c r="Z78" i="4"/>
  <c r="Y78" i="4"/>
  <c r="W78" i="4"/>
  <c r="T78" i="4"/>
  <c r="S78" i="4"/>
  <c r="R78" i="4"/>
  <c r="O78" i="4"/>
  <c r="N78" i="4"/>
  <c r="M78" i="4"/>
  <c r="L78" i="4"/>
  <c r="K78" i="4"/>
  <c r="J78" i="4"/>
  <c r="I78" i="4"/>
  <c r="H78" i="4"/>
  <c r="G78" i="4"/>
  <c r="F78" i="4"/>
  <c r="D78" i="4"/>
  <c r="C78" i="4"/>
  <c r="B78" i="4"/>
  <c r="A78" i="4"/>
  <c r="AG77" i="4"/>
  <c r="AF77" i="4"/>
  <c r="AE77" i="4"/>
  <c r="AC77" i="4"/>
  <c r="AB77" i="4"/>
  <c r="AA77" i="4"/>
  <c r="Z77" i="4"/>
  <c r="Y77" i="4"/>
  <c r="W77" i="4"/>
  <c r="T77" i="4"/>
  <c r="S77" i="4"/>
  <c r="R77" i="4"/>
  <c r="O77" i="4"/>
  <c r="N77" i="4"/>
  <c r="M77" i="4"/>
  <c r="L77" i="4"/>
  <c r="K77" i="4"/>
  <c r="J77" i="4"/>
  <c r="I77" i="4"/>
  <c r="H77" i="4"/>
  <c r="G77" i="4"/>
  <c r="F77" i="4"/>
  <c r="D77" i="4"/>
  <c r="C77" i="4"/>
  <c r="B77" i="4"/>
  <c r="A77" i="4"/>
  <c r="AH76" i="4"/>
  <c r="AG76" i="4"/>
  <c r="AF76" i="4"/>
  <c r="AE76" i="4"/>
  <c r="AD76" i="4"/>
  <c r="AC76" i="4"/>
  <c r="AB76" i="4"/>
  <c r="AA76" i="4"/>
  <c r="Z76" i="4"/>
  <c r="Y76" i="4"/>
  <c r="W76" i="4"/>
  <c r="T76" i="4"/>
  <c r="S76" i="4"/>
  <c r="R76" i="4"/>
  <c r="O76" i="4"/>
  <c r="N76" i="4"/>
  <c r="M76" i="4"/>
  <c r="L76" i="4"/>
  <c r="K76" i="4"/>
  <c r="J76" i="4"/>
  <c r="I76" i="4"/>
  <c r="H76" i="4"/>
  <c r="G76" i="4"/>
  <c r="F76" i="4"/>
  <c r="D76" i="4"/>
  <c r="C76" i="4"/>
  <c r="B76" i="4"/>
  <c r="A76" i="4"/>
  <c r="AH75" i="4"/>
  <c r="AG75" i="4"/>
  <c r="AF75" i="4"/>
  <c r="AE75" i="4"/>
  <c r="AD75" i="4"/>
  <c r="AC75" i="4"/>
  <c r="AB75" i="4"/>
  <c r="AA75" i="4"/>
  <c r="Z75" i="4"/>
  <c r="Y75" i="4"/>
  <c r="W75" i="4"/>
  <c r="T75" i="4"/>
  <c r="S75" i="4"/>
  <c r="R75" i="4"/>
  <c r="O75" i="4"/>
  <c r="N75" i="4"/>
  <c r="M75" i="4"/>
  <c r="L75" i="4"/>
  <c r="K75" i="4"/>
  <c r="J75" i="4"/>
  <c r="I75" i="4"/>
  <c r="H75" i="4"/>
  <c r="G75" i="4"/>
  <c r="F75" i="4"/>
  <c r="D75" i="4"/>
  <c r="C75" i="4"/>
  <c r="B75" i="4"/>
  <c r="A75" i="4"/>
  <c r="AH74" i="4"/>
  <c r="AG74" i="4"/>
  <c r="AF74" i="4"/>
  <c r="AE74" i="4"/>
  <c r="AD74" i="4"/>
  <c r="AC74" i="4"/>
  <c r="AB74" i="4"/>
  <c r="AA74" i="4"/>
  <c r="Z74" i="4"/>
  <c r="Y74" i="4"/>
  <c r="W74" i="4"/>
  <c r="T74" i="4"/>
  <c r="S74" i="4"/>
  <c r="R74" i="4"/>
  <c r="O74" i="4"/>
  <c r="N74" i="4"/>
  <c r="M74" i="4"/>
  <c r="L74" i="4"/>
  <c r="K74" i="4"/>
  <c r="J74" i="4"/>
  <c r="I74" i="4"/>
  <c r="H74" i="4"/>
  <c r="G74" i="4"/>
  <c r="F74" i="4"/>
  <c r="D74" i="4"/>
  <c r="C74" i="4"/>
  <c r="B74" i="4"/>
  <c r="A74" i="4"/>
  <c r="AH73" i="4"/>
  <c r="AG73" i="4"/>
  <c r="AF73" i="4"/>
  <c r="AE73" i="4"/>
  <c r="AD73" i="4"/>
  <c r="AC73" i="4"/>
  <c r="AB73" i="4"/>
  <c r="AA73" i="4"/>
  <c r="Z73" i="4"/>
  <c r="Y73" i="4"/>
  <c r="W73" i="4"/>
  <c r="U73" i="4"/>
  <c r="T73" i="4"/>
  <c r="S73" i="4"/>
  <c r="R73" i="4"/>
  <c r="O73" i="4"/>
  <c r="N73" i="4"/>
  <c r="M73" i="4"/>
  <c r="L73" i="4"/>
  <c r="K73" i="4"/>
  <c r="J73" i="4"/>
  <c r="I73" i="4"/>
  <c r="H73" i="4"/>
  <c r="G73" i="4"/>
  <c r="F73" i="4"/>
  <c r="D73" i="4"/>
  <c r="C73" i="4"/>
  <c r="B73" i="4"/>
  <c r="A73" i="4"/>
  <c r="AH72" i="4"/>
  <c r="AG72" i="4"/>
  <c r="AF72" i="4"/>
  <c r="AE72" i="4"/>
  <c r="AD72" i="4"/>
  <c r="AC72" i="4"/>
  <c r="AB72" i="4"/>
  <c r="AA72" i="4"/>
  <c r="Z72" i="4"/>
  <c r="Y72" i="4"/>
  <c r="W72" i="4"/>
  <c r="T72" i="4"/>
  <c r="S72" i="4"/>
  <c r="R72" i="4"/>
  <c r="O72" i="4"/>
  <c r="N72" i="4"/>
  <c r="M72" i="4"/>
  <c r="L72" i="4"/>
  <c r="K72" i="4"/>
  <c r="J72" i="4"/>
  <c r="I72" i="4"/>
  <c r="H72" i="4"/>
  <c r="G72" i="4"/>
  <c r="F72" i="4"/>
  <c r="D72" i="4"/>
  <c r="C72" i="4"/>
  <c r="B72" i="4"/>
  <c r="A72" i="4"/>
  <c r="AH71" i="4"/>
  <c r="AG71" i="4"/>
  <c r="AF71" i="4"/>
  <c r="AE71" i="4"/>
  <c r="AD71" i="4"/>
  <c r="AC71" i="4"/>
  <c r="AB71" i="4"/>
  <c r="AA71" i="4"/>
  <c r="Z71" i="4"/>
  <c r="Y71" i="4"/>
  <c r="W71" i="4"/>
  <c r="T71" i="4"/>
  <c r="S71" i="4"/>
  <c r="R71" i="4"/>
  <c r="O71" i="4"/>
  <c r="N71" i="4"/>
  <c r="M71" i="4"/>
  <c r="L71" i="4"/>
  <c r="K71" i="4"/>
  <c r="J71" i="4"/>
  <c r="I71" i="4"/>
  <c r="H71" i="4"/>
  <c r="G71" i="4"/>
  <c r="F71" i="4"/>
  <c r="D71" i="4"/>
  <c r="C71" i="4"/>
  <c r="B71" i="4"/>
  <c r="A71" i="4"/>
  <c r="AH70" i="4"/>
  <c r="AG70" i="4"/>
  <c r="AF70" i="4"/>
  <c r="AE70" i="4"/>
  <c r="AD70" i="4"/>
  <c r="AC70" i="4"/>
  <c r="AB70" i="4"/>
  <c r="AA70" i="4"/>
  <c r="Z70" i="4"/>
  <c r="Y70" i="4"/>
  <c r="W70" i="4"/>
  <c r="T70" i="4"/>
  <c r="S70" i="4"/>
  <c r="R70" i="4"/>
  <c r="O70" i="4"/>
  <c r="N70" i="4"/>
  <c r="M70" i="4"/>
  <c r="L70" i="4"/>
  <c r="K70" i="4"/>
  <c r="J70" i="4"/>
  <c r="I70" i="4"/>
  <c r="H70" i="4"/>
  <c r="G70" i="4"/>
  <c r="F70" i="4"/>
  <c r="D70" i="4"/>
  <c r="C70" i="4"/>
  <c r="B70" i="4"/>
  <c r="A70" i="4"/>
  <c r="AH69" i="4"/>
  <c r="AG69" i="4"/>
  <c r="AF69" i="4"/>
  <c r="AE69" i="4"/>
  <c r="AD69" i="4"/>
  <c r="AC69" i="4"/>
  <c r="AB69" i="4"/>
  <c r="AA69" i="4"/>
  <c r="Z69" i="4"/>
  <c r="Y69" i="4"/>
  <c r="W69" i="4"/>
  <c r="T69" i="4"/>
  <c r="S69" i="4"/>
  <c r="R69" i="4"/>
  <c r="O69" i="4"/>
  <c r="N69" i="4"/>
  <c r="M69" i="4"/>
  <c r="L69" i="4"/>
  <c r="K69" i="4"/>
  <c r="J69" i="4"/>
  <c r="I69" i="4"/>
  <c r="H69" i="4"/>
  <c r="G69" i="4"/>
  <c r="F69" i="4"/>
  <c r="D69" i="4"/>
  <c r="C69" i="4"/>
  <c r="B69" i="4"/>
  <c r="A69" i="4"/>
  <c r="AG68" i="4"/>
  <c r="AF68" i="4"/>
  <c r="AE68" i="4"/>
  <c r="AC68" i="4"/>
  <c r="AA68" i="4"/>
  <c r="Z68" i="4"/>
  <c r="Y68" i="4"/>
  <c r="W68" i="4"/>
  <c r="T68" i="4"/>
  <c r="S68" i="4"/>
  <c r="R68" i="4"/>
  <c r="O68" i="4"/>
  <c r="N68" i="4"/>
  <c r="M68" i="4"/>
  <c r="L68" i="4"/>
  <c r="K68" i="4"/>
  <c r="J68" i="4"/>
  <c r="I68" i="4"/>
  <c r="H68" i="4"/>
  <c r="G68" i="4"/>
  <c r="F68" i="4"/>
  <c r="D68" i="4"/>
  <c r="C68" i="4"/>
  <c r="B68" i="4"/>
  <c r="A68" i="4"/>
  <c r="AH67" i="4"/>
  <c r="AG67" i="4"/>
  <c r="AF67" i="4"/>
  <c r="AE67" i="4"/>
  <c r="AD67" i="4"/>
  <c r="AC67" i="4"/>
  <c r="AB67" i="4"/>
  <c r="AA67" i="4"/>
  <c r="Z67" i="4"/>
  <c r="Y67" i="4"/>
  <c r="W67" i="4"/>
  <c r="T67" i="4"/>
  <c r="S67" i="4"/>
  <c r="R67" i="4"/>
  <c r="O67" i="4"/>
  <c r="N67" i="4"/>
  <c r="M67" i="4"/>
  <c r="L67" i="4"/>
  <c r="K67" i="4"/>
  <c r="J67" i="4"/>
  <c r="I67" i="4"/>
  <c r="H67" i="4"/>
  <c r="G67" i="4"/>
  <c r="F67" i="4"/>
  <c r="D67" i="4"/>
  <c r="C67" i="4"/>
  <c r="B67" i="4"/>
  <c r="A67" i="4"/>
  <c r="AH66" i="4"/>
  <c r="AG66" i="4"/>
  <c r="AF66" i="4"/>
  <c r="AE66" i="4"/>
  <c r="AD66" i="4"/>
  <c r="AC66" i="4"/>
  <c r="AB66" i="4"/>
  <c r="AA66" i="4"/>
  <c r="Z66" i="4"/>
  <c r="Y66" i="4"/>
  <c r="W66" i="4"/>
  <c r="T66" i="4"/>
  <c r="S66" i="4"/>
  <c r="R66" i="4"/>
  <c r="O66" i="4"/>
  <c r="N66" i="4"/>
  <c r="M66" i="4"/>
  <c r="L66" i="4"/>
  <c r="K66" i="4"/>
  <c r="J66" i="4"/>
  <c r="I66" i="4"/>
  <c r="H66" i="4"/>
  <c r="G66" i="4"/>
  <c r="F66" i="4"/>
  <c r="D66" i="4"/>
  <c r="C66" i="4"/>
  <c r="B66" i="4"/>
  <c r="A66" i="4"/>
  <c r="AH65" i="4"/>
  <c r="AG65" i="4"/>
  <c r="AF65" i="4"/>
  <c r="AE65" i="4"/>
  <c r="AD65" i="4"/>
  <c r="AC65" i="4"/>
  <c r="AB65" i="4"/>
  <c r="AA65" i="4"/>
  <c r="Z65" i="4"/>
  <c r="Y65" i="4"/>
  <c r="W65" i="4"/>
  <c r="T65" i="4"/>
  <c r="S65" i="4"/>
  <c r="R65" i="4"/>
  <c r="O65" i="4"/>
  <c r="N65" i="4"/>
  <c r="M65" i="4"/>
  <c r="L65" i="4"/>
  <c r="K65" i="4"/>
  <c r="J65" i="4"/>
  <c r="I65" i="4"/>
  <c r="H65" i="4"/>
  <c r="G65" i="4"/>
  <c r="F65" i="4"/>
  <c r="D65" i="4"/>
  <c r="C65" i="4"/>
  <c r="B65" i="4"/>
  <c r="A65" i="4"/>
  <c r="AH64" i="4"/>
  <c r="AG64" i="4"/>
  <c r="AF64" i="4"/>
  <c r="AE64" i="4"/>
  <c r="AD64" i="4"/>
  <c r="AC64" i="4"/>
  <c r="AB64" i="4"/>
  <c r="AA64" i="4"/>
  <c r="Z64" i="4"/>
  <c r="Y64" i="4"/>
  <c r="W64" i="4"/>
  <c r="T64" i="4"/>
  <c r="S64" i="4"/>
  <c r="R64" i="4"/>
  <c r="O64" i="4"/>
  <c r="N64" i="4"/>
  <c r="M64" i="4"/>
  <c r="L64" i="4"/>
  <c r="K64" i="4"/>
  <c r="J64" i="4"/>
  <c r="I64" i="4"/>
  <c r="H64" i="4"/>
  <c r="G64" i="4"/>
  <c r="F64" i="4"/>
  <c r="D64" i="4"/>
  <c r="C64" i="4"/>
  <c r="B64" i="4"/>
  <c r="A64" i="4"/>
  <c r="AH63" i="4"/>
  <c r="AG63" i="4"/>
  <c r="AF63" i="4"/>
  <c r="AE63" i="4"/>
  <c r="AD63" i="4"/>
  <c r="AC63" i="4"/>
  <c r="AB63" i="4"/>
  <c r="AA63" i="4"/>
  <c r="Z63" i="4"/>
  <c r="Y63" i="4"/>
  <c r="W63" i="4"/>
  <c r="U63" i="4"/>
  <c r="T63" i="4"/>
  <c r="S63" i="4"/>
  <c r="R63" i="4"/>
  <c r="O63" i="4"/>
  <c r="N63" i="4"/>
  <c r="M63" i="4"/>
  <c r="L63" i="4"/>
  <c r="K63" i="4"/>
  <c r="J63" i="4"/>
  <c r="I63" i="4"/>
  <c r="H63" i="4"/>
  <c r="G63" i="4"/>
  <c r="F63" i="4"/>
  <c r="D63" i="4"/>
  <c r="C63" i="4"/>
  <c r="B63" i="4"/>
  <c r="A63" i="4"/>
  <c r="AH62" i="4"/>
  <c r="AG62" i="4"/>
  <c r="AF62" i="4"/>
  <c r="AE62" i="4"/>
  <c r="AD62" i="4"/>
  <c r="AC62" i="4"/>
  <c r="AB62" i="4"/>
  <c r="AA62" i="4"/>
  <c r="Z62" i="4"/>
  <c r="Y62" i="4"/>
  <c r="W62" i="4"/>
  <c r="T62" i="4"/>
  <c r="S62" i="4"/>
  <c r="R62" i="4"/>
  <c r="O62" i="4"/>
  <c r="N62" i="4"/>
  <c r="M62" i="4"/>
  <c r="L62" i="4"/>
  <c r="K62" i="4"/>
  <c r="J62" i="4"/>
  <c r="I62" i="4"/>
  <c r="H62" i="4"/>
  <c r="G62" i="4"/>
  <c r="F62" i="4"/>
  <c r="D62" i="4"/>
  <c r="C62" i="4"/>
  <c r="B62" i="4"/>
  <c r="A62" i="4"/>
  <c r="AH61" i="4"/>
  <c r="AG61" i="4"/>
  <c r="AF61" i="4"/>
  <c r="AE61" i="4"/>
  <c r="AD61" i="4"/>
  <c r="AC61" i="4"/>
  <c r="AB61" i="4"/>
  <c r="AA61" i="4"/>
  <c r="Z61" i="4"/>
  <c r="Y61" i="4"/>
  <c r="W61" i="4"/>
  <c r="T61" i="4"/>
  <c r="S61" i="4"/>
  <c r="R61" i="4"/>
  <c r="O61" i="4"/>
  <c r="N61" i="4"/>
  <c r="M61" i="4"/>
  <c r="L61" i="4"/>
  <c r="K61" i="4"/>
  <c r="J61" i="4"/>
  <c r="I61" i="4"/>
  <c r="H61" i="4"/>
  <c r="G61" i="4"/>
  <c r="F61" i="4"/>
  <c r="D61" i="4"/>
  <c r="C61" i="4"/>
  <c r="B61" i="4"/>
  <c r="A61" i="4"/>
  <c r="AH60" i="4"/>
  <c r="AG60" i="4"/>
  <c r="AF60" i="4"/>
  <c r="AE60" i="4"/>
  <c r="AD60" i="4"/>
  <c r="AC60" i="4"/>
  <c r="AB60" i="4"/>
  <c r="AA60" i="4"/>
  <c r="Z60" i="4"/>
  <c r="Y60" i="4"/>
  <c r="W60" i="4"/>
  <c r="T60" i="4"/>
  <c r="S60" i="4"/>
  <c r="R60" i="4"/>
  <c r="O60" i="4"/>
  <c r="N60" i="4"/>
  <c r="M60" i="4"/>
  <c r="L60" i="4"/>
  <c r="K60" i="4"/>
  <c r="J60" i="4"/>
  <c r="I60" i="4"/>
  <c r="H60" i="4"/>
  <c r="G60" i="4"/>
  <c r="F60" i="4"/>
  <c r="D60" i="4"/>
  <c r="C60" i="4"/>
  <c r="B60" i="4"/>
  <c r="A60" i="4"/>
  <c r="AH59" i="4"/>
  <c r="AG59" i="4"/>
  <c r="AF59" i="4"/>
  <c r="AE59" i="4"/>
  <c r="AD59" i="4"/>
  <c r="AC59" i="4"/>
  <c r="AB59" i="4"/>
  <c r="AA59" i="4"/>
  <c r="Z59" i="4"/>
  <c r="Y59" i="4"/>
  <c r="W59" i="4"/>
  <c r="T59" i="4"/>
  <c r="S59" i="4"/>
  <c r="R59" i="4"/>
  <c r="O59" i="4"/>
  <c r="N59" i="4"/>
  <c r="M59" i="4"/>
  <c r="L59" i="4"/>
  <c r="K59" i="4"/>
  <c r="J59" i="4"/>
  <c r="I59" i="4"/>
  <c r="H59" i="4"/>
  <c r="G59" i="4"/>
  <c r="F59" i="4"/>
  <c r="D59" i="4"/>
  <c r="C59" i="4"/>
  <c r="B59" i="4"/>
  <c r="A59" i="4"/>
  <c r="AH58" i="4"/>
  <c r="AG58" i="4"/>
  <c r="AF58" i="4"/>
  <c r="AE58" i="4"/>
  <c r="AD58" i="4"/>
  <c r="AC58" i="4"/>
  <c r="AB58" i="4"/>
  <c r="AA58" i="4"/>
  <c r="Z58" i="4"/>
  <c r="Y58" i="4"/>
  <c r="W58" i="4"/>
  <c r="T58" i="4"/>
  <c r="S58" i="4"/>
  <c r="R58" i="4"/>
  <c r="O58" i="4"/>
  <c r="N58" i="4"/>
  <c r="M58" i="4"/>
  <c r="L58" i="4"/>
  <c r="K58" i="4"/>
  <c r="J58" i="4"/>
  <c r="I58" i="4"/>
  <c r="H58" i="4"/>
  <c r="G58" i="4"/>
  <c r="F58" i="4"/>
  <c r="D58" i="4"/>
  <c r="C58" i="4"/>
  <c r="B58" i="4"/>
  <c r="A58" i="4"/>
  <c r="AH57" i="4"/>
  <c r="AG57" i="4"/>
  <c r="AF57" i="4"/>
  <c r="AE57" i="4"/>
  <c r="AD57" i="4"/>
  <c r="AC57" i="4"/>
  <c r="AB57" i="4"/>
  <c r="AA57" i="4"/>
  <c r="Z57" i="4"/>
  <c r="Y57" i="4"/>
  <c r="W57" i="4"/>
  <c r="T57" i="4"/>
  <c r="S57" i="4"/>
  <c r="R57" i="4"/>
  <c r="O57" i="4"/>
  <c r="N57" i="4"/>
  <c r="M57" i="4"/>
  <c r="L57" i="4"/>
  <c r="K57" i="4"/>
  <c r="J57" i="4"/>
  <c r="I57" i="4"/>
  <c r="H57" i="4"/>
  <c r="G57" i="4"/>
  <c r="F57" i="4"/>
  <c r="D57" i="4"/>
  <c r="C57" i="4"/>
  <c r="B57" i="4"/>
  <c r="A57" i="4"/>
  <c r="AH56" i="4"/>
  <c r="AG56" i="4"/>
  <c r="AF56" i="4"/>
  <c r="AE56" i="4"/>
  <c r="AD56" i="4"/>
  <c r="AC56" i="4"/>
  <c r="AB56" i="4"/>
  <c r="AA56" i="4"/>
  <c r="Z56" i="4"/>
  <c r="Y56" i="4"/>
  <c r="W56" i="4"/>
  <c r="T56" i="4"/>
  <c r="S56" i="4"/>
  <c r="R56" i="4"/>
  <c r="O56" i="4"/>
  <c r="N56" i="4"/>
  <c r="M56" i="4"/>
  <c r="L56" i="4"/>
  <c r="K56" i="4"/>
  <c r="J56" i="4"/>
  <c r="I56" i="4"/>
  <c r="H56" i="4"/>
  <c r="G56" i="4"/>
  <c r="F56" i="4"/>
  <c r="D56" i="4"/>
  <c r="C56" i="4"/>
  <c r="B56" i="4"/>
  <c r="A56" i="4"/>
  <c r="AH55" i="4"/>
  <c r="AG55" i="4"/>
  <c r="AF55" i="4"/>
  <c r="AE55" i="4"/>
  <c r="AD55" i="4"/>
  <c r="AC55" i="4"/>
  <c r="AB55" i="4"/>
  <c r="AA55" i="4"/>
  <c r="Z55" i="4"/>
  <c r="Y55" i="4"/>
  <c r="W55" i="4"/>
  <c r="T55" i="4"/>
  <c r="S55" i="4"/>
  <c r="R55" i="4"/>
  <c r="O55" i="4"/>
  <c r="N55" i="4"/>
  <c r="M55" i="4"/>
  <c r="L55" i="4"/>
  <c r="K55" i="4"/>
  <c r="J55" i="4"/>
  <c r="I55" i="4"/>
  <c r="H55" i="4"/>
  <c r="G55" i="4"/>
  <c r="F55" i="4"/>
  <c r="D55" i="4"/>
  <c r="C55" i="4"/>
  <c r="B55" i="4"/>
  <c r="A55" i="4"/>
  <c r="AH54" i="4"/>
  <c r="AG54" i="4"/>
  <c r="AF54" i="4"/>
  <c r="AE54" i="4"/>
  <c r="AD54" i="4"/>
  <c r="AC54" i="4"/>
  <c r="AB54" i="4"/>
  <c r="AA54" i="4"/>
  <c r="Z54" i="4"/>
  <c r="Y54" i="4"/>
  <c r="W54" i="4"/>
  <c r="T54" i="4"/>
  <c r="S54" i="4"/>
  <c r="R54" i="4"/>
  <c r="O54" i="4"/>
  <c r="N54" i="4"/>
  <c r="M54" i="4"/>
  <c r="L54" i="4"/>
  <c r="K54" i="4"/>
  <c r="J54" i="4"/>
  <c r="I54" i="4"/>
  <c r="H54" i="4"/>
  <c r="G54" i="4"/>
  <c r="F54" i="4"/>
  <c r="D54" i="4"/>
  <c r="C54" i="4"/>
  <c r="B54" i="4"/>
  <c r="A54" i="4"/>
  <c r="AH53" i="4"/>
  <c r="AG53" i="4"/>
  <c r="AF53" i="4"/>
  <c r="AE53" i="4"/>
  <c r="AD53" i="4"/>
  <c r="AC53" i="4"/>
  <c r="AB53" i="4"/>
  <c r="AA53" i="4"/>
  <c r="Z53" i="4"/>
  <c r="Y53" i="4"/>
  <c r="W53" i="4"/>
  <c r="T53" i="4"/>
  <c r="S53" i="4"/>
  <c r="R53" i="4"/>
  <c r="O53" i="4"/>
  <c r="N53" i="4"/>
  <c r="M53" i="4"/>
  <c r="L53" i="4"/>
  <c r="K53" i="4"/>
  <c r="J53" i="4"/>
  <c r="I53" i="4"/>
  <c r="H53" i="4"/>
  <c r="G53" i="4"/>
  <c r="F53" i="4"/>
  <c r="D53" i="4"/>
  <c r="C53" i="4"/>
  <c r="B53" i="4"/>
  <c r="A53" i="4"/>
  <c r="AH52" i="4"/>
  <c r="AG52" i="4"/>
  <c r="AF52" i="4"/>
  <c r="AE52" i="4"/>
  <c r="AD52" i="4"/>
  <c r="AC52" i="4"/>
  <c r="AB52" i="4"/>
  <c r="AA52" i="4"/>
  <c r="Z52" i="4"/>
  <c r="Y52" i="4"/>
  <c r="W52" i="4"/>
  <c r="T52" i="4"/>
  <c r="S52" i="4"/>
  <c r="R52" i="4"/>
  <c r="O52" i="4"/>
  <c r="N52" i="4"/>
  <c r="M52" i="4"/>
  <c r="L52" i="4"/>
  <c r="K52" i="4"/>
  <c r="J52" i="4"/>
  <c r="I52" i="4"/>
  <c r="H52" i="4"/>
  <c r="G52" i="4"/>
  <c r="F52" i="4"/>
  <c r="D52" i="4"/>
  <c r="C52" i="4"/>
  <c r="B52" i="4"/>
  <c r="A52" i="4"/>
  <c r="AH51" i="4"/>
  <c r="AG51" i="4"/>
  <c r="AF51" i="4"/>
  <c r="AE51" i="4"/>
  <c r="AD51" i="4"/>
  <c r="AC51" i="4"/>
  <c r="AB51" i="4"/>
  <c r="AA51" i="4"/>
  <c r="Z51" i="4"/>
  <c r="Y51" i="4"/>
  <c r="W51" i="4"/>
  <c r="T51" i="4"/>
  <c r="S51" i="4"/>
  <c r="R51" i="4"/>
  <c r="O51" i="4"/>
  <c r="N51" i="4"/>
  <c r="M51" i="4"/>
  <c r="L51" i="4"/>
  <c r="K51" i="4"/>
  <c r="J51" i="4"/>
  <c r="I51" i="4"/>
  <c r="H51" i="4"/>
  <c r="G51" i="4"/>
  <c r="F51" i="4"/>
  <c r="D51" i="4"/>
  <c r="C51" i="4"/>
  <c r="B51" i="4"/>
  <c r="A51" i="4"/>
  <c r="AH50" i="4"/>
  <c r="AG50" i="4"/>
  <c r="AF50" i="4"/>
  <c r="AE50" i="4"/>
  <c r="AD50" i="4"/>
  <c r="AC50" i="4"/>
  <c r="AB50" i="4"/>
  <c r="AA50" i="4"/>
  <c r="Z50" i="4"/>
  <c r="Y50" i="4"/>
  <c r="W50" i="4"/>
  <c r="T50" i="4"/>
  <c r="S50" i="4"/>
  <c r="R50" i="4"/>
  <c r="O50" i="4"/>
  <c r="N50" i="4"/>
  <c r="M50" i="4"/>
  <c r="L50" i="4"/>
  <c r="K50" i="4"/>
  <c r="J50" i="4"/>
  <c r="I50" i="4"/>
  <c r="H50" i="4"/>
  <c r="G50" i="4"/>
  <c r="F50" i="4"/>
  <c r="D50" i="4"/>
  <c r="C50" i="4"/>
  <c r="B50" i="4"/>
  <c r="A50" i="4"/>
  <c r="AH49" i="4"/>
  <c r="AG49" i="4"/>
  <c r="AF49" i="4"/>
  <c r="AE49" i="4"/>
  <c r="AD49" i="4"/>
  <c r="AC49" i="4"/>
  <c r="AB49" i="4"/>
  <c r="AA49" i="4"/>
  <c r="Z49" i="4"/>
  <c r="Y49" i="4"/>
  <c r="W49" i="4"/>
  <c r="T49" i="4"/>
  <c r="S49" i="4"/>
  <c r="R49" i="4"/>
  <c r="O49" i="4"/>
  <c r="N49" i="4"/>
  <c r="M49" i="4"/>
  <c r="L49" i="4"/>
  <c r="K49" i="4"/>
  <c r="J49" i="4"/>
  <c r="I49" i="4"/>
  <c r="H49" i="4"/>
  <c r="G49" i="4"/>
  <c r="F49" i="4"/>
  <c r="D49" i="4"/>
  <c r="C49" i="4"/>
  <c r="B49" i="4"/>
  <c r="A49" i="4"/>
  <c r="AH48" i="4"/>
  <c r="AG48" i="4"/>
  <c r="AF48" i="4"/>
  <c r="AE48" i="4"/>
  <c r="AD48" i="4"/>
  <c r="AC48" i="4"/>
  <c r="AB48" i="4"/>
  <c r="AA48" i="4"/>
  <c r="Z48" i="4"/>
  <c r="Y48" i="4"/>
  <c r="W48" i="4"/>
  <c r="T48" i="4"/>
  <c r="S48" i="4"/>
  <c r="R48" i="4"/>
  <c r="O48" i="4"/>
  <c r="N48" i="4"/>
  <c r="M48" i="4"/>
  <c r="L48" i="4"/>
  <c r="K48" i="4"/>
  <c r="J48" i="4"/>
  <c r="I48" i="4"/>
  <c r="H48" i="4"/>
  <c r="G48" i="4"/>
  <c r="F48" i="4"/>
  <c r="D48" i="4"/>
  <c r="C48" i="4"/>
  <c r="B48" i="4"/>
  <c r="A48" i="4"/>
  <c r="AH47" i="4"/>
  <c r="AG47" i="4"/>
  <c r="AF47" i="4"/>
  <c r="AE47" i="4"/>
  <c r="AD47" i="4"/>
  <c r="AC47" i="4"/>
  <c r="AB47" i="4"/>
  <c r="AA47" i="4"/>
  <c r="Z47" i="4"/>
  <c r="Y47" i="4"/>
  <c r="W47" i="4"/>
  <c r="T47" i="4"/>
  <c r="S47" i="4"/>
  <c r="R47" i="4"/>
  <c r="O47" i="4"/>
  <c r="N47" i="4"/>
  <c r="M47" i="4"/>
  <c r="L47" i="4"/>
  <c r="K47" i="4"/>
  <c r="J47" i="4"/>
  <c r="I47" i="4"/>
  <c r="H47" i="4"/>
  <c r="G47" i="4"/>
  <c r="F47" i="4"/>
  <c r="D47" i="4"/>
  <c r="C47" i="4"/>
  <c r="B47" i="4"/>
  <c r="A47" i="4"/>
  <c r="AH46" i="4"/>
  <c r="AG46" i="4"/>
  <c r="AF46" i="4"/>
  <c r="AE46" i="4"/>
  <c r="AD46" i="4"/>
  <c r="AC46" i="4"/>
  <c r="AB46" i="4"/>
  <c r="AA46" i="4"/>
  <c r="Z46" i="4"/>
  <c r="Y46" i="4"/>
  <c r="W46" i="4"/>
  <c r="T46" i="4"/>
  <c r="S46" i="4"/>
  <c r="R46" i="4"/>
  <c r="O46" i="4"/>
  <c r="N46" i="4"/>
  <c r="M46" i="4"/>
  <c r="L46" i="4"/>
  <c r="K46" i="4"/>
  <c r="J46" i="4"/>
  <c r="I46" i="4"/>
  <c r="H46" i="4"/>
  <c r="G46" i="4"/>
  <c r="F46" i="4"/>
  <c r="D46" i="4"/>
  <c r="C46" i="4"/>
  <c r="B46" i="4"/>
  <c r="A46" i="4"/>
  <c r="AH45" i="4"/>
  <c r="AG45" i="4"/>
  <c r="AF45" i="4"/>
  <c r="AE45" i="4"/>
  <c r="AD45" i="4"/>
  <c r="AC45" i="4"/>
  <c r="AB45" i="4"/>
  <c r="AA45" i="4"/>
  <c r="Z45" i="4"/>
  <c r="Y45" i="4"/>
  <c r="W45" i="4"/>
  <c r="T45" i="4"/>
  <c r="S45" i="4"/>
  <c r="R45" i="4"/>
  <c r="Q45" i="4"/>
  <c r="P45" i="4"/>
  <c r="O45" i="4"/>
  <c r="N45" i="4"/>
  <c r="M45" i="4"/>
  <c r="L45" i="4"/>
  <c r="K45" i="4"/>
  <c r="J45" i="4"/>
  <c r="I45" i="4"/>
  <c r="H45" i="4"/>
  <c r="G45" i="4"/>
  <c r="F45" i="4"/>
  <c r="D45" i="4"/>
  <c r="C45" i="4"/>
  <c r="B45" i="4"/>
  <c r="A45" i="4"/>
  <c r="AH44" i="4"/>
  <c r="AG44" i="4"/>
  <c r="AF44" i="4"/>
  <c r="AE44" i="4"/>
  <c r="AD44" i="4"/>
  <c r="AC44" i="4"/>
  <c r="AB44" i="4"/>
  <c r="AA44" i="4"/>
  <c r="Z44" i="4"/>
  <c r="Y44" i="4"/>
  <c r="W44" i="4"/>
  <c r="T44" i="4"/>
  <c r="S44" i="4"/>
  <c r="R44" i="4"/>
  <c r="O44" i="4"/>
  <c r="N44" i="4"/>
  <c r="M44" i="4"/>
  <c r="L44" i="4"/>
  <c r="K44" i="4"/>
  <c r="J44" i="4"/>
  <c r="I44" i="4"/>
  <c r="H44" i="4"/>
  <c r="G44" i="4"/>
  <c r="F44" i="4"/>
  <c r="D44" i="4"/>
  <c r="C44" i="4"/>
  <c r="B44" i="4"/>
  <c r="A44" i="4"/>
  <c r="AH43" i="4"/>
  <c r="AG43" i="4"/>
  <c r="AF43" i="4"/>
  <c r="AE43" i="4"/>
  <c r="AD43" i="4"/>
  <c r="AC43" i="4"/>
  <c r="AB43" i="4"/>
  <c r="AA43" i="4"/>
  <c r="Z43" i="4"/>
  <c r="Y43" i="4"/>
  <c r="W43" i="4"/>
  <c r="T43" i="4"/>
  <c r="S43" i="4"/>
  <c r="R43" i="4"/>
  <c r="O43" i="4"/>
  <c r="N43" i="4"/>
  <c r="M43" i="4"/>
  <c r="L43" i="4"/>
  <c r="K43" i="4"/>
  <c r="J43" i="4"/>
  <c r="I43" i="4"/>
  <c r="H43" i="4"/>
  <c r="G43" i="4"/>
  <c r="F43" i="4"/>
  <c r="D43" i="4"/>
  <c r="C43" i="4"/>
  <c r="B43" i="4"/>
  <c r="A43" i="4"/>
  <c r="AH42" i="4"/>
  <c r="AG42" i="4"/>
  <c r="AF42" i="4"/>
  <c r="AE42" i="4"/>
  <c r="AD42" i="4"/>
  <c r="AC42" i="4"/>
  <c r="AB42" i="4"/>
  <c r="AA42" i="4"/>
  <c r="Z42" i="4"/>
  <c r="Y42" i="4"/>
  <c r="W42" i="4"/>
  <c r="T42" i="4"/>
  <c r="S42" i="4"/>
  <c r="R42" i="4"/>
  <c r="O42" i="4"/>
  <c r="N42" i="4"/>
  <c r="M42" i="4"/>
  <c r="L42" i="4"/>
  <c r="K42" i="4"/>
  <c r="J42" i="4"/>
  <c r="I42" i="4"/>
  <c r="H42" i="4"/>
  <c r="G42" i="4"/>
  <c r="F42" i="4"/>
  <c r="D42" i="4"/>
  <c r="C42" i="4"/>
  <c r="B42" i="4"/>
  <c r="A42" i="4"/>
  <c r="AH41" i="4"/>
  <c r="AG41" i="4"/>
  <c r="AF41" i="4"/>
  <c r="AE41" i="4"/>
  <c r="AD41" i="4"/>
  <c r="AC41" i="4"/>
  <c r="AB41" i="4"/>
  <c r="AA41" i="4"/>
  <c r="Z41" i="4"/>
  <c r="Y41" i="4"/>
  <c r="W41" i="4"/>
  <c r="T41" i="4"/>
  <c r="S41" i="4"/>
  <c r="R41" i="4"/>
  <c r="O41" i="4"/>
  <c r="N41" i="4"/>
  <c r="M41" i="4"/>
  <c r="L41" i="4"/>
  <c r="K41" i="4"/>
  <c r="J41" i="4"/>
  <c r="I41" i="4"/>
  <c r="H41" i="4"/>
  <c r="G41" i="4"/>
  <c r="F41" i="4"/>
  <c r="D41" i="4"/>
  <c r="C41" i="4"/>
  <c r="B41" i="4"/>
  <c r="A41" i="4"/>
  <c r="AH40" i="4"/>
  <c r="AG40" i="4"/>
  <c r="AF40" i="4"/>
  <c r="AE40" i="4"/>
  <c r="AD40" i="4"/>
  <c r="AC40" i="4"/>
  <c r="AB40" i="4"/>
  <c r="AA40" i="4"/>
  <c r="Z40" i="4"/>
  <c r="Y40" i="4"/>
  <c r="W40" i="4"/>
  <c r="T40" i="4"/>
  <c r="S40" i="4"/>
  <c r="R40" i="4"/>
  <c r="O40" i="4"/>
  <c r="N40" i="4"/>
  <c r="M40" i="4"/>
  <c r="L40" i="4"/>
  <c r="K40" i="4"/>
  <c r="J40" i="4"/>
  <c r="I40" i="4"/>
  <c r="H40" i="4"/>
  <c r="G40" i="4"/>
  <c r="F40" i="4"/>
  <c r="D40" i="4"/>
  <c r="C40" i="4"/>
  <c r="B40" i="4"/>
  <c r="A40" i="4"/>
  <c r="AH39" i="4"/>
  <c r="AG39" i="4"/>
  <c r="AF39" i="4"/>
  <c r="AE39" i="4"/>
  <c r="AD39" i="4"/>
  <c r="AC39" i="4"/>
  <c r="AB39" i="4"/>
  <c r="AA39" i="4"/>
  <c r="Z39" i="4"/>
  <c r="Y39" i="4"/>
  <c r="W39" i="4"/>
  <c r="T39" i="4"/>
  <c r="S39" i="4"/>
  <c r="R39" i="4"/>
  <c r="Q39" i="4"/>
  <c r="P39" i="4"/>
  <c r="O39" i="4"/>
  <c r="N39" i="4"/>
  <c r="M39" i="4"/>
  <c r="L39" i="4"/>
  <c r="K39" i="4"/>
  <c r="J39" i="4"/>
  <c r="I39" i="4"/>
  <c r="H39" i="4"/>
  <c r="G39" i="4"/>
  <c r="F39" i="4"/>
  <c r="D39" i="4"/>
  <c r="C39" i="4"/>
  <c r="B39" i="4"/>
  <c r="A39" i="4"/>
  <c r="AH38" i="4"/>
  <c r="AG38" i="4"/>
  <c r="AF38" i="4"/>
  <c r="AE38" i="4"/>
  <c r="AD38" i="4"/>
  <c r="AC38" i="4"/>
  <c r="AB38" i="4"/>
  <c r="AA38" i="4"/>
  <c r="Z38" i="4"/>
  <c r="Y38" i="4"/>
  <c r="W38" i="4"/>
  <c r="T38" i="4"/>
  <c r="S38" i="4"/>
  <c r="R38" i="4"/>
  <c r="O38" i="4"/>
  <c r="N38" i="4"/>
  <c r="M38" i="4"/>
  <c r="L38" i="4"/>
  <c r="K38" i="4"/>
  <c r="J38" i="4"/>
  <c r="I38" i="4"/>
  <c r="H38" i="4"/>
  <c r="G38" i="4"/>
  <c r="F38" i="4"/>
  <c r="D38" i="4"/>
  <c r="C38" i="4"/>
  <c r="B38" i="4"/>
  <c r="A38" i="4"/>
  <c r="AH37" i="4"/>
  <c r="AG37" i="4"/>
  <c r="AF37" i="4"/>
  <c r="AE37" i="4"/>
  <c r="AD37" i="4"/>
  <c r="AC37" i="4"/>
  <c r="AB37" i="4"/>
  <c r="AA37" i="4"/>
  <c r="Z37" i="4"/>
  <c r="Y37" i="4"/>
  <c r="W37" i="4"/>
  <c r="T37" i="4"/>
  <c r="S37" i="4"/>
  <c r="R37" i="4"/>
  <c r="O37" i="4"/>
  <c r="N37" i="4"/>
  <c r="M37" i="4"/>
  <c r="L37" i="4"/>
  <c r="K37" i="4"/>
  <c r="J37" i="4"/>
  <c r="I37" i="4"/>
  <c r="H37" i="4"/>
  <c r="G37" i="4"/>
  <c r="F37" i="4"/>
  <c r="D37" i="4"/>
  <c r="C37" i="4"/>
  <c r="B37" i="4"/>
  <c r="A37" i="4"/>
  <c r="AH36" i="4"/>
  <c r="AG36" i="4"/>
  <c r="AF36" i="4"/>
  <c r="AE36" i="4"/>
  <c r="AD36" i="4"/>
  <c r="AC36" i="4"/>
  <c r="AB36" i="4"/>
  <c r="AA36" i="4"/>
  <c r="Z36" i="4"/>
  <c r="Y36" i="4"/>
  <c r="W36" i="4"/>
  <c r="T36" i="4"/>
  <c r="S36" i="4"/>
  <c r="R36" i="4"/>
  <c r="O36" i="4"/>
  <c r="N36" i="4"/>
  <c r="M36" i="4"/>
  <c r="L36" i="4"/>
  <c r="K36" i="4"/>
  <c r="J36" i="4"/>
  <c r="I36" i="4"/>
  <c r="H36" i="4"/>
  <c r="G36" i="4"/>
  <c r="F36" i="4"/>
  <c r="D36" i="4"/>
  <c r="C36" i="4"/>
  <c r="B36" i="4"/>
  <c r="A36" i="4"/>
  <c r="AH35" i="4"/>
  <c r="AG35" i="4"/>
  <c r="AF35" i="4"/>
  <c r="AE35" i="4"/>
  <c r="AD35" i="4"/>
  <c r="AC35" i="4"/>
  <c r="AB35" i="4"/>
  <c r="AA35" i="4"/>
  <c r="Z35" i="4"/>
  <c r="Y35" i="4"/>
  <c r="W35" i="4"/>
  <c r="T35" i="4"/>
  <c r="S35" i="4"/>
  <c r="R35" i="4"/>
  <c r="O35" i="4"/>
  <c r="N35" i="4"/>
  <c r="M35" i="4"/>
  <c r="L35" i="4"/>
  <c r="K35" i="4"/>
  <c r="J35" i="4"/>
  <c r="I35" i="4"/>
  <c r="H35" i="4"/>
  <c r="G35" i="4"/>
  <c r="F35" i="4"/>
  <c r="D35" i="4"/>
  <c r="C35" i="4"/>
  <c r="B35" i="4"/>
  <c r="A35" i="4"/>
  <c r="AH34" i="4"/>
  <c r="AG34" i="4"/>
  <c r="AF34" i="4"/>
  <c r="AE34" i="4"/>
  <c r="AD34" i="4"/>
  <c r="AC34" i="4"/>
  <c r="AB34" i="4"/>
  <c r="AA34" i="4"/>
  <c r="Z34" i="4"/>
  <c r="Y34" i="4"/>
  <c r="W34" i="4"/>
  <c r="T34" i="4"/>
  <c r="S34" i="4"/>
  <c r="R34" i="4"/>
  <c r="O34" i="4"/>
  <c r="N34" i="4"/>
  <c r="M34" i="4"/>
  <c r="L34" i="4"/>
  <c r="K34" i="4"/>
  <c r="J34" i="4"/>
  <c r="I34" i="4"/>
  <c r="H34" i="4"/>
  <c r="G34" i="4"/>
  <c r="F34" i="4"/>
  <c r="D34" i="4"/>
  <c r="C34" i="4"/>
  <c r="B34" i="4"/>
  <c r="A34" i="4"/>
  <c r="AH33" i="4"/>
  <c r="AG33" i="4"/>
  <c r="AF33" i="4"/>
  <c r="AE33" i="4"/>
  <c r="AD33" i="4"/>
  <c r="AC33" i="4"/>
  <c r="AB33" i="4"/>
  <c r="AA33" i="4"/>
  <c r="Z33" i="4"/>
  <c r="Y33" i="4"/>
  <c r="W33" i="4"/>
  <c r="T33" i="4"/>
  <c r="S33" i="4"/>
  <c r="R33" i="4"/>
  <c r="O33" i="4"/>
  <c r="N33" i="4"/>
  <c r="M33" i="4"/>
  <c r="L33" i="4"/>
  <c r="K33" i="4"/>
  <c r="J33" i="4"/>
  <c r="I33" i="4"/>
  <c r="H33" i="4"/>
  <c r="G33" i="4"/>
  <c r="F33" i="4"/>
  <c r="D33" i="4"/>
  <c r="C33" i="4"/>
  <c r="B33" i="4"/>
  <c r="A33" i="4"/>
  <c r="AH32" i="4"/>
  <c r="AG32" i="4"/>
  <c r="AF32" i="4"/>
  <c r="AE32" i="4"/>
  <c r="AD32" i="4"/>
  <c r="AC32" i="4"/>
  <c r="AB32" i="4"/>
  <c r="AA32" i="4"/>
  <c r="Z32" i="4"/>
  <c r="Y32" i="4"/>
  <c r="W32" i="4"/>
  <c r="T32" i="4"/>
  <c r="S32" i="4"/>
  <c r="R32" i="4"/>
  <c r="O32" i="4"/>
  <c r="N32" i="4"/>
  <c r="M32" i="4"/>
  <c r="L32" i="4"/>
  <c r="K32" i="4"/>
  <c r="J32" i="4"/>
  <c r="I32" i="4"/>
  <c r="H32" i="4"/>
  <c r="G32" i="4"/>
  <c r="F32" i="4"/>
  <c r="D32" i="4"/>
  <c r="C32" i="4"/>
  <c r="B32" i="4"/>
  <c r="A32" i="4"/>
  <c r="AH31" i="4"/>
  <c r="AG31" i="4"/>
  <c r="AF31" i="4"/>
  <c r="AE31" i="4"/>
  <c r="AD31" i="4"/>
  <c r="AC31" i="4"/>
  <c r="AB31" i="4"/>
  <c r="AA31" i="4"/>
  <c r="Z31" i="4"/>
  <c r="Y31" i="4"/>
  <c r="W31" i="4"/>
  <c r="T31" i="4"/>
  <c r="S31" i="4"/>
  <c r="R31" i="4"/>
  <c r="O31" i="4"/>
  <c r="N31" i="4"/>
  <c r="M31" i="4"/>
  <c r="L31" i="4"/>
  <c r="K31" i="4"/>
  <c r="J31" i="4"/>
  <c r="I31" i="4"/>
  <c r="H31" i="4"/>
  <c r="G31" i="4"/>
  <c r="F31" i="4"/>
  <c r="D31" i="4"/>
  <c r="C31" i="4"/>
  <c r="B31" i="4"/>
  <c r="A31" i="4"/>
  <c r="AH30" i="4"/>
  <c r="AG30" i="4"/>
  <c r="AF30" i="4"/>
  <c r="AE30" i="4"/>
  <c r="AD30" i="4"/>
  <c r="AC30" i="4"/>
  <c r="AB30" i="4"/>
  <c r="AA30" i="4"/>
  <c r="Z30" i="4"/>
  <c r="Y30" i="4"/>
  <c r="W30" i="4"/>
  <c r="T30" i="4"/>
  <c r="S30" i="4"/>
  <c r="R30" i="4"/>
  <c r="Q30" i="4"/>
  <c r="P30" i="4"/>
  <c r="O30" i="4"/>
  <c r="N30" i="4"/>
  <c r="M30" i="4"/>
  <c r="L30" i="4"/>
  <c r="K30" i="4"/>
  <c r="J30" i="4"/>
  <c r="I30" i="4"/>
  <c r="H30" i="4"/>
  <c r="G30" i="4"/>
  <c r="F30" i="4"/>
  <c r="D30" i="4"/>
  <c r="C30" i="4"/>
  <c r="B30" i="4"/>
  <c r="A30" i="4"/>
  <c r="AH29" i="4"/>
  <c r="AG29" i="4"/>
  <c r="AF29" i="4"/>
  <c r="AE29" i="4"/>
  <c r="AD29" i="4"/>
  <c r="AC29" i="4"/>
  <c r="AB29" i="4"/>
  <c r="AA29" i="4"/>
  <c r="Z29" i="4"/>
  <c r="Y29" i="4"/>
  <c r="W29" i="4"/>
  <c r="T29" i="4"/>
  <c r="S29" i="4"/>
  <c r="R29" i="4"/>
  <c r="O29" i="4"/>
  <c r="N29" i="4"/>
  <c r="M29" i="4"/>
  <c r="L29" i="4"/>
  <c r="K29" i="4"/>
  <c r="J29" i="4"/>
  <c r="I29" i="4"/>
  <c r="H29" i="4"/>
  <c r="G29" i="4"/>
  <c r="F29" i="4"/>
  <c r="D29" i="4"/>
  <c r="C29" i="4"/>
  <c r="B29" i="4"/>
  <c r="A29" i="4"/>
  <c r="AH28" i="4"/>
  <c r="AG28" i="4"/>
  <c r="AF28" i="4"/>
  <c r="AE28" i="4"/>
  <c r="AD28" i="4"/>
  <c r="AC28" i="4"/>
  <c r="AB28" i="4"/>
  <c r="AA28" i="4"/>
  <c r="Z28" i="4"/>
  <c r="Y28" i="4"/>
  <c r="W28" i="4"/>
  <c r="T28" i="4"/>
  <c r="S28" i="4"/>
  <c r="R28" i="4"/>
  <c r="Q28" i="4"/>
  <c r="P28" i="4"/>
  <c r="O28" i="4"/>
  <c r="N28" i="4"/>
  <c r="M28" i="4"/>
  <c r="L28" i="4"/>
  <c r="K28" i="4"/>
  <c r="J28" i="4"/>
  <c r="I28" i="4"/>
  <c r="H28" i="4"/>
  <c r="G28" i="4"/>
  <c r="F28" i="4"/>
  <c r="D28" i="4"/>
  <c r="C28" i="4"/>
  <c r="B28" i="4"/>
  <c r="A28" i="4"/>
  <c r="AH27" i="4"/>
  <c r="AG27" i="4"/>
  <c r="AF27" i="4"/>
  <c r="AE27" i="4"/>
  <c r="AD27" i="4"/>
  <c r="AC27" i="4"/>
  <c r="AB27" i="4"/>
  <c r="AA27" i="4"/>
  <c r="Z27" i="4"/>
  <c r="Y27" i="4"/>
  <c r="W27" i="4"/>
  <c r="U27" i="4"/>
  <c r="T27" i="4"/>
  <c r="S27" i="4"/>
  <c r="R27" i="4"/>
  <c r="O27" i="4"/>
  <c r="N27" i="4"/>
  <c r="M27" i="4"/>
  <c r="L27" i="4"/>
  <c r="K27" i="4"/>
  <c r="J27" i="4"/>
  <c r="I27" i="4"/>
  <c r="H27" i="4"/>
  <c r="G27" i="4"/>
  <c r="F27" i="4"/>
  <c r="D27" i="4"/>
  <c r="C27" i="4"/>
  <c r="B27" i="4"/>
  <c r="A27" i="4"/>
  <c r="AH26" i="4"/>
  <c r="AG26" i="4"/>
  <c r="AF26" i="4"/>
  <c r="AE26" i="4"/>
  <c r="AD26" i="4"/>
  <c r="AC26" i="4"/>
  <c r="AB26" i="4"/>
  <c r="AA26" i="4"/>
  <c r="Z26" i="4"/>
  <c r="Y26" i="4"/>
  <c r="W26" i="4"/>
  <c r="U26" i="4"/>
  <c r="T26" i="4"/>
  <c r="S26" i="4"/>
  <c r="R26" i="4"/>
  <c r="O26" i="4"/>
  <c r="N26" i="4"/>
  <c r="M26" i="4"/>
  <c r="L26" i="4"/>
  <c r="K26" i="4"/>
  <c r="J26" i="4"/>
  <c r="I26" i="4"/>
  <c r="H26" i="4"/>
  <c r="G26" i="4"/>
  <c r="F26" i="4"/>
  <c r="D26" i="4"/>
  <c r="C26" i="4"/>
  <c r="B26" i="4"/>
  <c r="A26" i="4"/>
  <c r="AH25" i="4"/>
  <c r="AG25" i="4"/>
  <c r="AF25" i="4"/>
  <c r="AE25" i="4"/>
  <c r="AD25" i="4"/>
  <c r="AC25" i="4"/>
  <c r="AB25" i="4"/>
  <c r="AA25" i="4"/>
  <c r="Z25" i="4"/>
  <c r="Y25" i="4"/>
  <c r="W25" i="4"/>
  <c r="T25" i="4"/>
  <c r="S25" i="4"/>
  <c r="R25" i="4"/>
  <c r="O25" i="4"/>
  <c r="N25" i="4"/>
  <c r="M25" i="4"/>
  <c r="L25" i="4"/>
  <c r="K25" i="4"/>
  <c r="J25" i="4"/>
  <c r="I25" i="4"/>
  <c r="H25" i="4"/>
  <c r="G25" i="4"/>
  <c r="F25" i="4"/>
  <c r="D25" i="4"/>
  <c r="C25" i="4"/>
  <c r="B25" i="4"/>
  <c r="A25" i="4"/>
  <c r="AH24" i="4"/>
  <c r="AG24" i="4"/>
  <c r="AF24" i="4"/>
  <c r="AE24" i="4"/>
  <c r="AD24" i="4"/>
  <c r="AC24" i="4"/>
  <c r="AB24" i="4"/>
  <c r="AA24" i="4"/>
  <c r="Z24" i="4"/>
  <c r="Y24" i="4"/>
  <c r="W24" i="4"/>
  <c r="T24" i="4"/>
  <c r="S24" i="4"/>
  <c r="R24" i="4"/>
  <c r="O24" i="4"/>
  <c r="N24" i="4"/>
  <c r="M24" i="4"/>
  <c r="L24" i="4"/>
  <c r="K24" i="4"/>
  <c r="J24" i="4"/>
  <c r="I24" i="4"/>
  <c r="H24" i="4"/>
  <c r="G24" i="4"/>
  <c r="F24" i="4"/>
  <c r="D24" i="4"/>
  <c r="C24" i="4"/>
  <c r="B24" i="4"/>
  <c r="A24" i="4"/>
  <c r="AH23" i="4"/>
  <c r="AG23" i="4"/>
  <c r="AF23" i="4"/>
  <c r="AE23" i="4"/>
  <c r="AD23" i="4"/>
  <c r="AC23" i="4"/>
  <c r="AB23" i="4"/>
  <c r="AA23" i="4"/>
  <c r="Z23" i="4"/>
  <c r="Y23" i="4"/>
  <c r="W23" i="4"/>
  <c r="T23" i="4"/>
  <c r="S23" i="4"/>
  <c r="R23" i="4"/>
  <c r="O23" i="4"/>
  <c r="N23" i="4"/>
  <c r="M23" i="4"/>
  <c r="L23" i="4"/>
  <c r="K23" i="4"/>
  <c r="J23" i="4"/>
  <c r="I23" i="4"/>
  <c r="H23" i="4"/>
  <c r="G23" i="4"/>
  <c r="F23" i="4"/>
  <c r="D23" i="4"/>
  <c r="C23" i="4"/>
  <c r="B23" i="4"/>
  <c r="A23" i="4"/>
  <c r="AH22" i="4"/>
  <c r="AG22" i="4"/>
  <c r="AF22" i="4"/>
  <c r="AE22" i="4"/>
  <c r="AD22" i="4"/>
  <c r="AC22" i="4"/>
  <c r="AB22" i="4"/>
  <c r="AA22" i="4"/>
  <c r="Z22" i="4"/>
  <c r="Y22" i="4"/>
  <c r="W22" i="4"/>
  <c r="T22" i="4"/>
  <c r="S22" i="4"/>
  <c r="R22" i="4"/>
  <c r="O22" i="4"/>
  <c r="N22" i="4"/>
  <c r="M22" i="4"/>
  <c r="L22" i="4"/>
  <c r="K22" i="4"/>
  <c r="J22" i="4"/>
  <c r="I22" i="4"/>
  <c r="H22" i="4"/>
  <c r="G22" i="4"/>
  <c r="F22" i="4"/>
  <c r="D22" i="4"/>
  <c r="C22" i="4"/>
  <c r="B22" i="4"/>
  <c r="A22" i="4"/>
  <c r="AH21" i="4"/>
  <c r="AG21" i="4"/>
  <c r="AF21" i="4"/>
  <c r="AE21" i="4"/>
  <c r="AD21" i="4"/>
  <c r="AC21" i="4"/>
  <c r="AB21" i="4"/>
  <c r="AA21" i="4"/>
  <c r="Z21" i="4"/>
  <c r="Y21" i="4"/>
  <c r="W21" i="4"/>
  <c r="T21" i="4"/>
  <c r="S21" i="4"/>
  <c r="R21" i="4"/>
  <c r="O21" i="4"/>
  <c r="N21" i="4"/>
  <c r="M21" i="4"/>
  <c r="L21" i="4"/>
  <c r="K21" i="4"/>
  <c r="J21" i="4"/>
  <c r="I21" i="4"/>
  <c r="H21" i="4"/>
  <c r="G21" i="4"/>
  <c r="F21" i="4"/>
  <c r="D21" i="4"/>
  <c r="C21" i="4"/>
  <c r="B21" i="4"/>
  <c r="A21" i="4"/>
  <c r="AH20" i="4"/>
  <c r="AG20" i="4"/>
  <c r="AF20" i="4"/>
  <c r="AE20" i="4"/>
  <c r="AD20" i="4"/>
  <c r="AC20" i="4"/>
  <c r="AB20" i="4"/>
  <c r="AA20" i="4"/>
  <c r="Z20" i="4"/>
  <c r="Y20" i="4"/>
  <c r="W20" i="4"/>
  <c r="U20" i="4"/>
  <c r="T20" i="4"/>
  <c r="S20" i="4"/>
  <c r="R20" i="4"/>
  <c r="O20" i="4"/>
  <c r="N20" i="4"/>
  <c r="M20" i="4"/>
  <c r="L20" i="4"/>
  <c r="K20" i="4"/>
  <c r="J20" i="4"/>
  <c r="I20" i="4"/>
  <c r="H20" i="4"/>
  <c r="G20" i="4"/>
  <c r="F20" i="4"/>
  <c r="D20" i="4"/>
  <c r="C20" i="4"/>
  <c r="B20" i="4"/>
  <c r="A20" i="4"/>
  <c r="AH19" i="4"/>
  <c r="AG19" i="4"/>
  <c r="AF19" i="4"/>
  <c r="AE19" i="4"/>
  <c r="AD19" i="4"/>
  <c r="AC19" i="4"/>
  <c r="AB19" i="4"/>
  <c r="AA19" i="4"/>
  <c r="Z19" i="4"/>
  <c r="Y19" i="4"/>
  <c r="W19" i="4"/>
  <c r="T19" i="4"/>
  <c r="S19" i="4"/>
  <c r="R19" i="4"/>
  <c r="O19" i="4"/>
  <c r="N19" i="4"/>
  <c r="M19" i="4"/>
  <c r="L19" i="4"/>
  <c r="K19" i="4"/>
  <c r="J19" i="4"/>
  <c r="I19" i="4"/>
  <c r="H19" i="4"/>
  <c r="G19" i="4"/>
  <c r="F19" i="4"/>
  <c r="D19" i="4"/>
  <c r="C19" i="4"/>
  <c r="B19" i="4"/>
  <c r="A19" i="4"/>
  <c r="AH18" i="4"/>
  <c r="AG18" i="4"/>
  <c r="AF18" i="4"/>
  <c r="AE18" i="4"/>
  <c r="AD18" i="4"/>
  <c r="AC18" i="4"/>
  <c r="AB18" i="4"/>
  <c r="AA18" i="4"/>
  <c r="Z18" i="4"/>
  <c r="Y18" i="4"/>
  <c r="W18" i="4"/>
  <c r="T18" i="4"/>
  <c r="S18" i="4"/>
  <c r="R18" i="4"/>
  <c r="O18" i="4"/>
  <c r="N18" i="4"/>
  <c r="M18" i="4"/>
  <c r="L18" i="4"/>
  <c r="K18" i="4"/>
  <c r="J18" i="4"/>
  <c r="I18" i="4"/>
  <c r="H18" i="4"/>
  <c r="G18" i="4"/>
  <c r="F18" i="4"/>
  <c r="D18" i="4"/>
  <c r="C18" i="4"/>
  <c r="B18" i="4"/>
  <c r="A18" i="4"/>
  <c r="AH17" i="4"/>
  <c r="AG17" i="4"/>
  <c r="AF17" i="4"/>
  <c r="AE17" i="4"/>
  <c r="AD17" i="4"/>
  <c r="AC17" i="4"/>
  <c r="AB17" i="4"/>
  <c r="AA17" i="4"/>
  <c r="Z17" i="4"/>
  <c r="Y17" i="4"/>
  <c r="W17" i="4"/>
  <c r="T17" i="4"/>
  <c r="S17" i="4"/>
  <c r="R17" i="4"/>
  <c r="O17" i="4"/>
  <c r="N17" i="4"/>
  <c r="M17" i="4"/>
  <c r="L17" i="4"/>
  <c r="K17" i="4"/>
  <c r="J17" i="4"/>
  <c r="I17" i="4"/>
  <c r="H17" i="4"/>
  <c r="G17" i="4"/>
  <c r="F17" i="4"/>
  <c r="D17" i="4"/>
  <c r="C17" i="4"/>
  <c r="B17" i="4"/>
  <c r="A17" i="4"/>
  <c r="AH16" i="4"/>
  <c r="AG16" i="4"/>
  <c r="AF16" i="4"/>
  <c r="AE16" i="4"/>
  <c r="AD16" i="4"/>
  <c r="AC16" i="4"/>
  <c r="AB16" i="4"/>
  <c r="AA16" i="4"/>
  <c r="Z16" i="4"/>
  <c r="Y16" i="4"/>
  <c r="W16" i="4"/>
  <c r="U16" i="4"/>
  <c r="T16" i="4"/>
  <c r="S16" i="4"/>
  <c r="R16" i="4"/>
  <c r="O16" i="4"/>
  <c r="N16" i="4"/>
  <c r="M16" i="4"/>
  <c r="L16" i="4"/>
  <c r="K16" i="4"/>
  <c r="J16" i="4"/>
  <c r="I16" i="4"/>
  <c r="H16" i="4"/>
  <c r="G16" i="4"/>
  <c r="F16" i="4"/>
  <c r="D16" i="4"/>
  <c r="C16" i="4"/>
  <c r="B16" i="4"/>
  <c r="A16" i="4"/>
  <c r="AH15" i="4"/>
  <c r="AG15" i="4"/>
  <c r="AF15" i="4"/>
  <c r="AE15" i="4"/>
  <c r="AD15" i="4"/>
  <c r="AC15" i="4"/>
  <c r="AB15" i="4"/>
  <c r="AA15" i="4"/>
  <c r="Z15" i="4"/>
  <c r="Y15" i="4"/>
  <c r="W15" i="4"/>
  <c r="U15" i="4"/>
  <c r="T15" i="4"/>
  <c r="S15" i="4"/>
  <c r="R15" i="4"/>
  <c r="O15" i="4"/>
  <c r="N15" i="4"/>
  <c r="M15" i="4"/>
  <c r="L15" i="4"/>
  <c r="K15" i="4"/>
  <c r="J15" i="4"/>
  <c r="I15" i="4"/>
  <c r="H15" i="4"/>
  <c r="G15" i="4"/>
  <c r="F15" i="4"/>
  <c r="D15" i="4"/>
  <c r="C15" i="4"/>
  <c r="B15" i="4"/>
  <c r="A15" i="4"/>
  <c r="AH14" i="4"/>
  <c r="AG14" i="4"/>
  <c r="AF14" i="4"/>
  <c r="AE14" i="4"/>
  <c r="AD14" i="4"/>
  <c r="AC14" i="4"/>
  <c r="AB14" i="4"/>
  <c r="AA14" i="4"/>
  <c r="Z14" i="4"/>
  <c r="Y14" i="4"/>
  <c r="W14" i="4"/>
  <c r="U14" i="4"/>
  <c r="T14" i="4"/>
  <c r="S14" i="4"/>
  <c r="R14" i="4"/>
  <c r="O14" i="4"/>
  <c r="N14" i="4"/>
  <c r="M14" i="4"/>
  <c r="L14" i="4"/>
  <c r="K14" i="4"/>
  <c r="J14" i="4"/>
  <c r="I14" i="4"/>
  <c r="H14" i="4"/>
  <c r="G14" i="4"/>
  <c r="F14" i="4"/>
  <c r="D14" i="4"/>
  <c r="C14" i="4"/>
  <c r="B14" i="4"/>
  <c r="A14" i="4"/>
  <c r="AH13" i="4"/>
  <c r="AG13" i="4"/>
  <c r="AF13" i="4"/>
  <c r="AE13" i="4"/>
  <c r="AD13" i="4"/>
  <c r="AC13" i="4"/>
  <c r="AB13" i="4"/>
  <c r="AA13" i="4"/>
  <c r="Z13" i="4"/>
  <c r="Y13" i="4"/>
  <c r="W13" i="4"/>
  <c r="T13" i="4"/>
  <c r="S13" i="4"/>
  <c r="R13" i="4"/>
  <c r="O13" i="4"/>
  <c r="N13" i="4"/>
  <c r="M13" i="4"/>
  <c r="L13" i="4"/>
  <c r="K13" i="4"/>
  <c r="J13" i="4"/>
  <c r="I13" i="4"/>
  <c r="H13" i="4"/>
  <c r="G13" i="4"/>
  <c r="F13" i="4"/>
  <c r="D13" i="4"/>
  <c r="C13" i="4"/>
  <c r="B13" i="4"/>
  <c r="A13" i="4"/>
  <c r="AH12" i="4"/>
  <c r="AG12" i="4"/>
  <c r="AF12" i="4"/>
  <c r="AE12" i="4"/>
  <c r="AD12" i="4"/>
  <c r="AC12" i="4"/>
  <c r="AB12" i="4"/>
  <c r="AA12" i="4"/>
  <c r="Z12" i="4"/>
  <c r="Y12" i="4"/>
  <c r="W12" i="4"/>
  <c r="T12" i="4"/>
  <c r="S12" i="4"/>
  <c r="R12" i="4"/>
  <c r="O12" i="4"/>
  <c r="N12" i="4"/>
  <c r="M12" i="4"/>
  <c r="L12" i="4"/>
  <c r="K12" i="4"/>
  <c r="J12" i="4"/>
  <c r="I12" i="4"/>
  <c r="H12" i="4"/>
  <c r="G12" i="4"/>
  <c r="F12" i="4"/>
  <c r="E12" i="4"/>
  <c r="D12" i="4"/>
  <c r="C12" i="4"/>
  <c r="B12" i="4"/>
  <c r="A12" i="4"/>
  <c r="AH11" i="4"/>
  <c r="AG11" i="4"/>
  <c r="AF11" i="4"/>
  <c r="AE11" i="4"/>
  <c r="AD11" i="4"/>
  <c r="AC11" i="4"/>
  <c r="AB11" i="4"/>
  <c r="AA11" i="4"/>
  <c r="Z11" i="4"/>
  <c r="Y11" i="4"/>
  <c r="W11" i="4"/>
  <c r="T11" i="4"/>
  <c r="S11" i="4"/>
  <c r="R11" i="4"/>
  <c r="O11" i="4"/>
  <c r="N11" i="4"/>
  <c r="M11" i="4"/>
  <c r="L11" i="4"/>
  <c r="K11" i="4"/>
  <c r="J11" i="4"/>
  <c r="I11" i="4"/>
  <c r="H11" i="4"/>
  <c r="G11" i="4"/>
  <c r="F11" i="4"/>
  <c r="D11" i="4"/>
  <c r="C11" i="4"/>
  <c r="B11" i="4"/>
  <c r="A11" i="4"/>
  <c r="AH10" i="4"/>
  <c r="AG10" i="4"/>
  <c r="AF10" i="4"/>
  <c r="AE10" i="4"/>
  <c r="AD10" i="4"/>
  <c r="AC10" i="4"/>
  <c r="AB10" i="4"/>
  <c r="AA10" i="4"/>
  <c r="Z10" i="4"/>
  <c r="Y10" i="4"/>
  <c r="W10" i="4"/>
  <c r="T10" i="4"/>
  <c r="S10" i="4"/>
  <c r="R10" i="4"/>
  <c r="O10" i="4"/>
  <c r="N10" i="4"/>
  <c r="M10" i="4"/>
  <c r="L10" i="4"/>
  <c r="K10" i="4"/>
  <c r="J10" i="4"/>
  <c r="I10" i="4"/>
  <c r="H10" i="4"/>
  <c r="G10" i="4"/>
  <c r="F10" i="4"/>
  <c r="D10" i="4"/>
  <c r="C10" i="4"/>
  <c r="B10" i="4"/>
  <c r="A10" i="4"/>
  <c r="AH9" i="4"/>
  <c r="AG9" i="4"/>
  <c r="AF9" i="4"/>
  <c r="AE9" i="4"/>
  <c r="AD9" i="4"/>
  <c r="AC9" i="4"/>
  <c r="AB9" i="4"/>
  <c r="AA9" i="4"/>
  <c r="Z9" i="4"/>
  <c r="Y9" i="4"/>
  <c r="W9" i="4"/>
  <c r="T9" i="4"/>
  <c r="S9" i="4"/>
  <c r="R9" i="4"/>
  <c r="O9" i="4"/>
  <c r="N9" i="4"/>
  <c r="M9" i="4"/>
  <c r="L9" i="4"/>
  <c r="K9" i="4"/>
  <c r="J9" i="4"/>
  <c r="I9" i="4"/>
  <c r="H9" i="4"/>
  <c r="G9" i="4"/>
  <c r="F9" i="4"/>
  <c r="D9" i="4"/>
  <c r="C9" i="4"/>
  <c r="B9" i="4"/>
  <c r="A9" i="4"/>
  <c r="AH8" i="4"/>
  <c r="AG8" i="4"/>
  <c r="AF8" i="4"/>
  <c r="AE8" i="4"/>
  <c r="AD8" i="4"/>
  <c r="AC8" i="4"/>
  <c r="AB8" i="4"/>
  <c r="AA8" i="4"/>
  <c r="Z8" i="4"/>
  <c r="Y8" i="4"/>
  <c r="W8" i="4"/>
  <c r="T8" i="4"/>
  <c r="S8" i="4"/>
  <c r="R8" i="4"/>
  <c r="O8" i="4"/>
  <c r="N8" i="4"/>
  <c r="M8" i="4"/>
  <c r="L8" i="4"/>
  <c r="K8" i="4"/>
  <c r="J8" i="4"/>
  <c r="I8" i="4"/>
  <c r="H8" i="4"/>
  <c r="G8" i="4"/>
  <c r="F8" i="4"/>
  <c r="D8" i="4"/>
  <c r="C8" i="4"/>
  <c r="B8" i="4"/>
  <c r="A8" i="4"/>
  <c r="AH7" i="4"/>
  <c r="AG7" i="4"/>
  <c r="AF7" i="4"/>
  <c r="AE7" i="4"/>
  <c r="AD7" i="4"/>
  <c r="AC7" i="4"/>
  <c r="AB7" i="4"/>
  <c r="AA7" i="4"/>
  <c r="Z7" i="4"/>
  <c r="Y7" i="4"/>
  <c r="W7" i="4"/>
  <c r="T7" i="4"/>
  <c r="S7" i="4"/>
  <c r="R7" i="4"/>
  <c r="O7" i="4"/>
  <c r="N7" i="4"/>
  <c r="M7" i="4"/>
  <c r="L7" i="4"/>
  <c r="K7" i="4"/>
  <c r="J7" i="4"/>
  <c r="I7" i="4"/>
  <c r="H7" i="4"/>
  <c r="G7" i="4"/>
  <c r="F7" i="4"/>
  <c r="D7" i="4"/>
  <c r="C7" i="4"/>
  <c r="B7" i="4"/>
  <c r="A7" i="4"/>
  <c r="AH6" i="4"/>
  <c r="AG6" i="4"/>
  <c r="AF6" i="4"/>
  <c r="AE6" i="4"/>
  <c r="AD6" i="4"/>
  <c r="AC6" i="4"/>
  <c r="AB6" i="4"/>
  <c r="AA6" i="4"/>
  <c r="Z6" i="4"/>
  <c r="Y6" i="4"/>
  <c r="W6" i="4"/>
  <c r="U6" i="4"/>
  <c r="T6" i="4"/>
  <c r="S6" i="4"/>
  <c r="R6" i="4"/>
  <c r="O6" i="4"/>
  <c r="N6" i="4"/>
  <c r="M6" i="4"/>
  <c r="L6" i="4"/>
  <c r="K6" i="4"/>
  <c r="J6" i="4"/>
  <c r="I6" i="4"/>
  <c r="H6" i="4"/>
  <c r="G6" i="4"/>
  <c r="F6" i="4"/>
  <c r="D6" i="4"/>
  <c r="C6" i="4"/>
  <c r="B6" i="4"/>
  <c r="A6" i="4"/>
  <c r="AH5" i="4"/>
  <c r="AG5" i="4"/>
  <c r="AF5" i="4"/>
  <c r="AE5" i="4"/>
  <c r="AD5" i="4"/>
  <c r="AC5" i="4"/>
  <c r="AB5" i="4"/>
  <c r="AA5" i="4"/>
  <c r="Z5" i="4"/>
  <c r="Y5" i="4"/>
  <c r="W5" i="4"/>
  <c r="U5" i="4"/>
  <c r="T5" i="4"/>
  <c r="S5" i="4"/>
  <c r="R5" i="4"/>
  <c r="O5" i="4"/>
  <c r="N5" i="4"/>
  <c r="M5" i="4"/>
  <c r="L5" i="4"/>
  <c r="K5" i="4"/>
  <c r="J5" i="4"/>
  <c r="I5" i="4"/>
  <c r="H5" i="4"/>
  <c r="G5" i="4"/>
  <c r="F5" i="4"/>
  <c r="D5" i="4"/>
  <c r="C5" i="4"/>
  <c r="B5" i="4"/>
  <c r="A5" i="4"/>
  <c r="AH4" i="4"/>
  <c r="AG4" i="4"/>
  <c r="AF4" i="4"/>
  <c r="AE4" i="4"/>
  <c r="AD4" i="4"/>
  <c r="AC4" i="4"/>
  <c r="AB4" i="4"/>
  <c r="AA4" i="4"/>
  <c r="Z4" i="4"/>
  <c r="Y4" i="4"/>
  <c r="W4" i="4"/>
  <c r="T4" i="4"/>
  <c r="S4" i="4"/>
  <c r="R4" i="4"/>
  <c r="O4" i="4"/>
  <c r="N4" i="4"/>
  <c r="M4" i="4"/>
  <c r="L4" i="4"/>
  <c r="K4" i="4"/>
  <c r="J4" i="4"/>
  <c r="I4" i="4"/>
  <c r="H4" i="4"/>
  <c r="G4" i="4"/>
  <c r="F4" i="4"/>
  <c r="D4" i="4"/>
  <c r="C4" i="4"/>
  <c r="B4" i="4"/>
  <c r="A4" i="4"/>
  <c r="AH3" i="4"/>
  <c r="AG3" i="4"/>
  <c r="AF3" i="4"/>
  <c r="AE3" i="4"/>
  <c r="AD3" i="4"/>
  <c r="AC3" i="4"/>
  <c r="AB3" i="4"/>
  <c r="AA3" i="4"/>
  <c r="Z3" i="4"/>
  <c r="Y3" i="4"/>
  <c r="W3" i="4"/>
  <c r="T3" i="4"/>
  <c r="S3" i="4"/>
  <c r="R3" i="4"/>
  <c r="O3" i="4"/>
  <c r="N3" i="4"/>
  <c r="M3" i="4"/>
  <c r="L3" i="4"/>
  <c r="K3" i="4"/>
  <c r="J3" i="4"/>
  <c r="I3" i="4"/>
  <c r="H3" i="4"/>
  <c r="G3" i="4"/>
  <c r="F3" i="4"/>
  <c r="D3" i="4"/>
  <c r="C3" i="4"/>
  <c r="B3" i="4"/>
  <c r="A3" i="4"/>
  <c r="AH2" i="4"/>
  <c r="AG2" i="4"/>
  <c r="AF2" i="4"/>
  <c r="AE2" i="4"/>
  <c r="AD2" i="4"/>
  <c r="AC2" i="4"/>
  <c r="AB2" i="4"/>
  <c r="AA2" i="4"/>
  <c r="Z2" i="4"/>
  <c r="Y2" i="4"/>
  <c r="W2" i="4"/>
  <c r="T2" i="4"/>
  <c r="S2" i="4"/>
  <c r="R2" i="4"/>
  <c r="O2" i="4"/>
  <c r="N2" i="4"/>
  <c r="M2" i="4"/>
  <c r="L2" i="4"/>
  <c r="K2" i="4"/>
  <c r="J2" i="4"/>
  <c r="I2" i="4"/>
  <c r="H2" i="4"/>
  <c r="G2" i="4"/>
  <c r="F2" i="4"/>
  <c r="D2" i="4"/>
  <c r="C2" i="4"/>
  <c r="B2" i="4"/>
  <c r="A2" i="4"/>
  <c r="AI1" i="4"/>
  <c r="AH1" i="4"/>
  <c r="AG1" i="4"/>
  <c r="AF1" i="4"/>
  <c r="AE1" i="4"/>
  <c r="AD1" i="4"/>
  <c r="AC1" i="4"/>
  <c r="AB1" i="4"/>
  <c r="AA1" i="4"/>
  <c r="Z1" i="4"/>
  <c r="Y1" i="4"/>
  <c r="X1" i="4"/>
  <c r="W1" i="4"/>
  <c r="V1" i="4"/>
  <c r="U1" i="4"/>
  <c r="T1" i="4"/>
  <c r="S1" i="4"/>
  <c r="R1" i="4"/>
  <c r="Q1" i="4"/>
  <c r="P1" i="4"/>
  <c r="O1" i="4"/>
  <c r="N1" i="4"/>
  <c r="M1" i="4"/>
  <c r="L1" i="4"/>
  <c r="K1" i="4"/>
  <c r="J1" i="4"/>
  <c r="I1" i="4"/>
  <c r="H1" i="4"/>
  <c r="G1" i="4"/>
  <c r="F1" i="4"/>
  <c r="E1" i="4"/>
  <c r="D1" i="4"/>
  <c r="C1" i="4"/>
  <c r="B1" i="4"/>
  <c r="A1" i="4"/>
  <c r="L215" i="1" l="1"/>
  <c r="I119" i="1"/>
  <c r="I142" i="1"/>
  <c r="I81" i="1"/>
  <c r="I138" i="1"/>
  <c r="I89" i="1"/>
  <c r="I30" i="1"/>
  <c r="I161" i="1"/>
  <c r="I12" i="1"/>
  <c r="I42" i="1"/>
  <c r="I50" i="1"/>
  <c r="I202" i="1"/>
  <c r="I52" i="1"/>
  <c r="I21" i="1"/>
  <c r="I70" i="1"/>
  <c r="I127" i="1"/>
  <c r="I19" i="1"/>
  <c r="I28" i="1"/>
  <c r="I102" i="1"/>
  <c r="I163" i="1"/>
  <c r="I17" i="1"/>
  <c r="I26" i="1"/>
  <c r="I59" i="1"/>
  <c r="I82" i="1"/>
  <c r="I120" i="1"/>
  <c r="I204" i="1"/>
  <c r="I218" i="1"/>
  <c r="I24" i="1"/>
  <c r="I61" i="1"/>
  <c r="I112" i="1"/>
  <c r="I177" i="1"/>
  <c r="I37" i="1"/>
  <c r="I165" i="1"/>
  <c r="I152" i="1"/>
  <c r="I110" i="1"/>
  <c r="I29" i="1"/>
  <c r="I31" i="1"/>
  <c r="I63" i="1"/>
  <c r="I114" i="1"/>
  <c r="I179" i="1"/>
  <c r="I212" i="1"/>
  <c r="I11" i="1"/>
  <c r="I20" i="1"/>
  <c r="I27" i="1"/>
  <c r="I39" i="1"/>
  <c r="I46" i="1"/>
  <c r="I87" i="1"/>
  <c r="I106" i="1"/>
  <c r="I122" i="1"/>
  <c r="I214" i="1"/>
  <c r="I15" i="1"/>
  <c r="I16" i="1"/>
  <c r="I18" i="1"/>
  <c r="I66" i="1"/>
  <c r="I88" i="1"/>
  <c r="I155" i="1"/>
  <c r="I172" i="1"/>
  <c r="I33" i="1"/>
  <c r="I13" i="1"/>
  <c r="I22" i="1"/>
  <c r="I104" i="1"/>
  <c r="I25" i="1"/>
  <c r="I35" i="1"/>
  <c r="I47" i="1"/>
  <c r="I99" i="1"/>
  <c r="I108" i="1"/>
  <c r="I135" i="1"/>
  <c r="I157" i="1"/>
  <c r="I14" i="1"/>
  <c r="I159" i="1"/>
  <c r="I68" i="1"/>
  <c r="I23" i="1"/>
  <c r="I41" i="1"/>
  <c r="I48" i="1"/>
  <c r="I84" i="1"/>
  <c r="I101" i="1"/>
  <c r="I124" i="1"/>
  <c r="I137" i="1"/>
  <c r="I154" i="1"/>
  <c r="I181" i="1"/>
  <c r="I183" i="1"/>
  <c r="I185" i="1"/>
  <c r="I187" i="1"/>
  <c r="I191" i="1"/>
  <c r="I193" i="1"/>
  <c r="I195" i="1"/>
  <c r="I197" i="1"/>
  <c r="I199" i="1"/>
  <c r="I201" i="1"/>
  <c r="I216" i="1"/>
  <c r="I55" i="1"/>
  <c r="I57" i="1"/>
  <c r="I80" i="1"/>
  <c r="I97" i="1"/>
  <c r="I133" i="1"/>
  <c r="I150" i="1"/>
  <c r="I175" i="1"/>
  <c r="I210" i="1"/>
  <c r="I44" i="1"/>
  <c r="I53" i="1"/>
  <c r="I72" i="1"/>
  <c r="I74" i="1"/>
  <c r="I76" i="1"/>
  <c r="I78" i="1"/>
  <c r="I95" i="1"/>
  <c r="I118" i="1"/>
  <c r="I131" i="1"/>
  <c r="I144" i="1"/>
  <c r="I146" i="1"/>
  <c r="I148" i="1"/>
  <c r="I169" i="1"/>
  <c r="I171" i="1"/>
  <c r="I173" i="1"/>
  <c r="I208" i="1"/>
  <c r="I51" i="1"/>
  <c r="I91" i="1"/>
  <c r="I93" i="1"/>
  <c r="I116" i="1"/>
  <c r="I129" i="1"/>
  <c r="I140" i="1"/>
  <c r="I167" i="1"/>
  <c r="I206" i="1"/>
  <c r="I221" i="1"/>
  <c r="I217" i="1"/>
  <c r="I219" i="1"/>
  <c r="I40" i="1"/>
  <c r="I49" i="1"/>
  <c r="I64" i="1"/>
  <c r="I85" i="1"/>
  <c r="I125" i="1"/>
  <c r="I136" i="1"/>
  <c r="I182" i="1"/>
  <c r="I184" i="1"/>
  <c r="I186" i="1"/>
  <c r="I188" i="1"/>
  <c r="I190" i="1"/>
  <c r="I192" i="1"/>
  <c r="I194" i="1"/>
  <c r="I196" i="1"/>
  <c r="I198" i="1"/>
  <c r="I200" i="1"/>
  <c r="I215" i="1"/>
  <c r="I60" i="1"/>
  <c r="I62" i="1"/>
  <c r="I83" i="1"/>
  <c r="I98" i="1"/>
  <c r="I100" i="1"/>
  <c r="I123" i="1"/>
  <c r="I134" i="1"/>
  <c r="I153" i="1"/>
  <c r="I176" i="1"/>
  <c r="I178" i="1"/>
  <c r="I180" i="1"/>
  <c r="I211" i="1"/>
  <c r="I213" i="1"/>
  <c r="I38" i="1"/>
  <c r="I45" i="1"/>
  <c r="I54" i="1"/>
  <c r="I56" i="1"/>
  <c r="I58" i="1"/>
  <c r="I121" i="1"/>
  <c r="I149" i="1"/>
  <c r="I151" i="1"/>
  <c r="I174" i="1"/>
  <c r="I36" i="1"/>
  <c r="I73" i="1"/>
  <c r="I75" i="1"/>
  <c r="I77" i="1"/>
  <c r="I79" i="1"/>
  <c r="I96" i="1"/>
  <c r="I117" i="1"/>
  <c r="I132" i="1"/>
  <c r="I141" i="1"/>
  <c r="I143" i="1"/>
  <c r="I145" i="1"/>
  <c r="I147" i="1"/>
  <c r="I170" i="1"/>
  <c r="I207" i="1"/>
  <c r="I209" i="1"/>
  <c r="I32" i="1"/>
  <c r="I34" i="1"/>
  <c r="I43" i="1"/>
  <c r="I71" i="1"/>
  <c r="I90" i="1"/>
  <c r="I92" i="1"/>
  <c r="I94" i="1"/>
  <c r="I115" i="1"/>
  <c r="I130" i="1"/>
  <c r="I139" i="1"/>
  <c r="I166" i="1"/>
  <c r="I168" i="1"/>
  <c r="I220" i="1"/>
  <c r="I65" i="1"/>
  <c r="I67" i="1"/>
  <c r="I69" i="1"/>
  <c r="I86" i="1"/>
  <c r="I103" i="1"/>
  <c r="I105" i="1"/>
  <c r="I107" i="1"/>
  <c r="I109" i="1"/>
  <c r="I111" i="1"/>
  <c r="I113" i="1"/>
  <c r="I126" i="1"/>
  <c r="I128" i="1"/>
  <c r="I156" i="1"/>
  <c r="I158" i="1"/>
  <c r="I160" i="1"/>
  <c r="I162" i="1"/>
  <c r="I164" i="1"/>
  <c r="I189" i="1"/>
  <c r="I203" i="1"/>
  <c r="I2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2" authorId="0" shapeId="0" xr:uid="{00000000-0006-0000-0000-000002000000}">
      <text>
        <r>
          <rPr>
            <sz val="10"/>
            <color rgb="FF000000"/>
            <rFont val="Arial"/>
            <family val="2"/>
            <scheme val="minor"/>
          </rPr>
          <t>Responder updated this value.</t>
        </r>
      </text>
    </comment>
    <comment ref="N12" authorId="0" shapeId="0" xr:uid="{BEB30D3F-BDE1-42E3-88EE-270F012F31B8}">
      <text>
        <r>
          <rPr>
            <sz val="10"/>
            <color rgb="FF000000"/>
            <rFont val="Arial"/>
            <family val="2"/>
            <scheme val="minor"/>
          </rPr>
          <t>Responder updated this value.</t>
        </r>
      </text>
    </comment>
    <comment ref="N13" authorId="0" shapeId="0" xr:uid="{93CA90AD-8539-4F1C-AD70-A5F1ADB34D74}">
      <text>
        <r>
          <rPr>
            <sz val="10"/>
            <color rgb="FF000000"/>
            <rFont val="Arial"/>
            <family val="2"/>
            <scheme val="minor"/>
          </rPr>
          <t>Responder updated this value.</t>
        </r>
      </text>
    </comment>
    <comment ref="L14" authorId="0" shapeId="0" xr:uid="{86F8FD2F-AC13-4750-BF6D-D889A74DAC77}">
      <text>
        <r>
          <rPr>
            <sz val="10"/>
            <color rgb="FF000000"/>
            <rFont val="Arial"/>
            <family val="2"/>
            <scheme val="minor"/>
          </rPr>
          <t>Responder updated this value.</t>
        </r>
      </text>
    </comment>
    <comment ref="N14" authorId="0" shapeId="0" xr:uid="{8B043B23-5F7A-4B6B-9A61-64DD9C859FBC}">
      <text>
        <r>
          <rPr>
            <sz val="10"/>
            <color rgb="FF000000"/>
            <rFont val="Arial"/>
            <family val="2"/>
            <scheme val="minor"/>
          </rPr>
          <t>Responder updated this value.</t>
        </r>
      </text>
    </comment>
    <comment ref="N15" authorId="0" shapeId="0" xr:uid="{967E7E84-5CA2-416C-9517-6C95B144E72B}">
      <text>
        <r>
          <rPr>
            <sz val="10"/>
            <color rgb="FF000000"/>
            <rFont val="Arial"/>
            <family val="2"/>
            <scheme val="minor"/>
          </rPr>
          <t>Responder updated this value.</t>
        </r>
      </text>
    </comment>
    <comment ref="H16" authorId="0" shapeId="0" xr:uid="{00000000-0006-0000-0000-000008000000}">
      <text>
        <r>
          <rPr>
            <sz val="10"/>
            <color rgb="FF000000"/>
            <rFont val="Arial"/>
            <family val="2"/>
            <scheme val="minor"/>
          </rPr>
          <t>Responder updated this value.</t>
        </r>
      </text>
    </comment>
    <comment ref="N16" authorId="0" shapeId="0" xr:uid="{F68AA0AA-C2DC-480A-A8D9-75AA43B0D56E}">
      <text>
        <r>
          <rPr>
            <sz val="10"/>
            <color rgb="FF000000"/>
            <rFont val="Arial"/>
            <family val="2"/>
            <scheme val="minor"/>
          </rPr>
          <t>Responder updated this value.</t>
        </r>
      </text>
    </comment>
    <comment ref="L17" authorId="0" shapeId="0" xr:uid="{15822F54-63EF-4584-B030-EE527458D11D}">
      <text>
        <r>
          <rPr>
            <sz val="10"/>
            <color rgb="FF000000"/>
            <rFont val="Arial"/>
            <family val="2"/>
            <scheme val="minor"/>
          </rPr>
          <t>Responder updated this value.</t>
        </r>
      </text>
    </comment>
    <comment ref="N17" authorId="0" shapeId="0" xr:uid="{98CD18B8-3B4A-4F02-9C5B-78F2AC2F4597}">
      <text>
        <r>
          <rPr>
            <sz val="10"/>
            <color rgb="FF000000"/>
            <rFont val="Arial"/>
            <family val="2"/>
            <scheme val="minor"/>
          </rPr>
          <t>Responder updated this value.</t>
        </r>
      </text>
    </comment>
    <comment ref="L18" authorId="0" shapeId="0" xr:uid="{F8AF18FE-2D14-4C3B-A399-9A1A9387E3D6}">
      <text>
        <r>
          <rPr>
            <sz val="10"/>
            <color rgb="FF000000"/>
            <rFont val="Arial"/>
            <family val="2"/>
            <scheme val="minor"/>
          </rPr>
          <t>Responder updated this value.</t>
        </r>
      </text>
    </comment>
    <comment ref="N18" authorId="0" shapeId="0" xr:uid="{B7DA93BE-B5A9-408C-8536-8DB62BFA4358}">
      <text>
        <r>
          <rPr>
            <sz val="10"/>
            <color rgb="FF000000"/>
            <rFont val="Arial"/>
            <family val="2"/>
            <scheme val="minor"/>
          </rPr>
          <t>Responder updated this value.</t>
        </r>
      </text>
    </comment>
    <comment ref="L19" authorId="0" shapeId="0" xr:uid="{66A08575-33DB-46B1-B4F2-D34B8BF7FDD3}">
      <text>
        <r>
          <rPr>
            <sz val="10"/>
            <color rgb="FF000000"/>
            <rFont val="Arial"/>
            <family val="2"/>
            <scheme val="minor"/>
          </rPr>
          <t>Responder updated this value.</t>
        </r>
      </text>
    </comment>
    <comment ref="N19" authorId="0" shapeId="0" xr:uid="{85CCF882-9FD8-42C7-A9DD-3448B17AA43A}">
      <text>
        <r>
          <rPr>
            <sz val="10"/>
            <color rgb="FF000000"/>
            <rFont val="Arial"/>
            <family val="2"/>
            <scheme val="minor"/>
          </rPr>
          <t>Responder updated this value.</t>
        </r>
      </text>
    </comment>
    <comment ref="N20" authorId="0" shapeId="0" xr:uid="{F6A1B369-A616-4940-B618-11BC007FF5D2}">
      <text>
        <r>
          <rPr>
            <sz val="10"/>
            <color rgb="FF000000"/>
            <rFont val="Arial"/>
            <family val="2"/>
            <scheme val="minor"/>
          </rPr>
          <t>Responder updated this value.</t>
        </r>
      </text>
    </comment>
    <comment ref="L21" authorId="0" shapeId="0" xr:uid="{EC703516-0AE9-43C9-9F49-F9FCF1B6950A}">
      <text>
        <r>
          <rPr>
            <sz val="10"/>
            <color rgb="FF000000"/>
            <rFont val="Arial"/>
            <family val="2"/>
            <scheme val="minor"/>
          </rPr>
          <t>Responder updated this value.</t>
        </r>
      </text>
    </comment>
    <comment ref="N21" authorId="0" shapeId="0" xr:uid="{DE030538-ECBC-4B0D-9F17-23A65CB4D872}">
      <text>
        <r>
          <rPr>
            <sz val="10"/>
            <color rgb="FF000000"/>
            <rFont val="Arial"/>
            <family val="2"/>
            <scheme val="minor"/>
          </rPr>
          <t>Responder updated this value.</t>
        </r>
      </text>
    </comment>
    <comment ref="H22" authorId="0" shapeId="0" xr:uid="{00000000-0006-0000-0000-000014000000}">
      <text>
        <r>
          <rPr>
            <sz val="10"/>
            <color rgb="FF000000"/>
            <rFont val="Arial"/>
            <family val="2"/>
            <scheme val="minor"/>
          </rPr>
          <t>Responder updated this value.</t>
        </r>
      </text>
    </comment>
    <comment ref="L22" authorId="0" shapeId="0" xr:uid="{9BC0B9FB-3481-4591-BC08-5F76F3B228BE}">
      <text>
        <r>
          <rPr>
            <sz val="10"/>
            <color rgb="FF000000"/>
            <rFont val="Arial"/>
            <family val="2"/>
            <scheme val="minor"/>
          </rPr>
          <t>Responder updated this value.</t>
        </r>
      </text>
    </comment>
    <comment ref="N22" authorId="0" shapeId="0" xr:uid="{92CBDB93-3F7B-4AF0-A2EA-62E3C3572F40}">
      <text>
        <r>
          <rPr>
            <sz val="10"/>
            <color rgb="FF000000"/>
            <rFont val="Arial"/>
            <family val="2"/>
            <scheme val="minor"/>
          </rPr>
          <t>Responder updated this value.</t>
        </r>
      </text>
    </comment>
    <comment ref="N24" authorId="0" shapeId="0" xr:uid="{3350DCB8-AC3E-4A6D-B8C9-BDF65D6CFF5E}">
      <text>
        <r>
          <rPr>
            <sz val="10"/>
            <color rgb="FF000000"/>
            <rFont val="Arial"/>
            <family val="2"/>
            <scheme val="minor"/>
          </rPr>
          <t>Responder updated this value.</t>
        </r>
      </text>
    </comment>
    <comment ref="L26" authorId="0" shapeId="0" xr:uid="{418C09E7-A6D1-4F42-97E2-610E59CCC8F8}">
      <text>
        <r>
          <rPr>
            <sz val="10"/>
            <color rgb="FF000000"/>
            <rFont val="Arial"/>
            <family val="2"/>
            <scheme val="minor"/>
          </rPr>
          <t>Responder updated this value.</t>
        </r>
      </text>
    </comment>
    <comment ref="N26" authorId="0" shapeId="0" xr:uid="{67E05237-CAD9-455C-8F76-400C133A9599}">
      <text>
        <r>
          <rPr>
            <sz val="10"/>
            <color rgb="FF000000"/>
            <rFont val="Arial"/>
            <family val="2"/>
            <scheme val="minor"/>
          </rPr>
          <t>Responder updated this value.</t>
        </r>
      </text>
    </comment>
    <comment ref="L28" authorId="0" shapeId="0" xr:uid="{63812EFD-ECAA-43EE-A3F5-C192B202642F}">
      <text>
        <r>
          <rPr>
            <sz val="10"/>
            <color rgb="FF000000"/>
            <rFont val="Arial"/>
            <family val="2"/>
            <scheme val="minor"/>
          </rPr>
          <t>Responder updated this value.</t>
        </r>
      </text>
    </comment>
    <comment ref="N28" authorId="0" shapeId="0" xr:uid="{9ABA26DC-51FE-4B6E-ACA7-F9179424F328}">
      <text>
        <r>
          <rPr>
            <sz val="10"/>
            <color rgb="FF000000"/>
            <rFont val="Arial"/>
            <family val="2"/>
            <scheme val="minor"/>
          </rPr>
          <t>Responder updated this value.</t>
        </r>
      </text>
    </comment>
    <comment ref="H29" authorId="0" shapeId="0" xr:uid="{00000000-0006-0000-0000-00001C000000}">
      <text>
        <r>
          <rPr>
            <sz val="10"/>
            <color rgb="FF000000"/>
            <rFont val="Arial"/>
            <family val="2"/>
            <scheme val="minor"/>
          </rPr>
          <t>Responder updated this value.</t>
        </r>
      </text>
    </comment>
    <comment ref="N29" authorId="0" shapeId="0" xr:uid="{07B862F7-22E9-4BC8-A79D-BA0C169A0B33}">
      <text>
        <r>
          <rPr>
            <sz val="10"/>
            <color rgb="FF000000"/>
            <rFont val="Arial"/>
            <family val="2"/>
            <scheme val="minor"/>
          </rPr>
          <t>Responder updated this value.</t>
        </r>
      </text>
    </comment>
    <comment ref="N30" authorId="0" shapeId="0" xr:uid="{7BC9C6F2-E545-4C2D-851C-1C151AF6268D}">
      <text>
        <r>
          <rPr>
            <sz val="10"/>
            <color rgb="FF000000"/>
            <rFont val="Arial"/>
            <family val="2"/>
            <scheme val="minor"/>
          </rPr>
          <t>Responder updated this value.</t>
        </r>
      </text>
    </comment>
    <comment ref="H32" authorId="0" shapeId="0" xr:uid="{00000000-0006-0000-0000-00001F000000}">
      <text>
        <r>
          <rPr>
            <sz val="10"/>
            <color rgb="FF000000"/>
            <rFont val="Arial"/>
            <family val="2"/>
            <scheme val="minor"/>
          </rPr>
          <t>Responder updated this value.</t>
        </r>
      </text>
    </comment>
    <comment ref="N32" authorId="0" shapeId="0" xr:uid="{456B0ED3-A081-4F87-A485-DA8D6FE8E92B}">
      <text>
        <r>
          <rPr>
            <sz val="10"/>
            <color rgb="FF000000"/>
            <rFont val="Arial"/>
            <family val="2"/>
            <scheme val="minor"/>
          </rPr>
          <t>Responder updated this value.</t>
        </r>
      </text>
    </comment>
    <comment ref="L33" authorId="0" shapeId="0" xr:uid="{8FBBFE0C-CC09-4CFF-BF94-7E91A357BAF5}">
      <text>
        <r>
          <rPr>
            <sz val="10"/>
            <color rgb="FF000000"/>
            <rFont val="Arial"/>
            <family val="2"/>
            <scheme val="minor"/>
          </rPr>
          <t>Responder updated this value.</t>
        </r>
      </text>
    </comment>
    <comment ref="N33" authorId="0" shapeId="0" xr:uid="{9F397FA0-3F96-46CD-98F4-3E10F7A77452}">
      <text>
        <r>
          <rPr>
            <sz val="10"/>
            <color rgb="FF000000"/>
            <rFont val="Arial"/>
            <family val="2"/>
            <scheme val="minor"/>
          </rPr>
          <t>Responder updated this value.</t>
        </r>
      </text>
    </comment>
    <comment ref="L34" authorId="0" shapeId="0" xr:uid="{1DB0DB12-A5EF-4471-B727-50F8D0D53A0B}">
      <text>
        <r>
          <rPr>
            <sz val="10"/>
            <color rgb="FF000000"/>
            <rFont val="Arial"/>
            <family val="2"/>
            <scheme val="minor"/>
          </rPr>
          <t>Responder updated this value.</t>
        </r>
      </text>
    </comment>
    <comment ref="N35" authorId="0" shapeId="0" xr:uid="{C7E4FD60-F8B2-4837-A56D-AA45BD6CE90D}">
      <text>
        <r>
          <rPr>
            <sz val="10"/>
            <color rgb="FF000000"/>
            <rFont val="Arial"/>
            <family val="2"/>
            <scheme val="minor"/>
          </rPr>
          <t>Responder updated this value.</t>
        </r>
      </text>
    </comment>
    <comment ref="N36" authorId="0" shapeId="0" xr:uid="{CBBF117E-3EA1-4D10-AADC-0F26FF2036ED}">
      <text>
        <r>
          <rPr>
            <sz val="10"/>
            <color rgb="FF000000"/>
            <rFont val="Arial"/>
            <family val="2"/>
            <scheme val="minor"/>
          </rPr>
          <t>Responder updated this value.</t>
        </r>
      </text>
    </comment>
    <comment ref="L37" authorId="0" shapeId="0" xr:uid="{1CE5F4CB-6166-4DA6-85B1-71D8BC955C68}">
      <text>
        <r>
          <rPr>
            <sz val="10"/>
            <color rgb="FF000000"/>
            <rFont val="Arial"/>
            <family val="2"/>
            <scheme val="minor"/>
          </rPr>
          <t>Responder updated this value.</t>
        </r>
      </text>
    </comment>
    <comment ref="L38" authorId="0" shapeId="0" xr:uid="{91AD1D88-76C8-4E54-B50C-1B59D707AB50}">
      <text>
        <r>
          <rPr>
            <sz val="10"/>
            <color rgb="FF000000"/>
            <rFont val="Arial"/>
            <family val="2"/>
            <scheme val="minor"/>
          </rPr>
          <t>Responder updated this value.</t>
        </r>
      </text>
    </comment>
    <comment ref="N38" authorId="0" shapeId="0" xr:uid="{F72A029E-9321-46D8-A573-9141483322AA}">
      <text>
        <r>
          <rPr>
            <sz val="10"/>
            <color rgb="FF000000"/>
            <rFont val="Arial"/>
            <family val="2"/>
            <scheme val="minor"/>
          </rPr>
          <t>Responder updated this value.</t>
        </r>
      </text>
    </comment>
    <comment ref="L39" authorId="0" shapeId="0" xr:uid="{946248F1-3836-41E3-9ACD-BAC9B0D56203}">
      <text>
        <r>
          <rPr>
            <sz val="10"/>
            <color rgb="FF000000"/>
            <rFont val="Arial"/>
            <family val="2"/>
            <scheme val="minor"/>
          </rPr>
          <t>Responder updated this value.</t>
        </r>
      </text>
    </comment>
    <comment ref="N39" authorId="0" shapeId="0" xr:uid="{EAC75DAF-A99C-40B6-8BAC-A44856B2DD5C}">
      <text>
        <r>
          <rPr>
            <sz val="10"/>
            <color rgb="FF000000"/>
            <rFont val="Arial"/>
            <family val="2"/>
            <scheme val="minor"/>
          </rPr>
          <t>Responder updated this value.</t>
        </r>
      </text>
    </comment>
    <comment ref="N41" authorId="0" shapeId="0" xr:uid="{FD512B00-2663-4E33-BF47-15548218F204}">
      <text>
        <r>
          <rPr>
            <sz val="10"/>
            <color rgb="FF000000"/>
            <rFont val="Arial"/>
            <family val="2"/>
            <scheme val="minor"/>
          </rPr>
          <t>Responder updated this value.</t>
        </r>
      </text>
    </comment>
    <comment ref="L42" authorId="0" shapeId="0" xr:uid="{D8BED6CB-4686-46DD-887C-E6976F81A712}">
      <text>
        <r>
          <rPr>
            <sz val="10"/>
            <color rgb="FF000000"/>
            <rFont val="Arial"/>
            <family val="2"/>
            <scheme val="minor"/>
          </rPr>
          <t>Responder updated this value.</t>
        </r>
      </text>
    </comment>
    <comment ref="N43" authorId="0" shapeId="0" xr:uid="{96849DF0-28D7-4BDD-9A69-E13CE179FCC9}">
      <text>
        <r>
          <rPr>
            <sz val="10"/>
            <color rgb="FF000000"/>
            <rFont val="Arial"/>
            <family val="2"/>
            <scheme val="minor"/>
          </rPr>
          <t>Responder updated this value.</t>
        </r>
      </text>
    </comment>
    <comment ref="N45" authorId="0" shapeId="0" xr:uid="{CF0B5293-0E62-48BE-8A9D-DD010F40E290}">
      <text>
        <r>
          <rPr>
            <sz val="10"/>
            <color rgb="FF000000"/>
            <rFont val="Arial"/>
            <family val="2"/>
            <scheme val="minor"/>
          </rPr>
          <t>Responder updated this value.</t>
        </r>
      </text>
    </comment>
    <comment ref="N49" authorId="0" shapeId="0" xr:uid="{EC08664A-13AB-4C4D-9ED5-DFD040CE1A99}">
      <text>
        <r>
          <rPr>
            <sz val="10"/>
            <color rgb="FF000000"/>
            <rFont val="Arial"/>
            <family val="2"/>
            <scheme val="minor"/>
          </rPr>
          <t>Responder updated this value.</t>
        </r>
      </text>
    </comment>
    <comment ref="D50" authorId="0" shapeId="0" xr:uid="{00000000-0006-0000-0000-00002F000000}">
      <text>
        <r>
          <rPr>
            <sz val="10"/>
            <color rgb="FF000000"/>
            <rFont val="Arial"/>
            <family val="2"/>
            <scheme val="minor"/>
          </rPr>
          <t>Responder updated this value.</t>
        </r>
      </text>
    </comment>
    <comment ref="N50" authorId="0" shapeId="0" xr:uid="{94469009-4F90-4AD1-B7AD-76EEB699753F}">
      <text>
        <r>
          <rPr>
            <sz val="10"/>
            <color rgb="FF000000"/>
            <rFont val="Arial"/>
            <family val="2"/>
            <scheme val="minor"/>
          </rPr>
          <t>Responder updated this value.</t>
        </r>
      </text>
    </comment>
    <comment ref="N51" authorId="0" shapeId="0" xr:uid="{A409666A-C984-411E-A755-05618FB542BD}">
      <text>
        <r>
          <rPr>
            <sz val="10"/>
            <color rgb="FF000000"/>
            <rFont val="Arial"/>
            <family val="2"/>
            <scheme val="minor"/>
          </rPr>
          <t>Responder updated this value.</t>
        </r>
      </text>
    </comment>
    <comment ref="N53" authorId="0" shapeId="0" xr:uid="{4AA0C686-1FB4-45DD-B3A2-C54D9ED64227}">
      <text>
        <r>
          <rPr>
            <sz val="10"/>
            <color rgb="FF000000"/>
            <rFont val="Arial"/>
            <family val="2"/>
            <scheme val="minor"/>
          </rPr>
          <t>Responder updated this value.</t>
        </r>
      </text>
    </comment>
    <comment ref="L54" authorId="0" shapeId="0" xr:uid="{1ADFB100-BDC7-4516-BD83-04DEF739C027}">
      <text>
        <r>
          <rPr>
            <sz val="10"/>
            <color rgb="FF000000"/>
            <rFont val="Arial"/>
            <family val="2"/>
            <scheme val="minor"/>
          </rPr>
          <t>Responder updated this value.</t>
        </r>
      </text>
    </comment>
    <comment ref="N54" authorId="0" shapeId="0" xr:uid="{DD4DA40D-EF17-4EAC-BDD6-ADA9998117C7}">
      <text>
        <r>
          <rPr>
            <sz val="10"/>
            <color rgb="FF000000"/>
            <rFont val="Arial"/>
            <family val="2"/>
            <scheme val="minor"/>
          </rPr>
          <t>Responder updated this value.</t>
        </r>
      </text>
    </comment>
    <comment ref="N55" authorId="0" shapeId="0" xr:uid="{85A05244-25BD-4E36-8A61-8F2A0AB75914}">
      <text>
        <r>
          <rPr>
            <sz val="10"/>
            <color rgb="FF000000"/>
            <rFont val="Arial"/>
            <family val="2"/>
            <scheme val="minor"/>
          </rPr>
          <t>Responder updated this value.</t>
        </r>
      </text>
    </comment>
    <comment ref="L57" authorId="0" shapeId="0" xr:uid="{1B37F613-13EE-49B1-9E91-0DA1B8D2DA8B}">
      <text>
        <r>
          <rPr>
            <sz val="10"/>
            <color rgb="FF000000"/>
            <rFont val="Arial"/>
            <family val="2"/>
            <scheme val="minor"/>
          </rPr>
          <t>Responder updated this value.</t>
        </r>
      </text>
    </comment>
    <comment ref="N57" authorId="0" shapeId="0" xr:uid="{9BC91404-9861-483C-A992-92A96A2BD371}">
      <text>
        <r>
          <rPr>
            <sz val="10"/>
            <color rgb="FF000000"/>
            <rFont val="Arial"/>
            <family val="2"/>
            <scheme val="minor"/>
          </rPr>
          <t>Responder updated this value.</t>
        </r>
      </text>
    </comment>
    <comment ref="L58" authorId="0" shapeId="0" xr:uid="{378EE645-8BB0-446A-A68F-FD7E7F7983E0}">
      <text>
        <r>
          <rPr>
            <sz val="10"/>
            <color rgb="FF000000"/>
            <rFont val="Arial"/>
            <family val="2"/>
            <scheme val="minor"/>
          </rPr>
          <t>Responder updated this value.</t>
        </r>
      </text>
    </comment>
    <comment ref="N58" authorId="0" shapeId="0" xr:uid="{C9BB7A9B-051A-4F67-82B4-B9FB1AF83A3A}">
      <text>
        <r>
          <rPr>
            <sz val="10"/>
            <color rgb="FF000000"/>
            <rFont val="Arial"/>
            <family val="2"/>
            <scheme val="minor"/>
          </rPr>
          <t>Responder updated this value.</t>
        </r>
      </text>
    </comment>
    <comment ref="N59" authorId="0" shapeId="0" xr:uid="{86500EBB-508B-4E02-ACDC-1CBC141BDD29}">
      <text>
        <r>
          <rPr>
            <sz val="10"/>
            <color rgb="FF000000"/>
            <rFont val="Arial"/>
            <family val="2"/>
            <scheme val="minor"/>
          </rPr>
          <t>Responder updated this value.</t>
        </r>
      </text>
    </comment>
    <comment ref="L64" authorId="0" shapeId="0" xr:uid="{E8B44A2C-4B05-47D9-9FEB-015396B61D7D}">
      <text>
        <r>
          <rPr>
            <sz val="10"/>
            <color rgb="FF000000"/>
            <rFont val="Arial"/>
            <family val="2"/>
            <scheme val="minor"/>
          </rPr>
          <t>Responder updated this value.</t>
        </r>
      </text>
    </comment>
    <comment ref="N64" authorId="0" shapeId="0" xr:uid="{B8A4803A-0C9D-4BA6-99E8-7DD27380272F}">
      <text>
        <r>
          <rPr>
            <sz val="10"/>
            <color rgb="FF000000"/>
            <rFont val="Arial"/>
            <family val="2"/>
            <scheme val="minor"/>
          </rPr>
          <t>Responder updated this value.</t>
        </r>
      </text>
    </comment>
    <comment ref="L65" authorId="0" shapeId="0" xr:uid="{DDF025A5-6DEF-4DA6-8F93-54FB79C35C48}">
      <text>
        <r>
          <rPr>
            <sz val="10"/>
            <color rgb="FF000000"/>
            <rFont val="Arial"/>
            <family val="2"/>
            <scheme val="minor"/>
          </rPr>
          <t>Responder updated this value.</t>
        </r>
      </text>
    </comment>
    <comment ref="N65" authorId="0" shapeId="0" xr:uid="{FD96C555-6A5F-4826-B0A2-DB551BF818B4}">
      <text>
        <r>
          <rPr>
            <sz val="10"/>
            <color rgb="FF000000"/>
            <rFont val="Arial"/>
            <family val="2"/>
            <scheme val="minor"/>
          </rPr>
          <t>Responder updated this value.</t>
        </r>
      </text>
    </comment>
    <comment ref="L67" authorId="0" shapeId="0" xr:uid="{F071B867-6ADB-43FE-8FAB-50D3ED7FD6BD}">
      <text>
        <r>
          <rPr>
            <sz val="10"/>
            <color rgb="FF000000"/>
            <rFont val="Arial"/>
            <family val="2"/>
            <scheme val="minor"/>
          </rPr>
          <t>Responder updated this value.</t>
        </r>
      </text>
    </comment>
    <comment ref="N67" authorId="0" shapeId="0" xr:uid="{36BA3C7F-F04F-44FE-95ED-6A0A356A7F4A}">
      <text>
        <r>
          <rPr>
            <sz val="10"/>
            <color rgb="FF000000"/>
            <rFont val="Arial"/>
            <family val="2"/>
            <scheme val="minor"/>
          </rPr>
          <t>Responder updated this value.</t>
        </r>
      </text>
    </comment>
    <comment ref="L68" authorId="0" shapeId="0" xr:uid="{67A3A01D-7F63-4573-9BE9-D1FC83AAD3D5}">
      <text>
        <r>
          <rPr>
            <sz val="10"/>
            <color rgb="FF000000"/>
            <rFont val="Arial"/>
            <family val="2"/>
            <scheme val="minor"/>
          </rPr>
          <t>Responder updated this value.</t>
        </r>
      </text>
    </comment>
    <comment ref="L70" authorId="0" shapeId="0" xr:uid="{4E14D54F-CD8A-4448-A372-13FF399723A4}">
      <text>
        <r>
          <rPr>
            <sz val="10"/>
            <color rgb="FF000000"/>
            <rFont val="Arial"/>
            <family val="2"/>
            <scheme val="minor"/>
          </rPr>
          <t>Responder updated this value.</t>
        </r>
      </text>
    </comment>
    <comment ref="L71" authorId="0" shapeId="0" xr:uid="{7705D7CA-11E5-4810-9628-60F630F4C95A}">
      <text>
        <r>
          <rPr>
            <sz val="10"/>
            <color rgb="FF000000"/>
            <rFont val="Arial"/>
            <family val="2"/>
            <scheme val="minor"/>
          </rPr>
          <t>Responder updated this value.</t>
        </r>
      </text>
    </comment>
    <comment ref="N71" authorId="0" shapeId="0" xr:uid="{1F5A10D5-662E-4739-B76B-C8463E776E67}">
      <text>
        <r>
          <rPr>
            <sz val="10"/>
            <color rgb="FF000000"/>
            <rFont val="Arial"/>
            <family val="2"/>
            <scheme val="minor"/>
          </rPr>
          <t>Responder updated this value.</t>
        </r>
      </text>
    </comment>
    <comment ref="L72" authorId="0" shapeId="0" xr:uid="{A0C97B16-1FDA-489C-9458-36FB5EAC6AEA}">
      <text>
        <r>
          <rPr>
            <sz val="10"/>
            <color rgb="FF000000"/>
            <rFont val="Arial"/>
            <family val="2"/>
            <scheme val="minor"/>
          </rPr>
          <t>Responder updated this value.</t>
        </r>
      </text>
    </comment>
    <comment ref="N72" authorId="0" shapeId="0" xr:uid="{D736C958-D8FE-4707-8DDA-1797C8162720}">
      <text>
        <r>
          <rPr>
            <sz val="10"/>
            <color rgb="FF000000"/>
            <rFont val="Arial"/>
            <family val="2"/>
            <scheme val="minor"/>
          </rPr>
          <t>Responder updated this value.</t>
        </r>
      </text>
    </comment>
    <comment ref="L73" authorId="0" shapeId="0" xr:uid="{6E36B506-AE5D-45B9-939D-7ABD6E3E1C7F}">
      <text>
        <r>
          <rPr>
            <sz val="10"/>
            <color rgb="FF000000"/>
            <rFont val="Arial"/>
            <family val="2"/>
            <scheme val="minor"/>
          </rPr>
          <t>Responder updated this value.</t>
        </r>
      </text>
    </comment>
    <comment ref="N73" authorId="0" shapeId="0" xr:uid="{CEFAC577-47FF-4DCB-9787-DD66053BD271}">
      <text>
        <r>
          <rPr>
            <sz val="10"/>
            <color rgb="FF000000"/>
            <rFont val="Arial"/>
            <family val="2"/>
            <scheme val="minor"/>
          </rPr>
          <t>Responder updated this value.</t>
        </r>
      </text>
    </comment>
    <comment ref="N75" authorId="0" shapeId="0" xr:uid="{C859F6AD-2CF7-4F15-9F7F-529A16EFD51B}">
      <text>
        <r>
          <rPr>
            <sz val="10"/>
            <color rgb="FF000000"/>
            <rFont val="Arial"/>
            <family val="2"/>
            <scheme val="minor"/>
          </rPr>
          <t>Responder updated this value.</t>
        </r>
      </text>
    </comment>
    <comment ref="L77" authorId="0" shapeId="0" xr:uid="{25F01DD8-1EA3-474C-B9BF-5754D6E654F2}">
      <text>
        <r>
          <rPr>
            <sz val="10"/>
            <color rgb="FF000000"/>
            <rFont val="Arial"/>
            <family val="2"/>
            <scheme val="minor"/>
          </rPr>
          <t>Responder updated this value.</t>
        </r>
      </text>
    </comment>
    <comment ref="L81" authorId="0" shapeId="0" xr:uid="{A150814F-B01B-4B67-B7E1-CEF1135C0EF8}">
      <text>
        <r>
          <rPr>
            <sz val="10"/>
            <color rgb="FF000000"/>
            <rFont val="Arial"/>
            <family val="2"/>
            <scheme val="minor"/>
          </rPr>
          <t>Responder updated this value.</t>
        </r>
      </text>
    </comment>
    <comment ref="N81" authorId="0" shapeId="0" xr:uid="{AAC3AFB3-1D37-4A6C-B93A-A531E766F5AE}">
      <text>
        <r>
          <rPr>
            <sz val="10"/>
            <color rgb="FF000000"/>
            <rFont val="Arial"/>
            <family val="2"/>
            <scheme val="minor"/>
          </rPr>
          <t>Responder updated this value.</t>
        </r>
      </text>
    </comment>
    <comment ref="L82" authorId="0" shapeId="0" xr:uid="{7E0CDB39-E0FF-4201-A892-074BD0B4A400}">
      <text>
        <r>
          <rPr>
            <sz val="10"/>
            <color rgb="FF000000"/>
            <rFont val="Arial"/>
            <family val="2"/>
            <scheme val="minor"/>
          </rPr>
          <t>Responder updated this value.</t>
        </r>
      </text>
    </comment>
    <comment ref="N82" authorId="0" shapeId="0" xr:uid="{A6A1365B-BA83-4D5B-AA64-072C2964706D}">
      <text>
        <r>
          <rPr>
            <sz val="10"/>
            <color rgb="FF000000"/>
            <rFont val="Arial"/>
            <family val="2"/>
            <scheme val="minor"/>
          </rPr>
          <t>Responder updated this value.</t>
        </r>
      </text>
    </comment>
    <comment ref="L85" authorId="0" shapeId="0" xr:uid="{3FF3A9FA-87B5-4C60-967B-77BFC40404B2}">
      <text>
        <r>
          <rPr>
            <sz val="10"/>
            <color rgb="FF000000"/>
            <rFont val="Arial"/>
            <family val="2"/>
            <scheme val="minor"/>
          </rPr>
          <t>Responder updated this value.</t>
        </r>
      </text>
    </comment>
    <comment ref="N85" authorId="0" shapeId="0" xr:uid="{DA812B05-7415-4986-9B1E-0A04049DFD11}">
      <text>
        <r>
          <rPr>
            <sz val="10"/>
            <color rgb="FF000000"/>
            <rFont val="Arial"/>
            <family val="2"/>
            <scheme val="minor"/>
          </rPr>
          <t>Responder updated this value.</t>
        </r>
      </text>
    </comment>
    <comment ref="L91" authorId="0" shapeId="0" xr:uid="{CF2E80F2-B106-4FA3-882F-21C3098CE382}">
      <text>
        <r>
          <rPr>
            <sz val="10"/>
            <color rgb="FF000000"/>
            <rFont val="Arial"/>
            <family val="2"/>
            <scheme val="minor"/>
          </rPr>
          <t>Responder updated this value.</t>
        </r>
      </text>
    </comment>
    <comment ref="L103" authorId="0" shapeId="0" xr:uid="{81B04399-BFD5-4AFB-B429-CFD47F843F99}">
      <text>
        <r>
          <rPr>
            <sz val="10"/>
            <color rgb="FF000000"/>
            <rFont val="Arial"/>
            <family val="2"/>
            <scheme val="minor"/>
          </rPr>
          <t>Responder updated this value.</t>
        </r>
      </text>
    </comment>
    <comment ref="C104" authorId="0" shapeId="0" xr:uid="{00000000-0006-0000-0000-000058000000}">
      <text>
        <r>
          <rPr>
            <sz val="10"/>
            <color rgb="FF000000"/>
            <rFont val="Arial"/>
            <family val="2"/>
            <scheme val="minor"/>
          </rPr>
          <t>Responder updated this value.</t>
        </r>
      </text>
    </comment>
    <comment ref="L104" authorId="0" shapeId="0" xr:uid="{86E4C077-14BD-4B4D-8C9A-68973B86F076}">
      <text>
        <r>
          <rPr>
            <sz val="10"/>
            <color rgb="FF000000"/>
            <rFont val="Arial"/>
            <family val="2"/>
            <scheme val="minor"/>
          </rPr>
          <t>Responder updated this value.</t>
        </r>
      </text>
    </comment>
    <comment ref="N104" authorId="0" shapeId="0" xr:uid="{0CDBFB95-66EE-4548-8BFD-410FE70BE58D}">
      <text>
        <r>
          <rPr>
            <sz val="10"/>
            <color rgb="FF000000"/>
            <rFont val="Arial"/>
            <family val="2"/>
            <scheme val="minor"/>
          </rPr>
          <t>Responder updated this value.</t>
        </r>
      </text>
    </comment>
    <comment ref="L106" authorId="0" shapeId="0" xr:uid="{D8782129-A82A-4052-A776-3DA133B5CE14}">
      <text>
        <r>
          <rPr>
            <sz val="10"/>
            <color rgb="FF000000"/>
            <rFont val="Arial"/>
            <family val="2"/>
            <scheme val="minor"/>
          </rPr>
          <t>Responder updated this value.</t>
        </r>
      </text>
    </comment>
    <comment ref="N106" authorId="0" shapeId="0" xr:uid="{3EE9D21C-EF65-4ACD-91C6-63BBC7E8C40C}">
      <text>
        <r>
          <rPr>
            <sz val="10"/>
            <color rgb="FF000000"/>
            <rFont val="Arial"/>
            <family val="2"/>
            <scheme val="minor"/>
          </rPr>
          <t>Responder updated this value.</t>
        </r>
      </text>
    </comment>
    <comment ref="N109" authorId="0" shapeId="0" xr:uid="{55AF02F0-E0F6-4BBC-82EE-2CCFAA49236E}">
      <text>
        <r>
          <rPr>
            <sz val="10"/>
            <color rgb="FF000000"/>
            <rFont val="Arial"/>
            <family val="2"/>
            <scheme val="minor"/>
          </rPr>
          <t>Responder updated this value.</t>
        </r>
      </text>
    </comment>
    <comment ref="H114" authorId="0" shapeId="0" xr:uid="{00000000-0006-0000-0000-000060000000}">
      <text>
        <r>
          <rPr>
            <sz val="10"/>
            <color rgb="FF000000"/>
            <rFont val="Arial"/>
            <family val="2"/>
            <scheme val="minor"/>
          </rPr>
          <t>Responder updated this value.</t>
        </r>
      </text>
    </comment>
    <comment ref="N114" authorId="0" shapeId="0" xr:uid="{6ECD6974-59FC-405A-8299-3C4D379325C4}">
      <text>
        <r>
          <rPr>
            <sz val="10"/>
            <color rgb="FF000000"/>
            <rFont val="Arial"/>
            <family val="2"/>
            <scheme val="minor"/>
          </rPr>
          <t>Responder updated this value.</t>
        </r>
      </text>
    </comment>
    <comment ref="N116" authorId="0" shapeId="0" xr:uid="{9821DBC0-306A-4E9E-B744-58A6C966B241}">
      <text>
        <r>
          <rPr>
            <sz val="10"/>
            <color rgb="FF000000"/>
            <rFont val="Arial"/>
            <family val="2"/>
            <scheme val="minor"/>
          </rPr>
          <t>Responder updated this value.</t>
        </r>
      </text>
    </comment>
    <comment ref="L118" authorId="0" shapeId="0" xr:uid="{68F0F3A7-9D19-412E-BB2E-4BAC2F4A97ED}">
      <text>
        <r>
          <rPr>
            <sz val="10"/>
            <color rgb="FF000000"/>
            <rFont val="Arial"/>
            <family val="2"/>
            <scheme val="minor"/>
          </rPr>
          <t>Responder updated this value.</t>
        </r>
      </text>
    </comment>
    <comment ref="N118" authorId="0" shapeId="0" xr:uid="{0969116D-8758-4FE2-A4A5-F764A33E7F84}">
      <text>
        <r>
          <rPr>
            <sz val="10"/>
            <color rgb="FF000000"/>
            <rFont val="Arial"/>
            <family val="2"/>
            <scheme val="minor"/>
          </rPr>
          <t>Responder updated this value.</t>
        </r>
      </text>
    </comment>
    <comment ref="L121" authorId="0" shapeId="0" xr:uid="{76315E35-B72D-4E47-8C28-E06BF8B0285C}">
      <text>
        <r>
          <rPr>
            <sz val="10"/>
            <color rgb="FF000000"/>
            <rFont val="Arial"/>
            <family val="2"/>
            <scheme val="minor"/>
          </rPr>
          <t>Responder updated this value.</t>
        </r>
      </text>
    </comment>
    <comment ref="N121" authorId="0" shapeId="0" xr:uid="{A0E5AF09-13E8-40CB-A246-EBB232921700}">
      <text>
        <r>
          <rPr>
            <sz val="10"/>
            <color rgb="FF000000"/>
            <rFont val="Arial"/>
            <family val="2"/>
            <scheme val="minor"/>
          </rPr>
          <t>Responder updated this value.</t>
        </r>
      </text>
    </comment>
    <comment ref="L123" authorId="0" shapeId="0" xr:uid="{579B9832-232E-4AF0-B4DF-0489EB56E52C}">
      <text>
        <r>
          <rPr>
            <sz val="10"/>
            <color rgb="FF000000"/>
            <rFont val="Arial"/>
            <family val="2"/>
            <scheme val="minor"/>
          </rPr>
          <t>Responder updated this value.</t>
        </r>
      </text>
    </comment>
    <comment ref="N123" authorId="0" shapeId="0" xr:uid="{FC244802-0F06-4447-9827-22290642471A}">
      <text>
        <r>
          <rPr>
            <sz val="10"/>
            <color rgb="FF000000"/>
            <rFont val="Arial"/>
            <family val="2"/>
            <scheme val="minor"/>
          </rPr>
          <t>Responder updated this value.</t>
        </r>
      </text>
    </comment>
    <comment ref="N125" authorId="0" shapeId="0" xr:uid="{E2467A1F-035D-4CB8-89AD-2A258A845E5E}">
      <text>
        <r>
          <rPr>
            <sz val="10"/>
            <color rgb="FF000000"/>
            <rFont val="Arial"/>
            <family val="2"/>
            <scheme val="minor"/>
          </rPr>
          <t>Responder updated this value.</t>
        </r>
      </text>
    </comment>
    <comment ref="L126" authorId="0" shapeId="0" xr:uid="{DFD05F9C-C360-405D-AF37-E693D00E412C}">
      <text>
        <r>
          <rPr>
            <sz val="10"/>
            <color rgb="FF000000"/>
            <rFont val="Arial"/>
            <family val="2"/>
            <scheme val="minor"/>
          </rPr>
          <t>Responder updated this value.</t>
        </r>
      </text>
    </comment>
    <comment ref="N128" authorId="0" shapeId="0" xr:uid="{FFAB714B-02C4-4496-AE59-8F5BCDDF864A}">
      <text>
        <r>
          <rPr>
            <sz val="10"/>
            <color rgb="FF000000"/>
            <rFont val="Arial"/>
            <family val="2"/>
            <scheme val="minor"/>
          </rPr>
          <t>Responder updated this value.</t>
        </r>
      </text>
    </comment>
    <comment ref="L129" authorId="0" shapeId="0" xr:uid="{DC2E55CC-8435-40C8-97DA-845F14F6B6CC}">
      <text>
        <r>
          <rPr>
            <sz val="10"/>
            <color rgb="FF000000"/>
            <rFont val="Arial"/>
            <family val="2"/>
            <scheme val="minor"/>
          </rPr>
          <t>Responder updated this value.</t>
        </r>
      </text>
    </comment>
    <comment ref="N129" authorId="0" shapeId="0" xr:uid="{6AE1EA59-CAEB-410A-831C-0617689955DE}">
      <text>
        <r>
          <rPr>
            <sz val="10"/>
            <color rgb="FF000000"/>
            <rFont val="Arial"/>
            <family val="2"/>
            <scheme val="minor"/>
          </rPr>
          <t>Responder updated this value.</t>
        </r>
      </text>
    </comment>
    <comment ref="L130" authorId="0" shapeId="0" xr:uid="{C8439481-108A-48D3-AEAA-4A91BFEF2E16}">
      <text>
        <r>
          <rPr>
            <sz val="10"/>
            <color rgb="FF000000"/>
            <rFont val="Arial"/>
            <family val="2"/>
            <scheme val="minor"/>
          </rPr>
          <t>Responder updated this value.</t>
        </r>
      </text>
    </comment>
    <comment ref="N130" authorId="0" shapeId="0" xr:uid="{2E806A69-4BB8-4F85-90F4-FD0598F1F7FD}">
      <text>
        <r>
          <rPr>
            <sz val="10"/>
            <color rgb="FF000000"/>
            <rFont val="Arial"/>
            <family val="2"/>
            <scheme val="minor"/>
          </rPr>
          <t>Responder updated this value.</t>
        </r>
      </text>
    </comment>
    <comment ref="N131" authorId="0" shapeId="0" xr:uid="{92BF5DAA-2C31-436A-8B92-C6C2C7F0E280}">
      <text>
        <r>
          <rPr>
            <sz val="10"/>
            <color rgb="FF000000"/>
            <rFont val="Arial"/>
            <family val="2"/>
            <scheme val="minor"/>
          </rPr>
          <t>Responder updated this value.</t>
        </r>
      </text>
    </comment>
    <comment ref="B132" authorId="0" shapeId="0" xr:uid="{00000000-0006-0000-0000-000070000000}">
      <text>
        <r>
          <rPr>
            <sz val="10"/>
            <color rgb="FF000000"/>
            <rFont val="Arial"/>
            <family val="2"/>
            <scheme val="minor"/>
          </rPr>
          <t>Responder updated this value.</t>
        </r>
      </text>
    </comment>
    <comment ref="L132" authorId="0" shapeId="0" xr:uid="{D86425FB-292F-4D44-B901-908225DD8E98}">
      <text>
        <r>
          <rPr>
            <sz val="10"/>
            <color rgb="FF000000"/>
            <rFont val="Arial"/>
            <family val="2"/>
            <scheme val="minor"/>
          </rPr>
          <t>Responder updated this value.</t>
        </r>
      </text>
    </comment>
    <comment ref="N132" authorId="0" shapeId="0" xr:uid="{01421918-082F-4493-905F-9C4E416A95D1}">
      <text>
        <r>
          <rPr>
            <sz val="10"/>
            <color rgb="FF000000"/>
            <rFont val="Arial"/>
            <family val="2"/>
            <scheme val="minor"/>
          </rPr>
          <t>Responder updated this value.</t>
        </r>
      </text>
    </comment>
    <comment ref="K138" authorId="0" shapeId="0" xr:uid="{464CBABB-EFAD-4438-9B9C-95ABE423FC71}">
      <text>
        <r>
          <rPr>
            <sz val="10"/>
            <color rgb="FF000000"/>
            <rFont val="Arial"/>
            <family val="2"/>
            <scheme val="minor"/>
          </rPr>
          <t>Responder updated this value.</t>
        </r>
      </text>
    </comment>
    <comment ref="L138" authorId="0" shapeId="0" xr:uid="{9DCB926B-3973-4BAA-8604-D2F1C726E2E0}">
      <text>
        <r>
          <rPr>
            <sz val="10"/>
            <color rgb="FF000000"/>
            <rFont val="Arial"/>
            <family val="2"/>
            <scheme val="minor"/>
          </rPr>
          <t>Responder updated this value.</t>
        </r>
      </text>
    </comment>
    <comment ref="N138" authorId="0" shapeId="0" xr:uid="{AA01F982-3F43-4347-8D25-5CFA8063128C}">
      <text>
        <r>
          <rPr>
            <sz val="10"/>
            <color rgb="FF000000"/>
            <rFont val="Arial"/>
            <family val="2"/>
            <scheme val="minor"/>
          </rPr>
          <t>Responder updated this value.</t>
        </r>
      </text>
    </comment>
    <comment ref="N139" authorId="0" shapeId="0" xr:uid="{AD26E607-C144-4B41-A712-211E4021736E}">
      <text>
        <r>
          <rPr>
            <sz val="10"/>
            <color rgb="FF000000"/>
            <rFont val="Arial"/>
            <family val="2"/>
            <scheme val="minor"/>
          </rPr>
          <t>Responder updated this value.</t>
        </r>
      </text>
    </comment>
    <comment ref="L143" authorId="0" shapeId="0" xr:uid="{D46EBDBF-B6B8-4607-A2FD-E1BBE12DF6ED}">
      <text>
        <r>
          <rPr>
            <sz val="10"/>
            <color rgb="FF000000"/>
            <rFont val="Arial"/>
            <family val="2"/>
            <scheme val="minor"/>
          </rPr>
          <t>Responder updated this value.</t>
        </r>
      </text>
    </comment>
    <comment ref="C144" authorId="0" shapeId="0" xr:uid="{00000000-0006-0000-0000-000077000000}">
      <text>
        <r>
          <rPr>
            <sz val="10"/>
            <color rgb="FF000000"/>
            <rFont val="Arial"/>
            <family val="2"/>
            <scheme val="minor"/>
          </rPr>
          <t>Responder updated this value.</t>
        </r>
      </text>
    </comment>
    <comment ref="N144" authorId="0" shapeId="0" xr:uid="{68157281-6D3E-4B4B-890B-97C255ED4F2B}">
      <text>
        <r>
          <rPr>
            <sz val="10"/>
            <color rgb="FF000000"/>
            <rFont val="Arial"/>
            <family val="2"/>
            <scheme val="minor"/>
          </rPr>
          <t>Responder updated this value.</t>
        </r>
      </text>
    </comment>
    <comment ref="L146" authorId="0" shapeId="0" xr:uid="{6C8B1601-D3EA-42ED-82FE-C7FAF5D63F94}">
      <text>
        <r>
          <rPr>
            <sz val="10"/>
            <color rgb="FF000000"/>
            <rFont val="Arial"/>
            <family val="2"/>
            <scheme val="minor"/>
          </rPr>
          <t>Responder updated this value.</t>
        </r>
      </text>
    </comment>
    <comment ref="B147" authorId="0" shapeId="0" xr:uid="{00000000-0006-0000-0000-00007A000000}">
      <text>
        <r>
          <rPr>
            <sz val="10"/>
            <color rgb="FF000000"/>
            <rFont val="Arial"/>
            <family val="2"/>
            <scheme val="minor"/>
          </rPr>
          <t>Responder updated this value.</t>
        </r>
      </text>
    </comment>
    <comment ref="L151" authorId="0" shapeId="0" xr:uid="{C7CFC3A9-DF66-4EEA-9CB0-8026C16516E8}">
      <text>
        <r>
          <rPr>
            <sz val="10"/>
            <color rgb="FF000000"/>
            <rFont val="Arial"/>
            <family val="2"/>
            <scheme val="minor"/>
          </rPr>
          <t>Responder updated this value.</t>
        </r>
      </text>
    </comment>
    <comment ref="N151" authorId="0" shapeId="0" xr:uid="{DBB815F6-D4C7-4882-9704-059732A97923}">
      <text>
        <r>
          <rPr>
            <sz val="10"/>
            <color rgb="FF000000"/>
            <rFont val="Arial"/>
            <family val="2"/>
            <scheme val="minor"/>
          </rPr>
          <t>Responder updated this value.</t>
        </r>
      </text>
    </comment>
    <comment ref="L152" authorId="0" shapeId="0" xr:uid="{809373A6-47D1-4C7C-ABC1-38F60F45B5A6}">
      <text>
        <r>
          <rPr>
            <sz val="10"/>
            <color rgb="FF000000"/>
            <rFont val="Arial"/>
            <family val="2"/>
            <scheme val="minor"/>
          </rPr>
          <t>Responder updated this value.</t>
        </r>
      </text>
    </comment>
    <comment ref="N152" authorId="0" shapeId="0" xr:uid="{4A589925-A7C0-4644-8504-8758A4E795A8}">
      <text>
        <r>
          <rPr>
            <sz val="10"/>
            <color rgb="FF000000"/>
            <rFont val="Arial"/>
            <family val="2"/>
            <scheme val="minor"/>
          </rPr>
          <t>Responder updated this value.</t>
        </r>
      </text>
    </comment>
    <comment ref="L153" authorId="0" shapeId="0" xr:uid="{E320272F-48C7-4B11-8F73-1D4B62C97468}">
      <text>
        <r>
          <rPr>
            <sz val="10"/>
            <color rgb="FF000000"/>
            <rFont val="Arial"/>
            <family val="2"/>
            <scheme val="minor"/>
          </rPr>
          <t>Responder updated this value.</t>
        </r>
      </text>
    </comment>
    <comment ref="L154" authorId="0" shapeId="0" xr:uid="{0AED0CB0-E8F3-4C99-81C0-654C8AB5AEBC}">
      <text>
        <r>
          <rPr>
            <sz val="10"/>
            <color rgb="FF000000"/>
            <rFont val="Arial"/>
            <family val="2"/>
            <scheme val="minor"/>
          </rPr>
          <t>Responder updated this value.</t>
        </r>
      </text>
    </comment>
    <comment ref="L155" authorId="0" shapeId="0" xr:uid="{E2D8D411-92E3-465A-ABEC-23861FC0E1F1}">
      <text>
        <r>
          <rPr>
            <sz val="10"/>
            <color rgb="FF000000"/>
            <rFont val="Arial"/>
            <family val="2"/>
            <scheme val="minor"/>
          </rPr>
          <t>Responder updated this value.</t>
        </r>
      </text>
    </comment>
    <comment ref="N157" authorId="0" shapeId="0" xr:uid="{0FCD7867-217D-4E4F-9DEA-E0B3CA364341}">
      <text>
        <r>
          <rPr>
            <sz val="10"/>
            <color rgb="FF000000"/>
            <rFont val="Arial"/>
            <family val="2"/>
            <scheme val="minor"/>
          </rPr>
          <t>Responder updated this value.</t>
        </r>
      </text>
    </comment>
    <comment ref="N158" authorId="0" shapeId="0" xr:uid="{58C03EFE-5971-4271-BF69-5CB56469F131}">
      <text>
        <r>
          <rPr>
            <sz val="10"/>
            <color rgb="FF000000"/>
            <rFont val="Arial"/>
            <family val="2"/>
            <scheme val="minor"/>
          </rPr>
          <t>Responder updated this value.</t>
        </r>
      </text>
    </comment>
    <comment ref="N160" authorId="0" shapeId="0" xr:uid="{65A647AD-42DE-4406-ADCC-D89AB73C10E9}">
      <text>
        <r>
          <rPr>
            <sz val="10"/>
            <color rgb="FF000000"/>
            <rFont val="Arial"/>
            <family val="2"/>
            <scheme val="minor"/>
          </rPr>
          <t>Responder updated this value.</t>
        </r>
      </text>
    </comment>
    <comment ref="B162" authorId="0" shapeId="0" xr:uid="{00000000-0006-0000-0000-000086000000}">
      <text>
        <r>
          <rPr>
            <sz val="10"/>
            <color rgb="FF000000"/>
            <rFont val="Arial"/>
            <family val="2"/>
            <scheme val="minor"/>
          </rPr>
          <t>Responder updated this value.</t>
        </r>
      </text>
    </comment>
    <comment ref="L162" authorId="0" shapeId="0" xr:uid="{3D68EB32-2D6A-4F4D-B65B-9D4B6B387458}">
      <text>
        <r>
          <rPr>
            <sz val="10"/>
            <color rgb="FF000000"/>
            <rFont val="Arial"/>
            <family val="2"/>
            <scheme val="minor"/>
          </rPr>
          <t>Responder updated this value.</t>
        </r>
      </text>
    </comment>
    <comment ref="L165" authorId="0" shapeId="0" xr:uid="{88D6975D-F7D0-4E41-B1E0-FE334E1D8E08}">
      <text>
        <r>
          <rPr>
            <sz val="10"/>
            <color rgb="FF000000"/>
            <rFont val="Arial"/>
            <family val="2"/>
            <scheme val="minor"/>
          </rPr>
          <t>Responder updated this value.</t>
        </r>
      </text>
    </comment>
    <comment ref="N170" authorId="0" shapeId="0" xr:uid="{9222ED1B-BBFC-434B-A435-E0237F672AA6}">
      <text>
        <r>
          <rPr>
            <sz val="10"/>
            <color rgb="FF000000"/>
            <rFont val="Arial"/>
            <family val="2"/>
            <scheme val="minor"/>
          </rPr>
          <t>Responder updated this value.</t>
        </r>
      </text>
    </comment>
    <comment ref="L172" authorId="0" shapeId="0" xr:uid="{BB0D3A7F-3E9A-4C2C-BDE1-34901F5E04FD}">
      <text>
        <r>
          <rPr>
            <sz val="10"/>
            <color rgb="FF000000"/>
            <rFont val="Arial"/>
            <family val="2"/>
            <scheme val="minor"/>
          </rPr>
          <t>Responder updated this value.</t>
        </r>
      </text>
    </comment>
    <comment ref="N174" authorId="0" shapeId="0" xr:uid="{D0932342-9EEC-47BF-89A2-E288EDC76F47}">
      <text>
        <r>
          <rPr>
            <sz val="10"/>
            <color rgb="FF000000"/>
            <rFont val="Arial"/>
            <family val="2"/>
            <scheme val="minor"/>
          </rPr>
          <t>Responder updated this value.</t>
        </r>
      </text>
    </comment>
    <comment ref="M175" authorId="0" shapeId="0" xr:uid="{AAA26B03-DC99-42E1-BD17-13BF2675B13C}">
      <text>
        <r>
          <rPr>
            <sz val="10"/>
            <color rgb="FF000000"/>
            <rFont val="Arial"/>
            <family val="2"/>
            <scheme val="minor"/>
          </rPr>
          <t>Responder updated this value.</t>
        </r>
      </text>
    </comment>
    <comment ref="N175" authorId="0" shapeId="0" xr:uid="{5A08D080-FE4C-4EAD-A444-0EF087332424}">
      <text>
        <r>
          <rPr>
            <sz val="10"/>
            <color rgb="FF000000"/>
            <rFont val="Arial"/>
            <family val="2"/>
            <scheme val="minor"/>
          </rPr>
          <t>Responder updated this value.</t>
        </r>
      </text>
    </comment>
    <comment ref="L178" authorId="0" shapeId="0" xr:uid="{57364B68-8F63-42BE-8374-21B6D2666496}">
      <text>
        <r>
          <rPr>
            <sz val="10"/>
            <color rgb="FF000000"/>
            <rFont val="Arial"/>
            <family val="2"/>
            <scheme val="minor"/>
          </rPr>
          <t>Responder updated this value.</t>
        </r>
      </text>
    </comment>
    <comment ref="N178" authorId="0" shapeId="0" xr:uid="{D1E23EC0-7D5D-41FD-BA32-7E136B349932}">
      <text>
        <r>
          <rPr>
            <sz val="10"/>
            <color rgb="FF000000"/>
            <rFont val="Arial"/>
            <family val="2"/>
            <scheme val="minor"/>
          </rPr>
          <t>Responder updated this value.</t>
        </r>
      </text>
    </comment>
    <comment ref="L181" authorId="0" shapeId="0" xr:uid="{580F21F1-74C9-4573-A132-A54B573663F4}">
      <text>
        <r>
          <rPr>
            <sz val="10"/>
            <color rgb="FF000000"/>
            <rFont val="Arial"/>
            <family val="2"/>
            <scheme val="minor"/>
          </rPr>
          <t>Responder updated this value.</t>
        </r>
      </text>
    </comment>
    <comment ref="N181" authorId="0" shapeId="0" xr:uid="{AF31AD04-0D97-4A6C-BC0D-7BC974490DA7}">
      <text>
        <r>
          <rPr>
            <sz val="10"/>
            <color rgb="FF000000"/>
            <rFont val="Arial"/>
            <family val="2"/>
            <scheme val="minor"/>
          </rPr>
          <t>Responder updated this value.</t>
        </r>
      </text>
    </comment>
    <comment ref="N184" authorId="0" shapeId="0" xr:uid="{662C3396-5CE6-4ACA-A962-5750B1657743}">
      <text>
        <r>
          <rPr>
            <sz val="10"/>
            <color rgb="FF000000"/>
            <rFont val="Arial"/>
            <family val="2"/>
            <scheme val="minor"/>
          </rPr>
          <t>Responder updated this value.</t>
        </r>
      </text>
    </comment>
    <comment ref="L188" authorId="0" shapeId="0" xr:uid="{26EBAE86-F836-4E71-A771-898E5D41726A}">
      <text>
        <r>
          <rPr>
            <sz val="10"/>
            <color rgb="FF000000"/>
            <rFont val="Arial"/>
            <family val="2"/>
            <scheme val="minor"/>
          </rPr>
          <t>Responder updated this value.</t>
        </r>
      </text>
    </comment>
    <comment ref="L190" authorId="0" shapeId="0" xr:uid="{6B7E1F6C-3A14-4DBC-92AB-EAD3BAD35692}">
      <text>
        <r>
          <rPr>
            <sz val="10"/>
            <color rgb="FF000000"/>
            <rFont val="Arial"/>
            <family val="2"/>
            <scheme val="minor"/>
          </rPr>
          <t>Responder updated this value.</t>
        </r>
      </text>
    </comment>
    <comment ref="N190" authorId="0" shapeId="0" xr:uid="{077FBD8F-22EF-4299-AF3F-62A01F1AD9F7}">
      <text>
        <r>
          <rPr>
            <sz val="10"/>
            <color rgb="FF000000"/>
            <rFont val="Arial"/>
            <family val="2"/>
            <scheme val="minor"/>
          </rPr>
          <t>Responder updated this value.</t>
        </r>
      </text>
    </comment>
    <comment ref="L194" authorId="0" shapeId="0" xr:uid="{CAD83528-E38D-422D-85DD-A11FC25207B3}">
      <text>
        <r>
          <rPr>
            <sz val="10"/>
            <color rgb="FF000000"/>
            <rFont val="Arial"/>
            <family val="2"/>
            <scheme val="minor"/>
          </rPr>
          <t>Responder updated this value.</t>
        </r>
      </text>
    </comment>
    <comment ref="L201" authorId="0" shapeId="0" xr:uid="{DE5B6284-32E8-4EA1-8C62-BADD227427CE}">
      <text>
        <r>
          <rPr>
            <sz val="10"/>
            <color rgb="FF000000"/>
            <rFont val="Arial"/>
            <family val="2"/>
            <scheme val="minor"/>
          </rPr>
          <t>Responder updated this value.</t>
        </r>
      </text>
    </comment>
    <comment ref="N201" authorId="0" shapeId="0" xr:uid="{74D69310-8B5C-4663-910F-85990DD3F6D0}">
      <text>
        <r>
          <rPr>
            <sz val="10"/>
            <color rgb="FF000000"/>
            <rFont val="Arial"/>
            <family val="2"/>
            <scheme val="minor"/>
          </rPr>
          <t>Responder updated this value.</t>
        </r>
      </text>
    </comment>
    <comment ref="N205" authorId="0" shapeId="0" xr:uid="{B3CD4A35-CE50-47D5-8C65-D0947CD76D72}">
      <text>
        <r>
          <rPr>
            <sz val="10"/>
            <color rgb="FF000000"/>
            <rFont val="Arial"/>
            <family val="2"/>
            <scheme val="minor"/>
          </rPr>
          <t>Responder updated this value.</t>
        </r>
      </text>
    </comment>
    <comment ref="N206" authorId="0" shapeId="0" xr:uid="{579CD178-5B78-4E48-948F-9BFB6F84BC89}">
      <text>
        <r>
          <rPr>
            <sz val="10"/>
            <color rgb="FF000000"/>
            <rFont val="Arial"/>
            <family val="2"/>
            <scheme val="minor"/>
          </rPr>
          <t>Responder updated this value.</t>
        </r>
      </text>
    </comment>
    <comment ref="L207" authorId="0" shapeId="0" xr:uid="{46BFFFC5-4DEA-46AF-AB45-8C5CC2C4A3AE}">
      <text>
        <r>
          <rPr>
            <sz val="10"/>
            <color rgb="FF000000"/>
            <rFont val="Arial"/>
            <family val="2"/>
            <scheme val="minor"/>
          </rPr>
          <t>Responder updated this value.</t>
        </r>
      </text>
    </comment>
    <comment ref="M207" authorId="0" shapeId="0" xr:uid="{EF10BF31-7FCE-40B8-9E6C-06AF5EC29A36}">
      <text>
        <r>
          <rPr>
            <sz val="10"/>
            <color rgb="FF000000"/>
            <rFont val="Arial"/>
            <family val="2"/>
            <scheme val="minor"/>
          </rPr>
          <t>Responder updated this value.</t>
        </r>
      </text>
    </comment>
    <comment ref="L209" authorId="0" shapeId="0" xr:uid="{BCFFBB18-BE33-43AC-AAA1-6F1C29F39265}">
      <text>
        <r>
          <rPr>
            <sz val="10"/>
            <color rgb="FF000000"/>
            <rFont val="Arial"/>
            <family val="2"/>
            <scheme val="minor"/>
          </rPr>
          <t>Responder updated this value.</t>
        </r>
      </text>
    </comment>
    <comment ref="L212" authorId="0" shapeId="0" xr:uid="{26E22080-2559-494B-8233-B2A669E26BF7}">
      <text>
        <r>
          <rPr>
            <sz val="10"/>
            <color rgb="FF000000"/>
            <rFont val="Arial"/>
            <family val="2"/>
            <scheme val="minor"/>
          </rPr>
          <t>Responder updated this value.</t>
        </r>
      </text>
    </comment>
    <comment ref="N214" authorId="0" shapeId="0" xr:uid="{CB8E6B8A-A1FD-4E3B-A054-8ECDD665BF01}">
      <text>
        <r>
          <rPr>
            <sz val="10"/>
            <color rgb="FF000000"/>
            <rFont val="Arial"/>
            <family val="2"/>
            <scheme val="minor"/>
          </rPr>
          <t>Responder updated this value.</t>
        </r>
      </text>
    </comment>
    <comment ref="N215" authorId="0" shapeId="0" xr:uid="{B0D37BFF-B496-4818-9AB1-5FF952BA701A}">
      <text>
        <r>
          <rPr>
            <sz val="10"/>
            <color rgb="FF000000"/>
            <rFont val="Arial"/>
            <family val="2"/>
            <scheme val="minor"/>
          </rPr>
          <t>Responder updated this value.</t>
        </r>
      </text>
    </comment>
    <comment ref="L216" authorId="0" shapeId="0" xr:uid="{72C7505A-6462-430C-8E91-071B9C3B3636}">
      <text>
        <r>
          <rPr>
            <sz val="10"/>
            <color rgb="FF000000"/>
            <rFont val="Arial"/>
            <family val="2"/>
            <scheme val="minor"/>
          </rPr>
          <t>Responder updated this value.</t>
        </r>
      </text>
    </comment>
    <comment ref="N216" authorId="0" shapeId="0" xr:uid="{55483CCE-2C32-467B-B726-E545A029B389}">
      <text>
        <r>
          <rPr>
            <sz val="10"/>
            <color rgb="FF000000"/>
            <rFont val="Arial"/>
            <family val="2"/>
            <scheme val="minor"/>
          </rPr>
          <t>Responder updated this value.</t>
        </r>
      </text>
    </comment>
    <comment ref="L218" authorId="0" shapeId="0" xr:uid="{72A89BFE-9C47-45A0-8B0C-A3FED0233EB7}">
      <text>
        <r>
          <rPr>
            <sz val="10"/>
            <color rgb="FF000000"/>
            <rFont val="Arial"/>
            <family val="2"/>
            <scheme val="minor"/>
          </rPr>
          <t>Responder updated this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2" authorId="0" shapeId="0" xr:uid="{68500FDB-0F2F-4DF5-BEDF-5A53BA624A92}">
      <text>
        <r>
          <rPr>
            <sz val="10"/>
            <color rgb="FF000000"/>
            <rFont val="Arial"/>
            <family val="2"/>
            <scheme val="minor"/>
          </rPr>
          <t>Responder updated this value.</t>
        </r>
      </text>
    </comment>
    <comment ref="N12" authorId="0" shapeId="0" xr:uid="{2CAF46E1-1F76-442A-BA82-36774C7D6841}">
      <text>
        <r>
          <rPr>
            <sz val="10"/>
            <color rgb="FF000000"/>
            <rFont val="Arial"/>
            <family val="2"/>
            <scheme val="minor"/>
          </rPr>
          <t>Responder updated this value.</t>
        </r>
      </text>
    </comment>
    <comment ref="N13" authorId="0" shapeId="0" xr:uid="{CFFAF517-F720-43A2-B33D-DF80CC1DDE63}">
      <text>
        <r>
          <rPr>
            <sz val="10"/>
            <color rgb="FF000000"/>
            <rFont val="Arial"/>
            <family val="2"/>
            <scheme val="minor"/>
          </rPr>
          <t>Responder updated this value.</t>
        </r>
      </text>
    </comment>
    <comment ref="L14" authorId="0" shapeId="0" xr:uid="{A67E6C2F-B8ED-40AE-A9E7-1E40DD3055E8}">
      <text>
        <r>
          <rPr>
            <sz val="10"/>
            <color rgb="FF000000"/>
            <rFont val="Arial"/>
            <family val="2"/>
            <scheme val="minor"/>
          </rPr>
          <t>Responder updated this value.</t>
        </r>
      </text>
    </comment>
    <comment ref="N14" authorId="0" shapeId="0" xr:uid="{A1963278-2E7F-4ACD-B4B9-B73366FA2F99}">
      <text>
        <r>
          <rPr>
            <sz val="10"/>
            <color rgb="FF000000"/>
            <rFont val="Arial"/>
            <family val="2"/>
            <scheme val="minor"/>
          </rPr>
          <t>Responder updated this value.</t>
        </r>
      </text>
    </comment>
    <comment ref="N15" authorId="0" shapeId="0" xr:uid="{0FC06648-079C-41ED-A316-2AADA7824DB3}">
      <text>
        <r>
          <rPr>
            <sz val="10"/>
            <color rgb="FF000000"/>
            <rFont val="Arial"/>
            <family val="2"/>
            <scheme val="minor"/>
          </rPr>
          <t>Responder updated this value.</t>
        </r>
      </text>
    </comment>
    <comment ref="H16" authorId="0" shapeId="0" xr:uid="{69BB6B9A-C21C-4B0B-9880-4FDE0642280D}">
      <text>
        <r>
          <rPr>
            <sz val="10"/>
            <color rgb="FF000000"/>
            <rFont val="Arial"/>
            <family val="2"/>
            <scheme val="minor"/>
          </rPr>
          <t>Responder updated this value.</t>
        </r>
      </text>
    </comment>
    <comment ref="N16" authorId="0" shapeId="0" xr:uid="{E869EEEB-8B56-4FDA-AFCB-C65CA07E04A2}">
      <text>
        <r>
          <rPr>
            <sz val="10"/>
            <color rgb="FF000000"/>
            <rFont val="Arial"/>
            <family val="2"/>
            <scheme val="minor"/>
          </rPr>
          <t>Responder updated this value.</t>
        </r>
      </text>
    </comment>
    <comment ref="L17" authorId="0" shapeId="0" xr:uid="{6F15C8D7-471A-4E06-91B4-3A857206A3A7}">
      <text>
        <r>
          <rPr>
            <sz val="10"/>
            <color rgb="FF000000"/>
            <rFont val="Arial"/>
            <family val="2"/>
            <scheme val="minor"/>
          </rPr>
          <t>Responder updated this value.</t>
        </r>
      </text>
    </comment>
    <comment ref="N17" authorId="0" shapeId="0" xr:uid="{7E807776-2739-46AD-B6CC-6E7A1BA1F677}">
      <text>
        <r>
          <rPr>
            <sz val="10"/>
            <color rgb="FF000000"/>
            <rFont val="Arial"/>
            <family val="2"/>
            <scheme val="minor"/>
          </rPr>
          <t>Responder updated this value.</t>
        </r>
      </text>
    </comment>
    <comment ref="L18" authorId="0" shapeId="0" xr:uid="{E0600A53-18EE-41EC-9EBD-E3182E8FC1E9}">
      <text>
        <r>
          <rPr>
            <sz val="10"/>
            <color rgb="FF000000"/>
            <rFont val="Arial"/>
            <family val="2"/>
            <scheme val="minor"/>
          </rPr>
          <t>Responder updated this value.</t>
        </r>
      </text>
    </comment>
    <comment ref="N18" authorId="0" shapeId="0" xr:uid="{2A293700-ED39-49D6-91B0-FCA8125855A5}">
      <text>
        <r>
          <rPr>
            <sz val="10"/>
            <color rgb="FF000000"/>
            <rFont val="Arial"/>
            <family val="2"/>
            <scheme val="minor"/>
          </rPr>
          <t>Responder updated this value.</t>
        </r>
      </text>
    </comment>
    <comment ref="L19" authorId="0" shapeId="0" xr:uid="{2124CEEC-FE30-42D1-AB2B-27D0ACE799B6}">
      <text>
        <r>
          <rPr>
            <sz val="10"/>
            <color rgb="FF000000"/>
            <rFont val="Arial"/>
            <family val="2"/>
            <scheme val="minor"/>
          </rPr>
          <t>Responder updated this value.</t>
        </r>
      </text>
    </comment>
    <comment ref="N19" authorId="0" shapeId="0" xr:uid="{8CEF88D8-22DC-464C-B31E-909CC06588CD}">
      <text>
        <r>
          <rPr>
            <sz val="10"/>
            <color rgb="FF000000"/>
            <rFont val="Arial"/>
            <family val="2"/>
            <scheme val="minor"/>
          </rPr>
          <t>Responder updated this value.</t>
        </r>
      </text>
    </comment>
    <comment ref="N20" authorId="0" shapeId="0" xr:uid="{3B16D855-26BB-4D82-B709-F68DDA2997FA}">
      <text>
        <r>
          <rPr>
            <sz val="10"/>
            <color rgb="FF000000"/>
            <rFont val="Arial"/>
            <family val="2"/>
            <scheme val="minor"/>
          </rPr>
          <t>Responder updated this value.</t>
        </r>
      </text>
    </comment>
    <comment ref="L21" authorId="0" shapeId="0" xr:uid="{6A4C8610-4F40-4E80-BE62-240F5ADAF8E8}">
      <text>
        <r>
          <rPr>
            <sz val="10"/>
            <color rgb="FF000000"/>
            <rFont val="Arial"/>
            <family val="2"/>
            <scheme val="minor"/>
          </rPr>
          <t>Responder updated this value.</t>
        </r>
      </text>
    </comment>
    <comment ref="N21" authorId="0" shapeId="0" xr:uid="{218673D9-70BB-40E1-AA3C-F1BA56F33EDD}">
      <text>
        <r>
          <rPr>
            <sz val="10"/>
            <color rgb="FF000000"/>
            <rFont val="Arial"/>
            <family val="2"/>
            <scheme val="minor"/>
          </rPr>
          <t>Responder updated this value.</t>
        </r>
      </text>
    </comment>
    <comment ref="H22" authorId="0" shapeId="0" xr:uid="{F00EB5F6-A785-4BB8-8501-B01EAA348F3C}">
      <text>
        <r>
          <rPr>
            <sz val="10"/>
            <color rgb="FF000000"/>
            <rFont val="Arial"/>
            <family val="2"/>
            <scheme val="minor"/>
          </rPr>
          <t>Responder updated this value.</t>
        </r>
      </text>
    </comment>
    <comment ref="L22" authorId="0" shapeId="0" xr:uid="{E387DC81-8013-4F11-8D08-1B6EC31D9634}">
      <text>
        <r>
          <rPr>
            <sz val="10"/>
            <color rgb="FF000000"/>
            <rFont val="Arial"/>
            <family val="2"/>
            <scheme val="minor"/>
          </rPr>
          <t>Responder updated this value.</t>
        </r>
      </text>
    </comment>
    <comment ref="N22" authorId="0" shapeId="0" xr:uid="{227DB7CF-98A8-45CD-AA63-865CD191CF82}">
      <text>
        <r>
          <rPr>
            <sz val="10"/>
            <color rgb="FF000000"/>
            <rFont val="Arial"/>
            <family val="2"/>
            <scheme val="minor"/>
          </rPr>
          <t>Responder updated this value.</t>
        </r>
      </text>
    </comment>
    <comment ref="N24" authorId="0" shapeId="0" xr:uid="{ADADAF77-6665-4616-AAD9-4864D0AD40A6}">
      <text>
        <r>
          <rPr>
            <sz val="10"/>
            <color rgb="FF000000"/>
            <rFont val="Arial"/>
            <family val="2"/>
            <scheme val="minor"/>
          </rPr>
          <t>Responder updated this value.</t>
        </r>
      </text>
    </comment>
    <comment ref="L26" authorId="0" shapeId="0" xr:uid="{B87F32D2-8D11-466E-899B-92999A396426}">
      <text>
        <r>
          <rPr>
            <sz val="10"/>
            <color rgb="FF000000"/>
            <rFont val="Arial"/>
            <family val="2"/>
            <scheme val="minor"/>
          </rPr>
          <t>Responder updated this value.</t>
        </r>
      </text>
    </comment>
    <comment ref="N26" authorId="0" shapeId="0" xr:uid="{6A424DF9-E384-4EBB-A3D5-CAF2292C67A8}">
      <text>
        <r>
          <rPr>
            <sz val="10"/>
            <color rgb="FF000000"/>
            <rFont val="Arial"/>
            <family val="2"/>
            <scheme val="minor"/>
          </rPr>
          <t>Responder updated this value.</t>
        </r>
      </text>
    </comment>
    <comment ref="L28" authorId="0" shapeId="0" xr:uid="{0B8DA4C1-737E-4158-B2D7-CA5764848B10}">
      <text>
        <r>
          <rPr>
            <sz val="10"/>
            <color rgb="FF000000"/>
            <rFont val="Arial"/>
            <family val="2"/>
            <scheme val="minor"/>
          </rPr>
          <t>Responder updated this value.</t>
        </r>
      </text>
    </comment>
    <comment ref="N28" authorId="0" shapeId="0" xr:uid="{7D41DE1B-42A8-40D9-8AE6-C92F7F613EB6}">
      <text>
        <r>
          <rPr>
            <sz val="10"/>
            <color rgb="FF000000"/>
            <rFont val="Arial"/>
            <family val="2"/>
            <scheme val="minor"/>
          </rPr>
          <t>Responder updated this value.</t>
        </r>
      </text>
    </comment>
    <comment ref="H29" authorId="0" shapeId="0" xr:uid="{53CFC61C-8426-4197-9BFE-BD9040CDC52E}">
      <text>
        <r>
          <rPr>
            <sz val="10"/>
            <color rgb="FF000000"/>
            <rFont val="Arial"/>
            <family val="2"/>
            <scheme val="minor"/>
          </rPr>
          <t>Responder updated this value.</t>
        </r>
      </text>
    </comment>
    <comment ref="N29" authorId="0" shapeId="0" xr:uid="{F979458D-815E-4ACE-A970-8F854FCE3D99}">
      <text>
        <r>
          <rPr>
            <sz val="10"/>
            <color rgb="FF000000"/>
            <rFont val="Arial"/>
            <family val="2"/>
            <scheme val="minor"/>
          </rPr>
          <t>Responder updated this value.</t>
        </r>
      </text>
    </comment>
    <comment ref="N30" authorId="0" shapeId="0" xr:uid="{0CF349D2-80D7-4FB5-8AAC-FCCA3A938360}">
      <text>
        <r>
          <rPr>
            <sz val="10"/>
            <color rgb="FF000000"/>
            <rFont val="Arial"/>
            <family val="2"/>
            <scheme val="minor"/>
          </rPr>
          <t>Responder updated this value.</t>
        </r>
      </text>
    </comment>
    <comment ref="H32" authorId="0" shapeId="0" xr:uid="{0C28AAB6-F5B2-4504-BD32-891509E0EA88}">
      <text>
        <r>
          <rPr>
            <sz val="10"/>
            <color rgb="FF000000"/>
            <rFont val="Arial"/>
            <family val="2"/>
            <scheme val="minor"/>
          </rPr>
          <t>Responder updated this value.</t>
        </r>
      </text>
    </comment>
    <comment ref="N32" authorId="0" shapeId="0" xr:uid="{549753D2-7973-4983-8C4B-1003691E4422}">
      <text>
        <r>
          <rPr>
            <sz val="10"/>
            <color rgb="FF000000"/>
            <rFont val="Arial"/>
            <family val="2"/>
            <scheme val="minor"/>
          </rPr>
          <t>Responder updated this value.</t>
        </r>
      </text>
    </comment>
    <comment ref="L33" authorId="0" shapeId="0" xr:uid="{745FA303-DA2B-4AEE-8EFF-DFD2A4F4952A}">
      <text>
        <r>
          <rPr>
            <sz val="10"/>
            <color rgb="FF000000"/>
            <rFont val="Arial"/>
            <family val="2"/>
            <scheme val="minor"/>
          </rPr>
          <t>Responder updated this value.</t>
        </r>
      </text>
    </comment>
    <comment ref="N33" authorId="0" shapeId="0" xr:uid="{E1314E9D-2394-4F99-BEB3-A9A5A3E474C5}">
      <text>
        <r>
          <rPr>
            <sz val="10"/>
            <color rgb="FF000000"/>
            <rFont val="Arial"/>
            <family val="2"/>
            <scheme val="minor"/>
          </rPr>
          <t>Responder updated this value.</t>
        </r>
      </text>
    </comment>
    <comment ref="L34" authorId="0" shapeId="0" xr:uid="{F07D5077-3E9B-4A07-AF25-DE2CF99D9DEF}">
      <text>
        <r>
          <rPr>
            <sz val="10"/>
            <color rgb="FF000000"/>
            <rFont val="Arial"/>
            <family val="2"/>
            <scheme val="minor"/>
          </rPr>
          <t>Responder updated this value.</t>
        </r>
      </text>
    </comment>
    <comment ref="N35" authorId="0" shapeId="0" xr:uid="{1D6C968E-727C-48D1-8814-E442854FD06C}">
      <text>
        <r>
          <rPr>
            <sz val="10"/>
            <color rgb="FF000000"/>
            <rFont val="Arial"/>
            <family val="2"/>
            <scheme val="minor"/>
          </rPr>
          <t>Responder updated this value.</t>
        </r>
      </text>
    </comment>
    <comment ref="N36" authorId="0" shapeId="0" xr:uid="{9E1D2DCB-A188-4E88-B0A3-1B8B4D290FD0}">
      <text>
        <r>
          <rPr>
            <sz val="10"/>
            <color rgb="FF000000"/>
            <rFont val="Arial"/>
            <family val="2"/>
            <scheme val="minor"/>
          </rPr>
          <t>Responder updated this value.</t>
        </r>
      </text>
    </comment>
    <comment ref="L37" authorId="0" shapeId="0" xr:uid="{3FAB9A01-4EE4-4EFE-AE62-33DF65D6EE98}">
      <text>
        <r>
          <rPr>
            <sz val="10"/>
            <color rgb="FF000000"/>
            <rFont val="Arial"/>
            <family val="2"/>
            <scheme val="minor"/>
          </rPr>
          <t>Responder updated this value.</t>
        </r>
      </text>
    </comment>
    <comment ref="L38" authorId="0" shapeId="0" xr:uid="{15EE0AA1-0E53-4FE6-AE2B-55DE21A2DA2B}">
      <text>
        <r>
          <rPr>
            <sz val="10"/>
            <color rgb="FF000000"/>
            <rFont val="Arial"/>
            <family val="2"/>
            <scheme val="minor"/>
          </rPr>
          <t>Responder updated this value.</t>
        </r>
      </text>
    </comment>
    <comment ref="N38" authorId="0" shapeId="0" xr:uid="{9E5B07E2-BEEA-4440-BD6A-E22F78139018}">
      <text>
        <r>
          <rPr>
            <sz val="10"/>
            <color rgb="FF000000"/>
            <rFont val="Arial"/>
            <family val="2"/>
            <scheme val="minor"/>
          </rPr>
          <t>Responder updated this value.</t>
        </r>
      </text>
    </comment>
    <comment ref="L39" authorId="0" shapeId="0" xr:uid="{D327F773-634F-4977-BF50-FADF9E29F426}">
      <text>
        <r>
          <rPr>
            <sz val="10"/>
            <color rgb="FF000000"/>
            <rFont val="Arial"/>
            <family val="2"/>
            <scheme val="minor"/>
          </rPr>
          <t>Responder updated this value.</t>
        </r>
      </text>
    </comment>
    <comment ref="N39" authorId="0" shapeId="0" xr:uid="{F4355065-F608-48F2-85A5-11928DE5D104}">
      <text>
        <r>
          <rPr>
            <sz val="10"/>
            <color rgb="FF000000"/>
            <rFont val="Arial"/>
            <family val="2"/>
            <scheme val="minor"/>
          </rPr>
          <t>Responder updated this value.</t>
        </r>
      </text>
    </comment>
    <comment ref="N41" authorId="0" shapeId="0" xr:uid="{7728654A-5BC1-4311-9931-A7046168D66C}">
      <text>
        <r>
          <rPr>
            <sz val="10"/>
            <color rgb="FF000000"/>
            <rFont val="Arial"/>
            <family val="2"/>
            <scheme val="minor"/>
          </rPr>
          <t>Responder updated this value.</t>
        </r>
      </text>
    </comment>
    <comment ref="L42" authorId="0" shapeId="0" xr:uid="{7575ECED-4FA6-47A4-B351-B11D6C4D2139}">
      <text>
        <r>
          <rPr>
            <sz val="10"/>
            <color rgb="FF000000"/>
            <rFont val="Arial"/>
            <family val="2"/>
            <scheme val="minor"/>
          </rPr>
          <t>Responder updated this value.</t>
        </r>
      </text>
    </comment>
    <comment ref="N43" authorId="0" shapeId="0" xr:uid="{3D32A7D5-5347-4F4A-B4CE-907480F3F5CA}">
      <text>
        <r>
          <rPr>
            <sz val="10"/>
            <color rgb="FF000000"/>
            <rFont val="Arial"/>
            <family val="2"/>
            <scheme val="minor"/>
          </rPr>
          <t>Responder updated this value.</t>
        </r>
      </text>
    </comment>
    <comment ref="N45" authorId="0" shapeId="0" xr:uid="{449C80F9-9FA6-4FB8-B83E-B5529BA94621}">
      <text>
        <r>
          <rPr>
            <sz val="10"/>
            <color rgb="FF000000"/>
            <rFont val="Arial"/>
            <family val="2"/>
            <scheme val="minor"/>
          </rPr>
          <t>Responder updated this value.</t>
        </r>
      </text>
    </comment>
    <comment ref="N49" authorId="0" shapeId="0" xr:uid="{D0DD77AB-055A-4296-BED3-744C6845783F}">
      <text>
        <r>
          <rPr>
            <sz val="10"/>
            <color rgb="FF000000"/>
            <rFont val="Arial"/>
            <family val="2"/>
            <scheme val="minor"/>
          </rPr>
          <t>Responder updated this value.</t>
        </r>
      </text>
    </comment>
    <comment ref="D50" authorId="0" shapeId="0" xr:uid="{7A94E06C-6F0C-46F6-B828-ACCC93AF91A6}">
      <text>
        <r>
          <rPr>
            <sz val="10"/>
            <color rgb="FF000000"/>
            <rFont val="Arial"/>
            <family val="2"/>
            <scheme val="minor"/>
          </rPr>
          <t>Responder updated this value.</t>
        </r>
      </text>
    </comment>
    <comment ref="N50" authorId="0" shapeId="0" xr:uid="{DEB46729-F466-486D-8CD5-E9176AFA1A33}">
      <text>
        <r>
          <rPr>
            <sz val="10"/>
            <color rgb="FF000000"/>
            <rFont val="Arial"/>
            <family val="2"/>
            <scheme val="minor"/>
          </rPr>
          <t>Responder updated this value.</t>
        </r>
      </text>
    </comment>
    <comment ref="N51" authorId="0" shapeId="0" xr:uid="{7B6B9A6C-38B3-4C5B-9B76-67ABF0B30AB0}">
      <text>
        <r>
          <rPr>
            <sz val="10"/>
            <color rgb="FF000000"/>
            <rFont val="Arial"/>
            <family val="2"/>
            <scheme val="minor"/>
          </rPr>
          <t>Responder updated this value.</t>
        </r>
      </text>
    </comment>
    <comment ref="N53" authorId="0" shapeId="0" xr:uid="{DB96F142-E3A9-4845-A44A-6A410666F40C}">
      <text>
        <r>
          <rPr>
            <sz val="10"/>
            <color rgb="FF000000"/>
            <rFont val="Arial"/>
            <family val="2"/>
            <scheme val="minor"/>
          </rPr>
          <t>Responder updated this value.</t>
        </r>
      </text>
    </comment>
    <comment ref="L54" authorId="0" shapeId="0" xr:uid="{42678CA8-DA2E-4B9B-A911-527E5A18220B}">
      <text>
        <r>
          <rPr>
            <sz val="10"/>
            <color rgb="FF000000"/>
            <rFont val="Arial"/>
            <family val="2"/>
            <scheme val="minor"/>
          </rPr>
          <t>Responder updated this value.</t>
        </r>
      </text>
    </comment>
    <comment ref="N54" authorId="0" shapeId="0" xr:uid="{1F3E1907-0E39-440C-83C7-D10BF9627A8A}">
      <text>
        <r>
          <rPr>
            <sz val="10"/>
            <color rgb="FF000000"/>
            <rFont val="Arial"/>
            <family val="2"/>
            <scheme val="minor"/>
          </rPr>
          <t>Responder updated this value.</t>
        </r>
      </text>
    </comment>
    <comment ref="N55" authorId="0" shapeId="0" xr:uid="{FA5EAE44-8FD8-4388-97E1-5716703E3612}">
      <text>
        <r>
          <rPr>
            <sz val="10"/>
            <color rgb="FF000000"/>
            <rFont val="Arial"/>
            <family val="2"/>
            <scheme val="minor"/>
          </rPr>
          <t>Responder updated this value.</t>
        </r>
      </text>
    </comment>
    <comment ref="L57" authorId="0" shapeId="0" xr:uid="{B982D4B4-B218-474C-B3EB-D68985AB4148}">
      <text>
        <r>
          <rPr>
            <sz val="10"/>
            <color rgb="FF000000"/>
            <rFont val="Arial"/>
            <family val="2"/>
            <scheme val="minor"/>
          </rPr>
          <t>Responder updated this value.</t>
        </r>
      </text>
    </comment>
    <comment ref="N57" authorId="0" shapeId="0" xr:uid="{AFA27FAD-BFC9-4F58-BE3E-C181C3E0CB9F}">
      <text>
        <r>
          <rPr>
            <sz val="10"/>
            <color rgb="FF000000"/>
            <rFont val="Arial"/>
            <family val="2"/>
            <scheme val="minor"/>
          </rPr>
          <t>Responder updated this value.</t>
        </r>
      </text>
    </comment>
    <comment ref="L58" authorId="0" shapeId="0" xr:uid="{840F90B2-3EAE-4CC6-BA11-7F7A2DEFC64C}">
      <text>
        <r>
          <rPr>
            <sz val="10"/>
            <color rgb="FF000000"/>
            <rFont val="Arial"/>
            <family val="2"/>
            <scheme val="minor"/>
          </rPr>
          <t>Responder updated this value.</t>
        </r>
      </text>
    </comment>
    <comment ref="N58" authorId="0" shapeId="0" xr:uid="{E622AA6D-BA9A-4C5F-B10D-3668446E4999}">
      <text>
        <r>
          <rPr>
            <sz val="10"/>
            <color rgb="FF000000"/>
            <rFont val="Arial"/>
            <family val="2"/>
            <scheme val="minor"/>
          </rPr>
          <t>Responder updated this value.</t>
        </r>
      </text>
    </comment>
    <comment ref="N59" authorId="0" shapeId="0" xr:uid="{4C87AEF9-5300-47A2-AD5B-D8D1BA2842F6}">
      <text>
        <r>
          <rPr>
            <sz val="10"/>
            <color rgb="FF000000"/>
            <rFont val="Arial"/>
            <family val="2"/>
            <scheme val="minor"/>
          </rPr>
          <t>Responder updated this value.</t>
        </r>
      </text>
    </comment>
    <comment ref="L64" authorId="0" shapeId="0" xr:uid="{1332B04E-2D8B-4934-A655-A68EB7C4A1A5}">
      <text>
        <r>
          <rPr>
            <sz val="10"/>
            <color rgb="FF000000"/>
            <rFont val="Arial"/>
            <family val="2"/>
            <scheme val="minor"/>
          </rPr>
          <t>Responder updated this value.</t>
        </r>
      </text>
    </comment>
    <comment ref="N64" authorId="0" shapeId="0" xr:uid="{7C67E603-FA76-4FFE-B050-9B864FC8B6F9}">
      <text>
        <r>
          <rPr>
            <sz val="10"/>
            <color rgb="FF000000"/>
            <rFont val="Arial"/>
            <family val="2"/>
            <scheme val="minor"/>
          </rPr>
          <t>Responder updated this value.</t>
        </r>
      </text>
    </comment>
    <comment ref="L65" authorId="0" shapeId="0" xr:uid="{2E2D1D0C-2C48-4242-A2EA-A97095B0D006}">
      <text>
        <r>
          <rPr>
            <sz val="10"/>
            <color rgb="FF000000"/>
            <rFont val="Arial"/>
            <family val="2"/>
            <scheme val="minor"/>
          </rPr>
          <t>Responder updated this value.</t>
        </r>
      </text>
    </comment>
    <comment ref="N65" authorId="0" shapeId="0" xr:uid="{BB4A4E05-041B-4D76-9F03-C6251233B3D4}">
      <text>
        <r>
          <rPr>
            <sz val="10"/>
            <color rgb="FF000000"/>
            <rFont val="Arial"/>
            <family val="2"/>
            <scheme val="minor"/>
          </rPr>
          <t>Responder updated this value.</t>
        </r>
      </text>
    </comment>
    <comment ref="L67" authorId="0" shapeId="0" xr:uid="{8457FBD7-ECF7-4AE8-96F0-E1905EF13040}">
      <text>
        <r>
          <rPr>
            <sz val="10"/>
            <color rgb="FF000000"/>
            <rFont val="Arial"/>
            <family val="2"/>
            <scheme val="minor"/>
          </rPr>
          <t>Responder updated this value.</t>
        </r>
      </text>
    </comment>
    <comment ref="N67" authorId="0" shapeId="0" xr:uid="{9E4DE742-AB70-4860-A86F-A0A073474B97}">
      <text>
        <r>
          <rPr>
            <sz val="10"/>
            <color rgb="FF000000"/>
            <rFont val="Arial"/>
            <family val="2"/>
            <scheme val="minor"/>
          </rPr>
          <t>Responder updated this value.</t>
        </r>
      </text>
    </comment>
    <comment ref="L68" authorId="0" shapeId="0" xr:uid="{AAEA137B-C4B8-47CE-8EA0-550950EA8A8B}">
      <text>
        <r>
          <rPr>
            <sz val="10"/>
            <color rgb="FF000000"/>
            <rFont val="Arial"/>
            <family val="2"/>
            <scheme val="minor"/>
          </rPr>
          <t>Responder updated this value.</t>
        </r>
      </text>
    </comment>
    <comment ref="L70" authorId="0" shapeId="0" xr:uid="{E168CBE5-EE2A-415A-8504-9F0DEB461B28}">
      <text>
        <r>
          <rPr>
            <sz val="10"/>
            <color rgb="FF000000"/>
            <rFont val="Arial"/>
            <family val="2"/>
            <scheme val="minor"/>
          </rPr>
          <t>Responder updated this value.</t>
        </r>
      </text>
    </comment>
    <comment ref="L71" authorId="0" shapeId="0" xr:uid="{A7F0DDCF-0539-41C2-86D7-F6A6C45AA6CF}">
      <text>
        <r>
          <rPr>
            <sz val="10"/>
            <color rgb="FF000000"/>
            <rFont val="Arial"/>
            <family val="2"/>
            <scheme val="minor"/>
          </rPr>
          <t>Responder updated this value.</t>
        </r>
      </text>
    </comment>
    <comment ref="N71" authorId="0" shapeId="0" xr:uid="{1FEF44A4-A7DB-4F81-BEA1-D2623FD6108A}">
      <text>
        <r>
          <rPr>
            <sz val="10"/>
            <color rgb="FF000000"/>
            <rFont val="Arial"/>
            <family val="2"/>
            <scheme val="minor"/>
          </rPr>
          <t>Responder updated this value.</t>
        </r>
      </text>
    </comment>
    <comment ref="L72" authorId="0" shapeId="0" xr:uid="{11BAB988-4A07-4715-AB24-AA8A6F9237B6}">
      <text>
        <r>
          <rPr>
            <sz val="10"/>
            <color rgb="FF000000"/>
            <rFont val="Arial"/>
            <family val="2"/>
            <scheme val="minor"/>
          </rPr>
          <t>Responder updated this value.</t>
        </r>
      </text>
    </comment>
    <comment ref="N72" authorId="0" shapeId="0" xr:uid="{617BBBDB-AF63-4504-B07D-00245A1E0871}">
      <text>
        <r>
          <rPr>
            <sz val="10"/>
            <color rgb="FF000000"/>
            <rFont val="Arial"/>
            <family val="2"/>
            <scheme val="minor"/>
          </rPr>
          <t>Responder updated this value.</t>
        </r>
      </text>
    </comment>
    <comment ref="L73" authorId="0" shapeId="0" xr:uid="{E613BC67-65B6-4B01-9FC7-0E0F1252B59B}">
      <text>
        <r>
          <rPr>
            <sz val="10"/>
            <color rgb="FF000000"/>
            <rFont val="Arial"/>
            <family val="2"/>
            <scheme val="minor"/>
          </rPr>
          <t>Responder updated this value.</t>
        </r>
      </text>
    </comment>
    <comment ref="N73" authorId="0" shapeId="0" xr:uid="{2C8F96C8-9069-4259-847B-B8BEFA85445D}">
      <text>
        <r>
          <rPr>
            <sz val="10"/>
            <color rgb="FF000000"/>
            <rFont val="Arial"/>
            <family val="2"/>
            <scheme val="minor"/>
          </rPr>
          <t>Responder updated this value.</t>
        </r>
      </text>
    </comment>
    <comment ref="N75" authorId="0" shapeId="0" xr:uid="{C957A9DE-6138-439A-9536-9BFAEAB33FC6}">
      <text>
        <r>
          <rPr>
            <sz val="10"/>
            <color rgb="FF000000"/>
            <rFont val="Arial"/>
            <family val="2"/>
            <scheme val="minor"/>
          </rPr>
          <t>Responder updated this value.</t>
        </r>
      </text>
    </comment>
    <comment ref="L77" authorId="0" shapeId="0" xr:uid="{F4C030A3-F6FF-485D-B004-CE767FEC647B}">
      <text>
        <r>
          <rPr>
            <sz val="10"/>
            <color rgb="FF000000"/>
            <rFont val="Arial"/>
            <family val="2"/>
            <scheme val="minor"/>
          </rPr>
          <t>Responder updated this value.</t>
        </r>
      </text>
    </comment>
    <comment ref="L81" authorId="0" shapeId="0" xr:uid="{A05AD18B-49B4-49C9-B344-CA71FF3E412F}">
      <text>
        <r>
          <rPr>
            <sz val="10"/>
            <color rgb="FF000000"/>
            <rFont val="Arial"/>
            <family val="2"/>
            <scheme val="minor"/>
          </rPr>
          <t>Responder updated this value.</t>
        </r>
      </text>
    </comment>
    <comment ref="N81" authorId="0" shapeId="0" xr:uid="{A7495000-B3D0-4B7B-87ED-6E7223025418}">
      <text>
        <r>
          <rPr>
            <sz val="10"/>
            <color rgb="FF000000"/>
            <rFont val="Arial"/>
            <family val="2"/>
            <scheme val="minor"/>
          </rPr>
          <t>Responder updated this value.</t>
        </r>
      </text>
    </comment>
    <comment ref="L82" authorId="0" shapeId="0" xr:uid="{C72E6930-7AE5-4489-8FA3-C55E2122FFAB}">
      <text>
        <r>
          <rPr>
            <sz val="10"/>
            <color rgb="FF000000"/>
            <rFont val="Arial"/>
            <family val="2"/>
            <scheme val="minor"/>
          </rPr>
          <t>Responder updated this value.</t>
        </r>
      </text>
    </comment>
    <comment ref="N82" authorId="0" shapeId="0" xr:uid="{E9D5D312-46FC-4CCA-8F16-2ACD8C58D288}">
      <text>
        <r>
          <rPr>
            <sz val="10"/>
            <color rgb="FF000000"/>
            <rFont val="Arial"/>
            <family val="2"/>
            <scheme val="minor"/>
          </rPr>
          <t>Responder updated this value.</t>
        </r>
      </text>
    </comment>
    <comment ref="L85" authorId="0" shapeId="0" xr:uid="{47FEC3BE-0D81-4456-AEA4-F2D71FEDC756}">
      <text>
        <r>
          <rPr>
            <sz val="10"/>
            <color rgb="FF000000"/>
            <rFont val="Arial"/>
            <family val="2"/>
            <scheme val="minor"/>
          </rPr>
          <t>Responder updated this value.</t>
        </r>
      </text>
    </comment>
    <comment ref="N85" authorId="0" shapeId="0" xr:uid="{77E413C3-B43D-4C7E-97B8-5AB83F187B07}">
      <text>
        <r>
          <rPr>
            <sz val="10"/>
            <color rgb="FF000000"/>
            <rFont val="Arial"/>
            <family val="2"/>
            <scheme val="minor"/>
          </rPr>
          <t>Responder updated this value.</t>
        </r>
      </text>
    </comment>
    <comment ref="L91" authorId="0" shapeId="0" xr:uid="{0038B980-7CB7-47E8-9B21-46AF2AA86757}">
      <text>
        <r>
          <rPr>
            <sz val="10"/>
            <color rgb="FF000000"/>
            <rFont val="Arial"/>
            <family val="2"/>
            <scheme val="minor"/>
          </rPr>
          <t>Responder updated this value.</t>
        </r>
      </text>
    </comment>
    <comment ref="L103" authorId="0" shapeId="0" xr:uid="{D8763FC5-F5DC-45B2-98FD-708F26EDBE63}">
      <text>
        <r>
          <rPr>
            <sz val="10"/>
            <color rgb="FF000000"/>
            <rFont val="Arial"/>
            <family val="2"/>
            <scheme val="minor"/>
          </rPr>
          <t>Responder updated this value.</t>
        </r>
      </text>
    </comment>
    <comment ref="C104" authorId="0" shapeId="0" xr:uid="{653D3DAC-2255-40A8-B481-BB13F25EFB9D}">
      <text>
        <r>
          <rPr>
            <sz val="10"/>
            <color rgb="FF000000"/>
            <rFont val="Arial"/>
            <family val="2"/>
            <scheme val="minor"/>
          </rPr>
          <t>Responder updated this value.</t>
        </r>
      </text>
    </comment>
    <comment ref="L104" authorId="0" shapeId="0" xr:uid="{6BDF176E-B051-43EF-9C06-49076B13E4CC}">
      <text>
        <r>
          <rPr>
            <sz val="10"/>
            <color rgb="FF000000"/>
            <rFont val="Arial"/>
            <family val="2"/>
            <scheme val="minor"/>
          </rPr>
          <t>Responder updated this value.</t>
        </r>
      </text>
    </comment>
    <comment ref="N104" authorId="0" shapeId="0" xr:uid="{EC2C49EB-AF9D-4857-9954-2DBCB47E19F2}">
      <text>
        <r>
          <rPr>
            <sz val="10"/>
            <color rgb="FF000000"/>
            <rFont val="Arial"/>
            <family val="2"/>
            <scheme val="minor"/>
          </rPr>
          <t>Responder updated this value.</t>
        </r>
      </text>
    </comment>
    <comment ref="L106" authorId="0" shapeId="0" xr:uid="{A9F1930E-F092-4888-9A00-B51767CE1FFC}">
      <text>
        <r>
          <rPr>
            <sz val="10"/>
            <color rgb="FF000000"/>
            <rFont val="Arial"/>
            <family val="2"/>
            <scheme val="minor"/>
          </rPr>
          <t>Responder updated this value.</t>
        </r>
      </text>
    </comment>
    <comment ref="N106" authorId="0" shapeId="0" xr:uid="{8592C9E6-352C-4116-950C-289E7C678FAD}">
      <text>
        <r>
          <rPr>
            <sz val="10"/>
            <color rgb="FF000000"/>
            <rFont val="Arial"/>
            <family val="2"/>
            <scheme val="minor"/>
          </rPr>
          <t>Responder updated this value.</t>
        </r>
      </text>
    </comment>
    <comment ref="N109" authorId="0" shapeId="0" xr:uid="{0F7C5F04-C1CD-4263-9B6A-C006730ADA48}">
      <text>
        <r>
          <rPr>
            <sz val="10"/>
            <color rgb="FF000000"/>
            <rFont val="Arial"/>
            <family val="2"/>
            <scheme val="minor"/>
          </rPr>
          <t>Responder updated this value.</t>
        </r>
      </text>
    </comment>
    <comment ref="H114" authorId="0" shapeId="0" xr:uid="{35E337D5-3468-4088-9172-2DF11CF0EFFE}">
      <text>
        <r>
          <rPr>
            <sz val="10"/>
            <color rgb="FF000000"/>
            <rFont val="Arial"/>
            <family val="2"/>
            <scheme val="minor"/>
          </rPr>
          <t>Responder updated this value.</t>
        </r>
      </text>
    </comment>
    <comment ref="N114" authorId="0" shapeId="0" xr:uid="{ED1274A5-145C-450D-9044-DDD276312E94}">
      <text>
        <r>
          <rPr>
            <sz val="10"/>
            <color rgb="FF000000"/>
            <rFont val="Arial"/>
            <family val="2"/>
            <scheme val="minor"/>
          </rPr>
          <t>Responder updated this value.</t>
        </r>
      </text>
    </comment>
    <comment ref="N116" authorId="0" shapeId="0" xr:uid="{1AEB638A-87DC-4563-96AE-ABE517518F55}">
      <text>
        <r>
          <rPr>
            <sz val="10"/>
            <color rgb="FF000000"/>
            <rFont val="Arial"/>
            <family val="2"/>
            <scheme val="minor"/>
          </rPr>
          <t>Responder updated this value.</t>
        </r>
      </text>
    </comment>
    <comment ref="L118" authorId="0" shapeId="0" xr:uid="{352F6747-6859-44B1-A563-0225DB76250F}">
      <text>
        <r>
          <rPr>
            <sz val="10"/>
            <color rgb="FF000000"/>
            <rFont val="Arial"/>
            <family val="2"/>
            <scheme val="minor"/>
          </rPr>
          <t>Responder updated this value.</t>
        </r>
      </text>
    </comment>
    <comment ref="N118" authorId="0" shapeId="0" xr:uid="{AD97C80C-EABA-4D7F-AE0E-5097B0D94BB9}">
      <text>
        <r>
          <rPr>
            <sz val="10"/>
            <color rgb="FF000000"/>
            <rFont val="Arial"/>
            <family val="2"/>
            <scheme val="minor"/>
          </rPr>
          <t>Responder updated this value.</t>
        </r>
      </text>
    </comment>
    <comment ref="L121" authorId="0" shapeId="0" xr:uid="{0A29B06C-3881-489F-B715-1A8CA7C415FF}">
      <text>
        <r>
          <rPr>
            <sz val="10"/>
            <color rgb="FF000000"/>
            <rFont val="Arial"/>
            <family val="2"/>
            <scheme val="minor"/>
          </rPr>
          <t>Responder updated this value.</t>
        </r>
      </text>
    </comment>
    <comment ref="N121" authorId="0" shapeId="0" xr:uid="{210C4770-3CC7-4432-BF52-FBEE2B910350}">
      <text>
        <r>
          <rPr>
            <sz val="10"/>
            <color rgb="FF000000"/>
            <rFont val="Arial"/>
            <family val="2"/>
            <scheme val="minor"/>
          </rPr>
          <t>Responder updated this value.</t>
        </r>
      </text>
    </comment>
    <comment ref="L123" authorId="0" shapeId="0" xr:uid="{BA010619-BF11-48A3-B17E-097052E5D7A0}">
      <text>
        <r>
          <rPr>
            <sz val="10"/>
            <color rgb="FF000000"/>
            <rFont val="Arial"/>
            <family val="2"/>
            <scheme val="minor"/>
          </rPr>
          <t>Responder updated this value.</t>
        </r>
      </text>
    </comment>
    <comment ref="N123" authorId="0" shapeId="0" xr:uid="{56D4DFFF-F934-4485-A816-B2BC80234A02}">
      <text>
        <r>
          <rPr>
            <sz val="10"/>
            <color rgb="FF000000"/>
            <rFont val="Arial"/>
            <family val="2"/>
            <scheme val="minor"/>
          </rPr>
          <t>Responder updated this value.</t>
        </r>
      </text>
    </comment>
    <comment ref="N125" authorId="0" shapeId="0" xr:uid="{4B06E74D-5190-4BAE-8318-026341E2ACB5}">
      <text>
        <r>
          <rPr>
            <sz val="10"/>
            <color rgb="FF000000"/>
            <rFont val="Arial"/>
            <family val="2"/>
            <scheme val="minor"/>
          </rPr>
          <t>Responder updated this value.</t>
        </r>
      </text>
    </comment>
    <comment ref="L126" authorId="0" shapeId="0" xr:uid="{3DD27641-EA2A-4967-92E7-CEF04371D202}">
      <text>
        <r>
          <rPr>
            <sz val="10"/>
            <color rgb="FF000000"/>
            <rFont val="Arial"/>
            <family val="2"/>
            <scheme val="minor"/>
          </rPr>
          <t>Responder updated this value.</t>
        </r>
      </text>
    </comment>
    <comment ref="N128" authorId="0" shapeId="0" xr:uid="{0B3D8A81-2577-41D1-A58C-3150ADA656A1}">
      <text>
        <r>
          <rPr>
            <sz val="10"/>
            <color rgb="FF000000"/>
            <rFont val="Arial"/>
            <family val="2"/>
            <scheme val="minor"/>
          </rPr>
          <t>Responder updated this value.</t>
        </r>
      </text>
    </comment>
    <comment ref="L129" authorId="0" shapeId="0" xr:uid="{9D7F8A6A-CCE9-479B-8E5E-28A7DE22B939}">
      <text>
        <r>
          <rPr>
            <sz val="10"/>
            <color rgb="FF000000"/>
            <rFont val="Arial"/>
            <family val="2"/>
            <scheme val="minor"/>
          </rPr>
          <t>Responder updated this value.</t>
        </r>
      </text>
    </comment>
    <comment ref="N129" authorId="0" shapeId="0" xr:uid="{73FF4C78-4D6D-477D-B92F-2D02AD9527C0}">
      <text>
        <r>
          <rPr>
            <sz val="10"/>
            <color rgb="FF000000"/>
            <rFont val="Arial"/>
            <family val="2"/>
            <scheme val="minor"/>
          </rPr>
          <t>Responder updated this value.</t>
        </r>
      </text>
    </comment>
    <comment ref="L130" authorId="0" shapeId="0" xr:uid="{E8B10CFC-4B8F-498D-9390-4F41F718846C}">
      <text>
        <r>
          <rPr>
            <sz val="10"/>
            <color rgb="FF000000"/>
            <rFont val="Arial"/>
            <family val="2"/>
            <scheme val="minor"/>
          </rPr>
          <t>Responder updated this value.</t>
        </r>
      </text>
    </comment>
    <comment ref="N130" authorId="0" shapeId="0" xr:uid="{B43ED954-9133-4BD7-855E-AB0C4C99BA64}">
      <text>
        <r>
          <rPr>
            <sz val="10"/>
            <color rgb="FF000000"/>
            <rFont val="Arial"/>
            <family val="2"/>
            <scheme val="minor"/>
          </rPr>
          <t>Responder updated this value.</t>
        </r>
      </text>
    </comment>
    <comment ref="N131" authorId="0" shapeId="0" xr:uid="{12C24B82-8B69-4906-854D-1DBF6B990C9C}">
      <text>
        <r>
          <rPr>
            <sz val="10"/>
            <color rgb="FF000000"/>
            <rFont val="Arial"/>
            <family val="2"/>
            <scheme val="minor"/>
          </rPr>
          <t>Responder updated this value.</t>
        </r>
      </text>
    </comment>
    <comment ref="B132" authorId="0" shapeId="0" xr:uid="{DBEA0A4E-2A9F-44B0-8133-9C4774B83FBD}">
      <text>
        <r>
          <rPr>
            <sz val="10"/>
            <color rgb="FF000000"/>
            <rFont val="Arial"/>
            <family val="2"/>
            <scheme val="minor"/>
          </rPr>
          <t>Responder updated this value.</t>
        </r>
      </text>
    </comment>
    <comment ref="L132" authorId="0" shapeId="0" xr:uid="{14B05AF9-B3C9-4A06-B5A4-BB2F2FD34557}">
      <text>
        <r>
          <rPr>
            <sz val="10"/>
            <color rgb="FF000000"/>
            <rFont val="Arial"/>
            <family val="2"/>
            <scheme val="minor"/>
          </rPr>
          <t>Responder updated this value.</t>
        </r>
      </text>
    </comment>
    <comment ref="N132" authorId="0" shapeId="0" xr:uid="{E625CD4B-F638-4480-97EA-DF50D5CA7235}">
      <text>
        <r>
          <rPr>
            <sz val="10"/>
            <color rgb="FF000000"/>
            <rFont val="Arial"/>
            <family val="2"/>
            <scheme val="minor"/>
          </rPr>
          <t>Responder updated this value.</t>
        </r>
      </text>
    </comment>
    <comment ref="K138" authorId="0" shapeId="0" xr:uid="{19E84F0F-395A-49B9-92A5-F220C8859973}">
      <text>
        <r>
          <rPr>
            <sz val="10"/>
            <color rgb="FF000000"/>
            <rFont val="Arial"/>
            <family val="2"/>
            <scheme val="minor"/>
          </rPr>
          <t>Responder updated this value.</t>
        </r>
      </text>
    </comment>
    <comment ref="L138" authorId="0" shapeId="0" xr:uid="{ACCA02AC-ADBB-4CDB-914D-228A7877B033}">
      <text>
        <r>
          <rPr>
            <sz val="10"/>
            <color rgb="FF000000"/>
            <rFont val="Arial"/>
            <family val="2"/>
            <scheme val="minor"/>
          </rPr>
          <t>Responder updated this value.</t>
        </r>
      </text>
    </comment>
    <comment ref="N138" authorId="0" shapeId="0" xr:uid="{6C85C0A6-2203-45BC-B898-0FB2271707FC}">
      <text>
        <r>
          <rPr>
            <sz val="10"/>
            <color rgb="FF000000"/>
            <rFont val="Arial"/>
            <family val="2"/>
            <scheme val="minor"/>
          </rPr>
          <t>Responder updated this value.</t>
        </r>
      </text>
    </comment>
    <comment ref="N139" authorId="0" shapeId="0" xr:uid="{BBE86901-55D9-4AFA-9F38-3CA52B178C4E}">
      <text>
        <r>
          <rPr>
            <sz val="10"/>
            <color rgb="FF000000"/>
            <rFont val="Arial"/>
            <family val="2"/>
            <scheme val="minor"/>
          </rPr>
          <t>Responder updated this value.</t>
        </r>
      </text>
    </comment>
    <comment ref="L143" authorId="0" shapeId="0" xr:uid="{FF86046D-EB8D-48E1-AF21-BE9D56CB643D}">
      <text>
        <r>
          <rPr>
            <sz val="10"/>
            <color rgb="FF000000"/>
            <rFont val="Arial"/>
            <family val="2"/>
            <scheme val="minor"/>
          </rPr>
          <t>Responder updated this value.</t>
        </r>
      </text>
    </comment>
    <comment ref="C144" authorId="0" shapeId="0" xr:uid="{980F939A-2110-4A85-AB66-37603185F051}">
      <text>
        <r>
          <rPr>
            <sz val="10"/>
            <color rgb="FF000000"/>
            <rFont val="Arial"/>
            <family val="2"/>
            <scheme val="minor"/>
          </rPr>
          <t>Responder updated this value.</t>
        </r>
      </text>
    </comment>
    <comment ref="N144" authorId="0" shapeId="0" xr:uid="{55DC14E6-4393-427C-BC85-90F6188FD979}">
      <text>
        <r>
          <rPr>
            <sz val="10"/>
            <color rgb="FF000000"/>
            <rFont val="Arial"/>
            <family val="2"/>
            <scheme val="minor"/>
          </rPr>
          <t>Responder updated this value.</t>
        </r>
      </text>
    </comment>
    <comment ref="L146" authorId="0" shapeId="0" xr:uid="{4F739CC1-0EEB-4C45-A797-C9F0F1CF29F1}">
      <text>
        <r>
          <rPr>
            <sz val="10"/>
            <color rgb="FF000000"/>
            <rFont val="Arial"/>
            <family val="2"/>
            <scheme val="minor"/>
          </rPr>
          <t>Responder updated this value.</t>
        </r>
      </text>
    </comment>
    <comment ref="B147" authorId="0" shapeId="0" xr:uid="{1BCA6E70-637E-477E-A1A2-06519237C80E}">
      <text>
        <r>
          <rPr>
            <sz val="10"/>
            <color rgb="FF000000"/>
            <rFont val="Arial"/>
            <family val="2"/>
            <scheme val="minor"/>
          </rPr>
          <t>Responder updated this value.</t>
        </r>
      </text>
    </comment>
    <comment ref="L151" authorId="0" shapeId="0" xr:uid="{D5A6CEE7-18BD-47DF-B501-AF29963C45C3}">
      <text>
        <r>
          <rPr>
            <sz val="10"/>
            <color rgb="FF000000"/>
            <rFont val="Arial"/>
            <family val="2"/>
            <scheme val="minor"/>
          </rPr>
          <t>Responder updated this value.</t>
        </r>
      </text>
    </comment>
    <comment ref="N151" authorId="0" shapeId="0" xr:uid="{AC8EF55C-EB97-47CE-A2DD-F054DF680C19}">
      <text>
        <r>
          <rPr>
            <sz val="10"/>
            <color rgb="FF000000"/>
            <rFont val="Arial"/>
            <family val="2"/>
            <scheme val="minor"/>
          </rPr>
          <t>Responder updated this value.</t>
        </r>
      </text>
    </comment>
    <comment ref="L152" authorId="0" shapeId="0" xr:uid="{8DB25A33-9AC7-4F77-B5CE-2DACD55661B1}">
      <text>
        <r>
          <rPr>
            <sz val="10"/>
            <color rgb="FF000000"/>
            <rFont val="Arial"/>
            <family val="2"/>
            <scheme val="minor"/>
          </rPr>
          <t>Responder updated this value.</t>
        </r>
      </text>
    </comment>
    <comment ref="N152" authorId="0" shapeId="0" xr:uid="{BAD6B39D-45C8-4577-9DBE-F40374E5BEDC}">
      <text>
        <r>
          <rPr>
            <sz val="10"/>
            <color rgb="FF000000"/>
            <rFont val="Arial"/>
            <family val="2"/>
            <scheme val="minor"/>
          </rPr>
          <t>Responder updated this value.</t>
        </r>
      </text>
    </comment>
    <comment ref="L153" authorId="0" shapeId="0" xr:uid="{6AF9F7E1-1CC9-408A-945D-7486DE6BF032}">
      <text>
        <r>
          <rPr>
            <sz val="10"/>
            <color rgb="FF000000"/>
            <rFont val="Arial"/>
            <family val="2"/>
            <scheme val="minor"/>
          </rPr>
          <t>Responder updated this value.</t>
        </r>
      </text>
    </comment>
    <comment ref="L154" authorId="0" shapeId="0" xr:uid="{692BD481-3D35-4279-9C9D-2BFC68AD609E}">
      <text>
        <r>
          <rPr>
            <sz val="10"/>
            <color rgb="FF000000"/>
            <rFont val="Arial"/>
            <family val="2"/>
            <scheme val="minor"/>
          </rPr>
          <t>Responder updated this value.</t>
        </r>
      </text>
    </comment>
    <comment ref="L155" authorId="0" shapeId="0" xr:uid="{FE1F8101-5749-43B8-AAFB-6540C32CC212}">
      <text>
        <r>
          <rPr>
            <sz val="10"/>
            <color rgb="FF000000"/>
            <rFont val="Arial"/>
            <family val="2"/>
            <scheme val="minor"/>
          </rPr>
          <t>Responder updated this value.</t>
        </r>
      </text>
    </comment>
    <comment ref="N157" authorId="0" shapeId="0" xr:uid="{7793ECCB-8197-469F-B03B-714673ED8FD3}">
      <text>
        <r>
          <rPr>
            <sz val="10"/>
            <color rgb="FF000000"/>
            <rFont val="Arial"/>
            <family val="2"/>
            <scheme val="minor"/>
          </rPr>
          <t>Responder updated this value.</t>
        </r>
      </text>
    </comment>
    <comment ref="N158" authorId="0" shapeId="0" xr:uid="{9E175E35-55E5-43AC-B337-5A86F06F00CE}">
      <text>
        <r>
          <rPr>
            <sz val="10"/>
            <color rgb="FF000000"/>
            <rFont val="Arial"/>
            <family val="2"/>
            <scheme val="minor"/>
          </rPr>
          <t>Responder updated this value.</t>
        </r>
      </text>
    </comment>
    <comment ref="N160" authorId="0" shapeId="0" xr:uid="{4F940CBB-41F0-4D8A-B02E-2A3F72A52701}">
      <text>
        <r>
          <rPr>
            <sz val="10"/>
            <color rgb="FF000000"/>
            <rFont val="Arial"/>
            <family val="2"/>
            <scheme val="minor"/>
          </rPr>
          <t>Responder updated this value.</t>
        </r>
      </text>
    </comment>
    <comment ref="B162" authorId="0" shapeId="0" xr:uid="{AB8817AF-1048-4CAD-99EE-0C2CC8672431}">
      <text>
        <r>
          <rPr>
            <sz val="10"/>
            <color rgb="FF000000"/>
            <rFont val="Arial"/>
            <family val="2"/>
            <scheme val="minor"/>
          </rPr>
          <t>Responder updated this value.</t>
        </r>
      </text>
    </comment>
    <comment ref="L162" authorId="0" shapeId="0" xr:uid="{5F37B9D8-E2A5-4675-B644-C33972AEAD51}">
      <text>
        <r>
          <rPr>
            <sz val="10"/>
            <color rgb="FF000000"/>
            <rFont val="Arial"/>
            <family val="2"/>
            <scheme val="minor"/>
          </rPr>
          <t>Responder updated this value.</t>
        </r>
      </text>
    </comment>
    <comment ref="L165" authorId="0" shapeId="0" xr:uid="{7A038BD0-635F-48C6-9966-5A0A17CCFD5B}">
      <text>
        <r>
          <rPr>
            <sz val="10"/>
            <color rgb="FF000000"/>
            <rFont val="Arial"/>
            <family val="2"/>
            <scheme val="minor"/>
          </rPr>
          <t>Responder updated this value.</t>
        </r>
      </text>
    </comment>
    <comment ref="N170" authorId="0" shapeId="0" xr:uid="{339BE9B9-BB77-44EE-8E25-618A396365DE}">
      <text>
        <r>
          <rPr>
            <sz val="10"/>
            <color rgb="FF000000"/>
            <rFont val="Arial"/>
            <family val="2"/>
            <scheme val="minor"/>
          </rPr>
          <t>Responder updated this value.</t>
        </r>
      </text>
    </comment>
    <comment ref="L172" authorId="0" shapeId="0" xr:uid="{25C8FBB6-1CBF-4241-9F38-306972275593}">
      <text>
        <r>
          <rPr>
            <sz val="10"/>
            <color rgb="FF000000"/>
            <rFont val="Arial"/>
            <family val="2"/>
            <scheme val="minor"/>
          </rPr>
          <t>Responder updated this value.</t>
        </r>
      </text>
    </comment>
    <comment ref="N174" authorId="0" shapeId="0" xr:uid="{B600A885-7B16-4DA1-BA55-4D42F7B8133B}">
      <text>
        <r>
          <rPr>
            <sz val="10"/>
            <color rgb="FF000000"/>
            <rFont val="Arial"/>
            <family val="2"/>
            <scheme val="minor"/>
          </rPr>
          <t>Responder updated this value.</t>
        </r>
      </text>
    </comment>
    <comment ref="M175" authorId="0" shapeId="0" xr:uid="{D0444D5C-BBE3-4F1D-814B-C964D0441496}">
      <text>
        <r>
          <rPr>
            <sz val="10"/>
            <color rgb="FF000000"/>
            <rFont val="Arial"/>
            <family val="2"/>
            <scheme val="minor"/>
          </rPr>
          <t>Responder updated this value.</t>
        </r>
      </text>
    </comment>
    <comment ref="N175" authorId="0" shapeId="0" xr:uid="{936A516E-DA03-45EB-A5A2-FADCFC61FF9E}">
      <text>
        <r>
          <rPr>
            <sz val="10"/>
            <color rgb="FF000000"/>
            <rFont val="Arial"/>
            <family val="2"/>
            <scheme val="minor"/>
          </rPr>
          <t>Responder updated this value.</t>
        </r>
      </text>
    </comment>
    <comment ref="L178" authorId="0" shapeId="0" xr:uid="{B753E606-CEDE-4CD3-BBDE-F0EBFAC0595A}">
      <text>
        <r>
          <rPr>
            <sz val="10"/>
            <color rgb="FF000000"/>
            <rFont val="Arial"/>
            <family val="2"/>
            <scheme val="minor"/>
          </rPr>
          <t>Responder updated this value.</t>
        </r>
      </text>
    </comment>
    <comment ref="N178" authorId="0" shapeId="0" xr:uid="{9BD72A45-3F34-41AF-845D-9DC7CCA55C78}">
      <text>
        <r>
          <rPr>
            <sz val="10"/>
            <color rgb="FF000000"/>
            <rFont val="Arial"/>
            <family val="2"/>
            <scheme val="minor"/>
          </rPr>
          <t>Responder updated this value.</t>
        </r>
      </text>
    </comment>
    <comment ref="L181" authorId="0" shapeId="0" xr:uid="{31CFED22-8BFF-4C13-AEE0-6EDE17FFF9C9}">
      <text>
        <r>
          <rPr>
            <sz val="10"/>
            <color rgb="FF000000"/>
            <rFont val="Arial"/>
            <family val="2"/>
            <scheme val="minor"/>
          </rPr>
          <t>Responder updated this value.</t>
        </r>
      </text>
    </comment>
    <comment ref="N181" authorId="0" shapeId="0" xr:uid="{216B3C93-7A5F-44E7-8992-F494342C66BE}">
      <text>
        <r>
          <rPr>
            <sz val="10"/>
            <color rgb="FF000000"/>
            <rFont val="Arial"/>
            <family val="2"/>
            <scheme val="minor"/>
          </rPr>
          <t>Responder updated this value.</t>
        </r>
      </text>
    </comment>
    <comment ref="N184" authorId="0" shapeId="0" xr:uid="{8436121C-057E-4E81-BCF3-C4A252BD431D}">
      <text>
        <r>
          <rPr>
            <sz val="10"/>
            <color rgb="FF000000"/>
            <rFont val="Arial"/>
            <family val="2"/>
            <scheme val="minor"/>
          </rPr>
          <t>Responder updated this value.</t>
        </r>
      </text>
    </comment>
    <comment ref="L188" authorId="0" shapeId="0" xr:uid="{679DADD4-F16F-468A-A1C1-47DEE518B90F}">
      <text>
        <r>
          <rPr>
            <sz val="10"/>
            <color rgb="FF000000"/>
            <rFont val="Arial"/>
            <family val="2"/>
            <scheme val="minor"/>
          </rPr>
          <t>Responder updated this value.</t>
        </r>
      </text>
    </comment>
    <comment ref="L190" authorId="0" shapeId="0" xr:uid="{07D37D98-AC54-41C7-919A-02DBA779B9DC}">
      <text>
        <r>
          <rPr>
            <sz val="10"/>
            <color rgb="FF000000"/>
            <rFont val="Arial"/>
            <family val="2"/>
            <scheme val="minor"/>
          </rPr>
          <t>Responder updated this value.</t>
        </r>
      </text>
    </comment>
    <comment ref="N190" authorId="0" shapeId="0" xr:uid="{E7677F21-D0C2-4934-ADC0-735BA41C1D80}">
      <text>
        <r>
          <rPr>
            <sz val="10"/>
            <color rgb="FF000000"/>
            <rFont val="Arial"/>
            <family val="2"/>
            <scheme val="minor"/>
          </rPr>
          <t>Responder updated this value.</t>
        </r>
      </text>
    </comment>
    <comment ref="L194" authorId="0" shapeId="0" xr:uid="{394C3017-E0B7-4E69-98BF-7B9CCA81F4C5}">
      <text>
        <r>
          <rPr>
            <sz val="10"/>
            <color rgb="FF000000"/>
            <rFont val="Arial"/>
            <family val="2"/>
            <scheme val="minor"/>
          </rPr>
          <t>Responder updated this value.</t>
        </r>
      </text>
    </comment>
    <comment ref="L201" authorId="0" shapeId="0" xr:uid="{3F8AAEFF-002A-44DB-BA4E-C1712BF76C2B}">
      <text>
        <r>
          <rPr>
            <sz val="10"/>
            <color rgb="FF000000"/>
            <rFont val="Arial"/>
            <family val="2"/>
            <scheme val="minor"/>
          </rPr>
          <t>Responder updated this value.</t>
        </r>
      </text>
    </comment>
    <comment ref="N201" authorId="0" shapeId="0" xr:uid="{1CA699C8-BE0B-47A5-8F58-378B6AF52C12}">
      <text>
        <r>
          <rPr>
            <sz val="10"/>
            <color rgb="FF000000"/>
            <rFont val="Arial"/>
            <family val="2"/>
            <scheme val="minor"/>
          </rPr>
          <t>Responder updated this value.</t>
        </r>
      </text>
    </comment>
    <comment ref="N205" authorId="0" shapeId="0" xr:uid="{90CE244C-671F-4D8C-AF81-0122B1F1AE65}">
      <text>
        <r>
          <rPr>
            <sz val="10"/>
            <color rgb="FF000000"/>
            <rFont val="Arial"/>
            <family val="2"/>
            <scheme val="minor"/>
          </rPr>
          <t>Responder updated this value.</t>
        </r>
      </text>
    </comment>
    <comment ref="N206" authorId="0" shapeId="0" xr:uid="{4D99C8DF-DEF2-4C1F-B4D2-79FF47EDFBE3}">
      <text>
        <r>
          <rPr>
            <sz val="10"/>
            <color rgb="FF000000"/>
            <rFont val="Arial"/>
            <family val="2"/>
            <scheme val="minor"/>
          </rPr>
          <t>Responder updated this value.</t>
        </r>
      </text>
    </comment>
    <comment ref="L207" authorId="0" shapeId="0" xr:uid="{CDA21351-38A7-417D-B032-B46CAC946B3A}">
      <text>
        <r>
          <rPr>
            <sz val="10"/>
            <color rgb="FF000000"/>
            <rFont val="Arial"/>
            <family val="2"/>
            <scheme val="minor"/>
          </rPr>
          <t>Responder updated this value.</t>
        </r>
      </text>
    </comment>
    <comment ref="M207" authorId="0" shapeId="0" xr:uid="{51716687-30C0-4927-94EA-5C6943A9BA46}">
      <text>
        <r>
          <rPr>
            <sz val="10"/>
            <color rgb="FF000000"/>
            <rFont val="Arial"/>
            <family val="2"/>
            <scheme val="minor"/>
          </rPr>
          <t>Responder updated this value.</t>
        </r>
      </text>
    </comment>
    <comment ref="L209" authorId="0" shapeId="0" xr:uid="{0823922E-9E47-4018-B6B9-4DE2D3E5A633}">
      <text>
        <r>
          <rPr>
            <sz val="10"/>
            <color rgb="FF000000"/>
            <rFont val="Arial"/>
            <family val="2"/>
            <scheme val="minor"/>
          </rPr>
          <t>Responder updated this value.</t>
        </r>
      </text>
    </comment>
    <comment ref="L212" authorId="0" shapeId="0" xr:uid="{363A4C1C-DB33-42F1-9284-F3C337018A5D}">
      <text>
        <r>
          <rPr>
            <sz val="10"/>
            <color rgb="FF000000"/>
            <rFont val="Arial"/>
            <family val="2"/>
            <scheme val="minor"/>
          </rPr>
          <t>Responder updated this value.</t>
        </r>
      </text>
    </comment>
    <comment ref="N214" authorId="0" shapeId="0" xr:uid="{1FD84413-4306-4536-AB7B-B7859DED7D84}">
      <text>
        <r>
          <rPr>
            <sz val="10"/>
            <color rgb="FF000000"/>
            <rFont val="Arial"/>
            <family val="2"/>
            <scheme val="minor"/>
          </rPr>
          <t>Responder updated this value.</t>
        </r>
      </text>
    </comment>
    <comment ref="N215" authorId="0" shapeId="0" xr:uid="{B57A39D2-0CA2-4C24-A50C-89C98D298918}">
      <text>
        <r>
          <rPr>
            <sz val="10"/>
            <color rgb="FF000000"/>
            <rFont val="Arial"/>
            <family val="2"/>
            <scheme val="minor"/>
          </rPr>
          <t>Responder updated this value.</t>
        </r>
      </text>
    </comment>
    <comment ref="L216" authorId="0" shapeId="0" xr:uid="{2C8A3095-6FEA-4CCD-A324-A2F8032C0988}">
      <text>
        <r>
          <rPr>
            <sz val="10"/>
            <color rgb="FF000000"/>
            <rFont val="Arial"/>
            <family val="2"/>
            <scheme val="minor"/>
          </rPr>
          <t>Responder updated this value.</t>
        </r>
      </text>
    </comment>
    <comment ref="N216" authorId="0" shapeId="0" xr:uid="{D9A5E7A9-3AD1-4903-81BA-D97E87A83FB7}">
      <text>
        <r>
          <rPr>
            <sz val="10"/>
            <color rgb="FF000000"/>
            <rFont val="Arial"/>
            <family val="2"/>
            <scheme val="minor"/>
          </rPr>
          <t>Responder updated this value.</t>
        </r>
      </text>
    </comment>
    <comment ref="L218" authorId="0" shapeId="0" xr:uid="{4E357A0B-AD69-498F-984C-CEC8B460783B}">
      <text>
        <r>
          <rPr>
            <sz val="10"/>
            <color rgb="FF000000"/>
            <rFont val="Arial"/>
            <family val="2"/>
            <scheme val="minor"/>
          </rPr>
          <t>Responder updated this value.</t>
        </r>
      </text>
    </comment>
  </commentList>
</comments>
</file>

<file path=xl/sharedStrings.xml><?xml version="1.0" encoding="utf-8"?>
<sst xmlns="http://schemas.openxmlformats.org/spreadsheetml/2006/main" count="6773" uniqueCount="841">
  <si>
    <t>KẾT QUẢ PHÊ DUYỆT TÊN ĐỀ TÀI - KHOA KHÁCH SẠN NHÀ HÀNG QUỐC TẾ</t>
  </si>
  <si>
    <t>ĐỢT 06/2026</t>
  </si>
  <si>
    <t>SV ĐÃ ĐĂNG KÝ THỰC TẬP VÀ NỘP PHIẾU TIẾP NHẬN SV THỰC TẬP NHƯNG KHÔNG ĐĂNG KÝ TÊN ĐỀ TÀI ĐÚNG HẠN BỊ HỦY ĐĂNG KÝ THỰC TẬP ĐỢT 06/2026. SV CHỜ THÔNG BÁO VỀ ĐỢT THỰC TẬP VÀ TỐT NGHIỆP ĐỢT 12/2026 ĐỂ ĐĂNG KÝ THỰC TẬP LẠI</t>
  </si>
  <si>
    <t>Mã số sinh viên (đầy đủ)</t>
  </si>
  <si>
    <t>Họ và tên</t>
  </si>
  <si>
    <t>Ngày sinh</t>
  </si>
  <si>
    <t>Lớp (ví dụ: K28DLK 1)</t>
  </si>
  <si>
    <t>Chuyên ngành</t>
  </si>
  <si>
    <t>Khóa</t>
  </si>
  <si>
    <t>Bộ phận thực tập</t>
  </si>
  <si>
    <t>Tên giảng viên hướng dẫn</t>
  </si>
  <si>
    <t>DIỆN THAM GIA LÀM BÀI TỐT NGHIỆP CUỐI KHÓA</t>
  </si>
  <si>
    <t>Xét duyệt TÊN ĐỀ TÀI của TRƯỞNG KHOA</t>
  </si>
  <si>
    <t>Lê Anh Tú</t>
  </si>
  <si>
    <t>19/08/2001</t>
  </si>
  <si>
    <t>K25PSUDLK 17</t>
  </si>
  <si>
    <t>Quản trị Du lịch &amp; Khách sạn chuẩn PSU</t>
  </si>
  <si>
    <t>K25</t>
  </si>
  <si>
    <t>ALANI SEA VIEW HOTEL</t>
  </si>
  <si>
    <t>Tiền sảnh</t>
  </si>
  <si>
    <t>Báo cáo kết quả thực tập và thực trạng chất lượng đội ngũ lao động bộ phận tiền sảnh tại Alani Sea View Hotel</t>
  </si>
  <si>
    <t>Huỳnh Lý Thùy Linh</t>
  </si>
  <si>
    <t>DUYỆT</t>
  </si>
  <si>
    <t>Nguyễn Võ Phương Dung</t>
  </si>
  <si>
    <t>12/10/2004</t>
  </si>
  <si>
    <t>K28DLK3</t>
  </si>
  <si>
    <t>Quản trị Du lịch &amp; Khách sạn</t>
  </si>
  <si>
    <t>K28</t>
  </si>
  <si>
    <t>Da Nang Mikazuki Japanese Resorts &amp; Spa</t>
  </si>
  <si>
    <t>Nhà hàng</t>
  </si>
  <si>
    <t xml:space="preserve">Báo cáo kết quả thực tập và thực trạng về chất lượng cơ sở vật chất tại nhà hàng The Blue thuộc Da Nang Mikazuki Japanese Resorts &amp; Spa </t>
  </si>
  <si>
    <t>Nguyễn Thị Minh Thư</t>
  </si>
  <si>
    <t>Nguyễn Hồ Thị Khánh Hiền</t>
  </si>
  <si>
    <t>26/06/2004</t>
  </si>
  <si>
    <t>K28DLK2</t>
  </si>
  <si>
    <t>Peninsula Hotel Danang</t>
  </si>
  <si>
    <t>Báo cáo kết quả thực tập và thực trạng các yếu tố ảnh hưởng đến chất lượng phục vụ tại nhà hàng The Veranda thuộc Peninsula Hotel Danang</t>
  </si>
  <si>
    <t>Đặng Thị Thùy Trang</t>
  </si>
  <si>
    <t>Trần Thị Khánh Huyền</t>
  </si>
  <si>
    <t>04/12/2004</t>
  </si>
  <si>
    <t>K28DLK1</t>
  </si>
  <si>
    <t>Da Nang Mikazuki Japanese Resorts and Spa</t>
  </si>
  <si>
    <t xml:space="preserve">Báo cáo kết quả thực tập và thực trạng quy trình phục vụ A La Carte tại nhà hàng Matsuri thuộc Da Nang Mikazuki Japanese Resorts &amp; Spa </t>
  </si>
  <si>
    <t>Trương Thị Hoàng Nhi</t>
  </si>
  <si>
    <t>16/08/2004</t>
  </si>
  <si>
    <t>Danang Mikazuki Japanese Resorts &amp; Spa</t>
  </si>
  <si>
    <t>Báo cáo kết quả thực tập và thực trạng về các yếu tố ảnh hưởng đến chất lượng phục vụ tại bộ phận tiền sảnh thuộc Danang Mikazuki Japanese Resorts&amp; Spa</t>
  </si>
  <si>
    <t>Trịnh Thị Kim Chung</t>
  </si>
  <si>
    <t>Nguyễn Thị Mỹ Linh</t>
  </si>
  <si>
    <t>28/01/2004</t>
  </si>
  <si>
    <t>K28DLK 4</t>
  </si>
  <si>
    <t>Rosamia Da Nang Hotel</t>
  </si>
  <si>
    <t>Báo cáo kết quả thực tập và thực trạng về quy trình phục vụ tại nhà hàng Marina thuộc Rosamia Da Nang Hotel</t>
  </si>
  <si>
    <t>Mai Thị Thương</t>
  </si>
  <si>
    <t xml:space="preserve">H Bươi Kbuôr </t>
  </si>
  <si>
    <t>24/3/2004</t>
  </si>
  <si>
    <t>Novotel Danang Premier Han River</t>
  </si>
  <si>
    <t>Nguyễn Thị Thuỳ Nhung</t>
  </si>
  <si>
    <t>08/11/2004</t>
  </si>
  <si>
    <t>Da Nang Mikazuki Japanese Resort and Spa</t>
  </si>
  <si>
    <t>Báo cáo kết quả thực tập và thực trạng về chất lượng đội ngũ lao động tại bộ phận nhà hàng Matsuri thuộc Da Nang Mikazuki Japanese Resorts and Spa</t>
  </si>
  <si>
    <t xml:space="preserve">Nguyễn Thị Thanh Trâm </t>
  </si>
  <si>
    <t>24/02/2004</t>
  </si>
  <si>
    <t>Shilla Monogram Danang</t>
  </si>
  <si>
    <t>Báo cáo kết quả thực tập và thực trạng về các yếu tố ảnh hưởng đến chất lượng phục vụ tại nhà hàng Bar M thuộc khách sạn Shilla Monogram Danang</t>
  </si>
  <si>
    <t>Vũ Tài Lân</t>
  </si>
  <si>
    <t>04/01/2004</t>
  </si>
  <si>
    <t>Novotel danang premier</t>
  </si>
  <si>
    <t>Buồng phòng</t>
  </si>
  <si>
    <t xml:space="preserve">Báo cáo kết quả thực tập và thực trạng quy trình vệ sinh Buồng tại bộ phận Buồng khách sạn Novotel Danang Premier </t>
  </si>
  <si>
    <t>Phạm Thị Thu Thủy</t>
  </si>
  <si>
    <t>Nguyễn Lưu Thu Vân</t>
  </si>
  <si>
    <t>04/02/2004</t>
  </si>
  <si>
    <t>K28DLK 3</t>
  </si>
  <si>
    <t>Báo cáo kết quả thực tập và thực trạng quy trình vệ sinh buồng khách tại bộ phận Buồng phòng của Da Nang Mikazuki Japanese Resorts &amp; Spa</t>
  </si>
  <si>
    <t>Hồ Minh Phúc</t>
  </si>
  <si>
    <t>Nguyễn Thị Thanh Uyên</t>
  </si>
  <si>
    <t>07/09/2000</t>
  </si>
  <si>
    <t>K28PSUDLK</t>
  </si>
  <si>
    <t>Hyatt Regency Danang Resort and Spa</t>
  </si>
  <si>
    <t>Báo cáo kết quả thực tập và thực trạng về các yếu tố ảnh hưởng đến chất lượng phục vụ tại nhà hàng Osteria al Mare thuộc Hyatt Regency Danang Resort and Spa</t>
  </si>
  <si>
    <t>Nguyễn Hà Thiên Trúc</t>
  </si>
  <si>
    <t>22/09/2004</t>
  </si>
  <si>
    <t>K28DLK4</t>
  </si>
  <si>
    <t>Hotel Royal Hoi An Danang</t>
  </si>
  <si>
    <t>Nhân sự</t>
  </si>
  <si>
    <t>Hồ Sử Minh Tài</t>
  </si>
  <si>
    <t>Trịnh Gia Huy</t>
  </si>
  <si>
    <t>25/11/2004</t>
  </si>
  <si>
    <t>Báo cáo kết quả thực tập và thực trạng quy trình phục vụ À La Carte tại nhà hàng The Veranda thuộc Peninsula Hotel Danang</t>
  </si>
  <si>
    <t>Võ Thị Bích Nga</t>
  </si>
  <si>
    <t>05/02/2004</t>
  </si>
  <si>
    <t>Da Nang Mikazuki Japanese Resorts &amp; Spa.</t>
  </si>
  <si>
    <t>Báo cáo kết quả thực tập và thực trạng quy trình phục vụ A La Carte tại nhà hàng The Blue thuộc Da Nang Mikazuki Japanese Resorts &amp; Spa.</t>
  </si>
  <si>
    <t>Đỗ Ngọc Thanh Lan</t>
  </si>
  <si>
    <t>13/07/2004</t>
  </si>
  <si>
    <t>Danang Marriott Resort &amp; Spa, Non Nuoc Beach Villas</t>
  </si>
  <si>
    <t>Báo cáo kết quả thực tập và thực trạng về các yếu tố ảnh đến chất lượng phục vụ tại nhà hàng Man Ho thuộc Danang Marriott Resort &amp; Spa, Non Nuoc Beach Villas</t>
  </si>
  <si>
    <t>Trần Quỳnh Oanh</t>
  </si>
  <si>
    <t>13/04/2003</t>
  </si>
  <si>
    <t>K28DLK7</t>
  </si>
  <si>
    <t>Báo cáo kết quả thực tập và thực trạng quy trình phục vụ buffet sáng  tại nhà hàng Man Ho thuộc DaNang Marriott Resort &amp; Spa, Non Nuoc Beach Villas</t>
  </si>
  <si>
    <t>Phan Thị Cẩm Ly</t>
  </si>
  <si>
    <t>20/05/2004</t>
  </si>
  <si>
    <t>Grand Tourane Hotel Danang</t>
  </si>
  <si>
    <t>Báo cáo kết quả thực tập và thực trạng các yếu tố ảnh hưởng đến chất lượng phục vụ buffet sáng tại nhà hàng Bella Vista tại khách sạn Grand Tourane Hotel Danang</t>
  </si>
  <si>
    <t>Trần Hoàng Anh</t>
  </si>
  <si>
    <t>Phạm Hồng Nguyên</t>
  </si>
  <si>
    <t>18/07/2004</t>
  </si>
  <si>
    <t>Báo cáo kết quả thực tập và thực trạng về chính sách đãi ngộ lao động tại bộ phận nhà hàng thuộc Rosamia Da Nang Hotel</t>
  </si>
  <si>
    <t>Đỗ Thị Minh Thảo</t>
  </si>
  <si>
    <t>04/10/2004</t>
  </si>
  <si>
    <t>Meliá Vinpearl Danang Riverfront</t>
  </si>
  <si>
    <t>‭‭‭Báo cáo kết quả thực tập và thực trạng quy trình phục vụ buffet sáng tại nhà hàng Han River 2 thuộc ‬‬‬Meliá Vinpearl Danang Riverfront</t>
  </si>
  <si>
    <t>LÊ VĂN TÂY</t>
  </si>
  <si>
    <t>20/06/1997</t>
  </si>
  <si>
    <t>K29DLK7</t>
  </si>
  <si>
    <t>K29</t>
  </si>
  <si>
    <t>Royal Lotus Hotel Danang</t>
  </si>
  <si>
    <t>Báo cáo kết quả thực tập và thực trạng chất lượng đội ngũ lao động tại bộ phận buồng phòng thuộc Royal Lotus Hotel Danang</t>
  </si>
  <si>
    <t>Phạm Thị Hoàng Dung</t>
  </si>
  <si>
    <t>Phạm Trường Sơn</t>
  </si>
  <si>
    <t>28-11-2004</t>
  </si>
  <si>
    <t>K28DLK 6</t>
  </si>
  <si>
    <t>Báo cáo kết quả thực tập và thực trạng về các yếu tố ảnh hưởng đến chất lượng phục vụ tại nhà hàng Marina khách sạn Rosamia Da Nang Hotel</t>
  </si>
  <si>
    <t>Lương Nguyễn Minh Thư</t>
  </si>
  <si>
    <t>02/01/2004</t>
  </si>
  <si>
    <t>Radisson Hotel Danang</t>
  </si>
  <si>
    <t>Báo cáo kết quả thực tập và thực trạng quy trình vệ sinh buồng tại bộ phận buồng khách sạn Radisson Hotel Danang</t>
  </si>
  <si>
    <t xml:space="preserve">Võ Thị Xuân Lệ </t>
  </si>
  <si>
    <t>14/07/2003</t>
  </si>
  <si>
    <t>K27DLK1</t>
  </si>
  <si>
    <t>K27</t>
  </si>
  <si>
    <t>Báo cáo kết quả thực tập và thực trạng quy trình phục vụ A La Carte tại nhà hàng Man Ho thuộc DaNang Marriott Resort &amp; Spa, Non Nuoc Beach Villas</t>
  </si>
  <si>
    <t>Huỳnh Văn Nhật Khánh</t>
  </si>
  <si>
    <t>03/09/2003</t>
  </si>
  <si>
    <t>K27DLK6</t>
  </si>
  <si>
    <t>Hyatt Regency Danang Resort &amp; Spa</t>
  </si>
  <si>
    <t>Báo cáo kết quả thực tập và thực trạng các yếu tố ảnh hưởng đến chất lượng phục vụ tại nhà hàng Vive Océane thuộc Hyatt Regency Danang Resort &amp; Spa</t>
  </si>
  <si>
    <t>Dương Thị Xuân Diệu</t>
  </si>
  <si>
    <t>Lê Thị Thanh Thảo</t>
  </si>
  <si>
    <t>25/4/2003</t>
  </si>
  <si>
    <t>Báo cáo kết quả thực tập và thực trạng quy trình phục vụ buffet sáng tại nhà hàng thuộc Palm Garden Resort</t>
  </si>
  <si>
    <t>Võ Quỳnh Nhi</t>
  </si>
  <si>
    <t>22/01/2004</t>
  </si>
  <si>
    <t xml:space="preserve"> Báo cáo kết quả thực tập và thực trạng quy trình phục vụ Buffet sáng tại nhà hàng The Blue thuộc Da Nang Mikazuki Japanese Resorts &amp; Spa.</t>
  </si>
  <si>
    <t>Lê Châu Quyên</t>
  </si>
  <si>
    <t>27/08/2004</t>
  </si>
  <si>
    <t>Four Points by Sheraton Danang</t>
  </si>
  <si>
    <t>Báo cáo kết quả thực tập và thực trạng quy trình phục vụ Buffet sáng tại nhà hàng The Eatery thuộc Four Points by Sheraton Danang</t>
  </si>
  <si>
    <t>Lê Hồng Tiên</t>
  </si>
  <si>
    <t>02/12/2004</t>
  </si>
  <si>
    <t>Hyatt Regency Da Nang Resort and Spa</t>
  </si>
  <si>
    <t>Khác</t>
  </si>
  <si>
    <t>Báo cáo kết quả thực tập và thực trạng về chất lượng đội ngũ lao động của Vie Spa tại Hyatt Recengy Danang Resort and Spa</t>
  </si>
  <si>
    <t>Võ Thị Mơ</t>
  </si>
  <si>
    <t>04/04/2004</t>
  </si>
  <si>
    <t>K28PSUDLH</t>
  </si>
  <si>
    <t>Quản trị Du lịch &amp; Nhà hàng chuẩn PSU</t>
  </si>
  <si>
    <t>Pullman Danang Beach Resort</t>
  </si>
  <si>
    <t>Trần Thị Mỹ Linh</t>
  </si>
  <si>
    <t>DUYỆT, CẦN CHỈNH SỬA</t>
  </si>
  <si>
    <t>Không để tên đề tài trong dấu phẩy</t>
  </si>
  <si>
    <t>Đặng Nguyễn Ngọc Uyên</t>
  </si>
  <si>
    <t>06/12/2004</t>
  </si>
  <si>
    <t>K28DLK5</t>
  </si>
  <si>
    <t>Báo cáo kết quả thực tập và thực trạng quy trình phục vụ buffet sáng tại nhà hàng Rumba thuộc Meliá Vinpearl Danang Riverfront</t>
  </si>
  <si>
    <t>Nguyễn Thị Mỹ Tâm</t>
  </si>
  <si>
    <t>06/01/2004</t>
  </si>
  <si>
    <t>K28DLK 5</t>
  </si>
  <si>
    <t>Hilton Garden Inn Đà Nẵng</t>
  </si>
  <si>
    <t xml:space="preserve"> Báo cáo kết quả thực tập và  thực trạng quy trình phục vụ buffet sáng tại nhà hàng Together &amp; Co tại khách sạn Hilton Garden Inn Đà Nẵng</t>
  </si>
  <si>
    <t>Lê Thị Như Quỳnh</t>
  </si>
  <si>
    <t>18/12/2004</t>
  </si>
  <si>
    <t>KHÔNG DUYỆT</t>
  </si>
  <si>
    <t>Trần Thị Thuỳ Trang</t>
  </si>
  <si>
    <t>K28DLK8</t>
  </si>
  <si>
    <t xml:space="preserve"> Báo cáo kết quả thực tập và thực trạng quy trình phục vụ buffet lẩu tại nhà hàng Karan Hot Pot thuộc Da Nang Mikazuki Japanese Resorts &amp; Spa</t>
  </si>
  <si>
    <t>Lê Huỳnh Kim Huệ</t>
  </si>
  <si>
    <t>13/02/2004</t>
  </si>
  <si>
    <t>K28DLK 2</t>
  </si>
  <si>
    <t>Fusion Resort &amp; Villas Da Nang</t>
  </si>
  <si>
    <t>Báo cáo kết quả thực tập và thực trạng quy trình phục vụ Buffet sáng tại Nhà hàng Fresh thuộc Fusion Resort &amp; Villas Da Nang</t>
  </si>
  <si>
    <t>Nguyễn Nho Phương Thảo</t>
  </si>
  <si>
    <t>30/01/2004</t>
  </si>
  <si>
    <t>K28 DLK3</t>
  </si>
  <si>
    <t>Báo cáo kết quả thực tập và thực trạng về chất lượng đội ngũ lao động tại nhà hàng Karan thuộc Da Nang Mikazuki Japanese Resorts &amp; Spa</t>
  </si>
  <si>
    <t>Lê Song Diệu Hiền</t>
  </si>
  <si>
    <t>4/10/2004</t>
  </si>
  <si>
    <t>K28DLK 1</t>
  </si>
  <si>
    <t>Báo cáo kết quả thực tập và thực trạng về các yếu tố ảnh hưởng đến chất lượng phục vụ tại nhà hàng The Blue thuộc Da Nang Mikazuki Japanese Resorts &amp; Spa</t>
  </si>
  <si>
    <t>Lê Hà Khánh Đoan</t>
  </si>
  <si>
    <t>01/02/2004</t>
  </si>
  <si>
    <t>Báo cáo kết quả thực tập và thực trạng về chất lượng đội ngũ lao động tại nhà hàng The Blue thuộc Da Nang Mikazuki Japanese Resorts and Spa</t>
  </si>
  <si>
    <t xml:space="preserve">Nguyễn Vương Thục Khanh </t>
  </si>
  <si>
    <t>27/12/2003</t>
  </si>
  <si>
    <t>Renaissance Hong Kong Harbour View Hotel</t>
  </si>
  <si>
    <t>Báo cáo kết quả thực tập và thực trạng quy trình phục vụ buffet sáng tại nhà hàng Cafe Renaissance thuộc Renaissance Hong Kong Harbour View Hotel.</t>
  </si>
  <si>
    <t xml:space="preserve">Phạm Lê Uyên My </t>
  </si>
  <si>
    <t>4/8/2003</t>
  </si>
  <si>
    <t>K27DLK 4</t>
  </si>
  <si>
    <t xml:space="preserve">Báo cáo kết quả thực tập và thực trạng quy trình vệ sinh buồng khách tại bộ phận Buồng phòng của Rosamia Da Nang Hotel	</t>
  </si>
  <si>
    <t>Phan Ngọc Xuân Hân</t>
  </si>
  <si>
    <t>01/10/2004</t>
  </si>
  <si>
    <t>Báo cáo kết quả thực tập và thực trạng các yếu tố ảnh hưởng đến chất lượng phục vụ tại bộ phận Buồng phòng của Danang Mikazuki Japanese Resorts and Spa</t>
  </si>
  <si>
    <t>Lê Thị Mỹ Tâm</t>
  </si>
  <si>
    <t>03/03/2004</t>
  </si>
  <si>
    <t>Sheraton Phu Quoc Long Beach Resort</t>
  </si>
  <si>
    <t>Báo cáo kết quả thực tập và thực trạng quy trình phục vụ A La Carte tại nhà hàng The Sands thuộc Sheraton Phu Quoc Long Beach Resort</t>
  </si>
  <si>
    <t>Hoàng Ngọc Vũ</t>
  </si>
  <si>
    <t>06/03/2004</t>
  </si>
  <si>
    <t>Báo cáo kết quả thực tập và thực trạng quy trình phục vụ A La Carte tại Nhà Hàng Fresh thuộc Fusion Resort &amp; Villas Da Nang.</t>
  </si>
  <si>
    <t xml:space="preserve">Kỳ Thị Kim Ngân </t>
  </si>
  <si>
    <t>10/03/2004</t>
  </si>
  <si>
    <t xml:space="preserve">Shilla Monogram Danang </t>
  </si>
  <si>
    <t>Báo cáo kết quả thực tập và thực trạng quy trình vệ sinh buồng khách tại bộ phận Buồng phòng của Shilla Monogram Danang</t>
  </si>
  <si>
    <t xml:space="preserve">Nguyễn Thị Liên </t>
  </si>
  <si>
    <t>14-01-2004</t>
  </si>
  <si>
    <t>InterContinental Danang Sun Peninsula Resort</t>
  </si>
  <si>
    <t>Đặng Thị Thảo Ly</t>
  </si>
  <si>
    <t>8/2/2004</t>
  </si>
  <si>
    <t>Da Nang Mikazuki Japanese Resort &amp; Spa</t>
  </si>
  <si>
    <t>Báo cáo kết quả thực tập và thực trạng quy trình phục vụ tại nhà hàng The Blue thuộc Da Nang Mikazuki Japanese Resorts &amp; Spa</t>
  </si>
  <si>
    <t>Trần Thị Thủy Tú</t>
  </si>
  <si>
    <t>17/05/2004</t>
  </si>
  <si>
    <t>Wyndham Danang Golden Bay Hotel</t>
  </si>
  <si>
    <t>Báo cáo kết quả thực tập và thực trạng quy trình phục vụ buffet sáng tại nhà hàng Horizon thuộc khách sạn Wyndham Danang Golden Bay Hotel</t>
  </si>
  <si>
    <t>Trương Thị Ánh Nguyệt</t>
  </si>
  <si>
    <t>25-07-2004</t>
  </si>
  <si>
    <t>Báo cáo kết quả thực tập và thực trạng các yếu tố ảnh hưởng đến chất lượng phục vụ buffet sáng tại nhà hàng The Horizon tại khách sạn Wyndham Danang Golden Bay Hotel</t>
  </si>
  <si>
    <t>Nguyễn Thị Bảo Trâm</t>
  </si>
  <si>
    <t>21/01/2004</t>
  </si>
  <si>
    <t>Shilla Monogram DaNang</t>
  </si>
  <si>
    <t>Nguyễn Đỗ My Na</t>
  </si>
  <si>
    <t>04/05/2004</t>
  </si>
  <si>
    <t>Huỳnh Thị Tài</t>
  </si>
  <si>
    <t>29/09/2004</t>
  </si>
  <si>
    <t>Báo cáo kết quả thực tập và thực trạng quy trình phục vụ Buffet sáng tại nhà hàng Osteria Al Mare thuộc Hyatt Regency Danang Resort and Spa</t>
  </si>
  <si>
    <t>Phan Thị Mỹ Linh</t>
  </si>
  <si>
    <t>24/07/2004</t>
  </si>
  <si>
    <t>Sheraton Saigon Grand Opera Hotel</t>
  </si>
  <si>
    <t>Báo cáo kết quả thực tập và thực trạng quy trình vệ sinh buồng khách tại bộ phận Buồng phòng của khách sạn Sheraton Saigon Grand Opera</t>
  </si>
  <si>
    <t>Võ Thái Thu Hoài</t>
  </si>
  <si>
    <t>28/10/2003</t>
  </si>
  <si>
    <t>Hilton DaNang</t>
  </si>
  <si>
    <t>Báo cáo kết quả thực tập và thực trạng quy trình vệ sinh buồng khách tại bộ phận Buồng phòng của khách sạn Hilton Danang</t>
  </si>
  <si>
    <t xml:space="preserve">Lê Thị Quỳnh như </t>
  </si>
  <si>
    <t>09/06/2004</t>
  </si>
  <si>
    <t>Hilton Da Nang</t>
  </si>
  <si>
    <t>Báo cái kết quả thực tập và thực trạng quy trình phục vụ buffet sáng tại nhà hàng Brasserie Nam tại khách sạn Hilton Da Nang.</t>
  </si>
  <si>
    <t>Huỳnh Tuyết Nữ</t>
  </si>
  <si>
    <t>14/03/2003</t>
  </si>
  <si>
    <t>Grand Mercure Danang</t>
  </si>
  <si>
    <t>Báo cáo kết quả thực tập và thực trạng quy trình phục vụ ALaCarte tại bộ phận nhà hàng Veranda Vietnamese tại khách sạn Grand Mercure Danang</t>
  </si>
  <si>
    <t>Phạm Lê Uyên Nhi</t>
  </si>
  <si>
    <t>04/08/2003</t>
  </si>
  <si>
    <t>K27DLK 2</t>
  </si>
  <si>
    <t>Báo cáo kết quả thực tập và thực trạng quy trình phục vụ khách lưu trú tại bộ phận Buồng phòng của Rosamia Da Nang Hotel</t>
  </si>
  <si>
    <t xml:space="preserve">Lê Thị Kim Chi </t>
  </si>
  <si>
    <t>Báo cáo kết quả thực tập và thực trạng quy trình phục vụ A La Carte tại nhà hàng The Sail Rooftop Dining tại khách sạn Hilton Da Nang</t>
  </si>
  <si>
    <t>Hà Thanh Thảo</t>
  </si>
  <si>
    <t>17/03/2004</t>
  </si>
  <si>
    <t>Báo cáo kết quả thực tập và thực trạng quy trình chuẩn bị buồng đón tiếp khách VIP tại bộ phận Buồng phòng của Shilla Monogram Danang Resort</t>
  </si>
  <si>
    <t>Lê Nhật Khánh</t>
  </si>
  <si>
    <t>13/11/2004</t>
  </si>
  <si>
    <t>The Pearl Hoi An</t>
  </si>
  <si>
    <t>Báo cáo kết quả thực tập và thực trạng quy trình phục vụ buffet sáng tại nhà hàng The Pearl Zone tại khách sạn The Pearl Hoi An</t>
  </si>
  <si>
    <t>Nguyễn Vũ Quân</t>
  </si>
  <si>
    <t>17/12/2001</t>
  </si>
  <si>
    <t>K25DLK24</t>
  </si>
  <si>
    <t>Khách Sạn Mường Thanh Luxury Đà Nẵng</t>
  </si>
  <si>
    <t>Báo cáo kết quả thực tập và thực trạng quy trình phục vụ khách lưu trú tại bộ phận Buồng phòng của khách sạn Mường Thanh Luxury Đà Nẵng</t>
  </si>
  <si>
    <t>Lương Mỹ Thịnh</t>
  </si>
  <si>
    <t>26/07/2004</t>
  </si>
  <si>
    <t>Báo cáo kết quả thực tập và thực trạng quy trình phục vụ set menu tại nhà hàng Veranda thuộc Peninsula Hotel Danang</t>
  </si>
  <si>
    <t>Phan Thanh Quyền</t>
  </si>
  <si>
    <t>29-01-2004</t>
  </si>
  <si>
    <t>Báo cáo kết quả thực tập và thực trạng quy trình phục vụ AlaCarte tại nhà hàng Bella Vista tại Grand Tourane Hotel Danang</t>
  </si>
  <si>
    <t>Võ Thị Mỹ Lệ</t>
  </si>
  <si>
    <t>Renaissance Danang Hoi An Resort &amp; Spa</t>
  </si>
  <si>
    <t>Báo cáo kết quả thực tập và thực trạng quy trình vệ sinh buồng khách tại bộ phận Buồng phòng của Renaissance Da Nang Hoi An Resort &amp; Spa</t>
  </si>
  <si>
    <t>Đinh Ngọc Gia Hân</t>
  </si>
  <si>
    <t>04/11/2004</t>
  </si>
  <si>
    <t>K28PSU DLK</t>
  </si>
  <si>
    <t>Báo cáo kết quả thực tập và thực trạng quy trình phục vụ Buffet sáng tại Recency Club thuộc Hyatt Recency Danang Resort and Spa</t>
  </si>
  <si>
    <t>Võ Trần Phúc Ngân</t>
  </si>
  <si>
    <t>28/7/2004</t>
  </si>
  <si>
    <t xml:space="preserve">Báo cáo kết quả thực tập và thực trạng quy trình phục vụ A La Carte tại nhà hàng Sushi Tamahime thuộc Da Nang Mikazuki Japanese Resorts &amp; Spa </t>
  </si>
  <si>
    <t>Võ Thị Lệ Huyền</t>
  </si>
  <si>
    <t>11/10/2004</t>
  </si>
  <si>
    <t>Báo cáo kết quả thực tập và thực trạng quy trình phục vụ buffet sáng tại nhà hàng La Rive Gauche tại khách sạn Grand Mercure Danang</t>
  </si>
  <si>
    <t xml:space="preserve">Phạm Thị Mai Phi </t>
  </si>
  <si>
    <t>27/10/2003</t>
  </si>
  <si>
    <t xml:space="preserve">K28 DLK7 </t>
  </si>
  <si>
    <t>Nguyễn Đức Anh Tuấn</t>
  </si>
  <si>
    <t>24/10/2003</t>
  </si>
  <si>
    <t>K27DLK5</t>
  </si>
  <si>
    <t>Báo cáo kết quả thực tập và thực trạng cơ sở vật chất tại bộ phận Nhà hàng thuộc Hyatt Regency Danang Resort and Spa</t>
  </si>
  <si>
    <t>Giáp Thị Huyền Trang</t>
  </si>
  <si>
    <t>K28DLK6</t>
  </si>
  <si>
    <t>Báo cáo kết quả thực tập và thực trạng về các yếu tố ảnh hưởng đến chất lượng phục vụ tại nhà hàng Matsuri thuộc Da Nang Mikazuki Japanese Resorts &amp; Spa</t>
  </si>
  <si>
    <t>Phạm Thị Thuý Tâm</t>
  </si>
  <si>
    <t>03/06/2004</t>
  </si>
  <si>
    <t>Phạm Thị Phương Thảo</t>
  </si>
  <si>
    <t>03/04/2004</t>
  </si>
  <si>
    <t>K28 PSU DLK</t>
  </si>
  <si>
    <t>Danang Marriott Resort &amp; Spa, Non Nuoc Beach Villas.</t>
  </si>
  <si>
    <t>Báo cáo kết quả thực tập và thực trạng quy trình phục vụ buồng tại bộ phận buồng Danang Marriott Resort &amp; Spa, Non Nuoc Beach Villas.</t>
  </si>
  <si>
    <t xml:space="preserve">Phan Thị Lan Anh </t>
  </si>
  <si>
    <t>10/08/2003</t>
  </si>
  <si>
    <t>Báo cáo kết quả thực tập và thực trạng quy trình phục vụ buồng tại bộ phận buồng khách sạn Radisson Hotel Danang.</t>
  </si>
  <si>
    <t>Phạm Thị Ngọc Thảo</t>
  </si>
  <si>
    <t>14/04/2004</t>
  </si>
  <si>
    <t xml:space="preserve">Hyatt Regency Danang Resort and Spa </t>
  </si>
  <si>
    <t xml:space="preserve"> Báo cáo kết quả thực tập và Thực trạng quy trình chuẩn bị buồng đón khách VIP tại bộ phận buồng phòng Hyatt Regency Danang Resort and Spa.</t>
  </si>
  <si>
    <t>Lê Thị Anh</t>
  </si>
  <si>
    <t>14/05/2004</t>
  </si>
  <si>
    <t>Báo cáo kết quả thực tập và thực trạng về các yếu tố ảnh hưởng đến chất lượng phục vụ tại nhà hàng Karan Hot Pot thuộc Da Nang Mikazuki Japanese Resorts &amp; Spa.</t>
  </si>
  <si>
    <t xml:space="preserve">Trần Thị Thu Hà </t>
  </si>
  <si>
    <t>04/06/2004</t>
  </si>
  <si>
    <t xml:space="preserve">Meliá Vinpearl Danang Riverfront </t>
  </si>
  <si>
    <t xml:space="preserve">Báo cáo kết quả thực tập và thực trạng quy trình chuẩn bị buồng đón khách VIP tại bộ phận buồng tại khách sạn  Meliá Vinpearl Danang Riverfront </t>
  </si>
  <si>
    <t xml:space="preserve">Nguyễn Phan Hoài Thư </t>
  </si>
  <si>
    <t>07/08/2004</t>
  </si>
  <si>
    <t>Báo cáo kết quả thực tập và thực trạng quy trình vệ sinh khu vực công cộng tại bộ phận buồng Hyatt Regency Danang Resort and Spa</t>
  </si>
  <si>
    <t>Lê Thị Bảo Trang</t>
  </si>
  <si>
    <t>10/5/2004</t>
  </si>
  <si>
    <t>Báo cáo kết quả thực tập và thực trạng quy trình phục vụ buồng tại bộ phận buồng khách sạn Grand Mercure Danang</t>
  </si>
  <si>
    <t xml:space="preserve">Thái Thị Minh Anh </t>
  </si>
  <si>
    <t>08/01/1999</t>
  </si>
  <si>
    <t>Báo cáo kết quả thực tập và thực trạng Quy trình phục vụ buồng tại bộ phận buồng Fusion Resort &amp; Villas Da Nang</t>
  </si>
  <si>
    <t>Huỳnh Đặng Kỳ Duyên</t>
  </si>
  <si>
    <t>08/10/2003</t>
  </si>
  <si>
    <t>Báo cáo kết quả thực tập và thực trạng quy trình phục vụ buồng tại bộ phận buồng khách sạn Meliá Vinpearl Danang Riverfront</t>
  </si>
  <si>
    <t>Nguyễn Thị Lan Anh</t>
  </si>
  <si>
    <t xml:space="preserve">Lê Thị Thanh Huyền </t>
  </si>
  <si>
    <t>26/10/2004</t>
  </si>
  <si>
    <t xml:space="preserve">K28DLK2 </t>
  </si>
  <si>
    <t>Báo cáo kết quả thực tập và thực trạng quy trình vệ sinh buồng tại bộ phận buồng Hyatt Regency Danang Resort and Spa</t>
  </si>
  <si>
    <t>Nguyễn Thanh Thuỷ</t>
  </si>
  <si>
    <t>Báo cáo kết quả thực tập và thực trạng quy trình phục vụ khách trong thời gian lưu trú tại bộ phận buồng khách sạn Meliá Vinpearl Danang Riverfront</t>
  </si>
  <si>
    <t xml:space="preserve">Trần Thị Kim Thùy </t>
  </si>
  <si>
    <t>15/04/2004</t>
  </si>
  <si>
    <t xml:space="preserve">K28DLK1 </t>
  </si>
  <si>
    <t xml:space="preserve">Novotel Danang Premier </t>
  </si>
  <si>
    <t>Báo cáo kết quả thực tập và thực trạng quy trình phục vụ buồng tại bộ phận buồng khách sạn Novotel Danang Premier</t>
  </si>
  <si>
    <t>Nguyễn Thị Việt Hà</t>
  </si>
  <si>
    <t>05/01/2004</t>
  </si>
  <si>
    <t>Danang Mikazuki Japanese Resorts&amp; Spa</t>
  </si>
  <si>
    <t>Báo cáo kết quả thực tập và thực trạng quy trình đăng ký khách sạn cho khách VIP tại bộ phận tiền sảnh thuộc Danang Mikazuki Japanese Resorts&amp; Spa</t>
  </si>
  <si>
    <t>Phan Thị Minh Trang</t>
  </si>
  <si>
    <t>14/05/2003</t>
  </si>
  <si>
    <t>Palm Garden Resort</t>
  </si>
  <si>
    <t>Báo cáo kết quả thực tập và thực trạng về các yếu tố ảnh hưởng đến chất lượng phục vụ tại bộ phận tiền sảnh thuộc Palm Garden Resort</t>
  </si>
  <si>
    <t xml:space="preserve">Nguyễn Thị Phương Thảo </t>
  </si>
  <si>
    <t>06/06/2004</t>
  </si>
  <si>
    <t xml:space="preserve">Báo cáo kết quả thực tập và thực trạng quy trình đăng ký khách sạn tại bộ phận tiền sảnh thuộc New World Hoiana Hotel </t>
  </si>
  <si>
    <t>Phạm Thị Thảo Nguyên</t>
  </si>
  <si>
    <t>21/05/2003</t>
  </si>
  <si>
    <t>K28DLK 8</t>
  </si>
  <si>
    <t>Risemount Premier Resort Đà Nẵng</t>
  </si>
  <si>
    <t>Báo cáo kết quả thực tập và thực trạng quy trình đăng ký khách sạn tại bộ phận tiền sảnh thuộc Risemount Premier Resort Da Nang</t>
  </si>
  <si>
    <t>Trần Hữu Thắng</t>
  </si>
  <si>
    <t>TRẦN VĂN LIÊM</t>
  </si>
  <si>
    <t>23/05/2001</t>
  </si>
  <si>
    <t>K25DLK 9</t>
  </si>
  <si>
    <t>Khách sạn Mường Thanh Luxury Đà Nẵng</t>
  </si>
  <si>
    <t>Báo cáo kết quả thực tập và thực trạng quy trình đăng ký khách sạn tại bộ phận tiền sảnh thuộc Khách sạn Mường Thanh Luxury Đà Nẵng</t>
  </si>
  <si>
    <t>Võ Quốc Việt</t>
  </si>
  <si>
    <t>10.02.2004</t>
  </si>
  <si>
    <t>k28 PSU DLK</t>
  </si>
  <si>
    <t>Báo cáo kết quả thực tập và thực trạng về các yếu tố ảnh hưởng đến chất lượng phục vụ tại bộ phận tiền sảnh thuộc Hyatt Regency Danang Resort &amp; Spa</t>
  </si>
  <si>
    <t>Đặng Thị Anh Thư</t>
  </si>
  <si>
    <t>13/05/2004</t>
  </si>
  <si>
    <t>Meliá Vinpearl Quang Binh</t>
  </si>
  <si>
    <t>Báo cáo kết quả thực tập và thực trạng quy trình phục vụ Buffet sáng tại nhà hàng Rumba khách sạn Meliá Vinpearl Quang Binh</t>
  </si>
  <si>
    <t>Nguyễn Đại Dương</t>
  </si>
  <si>
    <t>17/06/2004</t>
  </si>
  <si>
    <t>K28PSU-DLK 1</t>
  </si>
  <si>
    <t xml:space="preserve">InterContinental Danang Sun Peninsula Resort </t>
  </si>
  <si>
    <t xml:space="preserve">Báo cáo kết quả thực tập và thực trạng về các yếu tố ảnh hưởng đến chất lượng phục vụ tại bộ phận tiền sảnh thuộc InterContinental Danang Sun Peninsula Resort </t>
  </si>
  <si>
    <t>Hoàng Thị Bích Vy</t>
  </si>
  <si>
    <t>Báo cáo kết quả thực tập và thực trạng quy trình phục vụ khách trong thời gian lưu trú tại bộ phận buồng khách sạn Radisson Danang</t>
  </si>
  <si>
    <t xml:space="preserve">Dương Thị Ngọc Thư </t>
  </si>
  <si>
    <t>27/10/2004</t>
  </si>
  <si>
    <t>Báo cáo kết quả thực tập và thực trạng quy trình vệ sinh khu vực công cộng tại bộ phận buồng khách sạn Radisson  Hotel Danang</t>
  </si>
  <si>
    <t>Nguyễn Ngọc Thuỳ Linh</t>
  </si>
  <si>
    <t>21/11/2004</t>
  </si>
  <si>
    <t>Nguyễn Thị Việt Ngân</t>
  </si>
  <si>
    <t>09/02/2004</t>
  </si>
  <si>
    <t>Four Points by Sheraton Da Nang</t>
  </si>
  <si>
    <t xml:space="preserve"> Báo cáo kết quả thực tập và thực trạng chất lượng nguồn nhân lực tại Nhà hàng The Eatery thuộc Four Points by Sheraton Da Nang</t>
  </si>
  <si>
    <t>Nguyễn Thị Quý My</t>
  </si>
  <si>
    <t>11/04/2003</t>
  </si>
  <si>
    <t>Báo cáo kết quả thực tập và thực trạng chất lượng nguồn nhân lực tại Long Bar thuộc InterContinental Danang Sun Peninsula Resort</t>
  </si>
  <si>
    <t>Phạm Ngọc Loan Trinh</t>
  </si>
  <si>
    <t>26/12/2004</t>
  </si>
  <si>
    <t>K28 PSUDLK</t>
  </si>
  <si>
    <t>Báo cáo kết quả thực tập và thực trạng quy trình vệ sinh buồng khách tại bộ phận Buồng phòng của Sheraton Phu Quoc Long Beach Resort</t>
  </si>
  <si>
    <t>Văn Quế Anh</t>
  </si>
  <si>
    <t>22/06/2003</t>
  </si>
  <si>
    <t xml:space="preserve"> Báo cáo kết quả thực tập và thực trạng về các yếu tố ảnh hưởng đến chất lượng phục vụ tại nhà hàng The Market Place thuộc khách sạn Radisson Hotel Danang</t>
  </si>
  <si>
    <t xml:space="preserve">Hồ Minh Đức </t>
  </si>
  <si>
    <t>19/09/2002</t>
  </si>
  <si>
    <t>K27DLK 2 PSU</t>
  </si>
  <si>
    <t xml:space="preserve">Marriott resort and spa Non Nuoc beach villa </t>
  </si>
  <si>
    <t xml:space="preserve"> Báo cáo kết quả thực tập và thực trạng về chất lượng đội ngũ lao động tại bộ phận nhà hàng thuộc Danang Marriott Resort &amp; Spa</t>
  </si>
  <si>
    <t>Phạm Nguyễn Thuỳ Vy</t>
  </si>
  <si>
    <t>Văn Thanh Việt</t>
  </si>
  <si>
    <t>16/06/2003</t>
  </si>
  <si>
    <t>K27PSUDLK1</t>
  </si>
  <si>
    <t>Báo cáo kết quả thực tập và thực trạng về các yếu tố ảnh hưởng đến chất lượng phục vụ tại nhà hàng Epice thuộc Pullman Danang Beach Resort</t>
  </si>
  <si>
    <t>Võ Thị Hạnh</t>
  </si>
  <si>
    <t>26-06-2004</t>
  </si>
  <si>
    <t>Báo cáo kết quả thực tập và thực trạng về quy trình phục vụ tại nhà hàng Epice thuộc Pullman Danang Beach Resort</t>
  </si>
  <si>
    <t>Trương Việt Đức</t>
  </si>
  <si>
    <t>12/11/2003</t>
  </si>
  <si>
    <t>K27PSU-DLK1</t>
  </si>
  <si>
    <t>Renaissance Habour View Hotel Hong Kong</t>
  </si>
  <si>
    <t>Báo cáo kết quả thực tập và thực trạng về các yếu tố ảnh hưởng đến chất lượng phục vụ tại bộ phận tiền sảnh khách sạn Renaissance Harbour View Hotel Hong Kong</t>
  </si>
  <si>
    <t>Huỳnh Thị Yến Nhi</t>
  </si>
  <si>
    <t>15/12/2004</t>
  </si>
  <si>
    <t>Trương Thị Diễm Quỳnh</t>
  </si>
  <si>
    <t>20/09/2004</t>
  </si>
  <si>
    <t>Meliá Danang Beach Resort</t>
  </si>
  <si>
    <t>Báo cáo kết quả thực tập và thực trạng quy trình phục vụ A La Carte tại nhà hàng Sa Sa thuộc Meliá Danang Beach Resort</t>
  </si>
  <si>
    <t xml:space="preserve">Lê Thị Minh Anh </t>
  </si>
  <si>
    <t>24/12/2004</t>
  </si>
  <si>
    <t xml:space="preserve">K28DLK6 </t>
  </si>
  <si>
    <t>Báo cáo kết quả thực tập và thực trạng về các yếu tố ảnh hưởng đến chất lượng phục vụ tại nhà hàng Sa Sa thuộc Meliá Danang Beach Resort</t>
  </si>
  <si>
    <t>Nguyễn Văn Châu</t>
  </si>
  <si>
    <t>30/07/2004</t>
  </si>
  <si>
    <t xml:space="preserve"> Hilton Da Nang</t>
  </si>
  <si>
    <t xml:space="preserve"> Báo cáo kết quả thực tập và thực trạng các yếu tố ảnh hưởng đến chất lượng phục vụ buffet sáng tại Nhà hàng The Sail Rooftop Dining Tại  Hilton Đà Nẵng</t>
  </si>
  <si>
    <t>Nguyễn Thị Thuỳ Trang</t>
  </si>
  <si>
    <t>Báo cáo kết quả thực tập và thực trạng về các yếu tố ảnh hưởng đến chất lượng phục vụ tại bộ phận tiền sảnh thuộc Fusion Resort &amp; Villas Da Nang</t>
  </si>
  <si>
    <t>Nguyễn Hoài Anh</t>
  </si>
  <si>
    <t>10/07/2004</t>
  </si>
  <si>
    <t>Báo cáo kết quả thực tập và thực trạng quy trình đăng ký khách sạn tại bộ phận tiền sảnh thuộc Fusion Resort &amp; Villas Da Nang</t>
  </si>
  <si>
    <t>Nguyễn Thị Ngọc Hiếu</t>
  </si>
  <si>
    <t>06/11/2004</t>
  </si>
  <si>
    <t>Báo cáo kết quả thực tập và thực trạng về các yếu tố ảnh hưởng đến chất lượng phục vụ tại nhà hàng The Square thuộc Novotel Danang Premeir</t>
  </si>
  <si>
    <t>Nguyễn Thị Hoài Thương</t>
  </si>
  <si>
    <t>11/02/2004</t>
  </si>
  <si>
    <t>Báo cáo kết quả thực tập và thực trạng quy trình phục vụ buffet sáng tại nhà hàng The Square thuộc Novotel Danang Premier Han River</t>
  </si>
  <si>
    <t>Võ Thị Ngọc Linh</t>
  </si>
  <si>
    <t>15/08/2004</t>
  </si>
  <si>
    <t xml:space="preserve"> Rosamia Da Nang Hotel</t>
  </si>
  <si>
    <t>Ngọc Linh: Báo cáo kết quả thực tập và thực trạng về chất lượng đội ngũ lao động tại nhà hàng Marina thuộc Rosamia Da Nang Hotel</t>
  </si>
  <si>
    <t>NGUYỄN ANH VŨ</t>
  </si>
  <si>
    <t>18/11/2004</t>
  </si>
  <si>
    <t>K28 DLK4</t>
  </si>
  <si>
    <t>Hồ Thị Mỹ Hạnh</t>
  </si>
  <si>
    <t>Báo cáo kết quả thực tập và thực trạng về các yếu tố ảnh hưởng đến chất lượng phục vụ tại nhà hàng Rumba thuộc Meliá Vinpearl Danang Riverfront</t>
  </si>
  <si>
    <t>Hồ Thị Thảo My</t>
  </si>
  <si>
    <t>17/09/2004</t>
  </si>
  <si>
    <t>Báo cáo kết quả thực tập và thực trạng quy trình phục vụ buffet sáng tại nhà hàng Sa Sa thuộc Meliá Danang Beach Resort.</t>
  </si>
  <si>
    <t>Phan Thị Xuân Hạ</t>
  </si>
  <si>
    <t>23/07/2004</t>
  </si>
  <si>
    <t>Báo cáo kết quả thực tập và thực trạng quy trình phục vụ set menu của bộ phận Yến tiệc tại Novotel Danang Premier Han River</t>
  </si>
  <si>
    <t>Phan Mai Phương Linh</t>
  </si>
  <si>
    <t>13/09/2004</t>
  </si>
  <si>
    <t>Hoi An Memories Resort &amp; Spa</t>
  </si>
  <si>
    <t>Báo cáo kết quả thực tập và thực trạng quy trình phục vụ Buffet sáng tại nhà hàng An Bistro thuộc Hoi An Memories Resort &amp; Spa</t>
  </si>
  <si>
    <t xml:space="preserve">Nguyễn Thị Loan Phương </t>
  </si>
  <si>
    <t>19/03/2004</t>
  </si>
  <si>
    <t>Báo cáo kết quả thực tập và thực trạng quy trình phục vụ khách lưu trú tại bộ phận Buồng phòng của Shilla Monogram Danang Resort</t>
  </si>
  <si>
    <t>Nguyễn Thị Ái Linh</t>
  </si>
  <si>
    <t>12/12/2004</t>
  </si>
  <si>
    <t>Báo cáo kết quả thực tập và thực trạng chất lượng đội ngũ lao động tại bộ phận Buồng phòng của Shilla Monogram Danang Resort</t>
  </si>
  <si>
    <t>Mai Hồ Quỳnh Thi</t>
  </si>
  <si>
    <t>25/08/2004</t>
  </si>
  <si>
    <t>Báo cáo kết quả thực tập và thực trạng quy trình chuẩn bị buồng đón khách VIP tại bộ phận buồng phòng khách sạn Novotel Danang Premier Han River</t>
  </si>
  <si>
    <t>Lê Thị Bảo Châu</t>
  </si>
  <si>
    <t xml:space="preserve">Novotel Danang Premier Han River </t>
  </si>
  <si>
    <t>Báo cáo kết quả thực tập và thực trạng quy trình phục vụ khách trong thời gian lưu trú tại bộ phận buồng khách sạn Novotel Danang Premier Han River</t>
  </si>
  <si>
    <t>Nguyễn Thị Minh Ca</t>
  </si>
  <si>
    <t>Báo cáo kết quả thực tập và thực trạng quy trình chuẩn bị buồng đón khách VIP tại bộ phận buồng phòng Danang Marriott Resort &amp; Spa Non Nuoc Beach Villas.</t>
  </si>
  <si>
    <t>Từ Thị Hà Nguyên</t>
  </si>
  <si>
    <t>18/08/2004</t>
  </si>
  <si>
    <t>Lê Thị Thúy Kiều</t>
  </si>
  <si>
    <t>26/08/2004</t>
  </si>
  <si>
    <t>Báo cáo kết quả thực tập và thực trạng chất lượng đội ngũ lao động tại bộ phận Buồng phòng của Da Nang Mikazuki Japanese Resorts &amp; Spa</t>
  </si>
  <si>
    <t>Trần Lê Diễm Tâm</t>
  </si>
  <si>
    <t>11/06/2004</t>
  </si>
  <si>
    <t>PENINSULA HOTEL DANANG</t>
  </si>
  <si>
    <t>Báo cáo kết quả thực tập và thực trạng cơ sở vật chất tại nhà hàng Veranda thuộc Peninsula Hotel Danang</t>
  </si>
  <si>
    <t>Ngô Thị Quý</t>
  </si>
  <si>
    <t>08/01/2004</t>
  </si>
  <si>
    <t>Báo cáo kết quả thực tập và thực trạng về cơ sở vật chất của bộ phận nhà hàng tại khách sạn Mường Thanh Luxury Đà Nẵng</t>
  </si>
  <si>
    <t>Mai Khánh Toàn</t>
  </si>
  <si>
    <t>Võ Đức Hiếu</t>
  </si>
  <si>
    <t xml:space="preserve">Phan Thị Diệu Linh </t>
  </si>
  <si>
    <t>05/12/2003</t>
  </si>
  <si>
    <t xml:space="preserve">Altara Suites Da Nang </t>
  </si>
  <si>
    <t xml:space="preserve">Báo cáo kết quả thực tập và thực trạng về quy trình phục vụ tại nhà hàng Altitude thuộc Altara Suites Da Nang </t>
  </si>
  <si>
    <t xml:space="preserve">Ngô Thị Phương Nhung </t>
  </si>
  <si>
    <t>07/01/2003</t>
  </si>
  <si>
    <t xml:space="preserve">Rosamia Da Nang Hotel </t>
  </si>
  <si>
    <t>Báo cáo kết quả thực tập và thực trạng về các yếu tố ảnh hưởng đến chất lượng phục vụ tại bộ phận buồng phòng thuộc Rosamia Da Nang Hotel</t>
  </si>
  <si>
    <t>Võ Thị Diễm My</t>
  </si>
  <si>
    <t>17/04/2004</t>
  </si>
  <si>
    <t>Báo cáo kết quả thực tập và thực trạng về các yếu tố ảnh hưởng đến chất lượng phục vụ tại nhà hàng Altitude thuộc Altara Suites Da Nang</t>
  </si>
  <si>
    <t>Phạm Mỹ Duyên</t>
  </si>
  <si>
    <t>10/12/2004</t>
  </si>
  <si>
    <t>Báo cáo kết quả thực tập và thực trạng chất lượng phục vụ tại nhà hàng Food Studio thuộc Renaissance Danang Hoi An Resort &amp; Spa.</t>
  </si>
  <si>
    <t>Lê Nguyễn Nhật Hiếu</t>
  </si>
  <si>
    <t>3/2/2003</t>
  </si>
  <si>
    <t>Báo cáo kết quả thực tập và thực trạng về các yếu tố ảnh hưởng đến chất lượng phục vụ tại bộ phận tiền sảnh thuộc Wyndham Danang Golden Bay Hotel</t>
  </si>
  <si>
    <t>Nguyễn Đỗ Ngọc Trân</t>
  </si>
  <si>
    <t>Báo cáo kết quả thực tập và thực trạng về quy trình phục vụ tại nhà hàng The Market Place thuộc khách sạn Radisson Hotel Danang</t>
  </si>
  <si>
    <t>Trương Hoàng Mi</t>
  </si>
  <si>
    <t>13-04-2004</t>
  </si>
  <si>
    <t>Báo cáo kết quả thực tập và thực trạng về chất lượng đội ngũ lao động tại bộ phận nhà hàng thuộc khách sạn Radisson Hotel Danang</t>
  </si>
  <si>
    <t>Trần Quốc Đăng</t>
  </si>
  <si>
    <t>13/12/2002</t>
  </si>
  <si>
    <t>Báo cáo kết quả thực tập và thực trạng về quy trình vệ sinh buồng khách tại bộ phận buồng phòng thuộc khách sạn Four Points by Sheraton Danang</t>
  </si>
  <si>
    <t>Nguyễn Tư Hoàng</t>
  </si>
  <si>
    <t>26/12/2002</t>
  </si>
  <si>
    <t>K26DlK13</t>
  </si>
  <si>
    <t>K26</t>
  </si>
  <si>
    <t>BaNa Hill</t>
  </si>
  <si>
    <t>Báo cáo kết quả thực tập và thực trạng về các yếu tố ảnh hưởng đến chất lượng phục vụ tại nhà hàng Taiga thuộc BaNa Hill</t>
  </si>
  <si>
    <t>Phạm trường giang</t>
  </si>
  <si>
    <t>29/12/2004</t>
  </si>
  <si>
    <t>K28dlk7</t>
  </si>
  <si>
    <t>Báo cáo kết quả thực tập và thực trạng về chất lượng đội ngũ lao động tại bộ phận tiền sảnh thuộc Wyndham Danang Golden Bay Hotel</t>
  </si>
  <si>
    <t>Trần Công Nguyên</t>
  </si>
  <si>
    <t>30/08/2000</t>
  </si>
  <si>
    <t>k25DLK18</t>
  </si>
  <si>
    <t>Báo cáo kết quả thực tập và thực trạng về chất lượng đội ngũ lao động tại bộ phận nhà hàng thuộc Wyndham Danang Golden Bay Hotel</t>
  </si>
  <si>
    <t>Nguyễn Việt Hà</t>
  </si>
  <si>
    <t>06/01/2003</t>
  </si>
  <si>
    <t>K27DLK 6</t>
  </si>
  <si>
    <t>DaNang Marriott Resort &amp; Spa</t>
  </si>
  <si>
    <t>Báo cáo kết quả thực tập và thực trạng về quy trình vệ sinh khu vực công cộng tại bộ phận buồng phòng thuộc Danang Marriott Resort &amp; Spa</t>
  </si>
  <si>
    <t xml:space="preserve">Trần Huy Khang </t>
  </si>
  <si>
    <t>25/09/2004</t>
  </si>
  <si>
    <t xml:space="preserve">K28DLK7 </t>
  </si>
  <si>
    <t xml:space="preserve">Wyndham Danang Golden Bay Hotel </t>
  </si>
  <si>
    <t xml:space="preserve">Báo cáo kết quả thực tập và thực trạng cơ sở vật chất kĩ thuật tại nhà hàng The Horizon thuộc khách sạn Wyndham Danang Golden Bay Hotel </t>
  </si>
  <si>
    <t>Phạm Đoàn Viết Long</t>
  </si>
  <si>
    <t>Hilton Garden Inn Da Nang</t>
  </si>
  <si>
    <t xml:space="preserve"> Báo cáo kết quả thực tập và thực trạng quy trình phục vụ A La Carte tại nhà hàng Together&amp;Co tại khách sạn Hilton Garden Inn Da Nang</t>
  </si>
  <si>
    <t xml:space="preserve">Nguyễn Lê Kim Phụng </t>
  </si>
  <si>
    <t>31/05/2002</t>
  </si>
  <si>
    <t>Phan Nguyễn Quỳnh Như</t>
  </si>
  <si>
    <t>29/04/2004</t>
  </si>
  <si>
    <t>Lê Thị Hồng Nhung</t>
  </si>
  <si>
    <t>17/11/2004</t>
  </si>
  <si>
    <t>Almanity Hoi An Resort &amp; Spa</t>
  </si>
  <si>
    <t>Báo cáo kết quả thực tập và thực trạng quy trình phục vụ  A La Carte tại nhà hàng Mộc Garden thuộc Khách sạn Almanity Hoi An Resort &amp; Spa</t>
  </si>
  <si>
    <t>Nguyễn Văn Minh Hải</t>
  </si>
  <si>
    <t>K28 PSU DLH</t>
  </si>
  <si>
    <t>Nghiên cứu các nhân tố ảnh hưởng đến sự hài lòng trong công việc của nhân viên tại Sheraton Phu Quoc Long Beach Resort</t>
  </si>
  <si>
    <t>Nguyễn Thị Trà Xiêm</t>
  </si>
  <si>
    <t>30/09/2004</t>
  </si>
  <si>
    <t>Báo cáo kết quả thực tập và thực trạng quy trình phục vụ tiệc buffet của bộ phận Banquet tại Novotel Danang Premier Han River.</t>
  </si>
  <si>
    <t>Trần Thị Trâm Anh</t>
  </si>
  <si>
    <t>25/12/2004</t>
  </si>
  <si>
    <t>K28 PSUDLH</t>
  </si>
  <si>
    <t xml:space="preserve">Pullman Danang Beach Resort </t>
  </si>
  <si>
    <t>Nghiên cứu các yếu tố ảnh hưởng đến sự hài lòng của  khách hàng tại nhà hàng Epice Restaurant – Khách sạn Pullman Danang Beach Resort</t>
  </si>
  <si>
    <t xml:space="preserve">Trương Thị Kim Trinh </t>
  </si>
  <si>
    <t>04/08/2004</t>
  </si>
  <si>
    <t xml:space="preserve">Renaissance Danang Hoi An Resort &amp; Spa </t>
  </si>
  <si>
    <t>Báo cáo kết quả thực tập và thực trạng về cơ sở vật chất tại nhà hàng Food Studio thuộc Renaissance Danang Hoi An Resort &amp; Spa</t>
  </si>
  <si>
    <t>Lê Nguyễn Xuân Hoà</t>
  </si>
  <si>
    <t>03/01/2004</t>
  </si>
  <si>
    <t>Sheraton Grand Danang Beach Resort &amp; Spa</t>
  </si>
  <si>
    <t>Báo cáo kết quả thực tập và thực trạng về quy trình phục vụ set menu tại nhà hàng Banquet thuộc khách sạn Sheraton Grand Danang Beach Resort &amp; Spa</t>
  </si>
  <si>
    <t>ĐOÀN THANH TRÀ</t>
  </si>
  <si>
    <t>08/09/2004</t>
  </si>
  <si>
    <t>DLK7</t>
  </si>
  <si>
    <t>Báo cáo kết quả thực tập và thực trạng chất lượng phục vụ room service của nhà hàng The Veranda thuộc Peninsula Hotel Danang</t>
  </si>
  <si>
    <t>Huỳnh Thị Thu Hiền</t>
  </si>
  <si>
    <t>28/04/2004</t>
  </si>
  <si>
    <t>Báo cáo thực tập và thực trạng các yếu tố ảnh hưởng đến chất lượng phục vụ đồ uống tại quầy Bar nhà hàng Horizon tại Khách sạn Wyndham Danang Golden Bay</t>
  </si>
  <si>
    <t xml:space="preserve">Võ Thị Phượng Hoàng </t>
  </si>
  <si>
    <t>05/01/2002</t>
  </si>
  <si>
    <t>Báo cáo kết quả thực tập và thực trạng quy trình phục vụ A La Carte tại nhà hàng F29 Golden beef and sky bar tại Wyndham Danang Golden Bay Hotel</t>
  </si>
  <si>
    <t>Lê Ngọc Tấn</t>
  </si>
  <si>
    <t>10/08/2004</t>
  </si>
  <si>
    <t>Báo cáo kết quả thực tập và thực trạng quy trình phục vụ tiệc tại nhà hàng Bella Vista tại khách sạn Grand Tourane Đà Nẵng</t>
  </si>
  <si>
    <t>Nguyễn Ngọc Dạ Ly</t>
  </si>
  <si>
    <t>10/06/2004</t>
  </si>
  <si>
    <t>Altara Suites Da Nang</t>
  </si>
  <si>
    <t>Trương Nguyễn Minh Hậu</t>
  </si>
  <si>
    <t>Báo cáo kết quả thực tập và thực trạng về chất lượng đội ngũ lao động của nhà hàng Gourmet Bar thuộc Novotel Danang Premier Han River</t>
  </si>
  <si>
    <t>Kpă Nam</t>
  </si>
  <si>
    <t>13/04/2004</t>
  </si>
  <si>
    <t>Novotel Danang Premier</t>
  </si>
  <si>
    <t>Báo cáo kết quả thực tập và thực trạng quy trình vệ sinh khu vực công cộng tại bộ phận buồng khách sạn Novotel Danang Premier</t>
  </si>
  <si>
    <t>Phạm Huyền Na</t>
  </si>
  <si>
    <t>26/10/2003</t>
  </si>
  <si>
    <t>Báo cáo kết quả thực tập và thực trạng quy trình vệ sinh khu vực công cộng tại bộ phận buồng khách sạn Meliá Vinpearl Danang Riverfront</t>
  </si>
  <si>
    <t>Nguyễn Thị Hồng Phấn</t>
  </si>
  <si>
    <t>16/09/2004</t>
  </si>
  <si>
    <t xml:space="preserve"> Báo cáo kết quả thực tập và thực trạng quy trình phục vụ khách trong thời gian lưu trú tại bộ phận buồng phòng khách sạn Grand Mercure Danang</t>
  </si>
  <si>
    <t>Trần Ánh Hồng</t>
  </si>
  <si>
    <t>27/11/2004</t>
  </si>
  <si>
    <t>DLG Hotel Danang</t>
  </si>
  <si>
    <t>Báo cáo kết quả thực tập và thực trạng quy trình phục vụ Buffet sáng tại bộ phận Nhà hàng Sonata Of The Sea của DLG Hotel Danang</t>
  </si>
  <si>
    <t>Nguyễn Lê Anh Duy</t>
  </si>
  <si>
    <t>19/12/20021</t>
  </si>
  <si>
    <t>K26 PSUDLK1</t>
  </si>
  <si>
    <t>Lê Quang Phong</t>
  </si>
  <si>
    <t>29/07/2004</t>
  </si>
  <si>
    <t>Nghiên cứu các nhân tố ảnh hưởng đến sự hài lòng của khách hàng đối với chất lượng dịch vụ tại Danang Marriott Resort &amp; Spa, Non Nuoc Beach Villas</t>
  </si>
  <si>
    <t xml:space="preserve">Hồ Thị Trúc Linh </t>
  </si>
  <si>
    <t>20/06/2004</t>
  </si>
  <si>
    <t xml:space="preserve">Sheraton Grand Danang Resort &amp; Convention Center </t>
  </si>
  <si>
    <t xml:space="preserve">Báo cáo kết quả thực tập và thực trạng quy trình phục vụ tiệc tại bộ phận Banquet thuộc Sheraton Grand Danang Resort &amp; Convention Center </t>
  </si>
  <si>
    <t>Phan Thị Khánh Linh</t>
  </si>
  <si>
    <t>01-02-2004</t>
  </si>
  <si>
    <t>Báo cáo kết quả thực tập và thực trạng cơ sở vật chất tại bộ phận nhà hàng The Eatery thuộc khách sạn Four Points by Sheraton DaNang</t>
  </si>
  <si>
    <t>Bùi Thị Á Tiên</t>
  </si>
  <si>
    <t>4/2/2004</t>
  </si>
  <si>
    <t>K28PSU-DLH</t>
  </si>
  <si>
    <t>Giải pháp nâng cao chất lượng dịch vụ ăn uống tại nhà hàng Epice Restaurant - Khách sạn Pullman Danang Beach Resort</t>
  </si>
  <si>
    <t xml:space="preserve">Đoàn Khoa Đăng </t>
  </si>
  <si>
    <t>29/08/2004</t>
  </si>
  <si>
    <t xml:space="preserve">Furama Resort &amp; Villas Đà Nẵng </t>
  </si>
  <si>
    <t>Báo cáo kết quả thực tập và thực trạng quy trình phục vụ Buffet sáng tại Nhà hàng Cafe Indochine thuộc Furama Resort &amp; Villas Đà Nẵng</t>
  </si>
  <si>
    <t xml:space="preserve">Dương Thị Mỹ Hạnh </t>
  </si>
  <si>
    <t>13/9/2004</t>
  </si>
  <si>
    <t>Báo cáo kết quả thực tập và thực trạng các yếu tố ảnh hưởng đến chất lượng phục vụ buffet sáng tại nhà hàng La Rive Gauche tại khách sạn Grand Mercure Danang</t>
  </si>
  <si>
    <t>Đỗ Thị Hạnh</t>
  </si>
  <si>
    <t>25/02/2004</t>
  </si>
  <si>
    <t>Nguyễn Thị Thanh Thảo</t>
  </si>
  <si>
    <t>11/01/2004</t>
  </si>
  <si>
    <t>Báo cáo kết quả thực tập và thực trạng về các yếu tố ảnh hưởng đến chất lượng phục vụ buffet sáng tại nhà hàng Fourplates thuộc khách sạn Almanity Hoi An Resort &amp; Spa</t>
  </si>
  <si>
    <t>Ngô Đức Thiện</t>
  </si>
  <si>
    <t>15/01/2001</t>
  </si>
  <si>
    <t>k26DLK16</t>
  </si>
  <si>
    <t>Renaissance Danang Hoian Resort &amp; Spa</t>
  </si>
  <si>
    <t>Báo cáo kết quả thực tập và thực trạng quy trình phục vụ À La Carte cho khách VIP tại nhà hàng R Lounge thuộc Renaissance Danang Hoian Resort &amp; Spa</t>
  </si>
  <si>
    <t xml:space="preserve">Bùi Thanh Nhi </t>
  </si>
  <si>
    <t xml:space="preserve">Renaissance Danang Hoian resort and spa </t>
  </si>
  <si>
    <t>Nghiên cứu các nhân tố ảnh hưởng đến sự hài lòng trong công việc của nhân viên tại Renaissance Danang Hoian Resort &amp; Spa</t>
  </si>
  <si>
    <t>Phạm Thị Hồng Hạnh</t>
  </si>
  <si>
    <t>22/07/2004</t>
  </si>
  <si>
    <t>Nguyễn Thành Nhân</t>
  </si>
  <si>
    <t>Awaken Danang Hotel</t>
  </si>
  <si>
    <t>Báo cáo kết quả thực tập và thực trạng quy trình phục vụ À La Carte tại nhà hàng Casa Breeze thuộc Awaken Danang Hotel</t>
  </si>
  <si>
    <t>Nguyễn Đức Hùng</t>
  </si>
  <si>
    <t>27/06/2000</t>
  </si>
  <si>
    <t>K24DLK10</t>
  </si>
  <si>
    <t>Báo cáo kết quả thực tập và thực trạng các yếu tố ảnh hưởng đến chất lượng phục vụ À La Carte tại nhà hàng Casa Breeze thuộc Awaken Danang Hotel</t>
  </si>
  <si>
    <t>Hồ Thị Thanh Tiền</t>
  </si>
  <si>
    <t>15/01/2004</t>
  </si>
  <si>
    <t>Báo cáo kết quả thực tập và thực trạng về các yếu tố ảnh hưởng đến chất lượng phục vụ buffet sáng tại nhà hàng Food Studio thuộc Renaissance Danang Hoi An Resort &amp; Spa</t>
  </si>
  <si>
    <t>Nguyễn Thị Mỹ Duyên</t>
  </si>
  <si>
    <t>30/7/2004</t>
  </si>
  <si>
    <t>Báo cáo kết quả thực tập và thực trạng các yếu tố ảnh hưởng đến chất lượng phục vụ buffet sáng tại nhà hàng Casa Delight thuộc Awaken Danang Hotel</t>
  </si>
  <si>
    <t>Nguyễn Thị Bích Ngọc</t>
  </si>
  <si>
    <t>30/08/2003</t>
  </si>
  <si>
    <t>Danang Marriott Resort &amp; Spa</t>
  </si>
  <si>
    <t>Báo cái kết quả thực tập và thực trạng quy trình phục vụ buffet sáng tại nhà hàng Goji thuộc Danang Marriott Resort &amp; Spa</t>
  </si>
  <si>
    <t>Đỗ Trường Giang</t>
  </si>
  <si>
    <t>31/01/2002</t>
  </si>
  <si>
    <t>K26DLK8</t>
  </si>
  <si>
    <t>Nguyễn Minh Thư</t>
  </si>
  <si>
    <t>14/06/2004</t>
  </si>
  <si>
    <t>Các nhân tố định hình sự kháng cự của khách du lịch đối với AI trong lĩnh vực du lịch và khách sạn</t>
  </si>
  <si>
    <t>Phùng Hữu Minh Huy</t>
  </si>
  <si>
    <t>25/09/2002</t>
  </si>
  <si>
    <t>K26PSUDLK4</t>
  </si>
  <si>
    <t xml:space="preserve"> Báo cáo kết quả thực tập và thực trạng về chất lượng cơ sở vật chất của bộ phận nhà hàng tại Danang Marriot Resort &amp; Spa, Non Nuoc Beach Villas</t>
  </si>
  <si>
    <t>Phạm Thị Quỳnh Như</t>
  </si>
  <si>
    <t>Báo cáo kết quả thực tập và thực trạng quy trình phục vụ khách lưu trú tại bộ phận Buồng phòng của Da Nang Mikazuki Japanese Resorts and Spa</t>
  </si>
  <si>
    <t>Trần Thị Thu Thương</t>
  </si>
  <si>
    <t>Báo cáo kết quả thực tập và thực trạng quy trình phục vụ À La Carte cho khách VIP tại nhà hàng La Maison thuộc Risemount Premier Resort Đà Nẵng</t>
  </si>
  <si>
    <t>Đặng Mai Trinh</t>
  </si>
  <si>
    <t>24/03/2004</t>
  </si>
  <si>
    <t>Báo cáo kết quả thực tập và thực trạng về các yếu tố ảnh hưởng đến chất lượng phục vụ buffet sáng tại nhà hàng La Maison thuộc Risemount Premier Resort Đà Nẵng</t>
  </si>
  <si>
    <t>Nguyễn Đỗ Ngọc Yến</t>
  </si>
  <si>
    <t>20/10/2004</t>
  </si>
  <si>
    <t xml:space="preserve">Báo cáo kết quả thực tập và thực trạng về chất lượng đội ngũ nhân lực tại nhà hàng La Maison thuộc Risemount Premier Resort Đà Nẵng </t>
  </si>
  <si>
    <t>Bùi Hồng Quân</t>
  </si>
  <si>
    <t>16/02/2004</t>
  </si>
  <si>
    <t>k28DLK4</t>
  </si>
  <si>
    <t>Báo cáo kết quả thực tập và thực trạng quy trình phục vụ sự kiện MICE của bộ phận Banquet tại Novotel Danang Premier Han River</t>
  </si>
  <si>
    <t xml:space="preserve">Trần Phạm Gia Bảo </t>
  </si>
  <si>
    <t>20/07/2004</t>
  </si>
  <si>
    <t>Báo cáo kết quả thực tập và thực trạng quy trình phục vụ tiệc tối kiểu Âu của bộ phận Banquet tại Novotel Danang Premier Han River</t>
  </si>
  <si>
    <t>Nguyễn Thị Thuỳ Dung</t>
  </si>
  <si>
    <t>02/10/2004</t>
  </si>
  <si>
    <t>Báo cáo kết quả thực tập và thực trạng về chất lượng đội ngũ lao động của nhà hàng Sa Sa thuộc Meliá Danang Beach Resort</t>
  </si>
  <si>
    <t>LÊ THỊ TRÀ MY</t>
  </si>
  <si>
    <t>23/03/2002</t>
  </si>
  <si>
    <t>Báo cáo kết quả thực tập và thực trạng quy trình chuẩn bị buồng đón tiếp khách VIP tại bộ phận Buồng phòng của Sheraton Phu Quoc Long Beach Resort</t>
  </si>
  <si>
    <t>Trần Thị Mỹ Lệ</t>
  </si>
  <si>
    <t>25/10/2003</t>
  </si>
  <si>
    <t>Báo cáo kết quả thực tập và thực trạng về quy trình phục vụ tại nhà hàng Matsuri thuộc Da Nang Mikazuki Japanese Resorts and Spa</t>
  </si>
  <si>
    <t>Đỗ Thị Như Quỳnh</t>
  </si>
  <si>
    <t>26/03/2004</t>
  </si>
  <si>
    <t>Báo cáo kết quả thực tập và thực trạng cơ sở vật chất tại nhà hàng La Maison thuộc Risemount Premier Resort Đà Nẵng</t>
  </si>
  <si>
    <t xml:space="preserve">Vũ Hà Minh Khoa </t>
  </si>
  <si>
    <t>27/04/2004</t>
  </si>
  <si>
    <t>DLK3</t>
  </si>
  <si>
    <t xml:space="preserve">Hyatt Regency Da Nang Resort &amp; Spa </t>
  </si>
  <si>
    <t>Kinh doanh</t>
  </si>
  <si>
    <t>Dương Thị Minh Thảo</t>
  </si>
  <si>
    <t xml:space="preserve">Nguyễn Xuân Trường </t>
  </si>
  <si>
    <t>20/03/2004</t>
  </si>
  <si>
    <t>K28PSU-DLK</t>
  </si>
  <si>
    <t>Báo cáo kết quả thực tập và thực trạng quy trình vệ sinh khu vực công cộng tại bộ phận Buồng phòng của Sheraton Phu Quoc Long Beach Resort</t>
  </si>
  <si>
    <t>Vũ Ngọc Minh Tín</t>
  </si>
  <si>
    <t>Võ Nữ Quỳnh Trang</t>
  </si>
  <si>
    <t>09/12/2004</t>
  </si>
  <si>
    <t>Nguyễn Thị Bích Quá</t>
  </si>
  <si>
    <t>Giải pháp nâng cao chất lượng dịch vụ ăn uống tại Nhà hàng Daily Social - Sheraton Phu Quoc Long Beach Resort</t>
  </si>
  <si>
    <t>Bùi Lê Anh Phương</t>
  </si>
  <si>
    <t xml:space="preserve">Trần Thị Phương Trinh </t>
  </si>
  <si>
    <t>31/10/2004</t>
  </si>
  <si>
    <t>Nguyễn Thị Du Na</t>
  </si>
  <si>
    <t>20/12/2004</t>
  </si>
  <si>
    <t>Báo cáo kết quả thực tập và thực trạng chất lượng đội ngũ lao động tại nhà hàng La Rive Gauche tại khách sạn Grand Mercure Danang</t>
  </si>
  <si>
    <t xml:space="preserve">Đào Thị Diễm My </t>
  </si>
  <si>
    <t xml:space="preserve">Sheraton Phu Quoc Long Beach Resort </t>
  </si>
  <si>
    <t xml:space="preserve">Nguyễn Thị Minh Anh </t>
  </si>
  <si>
    <t>13/05/2003</t>
  </si>
  <si>
    <t>Nghiên cứu trải nghiệm dịch vụ và lòng trung thành của khách hàng tại nhà hàng Daily Social - Sheraton Phu Quoc Long Beach Resort.</t>
  </si>
  <si>
    <t>Trịnh Tuấn Phát</t>
  </si>
  <si>
    <t>26/04/2004</t>
  </si>
  <si>
    <t>Ảnh hưởng của lòng tin của khách đối với ChatGPT đến việc ứng dụng AI trong lĩnh vực du lịch và khách sạn</t>
  </si>
  <si>
    <t>Võ Đăng Kim Nguyên</t>
  </si>
  <si>
    <t>26/11/2004</t>
  </si>
  <si>
    <t>Báo cáo kết quả thực tập và thực trạng quy trình phục vụ bar tại nhà hàng Horizon thuộc khách sạn Wyndham Danang Golden Bay</t>
  </si>
  <si>
    <t>Phan Thị Minh Vân</t>
  </si>
  <si>
    <t>18/03/2002</t>
  </si>
  <si>
    <t>Sheraton Hong Kong Tung Chung</t>
  </si>
  <si>
    <t>Báo cáo kết quả thực tập và thực trạng chất lượng đội ngũ lao động bộ phận Tiền sảnh tại khách sạn Sheraton Hong Kong Tung Chung.</t>
  </si>
  <si>
    <t>Hồ Phạm Thảo Nguyên</t>
  </si>
  <si>
    <t>K28DLK</t>
  </si>
  <si>
    <t>Báo cáo kết quả thực tập và thực trạng quy trình tiếp nhận và xử lý thông tin tại văn phòng bộ phận Buồng phòng của Intercontinental DaNang Sun Peninsula Resort</t>
  </si>
  <si>
    <t xml:space="preserve">Huỳnh Thị Kim Ngọc </t>
  </si>
  <si>
    <t>26/05/2004</t>
  </si>
  <si>
    <t>Huỳnh Gia Khang</t>
  </si>
  <si>
    <t>13/08/2002</t>
  </si>
  <si>
    <t>Sheraton &amp; FourPoints by Sheraton Tung Chung Hong Kong</t>
  </si>
  <si>
    <t>Báo cáo kết quả thực tập và 1 số giải pháp nâng cao hiệu quả hoạt động của bộ phận Concierge nhằm tối ưu hóa trải nghiệm khách hàng tại Khách Sạn Sheraton &amp; FourPoints by Sheraton Tung Chung Hong Kong.</t>
  </si>
  <si>
    <t>Trần Thị Ngọc Hoài</t>
  </si>
  <si>
    <t>14/09/2004</t>
  </si>
  <si>
    <t>Báo cáo kết quả thực tập và thực trạng về chất lượng đội ngũ lao động của bộ phận nhà hàng tại Meliá Vinpearl Da Nang Riverfront</t>
  </si>
  <si>
    <t>Trần Hà Giang</t>
  </si>
  <si>
    <t>01/01/2004</t>
  </si>
  <si>
    <t>K28DLKK5</t>
  </si>
  <si>
    <t xml:space="preserve"> Báo cáo kết quả thực tập và thực trạng các yếu tố ảnh hưởng đến chất lượng phục vụ A la Carte  tại nhà hàng La Rive Gaucge tại khách sạn Grand Mercure DaNang</t>
  </si>
  <si>
    <t>Lê Thị Thuỳ An</t>
  </si>
  <si>
    <t>12/08/2003</t>
  </si>
  <si>
    <t>Lê Minh Uyên</t>
  </si>
  <si>
    <t>Báo cáo kết quả thực tập và thực trạng quy trình phục vụ À la carte tại nhà hàng Vive Océane thuộc Hyatt Regency Danang Resort and Spa.</t>
  </si>
  <si>
    <t>Phạm Thế Vỹ</t>
  </si>
  <si>
    <t>Đánh giá thực trạng và đề xuất một số giải pháp nâng cao hiệu quả công tác tuyển dụng nhân sự tại Danang Marriott Resort &amp; Spa, Non Nuoc Beach Villas</t>
  </si>
  <si>
    <r>
      <rPr>
        <b/>
        <sz val="10"/>
        <rFont val="Times New Roman"/>
        <family val="1"/>
      </rPr>
      <t xml:space="preserve">Sau khi tên đề  tài đã được TRƯỞNG KHOA đồng ý ""DUYỆT"", Nộp tên đề tài có xác nhận của GVHD về Trường. Mẫu đơn: </t>
    </r>
    <r>
      <rPr>
        <b/>
        <u/>
        <sz val="10"/>
        <rFont val="Times New Roman"/>
        <family val="1"/>
      </rPr>
      <t>https://dtu-hti.edu.vn/quy-dinh-bieu-mau-ls2/mau-don-dang-ky-ten-de-tai-chuyen-dekhoa-luan-dxi</t>
    </r>
  </si>
  <si>
    <t>Xây dựng và triển khai chương trình đào tạo nhân viên Food &amp; Beverage nhằm nâng cao chất lượng dịch vụ tại Hyatt Regency Danang Resort and Spa</t>
  </si>
  <si>
    <t>Đánh giá cảm nhận của khách hàng về trải nghiệm đa giác quan trong dịch vụ  Buffet tại nhà hàng Daily Social-Sheraton Phu Quoc Long Beach Resort</t>
  </si>
  <si>
    <t>Ghi chú của TRƯỞNG KHOA (ĐIỀU CHỈNH LẠI TÊN ĐỀ TÀI THEO GỢI Ý)</t>
  </si>
  <si>
    <t>Trùng với STT 133 - Nguyễn Thị Minh Ca</t>
  </si>
  <si>
    <t>TRùng với STT 187 - Nguyễn Thị Bích Ngọc</t>
  </si>
  <si>
    <t>Báo cáo kết quả thực tập và hoàn thiện quy trình tuyển dụng nhân sự tại khách sạn Royal Hoi An Danang</t>
  </si>
  <si>
    <t>Báo cáo kết quả thực tập và hoàn thiện quy trình đăng ký khách sạn tại bộ phận tiền sảnh khách sạn Altara Suites Da Nang</t>
  </si>
  <si>
    <t>Báo cáo kết quả thực tập và hoàn thiện quy trình thanh toán và tiễn khách tại bộ phận tiền sảnh khách sạn Altara Suites Da Nang</t>
  </si>
  <si>
    <t>Báo cáo kết quả thực tập và thực trạng quy trình phục vụ set menu tại nhà hàng Sa Sa thuộc Meliá Danang Beach Resort</t>
  </si>
  <si>
    <t>Báo cáo kết quả thực tập và thực trạng quy trình vệ sinh buồng tại khách sạn Meliá Vinpearl Danang Riverfront</t>
  </si>
  <si>
    <t>Báo cáo kết quả thực tập và thực trạng về các yếu tố ảnh hướng đến chất lượng phục vụ của bộ phận đặt phòng tại khách sạn Meliá Vinpearl Danang Riverfront</t>
  </si>
  <si>
    <t>DUYÊT, CẦN CHỈNH SỬA</t>
  </si>
  <si>
    <t>Báo cáo kết quả thực tập và thực trạng về quy trình phục vụ tại bộ phận tiền sảnh thuộc Wyndham Danang Golden Bay Hotel</t>
  </si>
  <si>
    <t>Giải pháp gia tăng sự hài lòng của khách hàng về dịch vụ ăn uống tại Sheraton Phu Quoc Long Beach Resort.</t>
  </si>
  <si>
    <t>Bỏ tên sinh viên ra khỏi tên đề tài</t>
  </si>
  <si>
    <t>Báo cáo kết quả thực tập và thực trạng quy trình phục vụ đồ uống tại Tropical Bar thuộc Sheraton Phú Quốc Long Beach Resort</t>
  </si>
  <si>
    <t>Trùng với đề tài số 180 - Ngô Đức Thiện</t>
  </si>
  <si>
    <t xml:space="preserve">New World Hoiana Hotel </t>
  </si>
  <si>
    <t>Báo cáo kết quả thực tập và thực trạng về chất lượng đội ngũ lao động của nhà hàng The Square thuộc Novotel Danang Premier Han River</t>
  </si>
  <si>
    <t>Risemount Premier Resort Da Nang</t>
  </si>
  <si>
    <t>Báo cáo kết quả thực tập và thực trạng quy trình phục vụ alacarte nhà hàng Gourmet Bar tại Novotel Danang Premier Han River</t>
  </si>
  <si>
    <t>Shilla Monogram Danang Resort</t>
  </si>
  <si>
    <t>Báo cáo kết quả thực tập và thực trạng về cơ sở vật chất của bộ phận nhà hàng tại Awaken Danang Hotel</t>
  </si>
  <si>
    <t>Báo cáo kết quả thực tập và thực trạng nguồn nhân lực tại bộ phận nhà hàng The Sea của khách sạn DLG Hotel Danang</t>
  </si>
  <si>
    <t>Mikazuki Japanese Resorts and Spa</t>
  </si>
  <si>
    <t>Báo cáo kết quả thực tập và thực trạng quy trình vệ sinh khu vực công cộng tại bộ phận Buồng phòng của Shilla Monogram Danang</t>
  </si>
  <si>
    <t>Intercontinental DaNang Sun Peninsula Resort</t>
  </si>
  <si>
    <t>Khám phá các yếu tố ảnh hưởng đến ý định sử dụng ChatGPT của khách hàng trong lĩnh vực du lịch và khách sạn</t>
  </si>
  <si>
    <t>Báo cáo kết quả thực tập và thực trạng các yếu tố ảnh hưởng đến chất lượng phục vụ tại Long Bar thuộc InterContinental Danang Sun Peninsula Resort</t>
  </si>
  <si>
    <t>Báo cáo kết quả thực tập và thực trạng các yếu tố ảnh hưởng đến chất lượng phục vụ tại bộ phận Buồng phòng của Shilla Monogram Danang</t>
  </si>
  <si>
    <t>Báo cáo kết quả thực tập và thực trạng quy trình phục vụ buffet sáng tại nhà hàng Bella Vista tại Grand Tourane Hotel Danang</t>
  </si>
  <si>
    <t>Báo cáo kết quả thực tập và thực trạng quy trình chuẩn bị buồng đón tiếp khách VIP tại bộ phận Buồng phòng của Shilla Monogram Danang</t>
  </si>
  <si>
    <t>Mường Thanh Luxury Đà Nẵng</t>
  </si>
  <si>
    <t>Báo cáo kết quả thực tập và thực trạng quy trình phục vụ đồ uống tại Tropical Bar thuộc Sheraton Phu Quoc Long Beach Resort</t>
  </si>
  <si>
    <t>Báo cáo kết quả thực tập và thực trạng quy trình đăng ký khách sạn tại bộ phận Tiền sảnh thuộc Peninsula Hotel DaNang.</t>
  </si>
  <si>
    <t>Báo cáo kết quả thực tập và thực trạng quy trình chuẩn bị buồng đón khách VIP tại bộ phận buồng khách sạn Radisson Hotel Danang</t>
  </si>
  <si>
    <t>Báo cáo kết quả thực tập và thực trạng về các yếu tố ảnh hưởng đến chất lượng phục vụ tại nhà hàng Gourmet Bar thuộc Novotel Danang Premier Han River</t>
  </si>
  <si>
    <t>Voco Ma Belle Danang by IHG</t>
  </si>
  <si>
    <t>Báo cáo kết quả thực tập và thực trạng quy trình vệ sinh buồng khách tại bộ phận Buồng phòng của khách sạn Voco Ma Belle Danang by IHG</t>
  </si>
  <si>
    <t>Báo cáo kết quả thực tập và thực trạng nguồn nhân lực tại nhà hàng Fresh thuộc Fusion Resort &amp; Villas Da Nang</t>
  </si>
  <si>
    <t>Báo cáo kết quả thực tập và hoàn thiện quy trình bán phòng tại bộ phận sale tại khách sạn Hyatt Regency Da Nang Resort &amp; Spa</t>
  </si>
  <si>
    <t>Báo cáo kết quả thực tập và thực trạng chất lượng đội ngũ lao động tại bộ phận Tiền sảnh Peninsula Hotel Da Nang</t>
  </si>
  <si>
    <t>Tên đề tài chính thức</t>
  </si>
  <si>
    <t>Thời gian đăng ký đề tài</t>
  </si>
  <si>
    <t>Tên DN thực tập</t>
  </si>
  <si>
    <t xml:space="preserve">Thời hạn nộp Bảng đăng ký tên </t>
  </si>
  <si>
    <t>Nộp tên đề tài có xác nhận của GVHD về Trường. Mẫu đơn: https://dtu-hti.edu.vn/quy-dinh-bieu-mau-ls2/mau-don-dang-ky-ten-de-tai-chuyen-dekhoa-luan-dxi</t>
  </si>
  <si>
    <t>Việc SV cần làm</t>
  </si>
  <si>
    <t>BÁO CÁO THỰC TẬP TỐT NGHIỆP</t>
  </si>
  <si>
    <t>KHÓA LUẬN</t>
  </si>
  <si>
    <r>
      <rPr>
        <b/>
        <sz val="10"/>
        <color rgb="FF000000"/>
        <rFont val="Arial"/>
        <family val="2"/>
        <scheme val="minor"/>
      </rPr>
      <t>Đăng ký lại tên đề tài bằng cách gửi email.</t>
    </r>
    <r>
      <rPr>
        <sz val="10"/>
        <color rgb="FF000000"/>
        <rFont val="Arial"/>
        <family val="2"/>
        <scheme val="minor"/>
      </rPr>
      <t xml:space="preserve">
Địa chỉ email: hotel@dtu-hti.edu.vn
Tiêu đề email: đăng ký tên đề tài lần 2 đợt 06.2026 - họ tên - MSSV
Nội dung email: tên đề tài mới đã được GVHD duyệt
</t>
    </r>
    <r>
      <rPr>
        <b/>
        <sz val="10"/>
        <color rgb="FF000000"/>
        <rFont val="Arial"/>
        <family val="2"/>
        <scheme val="minor"/>
      </rPr>
      <t>Hạn gửi email: 05/02/2026</t>
    </r>
  </si>
  <si>
    <r>
      <t xml:space="preserve">Điều chỉnh tên đề tài giống với cột "Tên đề tài chính thức". Nộp bảng đăng ký tên đề tài có xác nhận của GVHD về Trường. 
</t>
    </r>
    <r>
      <rPr>
        <b/>
        <sz val="10"/>
        <color rgb="FF000000"/>
        <rFont val="Arial"/>
        <family val="2"/>
        <scheme val="minor"/>
      </rPr>
      <t>Hạn nộp: 05/02/2026</t>
    </r>
  </si>
  <si>
    <r>
      <t xml:space="preserve">Nộp bảng đăng ký tên đề tài có xác nhận của GVHD về Trường. 
</t>
    </r>
    <r>
      <rPr>
        <b/>
        <sz val="12"/>
        <color rgb="FF000000"/>
        <rFont val="Times New Roman"/>
        <family val="1"/>
      </rPr>
      <t>Hạn nộp: 05/02/2026</t>
    </r>
  </si>
  <si>
    <r>
      <t xml:space="preserve">Nộp bảng đăng ký tên đề tài có xác nhận của GVHD về Trường. 
</t>
    </r>
    <r>
      <rPr>
        <b/>
        <sz val="12"/>
        <color rgb="FF000000"/>
        <rFont val="Times New Roman"/>
        <family val="1"/>
      </rPr>
      <t>Hạn nộp: 27/04/2026</t>
    </r>
  </si>
  <si>
    <t>SV kiểm ra thông tin và thực hiện đúng nội dung có tại cột "Việc SV cần làm"</t>
  </si>
  <si>
    <t>Mẫu bảng đăng ký tên đề tài: https://dtu-hti.edu.vn/quy-dinh-bieu-mau-ls2/mau-don-dang-ky-ten-de-tai-chuyen-dekhoa-luan-dxi</t>
  </si>
  <si>
    <t>SV  KHÔNG ĐĂNG KÝ TÊN ĐỀ TÀI ĐÚNG HẠN BỊ HỦY ĐĂNG KÝ THỰC TẬP ĐỢT 06/2026. SV CHỜ THÔNG BÁO VỀ ĐỢT THỰC TẬP VÀ TỐT NGHIỆP ĐỢT 12/2026 ĐỂ ĐĂNG KÝ THỰC TẬP LẠI</t>
  </si>
  <si>
    <t>Nguyễn Thảo Phương</t>
  </si>
  <si>
    <t>Phạm Lâm Vũ</t>
  </si>
  <si>
    <t>Lê Thị Hồng Yến</t>
  </si>
  <si>
    <t>Nguyễn Thị Kim Chi</t>
  </si>
  <si>
    <t>Lê Nhật Tân</t>
  </si>
  <si>
    <t>Bùi Thị Thanh Thảo</t>
  </si>
  <si>
    <t>Nông Đặng Ngọc Khuê</t>
  </si>
  <si>
    <t>Nguyễn Đức Tin</t>
  </si>
  <si>
    <t>Nguyễn Tú Uyên</t>
  </si>
  <si>
    <t>Hồ Nguyễn Minh Khang</t>
  </si>
  <si>
    <t>Huỳnh Văn Phúc</t>
  </si>
  <si>
    <t>Nguyễn Thị Tường Vi</t>
  </si>
  <si>
    <t>Trương Hoạ My</t>
  </si>
  <si>
    <t>Trần Long Hải</t>
  </si>
  <si>
    <t>Huỳnh Nguyễn Yến Nhi</t>
  </si>
  <si>
    <t>Lê Quốc Anh</t>
  </si>
  <si>
    <t>K27DLK7</t>
  </si>
  <si>
    <t>K26DLK11</t>
  </si>
  <si>
    <t>K28PSUDLK1</t>
  </si>
  <si>
    <t>K28 DLK8</t>
  </si>
  <si>
    <t>K27DLK2</t>
  </si>
  <si>
    <t>Nhà hàng, Buồng phòng</t>
  </si>
  <si>
    <t>Hủy đăng ký thực tập TN đợt 06/2026 do SV không đăng ký tên đề tài đúng hạn.</t>
  </si>
  <si>
    <t>Hủy đăng ký thực tập TN đợt 06/2026 do SV không nộp phiếu tiếp nhận sv thực tập đúng hạn.</t>
  </si>
  <si>
    <t xml:space="preserve">Hủy đăng ký thực tập TN đợt 06/2026 do SV không nộp phiếu tiếp nhận sv thực tập đúng hạn. </t>
  </si>
  <si>
    <r>
      <t xml:space="preserve">Nếu SV muốn được tiếp tục thực tập tốt nghiệp, SV làm 2 việc sau:
</t>
    </r>
    <r>
      <rPr>
        <b/>
        <sz val="12"/>
        <color rgb="FF000000"/>
        <rFont val="Times New Roman"/>
        <family val="1"/>
      </rPr>
      <t>1. Làm bảng kiểm điểm</t>
    </r>
    <r>
      <rPr>
        <sz val="12"/>
        <color rgb="FF000000"/>
        <rFont val="Times New Roman"/>
        <family val="1"/>
      </rPr>
      <t xml:space="preserve"> ghi rõ lý do ko đăng ký tên đề tài đúng hạn nộp về khoa.
</t>
    </r>
    <r>
      <rPr>
        <b/>
        <sz val="12"/>
        <color rgb="FF000000"/>
        <rFont val="Times New Roman"/>
        <family val="1"/>
      </rPr>
      <t>2. Đăng ký lại tên đề tài bằng cách gửi email.</t>
    </r>
    <r>
      <rPr>
        <sz val="12"/>
        <color rgb="FF000000"/>
        <rFont val="Times New Roman"/>
        <family val="1"/>
      </rPr>
      <t xml:space="preserve">
Địa chỉ email: hotel@dtu-hti.edu.vn
Tiêu đề email: đăng ký tên đề tài lần 2 đợt 06.2026 - họ tên - MSSV
Nội dung email: tên đề tài mới đã được GVHD duyệt
</t>
    </r>
    <r>
      <rPr>
        <b/>
        <sz val="12"/>
        <color rgb="FF000000"/>
        <rFont val="Times New Roman"/>
        <family val="1"/>
      </rPr>
      <t>Hạn gửi email: 05/02/2026
Sau thời hạn này, sv không thực hiện đúng sẽ bị hủy toàn bộ kết quả đăng ký thực tập</t>
    </r>
  </si>
  <si>
    <t>SV đã được duyệt tên đề tài nộp Bảng đăng ký tên đề tài về Khoa tại quầy lễ tân trường Du lịch, tầng 1 cơ sở 3 Quang Trung. Bảng đăng ký phải ghi chính xác tên Doanh nghiệp và tên đề tài chính thức. SV khi đến nộp phải đối chiếu và ký nộp.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</si>
</sst>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h:mm:ss"/>
    <numFmt numFmtId="165" formatCode="mm/dd/yyyy"/>
  </numFmts>
  <fonts count="19" x14ac:knownFonts="1">
    <font>
      <sz val="10"/>
      <color rgb="FF000000"/>
      <name val="Arial"/>
      <scheme val="minor"/>
    </font>
    <font>
      <sz val="10"/>
      <color theme="1"/>
      <name val="Arial"/>
      <family val="2"/>
      <scheme val="minor"/>
    </font>
    <font>
      <sz val="10"/>
      <color theme="1"/>
      <name val="Times New Roman"/>
      <family val="1"/>
    </font>
    <font>
      <b/>
      <sz val="13"/>
      <color theme="1"/>
      <name val="Times New Roman"/>
      <family val="1"/>
    </font>
    <font>
      <sz val="10"/>
      <color rgb="FF000000"/>
      <name val="Times New Roman"/>
      <family val="1"/>
    </font>
    <font>
      <b/>
      <sz val="10"/>
      <color rgb="FFFF0000"/>
      <name val="Times New Roman"/>
      <family val="1"/>
    </font>
    <font>
      <b/>
      <sz val="10"/>
      <color theme="1"/>
      <name val="Times New Roman"/>
      <family val="1"/>
    </font>
    <font>
      <b/>
      <u/>
      <sz val="10"/>
      <color rgb="FF0000FF"/>
      <name val="Times New Roman"/>
      <family val="1"/>
    </font>
    <font>
      <b/>
      <sz val="10"/>
      <name val="Times New Roman"/>
      <family val="1"/>
    </font>
    <font>
      <b/>
      <u/>
      <sz val="10"/>
      <name val="Times New Roman"/>
      <family val="1"/>
    </font>
    <font>
      <b/>
      <sz val="10"/>
      <color rgb="FF000000"/>
      <name val="Times New Roman"/>
      <family val="1"/>
    </font>
    <font>
      <sz val="10"/>
      <color rgb="FFFF0000"/>
      <name val="Times New Roman"/>
      <family val="1"/>
    </font>
    <font>
      <u/>
      <sz val="10"/>
      <color theme="10"/>
      <name val="Arial"/>
      <family val="2"/>
      <scheme val="minor"/>
    </font>
    <font>
      <sz val="10"/>
      <color rgb="FF000000"/>
      <name val="Arial"/>
      <family val="2"/>
      <scheme val="minor"/>
    </font>
    <font>
      <b/>
      <sz val="10"/>
      <color rgb="FF000000"/>
      <name val="Arial"/>
      <family val="2"/>
      <scheme val="minor"/>
    </font>
    <font>
      <sz val="12"/>
      <color rgb="FF000000"/>
      <name val="Times New Roman"/>
      <family val="1"/>
    </font>
    <font>
      <b/>
      <sz val="12"/>
      <color rgb="FF000000"/>
      <name val="Times New Roman"/>
      <family val="1"/>
    </font>
    <font>
      <sz val="12"/>
      <color theme="1"/>
      <name val="Times New Roman"/>
      <family val="1"/>
    </font>
    <font>
      <b/>
      <sz val="14"/>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1" fillId="0" borderId="0" xfId="0" applyFont="1"/>
    <xf numFmtId="49" fontId="1" fillId="0" borderId="0" xfId="0" applyNumberFormat="1" applyFont="1"/>
    <xf numFmtId="164" fontId="1" fillId="0" borderId="0" xfId="0" applyNumberFormat="1" applyFont="1"/>
    <xf numFmtId="165" fontId="1" fillId="0" borderId="0" xfId="0" applyNumberFormat="1" applyFont="1"/>
    <xf numFmtId="14" fontId="1" fillId="0" borderId="0" xfId="0" applyNumberFormat="1" applyFont="1"/>
    <xf numFmtId="0" fontId="2" fillId="2" borderId="0" xfId="0" applyFont="1" applyFill="1"/>
    <xf numFmtId="0" fontId="3" fillId="2" borderId="0" xfId="0" applyFont="1" applyFill="1" applyAlignment="1">
      <alignment horizontal="center"/>
    </xf>
    <xf numFmtId="0" fontId="2" fillId="2" borderId="0" xfId="0" applyFont="1" applyFill="1" applyAlignment="1">
      <alignment wrapText="1"/>
    </xf>
    <xf numFmtId="0" fontId="4" fillId="2" borderId="0" xfId="0" applyFont="1" applyFill="1"/>
    <xf numFmtId="49" fontId="2" fillId="2" borderId="0" xfId="0" applyNumberFormat="1" applyFont="1" applyFill="1"/>
    <xf numFmtId="0" fontId="3" fillId="2" borderId="0" xfId="0" applyFont="1" applyFill="1" applyAlignment="1">
      <alignment horizontal="center" wrapText="1"/>
    </xf>
    <xf numFmtId="0" fontId="5" fillId="2" borderId="0" xfId="0" applyFont="1" applyFill="1"/>
    <xf numFmtId="0" fontId="6" fillId="2" borderId="0" xfId="0" applyFont="1" applyFill="1"/>
    <xf numFmtId="0" fontId="7" fillId="2" borderId="0" xfId="0" applyFont="1" applyFill="1"/>
    <xf numFmtId="0" fontId="2" fillId="2" borderId="1" xfId="0" applyFont="1" applyFill="1" applyBorder="1" applyAlignment="1">
      <alignment wrapText="1"/>
    </xf>
    <xf numFmtId="0" fontId="10" fillId="2" borderId="1" xfId="0" applyFont="1" applyFill="1" applyBorder="1" applyAlignment="1">
      <alignment horizontal="center" vertical="center" wrapText="1"/>
    </xf>
    <xf numFmtId="164"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2" fillId="2" borderId="1" xfId="0" quotePrefix="1" applyFont="1" applyFill="1" applyBorder="1" applyAlignment="1">
      <alignment vertical="center" wrapText="1"/>
    </xf>
    <xf numFmtId="0" fontId="4" fillId="2" borderId="1" xfId="0" applyFont="1" applyFill="1" applyBorder="1" applyAlignment="1">
      <alignment vertical="center" wrapText="1"/>
    </xf>
    <xf numFmtId="164" fontId="11"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1" fillId="2" borderId="1" xfId="0" quotePrefix="1" applyFont="1" applyFill="1" applyBorder="1" applyAlignment="1">
      <alignment vertical="center" wrapText="1"/>
    </xf>
    <xf numFmtId="0" fontId="11" fillId="2" borderId="0" xfId="0" applyFont="1" applyFill="1" applyAlignment="1">
      <alignment wrapText="1"/>
    </xf>
    <xf numFmtId="0" fontId="11" fillId="2" borderId="0" xfId="0" applyFont="1" applyFill="1"/>
    <xf numFmtId="164"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11" fillId="3" borderId="0" xfId="0" applyFont="1" applyFill="1" applyAlignment="1">
      <alignment wrapText="1"/>
    </xf>
    <xf numFmtId="0" fontId="11" fillId="3" borderId="0" xfId="0" applyFont="1" applyFill="1"/>
    <xf numFmtId="0" fontId="6" fillId="2" borderId="1" xfId="0" applyFont="1" applyFill="1" applyBorder="1" applyAlignment="1">
      <alignment horizontal="left" vertical="center" wrapText="1"/>
    </xf>
    <xf numFmtId="0" fontId="10" fillId="2" borderId="0" xfId="0" applyFont="1" applyFill="1" applyAlignment="1">
      <alignment wrapText="1"/>
    </xf>
    <xf numFmtId="0" fontId="11" fillId="3" borderId="1" xfId="0" applyFont="1" applyFill="1" applyBorder="1" applyAlignment="1">
      <alignment wrapText="1"/>
    </xf>
    <xf numFmtId="0" fontId="11" fillId="2" borderId="1" xfId="0" applyFont="1" applyFill="1" applyBorder="1" applyAlignment="1">
      <alignment wrapText="1"/>
    </xf>
    <xf numFmtId="0" fontId="13" fillId="0" borderId="1" xfId="0" applyFont="1" applyBorder="1" applyAlignment="1">
      <alignment vertical="center" wrapText="1"/>
    </xf>
    <xf numFmtId="0" fontId="15" fillId="0" borderId="0" xfId="0" applyFont="1" applyAlignment="1">
      <alignment vertical="center"/>
    </xf>
    <xf numFmtId="0" fontId="15" fillId="0" borderId="0" xfId="0" applyFont="1" applyAlignment="1">
      <alignment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164" fontId="17" fillId="2" borderId="1" xfId="0" applyNumberFormat="1" applyFont="1" applyFill="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8" fillId="0" borderId="0" xfId="0" applyFont="1" applyAlignment="1">
      <alignment horizontal="center" vertical="center"/>
    </xf>
    <xf numFmtId="0" fontId="12" fillId="0" borderId="0" xfId="1" applyAlignment="1">
      <alignment vertical="center"/>
    </xf>
  </cellXfs>
  <cellStyles count="2">
    <cellStyle name="Bình thường" xfId="0" builtinId="0"/>
    <cellStyle name="Siêu kết nối" xfId="1" builtinId="8"/>
  </cellStyles>
  <dxfs count="32">
    <dxf>
      <font>
        <strike val="0"/>
        <outline val="0"/>
        <shadow val="0"/>
        <vertAlign val="baseline"/>
        <color theme="1"/>
        <name val="Times New Roman"/>
        <family val="1"/>
        <scheme val="none"/>
      </font>
      <numFmt numFmtId="164" formatCode="m/d/yyyy\ h:mm:ss"/>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dxf>
    <dxf>
      <font>
        <b/>
        <strike val="0"/>
        <outline val="0"/>
        <shadow val="0"/>
        <vertAlign val="baseline"/>
        <name val="Times New Roman"/>
        <family val="1"/>
        <scheme val="none"/>
      </font>
      <fill>
        <patternFill patternType="solid">
          <fgColor indexed="64"/>
          <bgColor theme="0"/>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b/>
        <strike val="0"/>
        <outline val="0"/>
        <shadow val="0"/>
        <vertAlign val="baseline"/>
        <name val="Times New Roman"/>
        <family val="1"/>
        <scheme val="none"/>
      </font>
      <fill>
        <patternFill patternType="solid">
          <fgColor indexed="64"/>
          <bgColor theme="0"/>
        </patternFill>
      </fill>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name val="Times New Roman"/>
        <family val="1"/>
        <scheme val="none"/>
      </font>
      <fill>
        <patternFill patternType="solid">
          <fgColor indexed="64"/>
          <bgColor theme="0"/>
        </patternFill>
      </fill>
    </dxf>
    <dxf>
      <fill>
        <patternFill patternType="solid">
          <fgColor rgb="FFD9EAD3"/>
          <bgColor rgb="FFD9EAD3"/>
        </patternFill>
      </fill>
    </dxf>
    <dxf>
      <fill>
        <patternFill patternType="solid">
          <fgColor rgb="FFFFFFFF"/>
          <bgColor rgb="FFFFFFFF"/>
        </patternFill>
      </fill>
    </dxf>
    <dxf>
      <fill>
        <patternFill patternType="solid">
          <fgColor rgb="FF38761D"/>
          <bgColor rgb="FF38761D"/>
        </patternFill>
      </fill>
    </dxf>
    <dxf>
      <border>
        <left style="thin">
          <color rgb="FF38761D"/>
        </left>
        <right style="thin">
          <color rgb="FF38761D"/>
        </right>
        <top style="thin">
          <color rgb="FF38761D"/>
        </top>
        <bottom style="thin">
          <color rgb="FF38761D"/>
        </bottom>
      </border>
    </dxf>
  </dxfs>
  <tableStyles count="1">
    <tableStyle name="Form Responses 1-style" pivot="0" count="4" xr9:uid="{00000000-0011-0000-FFFF-FFFF00000000}">
      <tableStyleElement type="wholeTable" size="0" dxfId="31"/>
      <tableStyleElement type="headerRow" dxfId="30"/>
      <tableStyleElement type="firstRowStripe" dxfId="29"/>
      <tableStyleElement type="secondRowStripe"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0:K221" headerRowDxfId="15" dataDxfId="27" totalsRowDxfId="14">
  <tableColumns count="11">
    <tableColumn id="1" xr3:uid="{00000000-0010-0000-0000-000001000000}" name="Thời gian đăng ký đề tài" dataDxfId="26"/>
    <tableColumn id="3" xr3:uid="{00000000-0010-0000-0000-000003000000}" name="Mã số sinh viên (đầy đủ)" dataDxfId="25"/>
    <tableColumn id="4" xr3:uid="{00000000-0010-0000-0000-000004000000}" name="Họ và tên" dataDxfId="24"/>
    <tableColumn id="5" xr3:uid="{00000000-0010-0000-0000-000005000000}" name="Ngày sinh" dataDxfId="23"/>
    <tableColumn id="6" xr3:uid="{00000000-0010-0000-0000-000006000000}" name="Lớp (ví dụ: K28DLK 1)" dataDxfId="22"/>
    <tableColumn id="7" xr3:uid="{00000000-0010-0000-0000-000007000000}" name="Chuyên ngành" dataDxfId="21"/>
    <tableColumn id="8" xr3:uid="{00000000-0010-0000-0000-000008000000}" name="Khóa" dataDxfId="20"/>
    <tableColumn id="14" xr3:uid="{00000000-0010-0000-0000-00000E000000}" name="Tên giảng viên hướng dẫn" dataDxfId="19"/>
    <tableColumn id="16" xr3:uid="{00000000-0010-0000-0000-000010000000}" name="DIỆN THAM GIA LÀM BÀI TỐT NGHIỆP CUỐI KHÓA" dataDxfId="18"/>
    <tableColumn id="27" xr3:uid="{00000000-0010-0000-0000-00001B000000}" name="Xét duyệt TÊN ĐỀ TÀI của TRƯỞNG KHOA" dataDxfId="17"/>
    <tableColumn id="28" xr3:uid="{00000000-0010-0000-0000-00001C000000}" name="Ghi chú của TRƯỞNG KHOA (ĐIỀU CHỈNH LẠI TÊN ĐỀ TÀI THEO GỢI Ý)" dataDxfId="16"/>
  </tableColumns>
  <tableStyleInfo name="Form Responses 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65D507-C10D-435A-84C1-D1E9BCDD3112}" name="Form_Responses3" displayName="Form_Responses3" ref="A10:K221" headerRowDxfId="13" dataDxfId="12" totalsRowDxfId="11">
  <tableColumns count="11">
    <tableColumn id="1" xr3:uid="{3732C308-6FD7-44C7-BAAC-C8FC1F7BE6CF}" name="Thời gian đăng ký đề tài" dataDxfId="0"/>
    <tableColumn id="3" xr3:uid="{1C61A79E-C8AB-414C-962A-214163F9B10B}" name="Mã số sinh viên (đầy đủ)" dataDxfId="10"/>
    <tableColumn id="4" xr3:uid="{6BBD36F0-B760-48EC-87D6-3A81005DCA6C}" name="Họ và tên" dataDxfId="9"/>
    <tableColumn id="5" xr3:uid="{17C1E48C-60DB-4E34-8F6F-08D5B31665AD}" name="Ngày sinh" dataDxfId="8"/>
    <tableColumn id="6" xr3:uid="{CB435139-029B-4EBC-B1D9-172F7975EA3F}" name="Lớp (ví dụ: K28DLK 1)" dataDxfId="7"/>
    <tableColumn id="7" xr3:uid="{13F5718D-9631-4EBE-98A3-942F91CE06B3}" name="Chuyên ngành" dataDxfId="6"/>
    <tableColumn id="8" xr3:uid="{D32BE22F-8279-4734-94E3-F56329CEDB93}" name="Khóa" dataDxfId="5"/>
    <tableColumn id="14" xr3:uid="{BB92D35E-59D8-4484-96E9-1408AE783C48}" name="Tên giảng viên hướng dẫn" dataDxfId="4"/>
    <tableColumn id="16" xr3:uid="{FEFD0380-CEDD-4685-814D-16894517E02A}" name="DIỆN THAM GIA LÀM BÀI TỐT NGHIỆP CUỐI KHÓA" dataDxfId="3"/>
    <tableColumn id="27" xr3:uid="{B17DDDDA-5BD9-4995-9984-34FD59917325}" name="Xét duyệt TÊN ĐỀ TÀI của TRƯỞNG KHOA" dataDxfId="2"/>
    <tableColumn id="28" xr3:uid="{EE6A5383-824F-4415-B3ED-2432A4BBAAC9}" name="Ghi chú của TRƯỞNG KHOA (ĐIỀU CHỈNH LẠI TÊN ĐỀ TÀI THEO GỢI Ý)" dataDxfId="1"/>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tu-hti.edu.vn/quy-dinh-bieu-mau-ls2/mau-don-dang-ky-ten-de-tai-chuyen-dekhoa-luan-dxi"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hyperlink" Target="https://dtu-hti.edu.vn/quy-dinh-bieu-mau-ls2/mau-don-dang-ky-ten-de-tai-chuyen-dekhoa-luan-dxi"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tu-hti.edu.vn/quy-dinh-bieu-mau-ls2/mau-don-dang-ky-ten-de-tai-chuyen-dekhoa-luan-dx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255"/>
  <sheetViews>
    <sheetView zoomScale="115" zoomScaleNormal="115" workbookViewId="0">
      <pane ySplit="10" topLeftCell="A219" activePane="bottomLeft" state="frozen"/>
      <selection activeCell="C1" sqref="C1"/>
      <selection pane="bottomLeft" activeCell="A11" sqref="A11:A221"/>
    </sheetView>
  </sheetViews>
  <sheetFormatPr defaultColWidth="12.5703125" defaultRowHeight="15.75" customHeight="1" x14ac:dyDescent="0.2"/>
  <cols>
    <col min="1" max="1" width="18.28515625" style="9" customWidth="1"/>
    <col min="2" max="2" width="12.42578125" style="9" customWidth="1"/>
    <col min="3" max="3" width="18.85546875" style="9" customWidth="1"/>
    <col min="4" max="4" width="14.140625" style="9" customWidth="1"/>
    <col min="5" max="5" width="13.140625" style="9" customWidth="1"/>
    <col min="6" max="6" width="16.85546875" style="9" customWidth="1"/>
    <col min="7" max="7" width="6.140625" style="9" customWidth="1"/>
    <col min="8" max="8" width="13.7109375" style="9" customWidth="1"/>
    <col min="9" max="9" width="15.7109375" style="9" customWidth="1"/>
    <col min="10" max="10" width="18.85546875" style="9" customWidth="1"/>
    <col min="11" max="11" width="24.85546875" style="9" customWidth="1"/>
    <col min="12" max="12" width="15.140625" style="9" customWidth="1"/>
    <col min="13" max="13" width="10.42578125" style="9" customWidth="1"/>
    <col min="14" max="14" width="40.7109375" style="9" customWidth="1"/>
    <col min="15" max="17" width="18.85546875" style="9" customWidth="1"/>
    <col min="18" max="16384" width="12.5703125" style="9"/>
  </cols>
  <sheetData>
    <row r="1" spans="1:17" ht="16.5" x14ac:dyDescent="0.25">
      <c r="A1" s="6"/>
      <c r="B1" s="6"/>
      <c r="C1" s="7" t="s">
        <v>0</v>
      </c>
      <c r="D1" s="6"/>
      <c r="E1" s="6"/>
      <c r="F1" s="6"/>
      <c r="G1" s="6"/>
      <c r="H1" s="6"/>
      <c r="L1" s="8"/>
      <c r="M1" s="6"/>
      <c r="N1" s="6"/>
      <c r="O1" s="10"/>
      <c r="P1" s="10"/>
      <c r="Q1" s="10"/>
    </row>
    <row r="2" spans="1:17" ht="16.5" x14ac:dyDescent="0.25">
      <c r="A2" s="6"/>
      <c r="B2" s="6"/>
      <c r="C2" s="11" t="s">
        <v>1</v>
      </c>
      <c r="D2" s="6"/>
      <c r="E2" s="6"/>
      <c r="F2" s="6"/>
      <c r="G2" s="6"/>
      <c r="H2" s="6"/>
      <c r="L2" s="8"/>
      <c r="M2" s="6"/>
      <c r="N2" s="6"/>
      <c r="O2" s="10"/>
      <c r="P2" s="10"/>
      <c r="Q2" s="10"/>
    </row>
    <row r="3" spans="1:17" ht="12.75" x14ac:dyDescent="0.2">
      <c r="A3" s="12" t="s">
        <v>2</v>
      </c>
      <c r="B3" s="6"/>
      <c r="C3" s="6"/>
      <c r="D3" s="6"/>
      <c r="E3" s="6"/>
      <c r="F3" s="6"/>
      <c r="G3" s="6"/>
      <c r="H3" s="6"/>
      <c r="L3" s="8"/>
      <c r="M3" s="6"/>
      <c r="N3" s="6"/>
      <c r="O3" s="10"/>
      <c r="P3" s="10"/>
      <c r="Q3" s="10"/>
    </row>
    <row r="4" spans="1:17" ht="12.75" x14ac:dyDescent="0.2">
      <c r="A4" s="13"/>
      <c r="B4" s="6"/>
      <c r="C4" s="6"/>
      <c r="D4" s="6"/>
      <c r="E4" s="6"/>
      <c r="F4" s="6"/>
      <c r="G4" s="6"/>
      <c r="H4" s="6"/>
      <c r="L4" s="8"/>
      <c r="M4" s="6"/>
      <c r="N4" s="6"/>
      <c r="O4" s="10"/>
      <c r="P4" s="10"/>
      <c r="Q4" s="10"/>
    </row>
    <row r="5" spans="1:17" ht="12.75" x14ac:dyDescent="0.2">
      <c r="A5" s="13"/>
      <c r="B5" s="6"/>
      <c r="C5" s="6"/>
      <c r="D5" s="6"/>
      <c r="E5" s="6"/>
      <c r="F5" s="6"/>
      <c r="G5" s="6"/>
      <c r="H5" s="6"/>
      <c r="L5" s="8"/>
      <c r="M5" s="6"/>
      <c r="N5" s="6"/>
      <c r="O5" s="10"/>
      <c r="P5" s="10"/>
      <c r="Q5" s="10"/>
    </row>
    <row r="6" spans="1:17" ht="12.75" x14ac:dyDescent="0.2">
      <c r="A6" s="14" t="s">
        <v>756</v>
      </c>
      <c r="B6" s="6"/>
      <c r="C6" s="6"/>
      <c r="D6" s="6"/>
      <c r="E6" s="6"/>
      <c r="F6" s="6"/>
      <c r="G6" s="6"/>
      <c r="H6" s="6"/>
      <c r="L6" s="8"/>
      <c r="M6" s="6"/>
      <c r="N6" s="6"/>
      <c r="O6" s="10"/>
      <c r="P6" s="10"/>
      <c r="Q6" s="10"/>
    </row>
    <row r="7" spans="1:17" ht="12.75" x14ac:dyDescent="0.2">
      <c r="A7" s="9" t="s">
        <v>803</v>
      </c>
      <c r="B7" s="6"/>
      <c r="C7" s="6"/>
      <c r="D7" s="6"/>
      <c r="E7" s="6"/>
      <c r="F7" s="6"/>
      <c r="G7" s="6"/>
      <c r="H7" s="6"/>
      <c r="L7" s="8"/>
      <c r="M7" s="6"/>
      <c r="N7" s="6"/>
      <c r="O7" s="10"/>
      <c r="P7" s="10"/>
      <c r="Q7" s="10"/>
    </row>
    <row r="8" spans="1:17" ht="12.75" x14ac:dyDescent="0.2">
      <c r="A8" s="12" t="s">
        <v>802</v>
      </c>
      <c r="B8" s="6"/>
      <c r="C8" s="6"/>
      <c r="D8" s="6"/>
      <c r="E8" s="6"/>
      <c r="F8" s="6"/>
      <c r="G8" s="6"/>
      <c r="H8" s="6"/>
      <c r="L8" s="8"/>
      <c r="M8" s="6"/>
      <c r="N8" s="6"/>
      <c r="O8" s="10"/>
      <c r="P8" s="10"/>
      <c r="Q8" s="10"/>
    </row>
    <row r="9" spans="1:17" ht="12.75" x14ac:dyDescent="0.2">
      <c r="B9" s="6"/>
      <c r="C9" s="6"/>
      <c r="D9" s="6"/>
      <c r="E9" s="6"/>
      <c r="F9" s="6"/>
      <c r="G9" s="6"/>
      <c r="H9" s="6"/>
      <c r="L9" s="8"/>
      <c r="M9" s="6"/>
      <c r="N9" s="6"/>
      <c r="O9" s="10"/>
      <c r="P9" s="10"/>
      <c r="Q9" s="10"/>
    </row>
    <row r="10" spans="1:17" s="31" customFormat="1" ht="78" customHeight="1" x14ac:dyDescent="0.2">
      <c r="A10" s="30" t="s">
        <v>800</v>
      </c>
      <c r="B10" s="30" t="s">
        <v>3</v>
      </c>
      <c r="C10" s="30" t="s">
        <v>4</v>
      </c>
      <c r="D10" s="30" t="s">
        <v>5</v>
      </c>
      <c r="E10" s="30" t="s">
        <v>6</v>
      </c>
      <c r="F10" s="30" t="s">
        <v>7</v>
      </c>
      <c r="G10" s="30" t="s">
        <v>8</v>
      </c>
      <c r="H10" s="30" t="s">
        <v>10</v>
      </c>
      <c r="I10" s="16" t="s">
        <v>11</v>
      </c>
      <c r="J10" s="16" t="s">
        <v>12</v>
      </c>
      <c r="K10" s="16" t="s">
        <v>759</v>
      </c>
      <c r="L10" s="30" t="s">
        <v>801</v>
      </c>
      <c r="M10" s="30" t="s">
        <v>9</v>
      </c>
      <c r="N10" s="30" t="s">
        <v>799</v>
      </c>
      <c r="O10" s="30" t="s">
        <v>804</v>
      </c>
    </row>
    <row r="11" spans="1:17" ht="69.75" customHeight="1" x14ac:dyDescent="0.2">
      <c r="A11" s="17">
        <v>46052.58908362269</v>
      </c>
      <c r="B11" s="18">
        <v>25217107474</v>
      </c>
      <c r="C11" s="18" t="s">
        <v>13</v>
      </c>
      <c r="D11" s="18" t="s">
        <v>14</v>
      </c>
      <c r="E11" s="18" t="s">
        <v>15</v>
      </c>
      <c r="F11" s="18" t="s">
        <v>16</v>
      </c>
      <c r="G11" s="18" t="s">
        <v>17</v>
      </c>
      <c r="H11" s="18" t="s">
        <v>21</v>
      </c>
      <c r="I11" s="20" t="str">
        <f ca="1">VLOOKUP($B11,Sheet1!$C$2:$AK$272,27,0)</f>
        <v>BÁO CÁO THỰC TẬP TỐT NGHIỆP</v>
      </c>
      <c r="J11" s="20" t="s">
        <v>22</v>
      </c>
      <c r="K11" s="20"/>
      <c r="L11" s="18" t="s">
        <v>18</v>
      </c>
      <c r="M11" s="18" t="s">
        <v>19</v>
      </c>
      <c r="N11" s="18" t="s">
        <v>20</v>
      </c>
      <c r="O11" s="15"/>
      <c r="P11" s="8"/>
      <c r="Q11" s="8"/>
    </row>
    <row r="12" spans="1:17" ht="69.75" customHeight="1" x14ac:dyDescent="0.2">
      <c r="A12" s="17">
        <v>46051.798784398146</v>
      </c>
      <c r="B12" s="18">
        <v>28209305565</v>
      </c>
      <c r="C12" s="18" t="s">
        <v>23</v>
      </c>
      <c r="D12" s="19" t="s">
        <v>24</v>
      </c>
      <c r="E12" s="18" t="s">
        <v>25</v>
      </c>
      <c r="F12" s="18" t="s">
        <v>26</v>
      </c>
      <c r="G12" s="18" t="s">
        <v>27</v>
      </c>
      <c r="H12" s="18" t="s">
        <v>31</v>
      </c>
      <c r="I12" s="20" t="str">
        <f ca="1">VLOOKUP($B12,Sheet1!$C$2:$AK$272,27,0)</f>
        <v>BÁO CÁO THỰC TẬP TỐT NGHIỆP</v>
      </c>
      <c r="J12" s="20" t="s">
        <v>22</v>
      </c>
      <c r="K12" s="20"/>
      <c r="L12" s="18" t="s">
        <v>28</v>
      </c>
      <c r="M12" s="18" t="s">
        <v>29</v>
      </c>
      <c r="N12" s="18" t="s">
        <v>30</v>
      </c>
      <c r="O12" s="15"/>
      <c r="P12" s="8"/>
      <c r="Q12" s="8"/>
    </row>
    <row r="13" spans="1:17" ht="69.75" customHeight="1" x14ac:dyDescent="0.2">
      <c r="A13" s="17">
        <v>46053.805599953703</v>
      </c>
      <c r="B13" s="18">
        <v>28204706232</v>
      </c>
      <c r="C13" s="18" t="s">
        <v>32</v>
      </c>
      <c r="D13" s="18" t="s">
        <v>33</v>
      </c>
      <c r="E13" s="18" t="s">
        <v>34</v>
      </c>
      <c r="F13" s="18" t="s">
        <v>26</v>
      </c>
      <c r="G13" s="18" t="s">
        <v>27</v>
      </c>
      <c r="H13" s="18" t="s">
        <v>37</v>
      </c>
      <c r="I13" s="20" t="str">
        <f ca="1">VLOOKUP($B13,Sheet1!$C$2:$AK$272,27,0)</f>
        <v>BÁO CÁO THỰC TẬP TỐT NGHIỆP</v>
      </c>
      <c r="J13" s="20" t="s">
        <v>22</v>
      </c>
      <c r="K13" s="20"/>
      <c r="L13" s="18" t="s">
        <v>35</v>
      </c>
      <c r="M13" s="18" t="s">
        <v>29</v>
      </c>
      <c r="N13" s="18" t="s">
        <v>36</v>
      </c>
      <c r="O13" s="15"/>
      <c r="P13" s="8"/>
      <c r="Q13" s="8"/>
    </row>
    <row r="14" spans="1:17" ht="69.75" customHeight="1" x14ac:dyDescent="0.2">
      <c r="A14" s="17">
        <v>46055.5121134375</v>
      </c>
      <c r="B14" s="18">
        <v>28208027850</v>
      </c>
      <c r="C14" s="18" t="s">
        <v>38</v>
      </c>
      <c r="D14" s="19" t="s">
        <v>39</v>
      </c>
      <c r="E14" s="18" t="s">
        <v>40</v>
      </c>
      <c r="F14" s="18" t="s">
        <v>26</v>
      </c>
      <c r="G14" s="18" t="s">
        <v>27</v>
      </c>
      <c r="H14" s="18" t="s">
        <v>31</v>
      </c>
      <c r="I14" s="20" t="str">
        <f ca="1">VLOOKUP($B14,Sheet1!$C$2:$AK$272,27,0)</f>
        <v>BÁO CÁO THỰC TẬP TỐT NGHIỆP</v>
      </c>
      <c r="J14" s="20" t="s">
        <v>22</v>
      </c>
      <c r="K14" s="20"/>
      <c r="L14" s="18" t="s">
        <v>41</v>
      </c>
      <c r="M14" s="18" t="s">
        <v>29</v>
      </c>
      <c r="N14" s="18" t="s">
        <v>42</v>
      </c>
      <c r="O14" s="15"/>
      <c r="P14" s="8"/>
      <c r="Q14" s="8"/>
    </row>
    <row r="15" spans="1:17" ht="69.75" customHeight="1" x14ac:dyDescent="0.2">
      <c r="A15" s="17">
        <v>46052.392837962965</v>
      </c>
      <c r="B15" s="18">
        <v>28208037364</v>
      </c>
      <c r="C15" s="18" t="s">
        <v>43</v>
      </c>
      <c r="D15" s="18" t="s">
        <v>44</v>
      </c>
      <c r="E15" s="18" t="s">
        <v>25</v>
      </c>
      <c r="F15" s="18" t="s">
        <v>26</v>
      </c>
      <c r="G15" s="18" t="s">
        <v>27</v>
      </c>
      <c r="H15" s="18" t="s">
        <v>47</v>
      </c>
      <c r="I15" s="20" t="str">
        <f ca="1">VLOOKUP($B15,Sheet1!$C$2:$AK$272,27,0)</f>
        <v>BÁO CÁO THỰC TẬP TỐT NGHIỆP</v>
      </c>
      <c r="J15" s="20" t="s">
        <v>22</v>
      </c>
      <c r="K15" s="20"/>
      <c r="L15" s="18" t="s">
        <v>45</v>
      </c>
      <c r="M15" s="18" t="s">
        <v>19</v>
      </c>
      <c r="N15" s="18" t="s">
        <v>46</v>
      </c>
      <c r="O15" s="15"/>
      <c r="P15" s="8"/>
      <c r="Q15" s="8"/>
    </row>
    <row r="16" spans="1:17" ht="69.75" customHeight="1" x14ac:dyDescent="0.2">
      <c r="A16" s="17">
        <v>46052.939517129635</v>
      </c>
      <c r="B16" s="18">
        <v>28208001005</v>
      </c>
      <c r="C16" s="18" t="s">
        <v>48</v>
      </c>
      <c r="D16" s="18" t="s">
        <v>49</v>
      </c>
      <c r="E16" s="18" t="s">
        <v>50</v>
      </c>
      <c r="F16" s="18" t="s">
        <v>26</v>
      </c>
      <c r="G16" s="18" t="s">
        <v>27</v>
      </c>
      <c r="H16" s="18" t="s">
        <v>53</v>
      </c>
      <c r="I16" s="20" t="str">
        <f ca="1">VLOOKUP($B16,Sheet1!$C$2:$AK$272,27,0)</f>
        <v>BÁO CÁO THỰC TẬP TỐT NGHIỆP</v>
      </c>
      <c r="J16" s="20" t="s">
        <v>22</v>
      </c>
      <c r="K16" s="20"/>
      <c r="L16" s="18" t="s">
        <v>51</v>
      </c>
      <c r="M16" s="18" t="s">
        <v>29</v>
      </c>
      <c r="N16" s="18" t="s">
        <v>52</v>
      </c>
      <c r="O16" s="15"/>
      <c r="P16" s="8"/>
      <c r="Q16" s="8"/>
    </row>
    <row r="17" spans="1:17" ht="69.75" customHeight="1" x14ac:dyDescent="0.2">
      <c r="A17" s="17">
        <v>46055.479539942127</v>
      </c>
      <c r="B17" s="18">
        <v>28208053169</v>
      </c>
      <c r="C17" s="18" t="s">
        <v>54</v>
      </c>
      <c r="D17" s="18" t="s">
        <v>55</v>
      </c>
      <c r="E17" s="18" t="s">
        <v>50</v>
      </c>
      <c r="F17" s="18" t="s">
        <v>26</v>
      </c>
      <c r="G17" s="18" t="s">
        <v>27</v>
      </c>
      <c r="H17" s="18" t="s">
        <v>21</v>
      </c>
      <c r="I17" s="20" t="str">
        <f ca="1">VLOOKUP($B17,Sheet1!$C$2:$AK$272,27,0)</f>
        <v>BÁO CÁO THỰC TẬP TỐT NGHIỆP</v>
      </c>
      <c r="J17" s="20" t="s">
        <v>22</v>
      </c>
      <c r="K17" s="20"/>
      <c r="L17" s="18" t="s">
        <v>56</v>
      </c>
      <c r="M17" s="18" t="s">
        <v>29</v>
      </c>
      <c r="N17" s="18" t="s">
        <v>775</v>
      </c>
      <c r="O17" s="15"/>
      <c r="P17" s="8"/>
      <c r="Q17" s="8"/>
    </row>
    <row r="18" spans="1:17" ht="69.75" customHeight="1" x14ac:dyDescent="0.2">
      <c r="A18" s="17">
        <v>46053.924635740739</v>
      </c>
      <c r="B18" s="18">
        <v>28208001590</v>
      </c>
      <c r="C18" s="18" t="s">
        <v>57</v>
      </c>
      <c r="D18" s="19" t="s">
        <v>58</v>
      </c>
      <c r="E18" s="18" t="s">
        <v>25</v>
      </c>
      <c r="F18" s="18" t="s">
        <v>26</v>
      </c>
      <c r="G18" s="18" t="s">
        <v>27</v>
      </c>
      <c r="H18" s="18" t="s">
        <v>31</v>
      </c>
      <c r="I18" s="20" t="str">
        <f ca="1">VLOOKUP($B18,Sheet1!$C$2:$AK$272,27,0)</f>
        <v>BÁO CÁO THỰC TẬP TỐT NGHIỆP</v>
      </c>
      <c r="J18" s="20" t="s">
        <v>22</v>
      </c>
      <c r="K18" s="20"/>
      <c r="L18" s="18" t="s">
        <v>59</v>
      </c>
      <c r="M18" s="18" t="s">
        <v>29</v>
      </c>
      <c r="N18" s="18" t="s">
        <v>60</v>
      </c>
      <c r="O18" s="15"/>
      <c r="P18" s="8"/>
      <c r="Q18" s="8"/>
    </row>
    <row r="19" spans="1:17" ht="69.75" customHeight="1" x14ac:dyDescent="0.2">
      <c r="A19" s="17">
        <v>46054.940125497684</v>
      </c>
      <c r="B19" s="18">
        <v>28208036094</v>
      </c>
      <c r="C19" s="18" t="s">
        <v>61</v>
      </c>
      <c r="D19" s="18" t="s">
        <v>62</v>
      </c>
      <c r="E19" s="18" t="s">
        <v>25</v>
      </c>
      <c r="F19" s="18" t="s">
        <v>26</v>
      </c>
      <c r="G19" s="18" t="s">
        <v>27</v>
      </c>
      <c r="H19" s="18" t="s">
        <v>31</v>
      </c>
      <c r="I19" s="20" t="str">
        <f ca="1">VLOOKUP($B19,Sheet1!$C$2:$AK$272,27,0)</f>
        <v>BÁO CÁO THỰC TẬP TỐT NGHIỆP</v>
      </c>
      <c r="J19" s="20" t="s">
        <v>22</v>
      </c>
      <c r="K19" s="20"/>
      <c r="L19" s="18" t="s">
        <v>63</v>
      </c>
      <c r="M19" s="18" t="s">
        <v>29</v>
      </c>
      <c r="N19" s="18" t="s">
        <v>64</v>
      </c>
      <c r="O19" s="15"/>
      <c r="P19" s="8"/>
      <c r="Q19" s="8"/>
    </row>
    <row r="20" spans="1:17" ht="69.75" customHeight="1" x14ac:dyDescent="0.2">
      <c r="A20" s="17">
        <v>46055.461059618057</v>
      </c>
      <c r="B20" s="18">
        <v>28218001585</v>
      </c>
      <c r="C20" s="18" t="s">
        <v>65</v>
      </c>
      <c r="D20" s="19" t="s">
        <v>66</v>
      </c>
      <c r="E20" s="18" t="s">
        <v>25</v>
      </c>
      <c r="F20" s="18" t="s">
        <v>26</v>
      </c>
      <c r="G20" s="18" t="s">
        <v>27</v>
      </c>
      <c r="H20" s="18" t="s">
        <v>70</v>
      </c>
      <c r="I20" s="20" t="str">
        <f ca="1">VLOOKUP($B20,Sheet1!$C$2:$AK$272,27,0)</f>
        <v>BÁO CÁO THỰC TẬP TỐT NGHIỆP</v>
      </c>
      <c r="J20" s="20" t="s">
        <v>22</v>
      </c>
      <c r="K20" s="20"/>
      <c r="L20" s="18" t="s">
        <v>67</v>
      </c>
      <c r="M20" s="18" t="s">
        <v>68</v>
      </c>
      <c r="N20" s="18" t="s">
        <v>69</v>
      </c>
      <c r="O20" s="15"/>
      <c r="P20" s="8"/>
      <c r="Q20" s="8"/>
    </row>
    <row r="21" spans="1:17" ht="69.75" customHeight="1" x14ac:dyDescent="0.2">
      <c r="A21" s="17">
        <v>46052.828984918982</v>
      </c>
      <c r="B21" s="18">
        <v>28208004370</v>
      </c>
      <c r="C21" s="18" t="s">
        <v>71</v>
      </c>
      <c r="D21" s="19" t="s">
        <v>72</v>
      </c>
      <c r="E21" s="18" t="s">
        <v>73</v>
      </c>
      <c r="F21" s="18" t="s">
        <v>26</v>
      </c>
      <c r="G21" s="18" t="s">
        <v>27</v>
      </c>
      <c r="H21" s="18" t="s">
        <v>75</v>
      </c>
      <c r="I21" s="20" t="str">
        <f ca="1">VLOOKUP($B21,Sheet1!$C$2:$AK$272,27,0)</f>
        <v>BÁO CÁO THỰC TẬP TỐT NGHIỆP</v>
      </c>
      <c r="J21" s="20" t="s">
        <v>22</v>
      </c>
      <c r="K21" s="20"/>
      <c r="L21" s="18" t="s">
        <v>28</v>
      </c>
      <c r="M21" s="18" t="s">
        <v>68</v>
      </c>
      <c r="N21" s="18" t="s">
        <v>74</v>
      </c>
      <c r="O21" s="15"/>
      <c r="P21" s="8"/>
      <c r="Q21" s="8"/>
    </row>
    <row r="22" spans="1:17" ht="69.75" customHeight="1" x14ac:dyDescent="0.2">
      <c r="A22" s="17">
        <v>46052.47876917824</v>
      </c>
      <c r="B22" s="18">
        <v>24207214504</v>
      </c>
      <c r="C22" s="18" t="s">
        <v>76</v>
      </c>
      <c r="D22" s="19" t="s">
        <v>77</v>
      </c>
      <c r="E22" s="18" t="s">
        <v>78</v>
      </c>
      <c r="F22" s="18" t="s">
        <v>16</v>
      </c>
      <c r="G22" s="18" t="s">
        <v>27</v>
      </c>
      <c r="H22" s="18" t="s">
        <v>53</v>
      </c>
      <c r="I22" s="20" t="str">
        <f ca="1">VLOOKUP($B22,Sheet1!$C$2:$AK$272,27,0)</f>
        <v>BÁO CÁO THỰC TẬP TỐT NGHIỆP</v>
      </c>
      <c r="J22" s="20" t="s">
        <v>22</v>
      </c>
      <c r="K22" s="20"/>
      <c r="L22" s="18" t="s">
        <v>79</v>
      </c>
      <c r="M22" s="18" t="s">
        <v>29</v>
      </c>
      <c r="N22" s="18" t="s">
        <v>80</v>
      </c>
      <c r="O22" s="15"/>
      <c r="P22" s="8"/>
      <c r="Q22" s="8"/>
    </row>
    <row r="23" spans="1:17" ht="69.75" customHeight="1" x14ac:dyDescent="0.2">
      <c r="A23" s="17">
        <v>46055.908626203702</v>
      </c>
      <c r="B23" s="18">
        <v>28207702170</v>
      </c>
      <c r="C23" s="18" t="s">
        <v>81</v>
      </c>
      <c r="D23" s="18" t="s">
        <v>82</v>
      </c>
      <c r="E23" s="18" t="s">
        <v>83</v>
      </c>
      <c r="F23" s="18" t="s">
        <v>26</v>
      </c>
      <c r="G23" s="18" t="s">
        <v>27</v>
      </c>
      <c r="H23" s="18" t="s">
        <v>86</v>
      </c>
      <c r="I23" s="20" t="str">
        <f ca="1">VLOOKUP($B23,Sheet1!$C$2:$AK$272,27,0)</f>
        <v>BÁO CÁO THỰC TẬP TỐT NGHIỆP</v>
      </c>
      <c r="J23" s="20" t="s">
        <v>161</v>
      </c>
      <c r="K23" s="20" t="s">
        <v>762</v>
      </c>
      <c r="L23" s="18" t="s">
        <v>84</v>
      </c>
      <c r="M23" s="18" t="s">
        <v>85</v>
      </c>
      <c r="N23" s="20" t="s">
        <v>762</v>
      </c>
      <c r="O23" s="15"/>
      <c r="P23" s="8"/>
      <c r="Q23" s="8"/>
    </row>
    <row r="24" spans="1:17" ht="69.75" customHeight="1" x14ac:dyDescent="0.2">
      <c r="A24" s="17">
        <v>46053.47209476852</v>
      </c>
      <c r="B24" s="18">
        <v>28218041821</v>
      </c>
      <c r="C24" s="18" t="s">
        <v>87</v>
      </c>
      <c r="D24" s="18" t="s">
        <v>88</v>
      </c>
      <c r="E24" s="18" t="s">
        <v>34</v>
      </c>
      <c r="F24" s="18" t="s">
        <v>26</v>
      </c>
      <c r="G24" s="18" t="s">
        <v>27</v>
      </c>
      <c r="H24" s="18" t="s">
        <v>37</v>
      </c>
      <c r="I24" s="20" t="str">
        <f ca="1">VLOOKUP($B24,Sheet1!$C$2:$AK$272,27,0)</f>
        <v>BÁO CÁO THỰC TẬP TỐT NGHIỆP</v>
      </c>
      <c r="J24" s="20" t="s">
        <v>22</v>
      </c>
      <c r="K24" s="20"/>
      <c r="L24" s="18" t="s">
        <v>35</v>
      </c>
      <c r="M24" s="18" t="s">
        <v>29</v>
      </c>
      <c r="N24" s="18" t="s">
        <v>89</v>
      </c>
      <c r="O24" s="15"/>
      <c r="P24" s="8"/>
      <c r="Q24" s="8"/>
    </row>
    <row r="25" spans="1:17" ht="69.75" customHeight="1" x14ac:dyDescent="0.2">
      <c r="A25" s="17">
        <v>46051.477737511574</v>
      </c>
      <c r="B25" s="18">
        <v>28208020589</v>
      </c>
      <c r="C25" s="18" t="s">
        <v>90</v>
      </c>
      <c r="D25" s="19" t="s">
        <v>91</v>
      </c>
      <c r="E25" s="18" t="s">
        <v>25</v>
      </c>
      <c r="F25" s="18" t="s">
        <v>26</v>
      </c>
      <c r="G25" s="18" t="s">
        <v>27</v>
      </c>
      <c r="H25" s="18" t="s">
        <v>31</v>
      </c>
      <c r="I25" s="20" t="str">
        <f ca="1">VLOOKUP($B25,Sheet1!$C$2:$AK$272,27,0)</f>
        <v>BÁO CÁO THỰC TẬP TỐT NGHIỆP</v>
      </c>
      <c r="J25" s="20" t="s">
        <v>22</v>
      </c>
      <c r="K25" s="20"/>
      <c r="L25" s="18" t="s">
        <v>92</v>
      </c>
      <c r="M25" s="18" t="s">
        <v>29</v>
      </c>
      <c r="N25" s="18" t="s">
        <v>93</v>
      </c>
      <c r="O25" s="15"/>
      <c r="P25" s="8"/>
      <c r="Q25" s="8"/>
    </row>
    <row r="26" spans="1:17" ht="69.75" customHeight="1" x14ac:dyDescent="0.2">
      <c r="A26" s="17">
        <v>46054.25890458333</v>
      </c>
      <c r="B26" s="18">
        <v>28208004382</v>
      </c>
      <c r="C26" s="18" t="s">
        <v>94</v>
      </c>
      <c r="D26" s="18" t="s">
        <v>95</v>
      </c>
      <c r="E26" s="18" t="s">
        <v>34</v>
      </c>
      <c r="F26" s="18" t="s">
        <v>26</v>
      </c>
      <c r="G26" s="18" t="s">
        <v>27</v>
      </c>
      <c r="H26" s="18" t="s">
        <v>31</v>
      </c>
      <c r="I26" s="20" t="str">
        <f ca="1">VLOOKUP($B26,Sheet1!$C$2:$AK$272,27,0)</f>
        <v>BÁO CÁO THỰC TẬP TỐT NGHIỆP</v>
      </c>
      <c r="J26" s="20" t="s">
        <v>22</v>
      </c>
      <c r="K26" s="20"/>
      <c r="L26" s="18" t="s">
        <v>96</v>
      </c>
      <c r="M26" s="18" t="s">
        <v>29</v>
      </c>
      <c r="N26" s="18" t="s">
        <v>97</v>
      </c>
      <c r="O26" s="15"/>
      <c r="P26" s="8"/>
      <c r="Q26" s="8"/>
    </row>
    <row r="27" spans="1:17" ht="69.75" customHeight="1" x14ac:dyDescent="0.2">
      <c r="A27" s="17">
        <v>46051.490244768516</v>
      </c>
      <c r="B27" s="18">
        <v>27207101004</v>
      </c>
      <c r="C27" s="18" t="s">
        <v>98</v>
      </c>
      <c r="D27" s="18" t="s">
        <v>99</v>
      </c>
      <c r="E27" s="18" t="s">
        <v>100</v>
      </c>
      <c r="F27" s="18" t="s">
        <v>26</v>
      </c>
      <c r="G27" s="18" t="s">
        <v>27</v>
      </c>
      <c r="H27" s="18" t="s">
        <v>31</v>
      </c>
      <c r="I27" s="20" t="str">
        <f ca="1">VLOOKUP($B27,Sheet1!$C$2:$AK$272,27,0)</f>
        <v>BÁO CÁO THỰC TẬP TỐT NGHIỆP</v>
      </c>
      <c r="J27" s="20" t="s">
        <v>22</v>
      </c>
      <c r="K27" s="20"/>
      <c r="L27" s="18" t="s">
        <v>96</v>
      </c>
      <c r="M27" s="18" t="s">
        <v>29</v>
      </c>
      <c r="N27" s="18" t="s">
        <v>101</v>
      </c>
      <c r="O27" s="15"/>
      <c r="P27" s="8"/>
      <c r="Q27" s="8"/>
    </row>
    <row r="28" spans="1:17" ht="69.75" customHeight="1" x14ac:dyDescent="0.2">
      <c r="A28" s="17">
        <v>46055.931233750001</v>
      </c>
      <c r="B28" s="18">
        <v>28208002509</v>
      </c>
      <c r="C28" s="18" t="s">
        <v>102</v>
      </c>
      <c r="D28" s="18" t="s">
        <v>103</v>
      </c>
      <c r="E28" s="18" t="s">
        <v>34</v>
      </c>
      <c r="F28" s="18" t="s">
        <v>26</v>
      </c>
      <c r="G28" s="18" t="s">
        <v>27</v>
      </c>
      <c r="H28" s="18" t="s">
        <v>106</v>
      </c>
      <c r="I28" s="20" t="str">
        <f ca="1">VLOOKUP($B28,Sheet1!$C$2:$AK$272,27,0)</f>
        <v>BÁO CÁO THỰC TẬP TỐT NGHIỆP</v>
      </c>
      <c r="J28" s="20" t="s">
        <v>22</v>
      </c>
      <c r="K28" s="20"/>
      <c r="L28" s="18" t="s">
        <v>104</v>
      </c>
      <c r="M28" s="18" t="s">
        <v>29</v>
      </c>
      <c r="N28" s="18" t="s">
        <v>105</v>
      </c>
      <c r="O28" s="15"/>
      <c r="P28" s="8"/>
      <c r="Q28" s="8"/>
    </row>
    <row r="29" spans="1:17" ht="69.75" customHeight="1" x14ac:dyDescent="0.2">
      <c r="A29" s="17">
        <v>46052.969950474537</v>
      </c>
      <c r="B29" s="18">
        <v>28218052773</v>
      </c>
      <c r="C29" s="18" t="s">
        <v>107</v>
      </c>
      <c r="D29" s="18" t="s">
        <v>108</v>
      </c>
      <c r="E29" s="18" t="s">
        <v>83</v>
      </c>
      <c r="F29" s="18" t="s">
        <v>26</v>
      </c>
      <c r="G29" s="18" t="s">
        <v>27</v>
      </c>
      <c r="H29" s="18" t="s">
        <v>53</v>
      </c>
      <c r="I29" s="20" t="str">
        <f ca="1">VLOOKUP($B29,Sheet1!$C$2:$AK$272,27,0)</f>
        <v>BÁO CÁO THỰC TẬP TỐT NGHIỆP</v>
      </c>
      <c r="J29" s="20" t="s">
        <v>22</v>
      </c>
      <c r="K29" s="20"/>
      <c r="L29" s="18" t="s">
        <v>51</v>
      </c>
      <c r="M29" s="18" t="s">
        <v>29</v>
      </c>
      <c r="N29" s="18" t="s">
        <v>109</v>
      </c>
      <c r="O29" s="15"/>
      <c r="P29" s="8"/>
      <c r="Q29" s="8"/>
    </row>
    <row r="30" spans="1:17" ht="69.75" customHeight="1" x14ac:dyDescent="0.2">
      <c r="A30" s="17">
        <v>46055.704187337964</v>
      </c>
      <c r="B30" s="18">
        <v>28218034958</v>
      </c>
      <c r="C30" s="18" t="s">
        <v>110</v>
      </c>
      <c r="D30" s="19" t="s">
        <v>111</v>
      </c>
      <c r="E30" s="18" t="s">
        <v>40</v>
      </c>
      <c r="F30" s="18" t="s">
        <v>26</v>
      </c>
      <c r="G30" s="18" t="s">
        <v>27</v>
      </c>
      <c r="H30" s="18" t="s">
        <v>21</v>
      </c>
      <c r="I30" s="20" t="str">
        <f ca="1">VLOOKUP($B30,Sheet1!$C$2:$AK$272,27,0)</f>
        <v>BÁO CÁO THỰC TẬP TỐT NGHIỆP</v>
      </c>
      <c r="J30" s="20" t="s">
        <v>22</v>
      </c>
      <c r="K30" s="20"/>
      <c r="L30" s="18" t="s">
        <v>112</v>
      </c>
      <c r="M30" s="18" t="s">
        <v>29</v>
      </c>
      <c r="N30" s="18" t="s">
        <v>113</v>
      </c>
      <c r="O30" s="15"/>
      <c r="P30" s="8"/>
      <c r="Q30" s="8"/>
    </row>
    <row r="31" spans="1:17" ht="69.75" customHeight="1" x14ac:dyDescent="0.2">
      <c r="A31" s="17">
        <v>46051.638612222217</v>
      </c>
      <c r="B31" s="18">
        <v>29218038702</v>
      </c>
      <c r="C31" s="18" t="s">
        <v>114</v>
      </c>
      <c r="D31" s="18" t="s">
        <v>115</v>
      </c>
      <c r="E31" s="18" t="s">
        <v>116</v>
      </c>
      <c r="F31" s="18" t="s">
        <v>26</v>
      </c>
      <c r="G31" s="18" t="s">
        <v>117</v>
      </c>
      <c r="H31" s="18" t="s">
        <v>120</v>
      </c>
      <c r="I31" s="20" t="str">
        <f ca="1">VLOOKUP($B31,Sheet1!$C$2:$AK$272,27,0)</f>
        <v>BÁO CÁO THỰC TẬP TỐT NGHIỆP</v>
      </c>
      <c r="J31" s="20" t="s">
        <v>22</v>
      </c>
      <c r="K31" s="20"/>
      <c r="L31" s="18" t="s">
        <v>118</v>
      </c>
      <c r="M31" s="18" t="s">
        <v>68</v>
      </c>
      <c r="N31" s="18" t="s">
        <v>119</v>
      </c>
      <c r="O31" s="15"/>
      <c r="P31" s="8"/>
      <c r="Q31" s="8"/>
    </row>
    <row r="32" spans="1:17" ht="69.75" customHeight="1" x14ac:dyDescent="0.2">
      <c r="A32" s="17">
        <v>46051.663185590282</v>
      </c>
      <c r="B32" s="18">
        <v>28212405074</v>
      </c>
      <c r="C32" s="18" t="s">
        <v>121</v>
      </c>
      <c r="D32" s="18" t="s">
        <v>122</v>
      </c>
      <c r="E32" s="18" t="s">
        <v>123</v>
      </c>
      <c r="F32" s="18" t="s">
        <v>26</v>
      </c>
      <c r="G32" s="18" t="s">
        <v>27</v>
      </c>
      <c r="H32" s="18" t="s">
        <v>53</v>
      </c>
      <c r="I32" s="20" t="str">
        <f ca="1">VLOOKUP($B32,Sheet1!$C$2:$AK$272,27,0)</f>
        <v>BÁO CÁO THỰC TẬP TỐT NGHIỆP</v>
      </c>
      <c r="J32" s="20" t="s">
        <v>22</v>
      </c>
      <c r="K32" s="20"/>
      <c r="L32" s="18" t="s">
        <v>51</v>
      </c>
      <c r="M32" s="18" t="s">
        <v>29</v>
      </c>
      <c r="N32" s="18" t="s">
        <v>124</v>
      </c>
      <c r="O32" s="15"/>
      <c r="P32" s="8"/>
      <c r="Q32" s="8"/>
    </row>
    <row r="33" spans="1:17" ht="69.75" customHeight="1" x14ac:dyDescent="0.2">
      <c r="A33" s="17">
        <v>46055.698781851854</v>
      </c>
      <c r="B33" s="18">
        <v>28208045207</v>
      </c>
      <c r="C33" s="18" t="s">
        <v>125</v>
      </c>
      <c r="D33" s="19" t="s">
        <v>126</v>
      </c>
      <c r="E33" s="18" t="s">
        <v>83</v>
      </c>
      <c r="F33" s="18" t="s">
        <v>26</v>
      </c>
      <c r="G33" s="18" t="s">
        <v>27</v>
      </c>
      <c r="H33" s="18" t="s">
        <v>70</v>
      </c>
      <c r="I33" s="20" t="str">
        <f ca="1">VLOOKUP($B33,Sheet1!$C$2:$AK$272,27,0)</f>
        <v>BÁO CÁO THỰC TẬP TỐT NGHIỆP</v>
      </c>
      <c r="J33" s="20" t="s">
        <v>22</v>
      </c>
      <c r="K33" s="20"/>
      <c r="L33" s="18" t="s">
        <v>127</v>
      </c>
      <c r="M33" s="18" t="s">
        <v>68</v>
      </c>
      <c r="N33" s="18" t="s">
        <v>128</v>
      </c>
      <c r="O33" s="15"/>
      <c r="P33" s="8"/>
      <c r="Q33" s="8"/>
    </row>
    <row r="34" spans="1:17" ht="69.75" customHeight="1" x14ac:dyDescent="0.2">
      <c r="A34" s="17">
        <v>46053.489521782409</v>
      </c>
      <c r="B34" s="18">
        <v>27207143817</v>
      </c>
      <c r="C34" s="18" t="s">
        <v>129</v>
      </c>
      <c r="D34" s="18" t="s">
        <v>130</v>
      </c>
      <c r="E34" s="18" t="s">
        <v>131</v>
      </c>
      <c r="F34" s="18" t="s">
        <v>26</v>
      </c>
      <c r="G34" s="18" t="s">
        <v>132</v>
      </c>
      <c r="H34" s="18" t="s">
        <v>31</v>
      </c>
      <c r="I34" s="20" t="str">
        <f ca="1">VLOOKUP($B34,Sheet1!$C$2:$AK$272,27,0)</f>
        <v>BÁO CÁO THỰC TẬP TỐT NGHIỆP</v>
      </c>
      <c r="J34" s="20" t="s">
        <v>22</v>
      </c>
      <c r="K34" s="20"/>
      <c r="L34" s="18" t="s">
        <v>96</v>
      </c>
      <c r="M34" s="18" t="s">
        <v>29</v>
      </c>
      <c r="N34" s="18" t="s">
        <v>133</v>
      </c>
      <c r="O34" s="15"/>
      <c r="P34" s="8"/>
      <c r="Q34" s="8"/>
    </row>
    <row r="35" spans="1:17" ht="69.75" customHeight="1" x14ac:dyDescent="0.2">
      <c r="A35" s="17">
        <v>46052.654281331023</v>
      </c>
      <c r="B35" s="18">
        <v>27217153816</v>
      </c>
      <c r="C35" s="18" t="s">
        <v>134</v>
      </c>
      <c r="D35" s="19" t="s">
        <v>135</v>
      </c>
      <c r="E35" s="18" t="s">
        <v>136</v>
      </c>
      <c r="F35" s="18" t="s">
        <v>26</v>
      </c>
      <c r="G35" s="18" t="s">
        <v>132</v>
      </c>
      <c r="H35" s="18" t="s">
        <v>139</v>
      </c>
      <c r="I35" s="20" t="str">
        <f ca="1">VLOOKUP($B35,Sheet1!$C$2:$AK$272,27,0)</f>
        <v>BÁO CÁO THỰC TẬP TỐT NGHIỆP</v>
      </c>
      <c r="J35" s="20" t="s">
        <v>22</v>
      </c>
      <c r="K35" s="20"/>
      <c r="L35" s="18" t="s">
        <v>137</v>
      </c>
      <c r="M35" s="18" t="s">
        <v>29</v>
      </c>
      <c r="N35" s="18" t="s">
        <v>138</v>
      </c>
      <c r="O35" s="15"/>
      <c r="P35" s="8"/>
      <c r="Q35" s="8"/>
    </row>
    <row r="36" spans="1:17" ht="69.75" customHeight="1" x14ac:dyDescent="0.2">
      <c r="A36" s="17">
        <v>46055.682397708333</v>
      </c>
      <c r="B36" s="18">
        <v>27207131320</v>
      </c>
      <c r="C36" s="18" t="s">
        <v>140</v>
      </c>
      <c r="D36" s="18" t="s">
        <v>141</v>
      </c>
      <c r="E36" s="18" t="s">
        <v>40</v>
      </c>
      <c r="F36" s="18" t="s">
        <v>26</v>
      </c>
      <c r="G36" s="18" t="s">
        <v>27</v>
      </c>
      <c r="H36" s="18" t="s">
        <v>31</v>
      </c>
      <c r="I36" s="20" t="str">
        <f ca="1">VLOOKUP($B36,Sheet1!$C$2:$AK$272,27,0)</f>
        <v>BÁO CÁO THỰC TẬP TỐT NGHIỆP</v>
      </c>
      <c r="J36" s="20" t="s">
        <v>22</v>
      </c>
      <c r="K36" s="20"/>
      <c r="L36" s="18" t="s">
        <v>352</v>
      </c>
      <c r="M36" s="18" t="s">
        <v>29</v>
      </c>
      <c r="N36" s="18" t="s">
        <v>142</v>
      </c>
      <c r="O36" s="15"/>
      <c r="P36" s="8"/>
      <c r="Q36" s="8"/>
    </row>
    <row r="37" spans="1:17" ht="69.75" customHeight="1" x14ac:dyDescent="0.2">
      <c r="A37" s="17">
        <v>46052.768566342595</v>
      </c>
      <c r="B37" s="18">
        <v>28218050044</v>
      </c>
      <c r="C37" s="18" t="s">
        <v>143</v>
      </c>
      <c r="D37" s="18" t="s">
        <v>144</v>
      </c>
      <c r="E37" s="18" t="s">
        <v>40</v>
      </c>
      <c r="F37" s="18" t="s">
        <v>26</v>
      </c>
      <c r="G37" s="18" t="s">
        <v>27</v>
      </c>
      <c r="H37" s="18" t="s">
        <v>31</v>
      </c>
      <c r="I37" s="20" t="str">
        <f ca="1">VLOOKUP($B37,Sheet1!$C$2:$AK$272,27,0)</f>
        <v>BÁO CÁO THỰC TẬP TỐT NGHIỆP</v>
      </c>
      <c r="J37" s="20" t="s">
        <v>22</v>
      </c>
      <c r="K37" s="20"/>
      <c r="L37" s="18" t="s">
        <v>28</v>
      </c>
      <c r="M37" s="18" t="s">
        <v>29</v>
      </c>
      <c r="N37" s="18" t="s">
        <v>145</v>
      </c>
      <c r="O37" s="15"/>
      <c r="P37" s="8"/>
      <c r="Q37" s="8"/>
    </row>
    <row r="38" spans="1:17" ht="69.75" customHeight="1" x14ac:dyDescent="0.2">
      <c r="A38" s="17">
        <v>46055.710483194445</v>
      </c>
      <c r="B38" s="18">
        <v>28200402882</v>
      </c>
      <c r="C38" s="18" t="s">
        <v>146</v>
      </c>
      <c r="D38" s="18" t="s">
        <v>147</v>
      </c>
      <c r="E38" s="18" t="s">
        <v>34</v>
      </c>
      <c r="F38" s="18" t="s">
        <v>26</v>
      </c>
      <c r="G38" s="18" t="s">
        <v>27</v>
      </c>
      <c r="H38" s="18" t="s">
        <v>139</v>
      </c>
      <c r="I38" s="20" t="str">
        <f ca="1">VLOOKUP($B38,Sheet1!$C$2:$AK$272,27,0)</f>
        <v>BÁO CÁO THỰC TẬP TỐT NGHIỆP</v>
      </c>
      <c r="J38" s="20" t="s">
        <v>22</v>
      </c>
      <c r="K38" s="20"/>
      <c r="L38" s="18" t="s">
        <v>148</v>
      </c>
      <c r="M38" s="18" t="s">
        <v>29</v>
      </c>
      <c r="N38" s="18" t="s">
        <v>149</v>
      </c>
      <c r="O38" s="15"/>
      <c r="P38" s="8"/>
      <c r="Q38" s="8"/>
    </row>
    <row r="39" spans="1:17" ht="69.75" customHeight="1" x14ac:dyDescent="0.2">
      <c r="A39" s="17">
        <v>46055.346058946758</v>
      </c>
      <c r="B39" s="18">
        <v>28208039850</v>
      </c>
      <c r="C39" s="18" t="s">
        <v>150</v>
      </c>
      <c r="D39" s="19" t="s">
        <v>151</v>
      </c>
      <c r="E39" s="18" t="s">
        <v>25</v>
      </c>
      <c r="F39" s="18" t="s">
        <v>26</v>
      </c>
      <c r="G39" s="18" t="s">
        <v>27</v>
      </c>
      <c r="H39" s="18" t="s">
        <v>120</v>
      </c>
      <c r="I39" s="20" t="str">
        <f ca="1">VLOOKUP($B39,Sheet1!$C$2:$AK$272,27,0)</f>
        <v>BÁO CÁO THỰC TẬP TỐT NGHIỆP</v>
      </c>
      <c r="J39" s="20" t="s">
        <v>22</v>
      </c>
      <c r="K39" s="20"/>
      <c r="L39" s="18" t="s">
        <v>152</v>
      </c>
      <c r="M39" s="18" t="s">
        <v>153</v>
      </c>
      <c r="N39" s="18" t="s">
        <v>154</v>
      </c>
      <c r="O39" s="15"/>
      <c r="P39" s="8"/>
      <c r="Q39" s="8"/>
    </row>
    <row r="40" spans="1:17" ht="69.75" customHeight="1" x14ac:dyDescent="0.2">
      <c r="A40" s="17">
        <v>46051.6694565625</v>
      </c>
      <c r="B40" s="18">
        <v>28208300036</v>
      </c>
      <c r="C40" s="18" t="s">
        <v>155</v>
      </c>
      <c r="D40" s="19" t="s">
        <v>156</v>
      </c>
      <c r="E40" s="18" t="s">
        <v>157</v>
      </c>
      <c r="F40" s="18" t="s">
        <v>158</v>
      </c>
      <c r="G40" s="18" t="s">
        <v>27</v>
      </c>
      <c r="H40" s="18" t="s">
        <v>160</v>
      </c>
      <c r="I40" s="20" t="str">
        <f ca="1">VLOOKUP($B40,Sheet1!$C$2:$AK$272,27,0)</f>
        <v>KHÓA LUẬN</v>
      </c>
      <c r="J40" s="20" t="s">
        <v>161</v>
      </c>
      <c r="K40" s="20" t="s">
        <v>162</v>
      </c>
      <c r="L40" s="18" t="s">
        <v>159</v>
      </c>
      <c r="M40" s="18" t="s">
        <v>29</v>
      </c>
      <c r="N40" s="18" t="s">
        <v>784</v>
      </c>
      <c r="O40" s="15"/>
      <c r="P40" s="8"/>
      <c r="Q40" s="8"/>
    </row>
    <row r="41" spans="1:17" ht="69.75" customHeight="1" x14ac:dyDescent="0.2">
      <c r="A41" s="17">
        <v>46055.57762434028</v>
      </c>
      <c r="B41" s="18">
        <v>28206105368</v>
      </c>
      <c r="C41" s="18" t="s">
        <v>163</v>
      </c>
      <c r="D41" s="19" t="s">
        <v>164</v>
      </c>
      <c r="E41" s="18" t="s">
        <v>165</v>
      </c>
      <c r="F41" s="18" t="s">
        <v>26</v>
      </c>
      <c r="G41" s="18" t="s">
        <v>27</v>
      </c>
      <c r="H41" s="18" t="s">
        <v>21</v>
      </c>
      <c r="I41" s="20" t="str">
        <f ca="1">VLOOKUP($B41,Sheet1!$C$2:$AK$272,27,0)</f>
        <v>BÁO CÁO THỰC TẬP TỐT NGHIỆP</v>
      </c>
      <c r="J41" s="20" t="s">
        <v>22</v>
      </c>
      <c r="K41" s="20"/>
      <c r="L41" s="18" t="s">
        <v>112</v>
      </c>
      <c r="M41" s="18" t="s">
        <v>29</v>
      </c>
      <c r="N41" s="18" t="s">
        <v>166</v>
      </c>
      <c r="O41" s="15"/>
      <c r="P41" s="8"/>
      <c r="Q41" s="8"/>
    </row>
    <row r="42" spans="1:17" ht="69.75" customHeight="1" x14ac:dyDescent="0.2">
      <c r="A42" s="17">
        <v>46053.673284710647</v>
      </c>
      <c r="B42" s="18">
        <v>28209238485</v>
      </c>
      <c r="C42" s="18" t="s">
        <v>167</v>
      </c>
      <c r="D42" s="19" t="s">
        <v>168</v>
      </c>
      <c r="E42" s="18" t="s">
        <v>169</v>
      </c>
      <c r="F42" s="18" t="s">
        <v>26</v>
      </c>
      <c r="G42" s="18" t="s">
        <v>27</v>
      </c>
      <c r="H42" s="18" t="s">
        <v>106</v>
      </c>
      <c r="I42" s="20" t="str">
        <f ca="1">VLOOKUP($B42,Sheet1!$C$2:$AK$272,27,0)</f>
        <v>BÁO CÁO THỰC TẬP TỐT NGHIỆP</v>
      </c>
      <c r="J42" s="20" t="s">
        <v>22</v>
      </c>
      <c r="K42" s="20"/>
      <c r="L42" s="18" t="s">
        <v>170</v>
      </c>
      <c r="M42" s="18" t="s">
        <v>29</v>
      </c>
      <c r="N42" s="18" t="s">
        <v>171</v>
      </c>
      <c r="O42" s="15"/>
      <c r="P42" s="8"/>
      <c r="Q42" s="8"/>
    </row>
    <row r="43" spans="1:17" s="29" customFormat="1" ht="69.75" customHeight="1" x14ac:dyDescent="0.2">
      <c r="A43" s="26">
        <v>46052.650467453699</v>
      </c>
      <c r="B43" s="27">
        <v>28208138339</v>
      </c>
      <c r="C43" s="27" t="s">
        <v>172</v>
      </c>
      <c r="D43" s="27" t="s">
        <v>173</v>
      </c>
      <c r="E43" s="27" t="s">
        <v>40</v>
      </c>
      <c r="F43" s="27" t="s">
        <v>26</v>
      </c>
      <c r="G43" s="27" t="s">
        <v>27</v>
      </c>
      <c r="H43" s="27" t="s">
        <v>21</v>
      </c>
      <c r="I43" s="27" t="str">
        <f ca="1">VLOOKUP($B43,Sheet1!$C$2:$AK$272,27,0)</f>
        <v>BÁO CÁO THỰC TẬP TỐT NGHIỆP</v>
      </c>
      <c r="J43" s="27" t="s">
        <v>174</v>
      </c>
      <c r="K43" s="27"/>
      <c r="L43" s="27" t="s">
        <v>112</v>
      </c>
      <c r="M43" s="27" t="s">
        <v>29</v>
      </c>
      <c r="N43" s="27"/>
      <c r="O43" s="32"/>
      <c r="P43" s="28"/>
      <c r="Q43" s="28"/>
    </row>
    <row r="44" spans="1:17" ht="69.75" customHeight="1" x14ac:dyDescent="0.2">
      <c r="A44" s="17">
        <v>46051.692187430555</v>
      </c>
      <c r="B44" s="18">
        <v>28208142242</v>
      </c>
      <c r="C44" s="18" t="s">
        <v>175</v>
      </c>
      <c r="D44" s="18" t="s">
        <v>144</v>
      </c>
      <c r="E44" s="18" t="s">
        <v>176</v>
      </c>
      <c r="F44" s="18" t="s">
        <v>26</v>
      </c>
      <c r="G44" s="18" t="s">
        <v>27</v>
      </c>
      <c r="H44" s="18" t="s">
        <v>31</v>
      </c>
      <c r="I44" s="20" t="str">
        <f ca="1">VLOOKUP($B44,Sheet1!$C$2:$AK$272,27,0)</f>
        <v>BÁO CÁO THỰC TẬP TỐT NGHIỆP</v>
      </c>
      <c r="J44" s="20" t="s">
        <v>22</v>
      </c>
      <c r="K44" s="20"/>
      <c r="L44" s="18" t="s">
        <v>28</v>
      </c>
      <c r="M44" s="18" t="s">
        <v>29</v>
      </c>
      <c r="N44" s="18" t="s">
        <v>177</v>
      </c>
      <c r="O44" s="15"/>
      <c r="P44" s="8"/>
      <c r="Q44" s="8"/>
    </row>
    <row r="45" spans="1:17" ht="69.75" customHeight="1" x14ac:dyDescent="0.2">
      <c r="A45" s="17">
        <v>46053.756711909722</v>
      </c>
      <c r="B45" s="18">
        <v>28208054653</v>
      </c>
      <c r="C45" s="18" t="s">
        <v>178</v>
      </c>
      <c r="D45" s="18" t="s">
        <v>179</v>
      </c>
      <c r="E45" s="18" t="s">
        <v>180</v>
      </c>
      <c r="F45" s="18" t="s">
        <v>26</v>
      </c>
      <c r="G45" s="18" t="s">
        <v>27</v>
      </c>
      <c r="H45" s="18" t="s">
        <v>139</v>
      </c>
      <c r="I45" s="20" t="str">
        <f ca="1">VLOOKUP($B45,Sheet1!$C$2:$AK$272,27,0)</f>
        <v>BÁO CÁO THỰC TẬP TỐT NGHIỆP</v>
      </c>
      <c r="J45" s="20" t="s">
        <v>22</v>
      </c>
      <c r="K45" s="20"/>
      <c r="L45" s="18" t="s">
        <v>181</v>
      </c>
      <c r="M45" s="18" t="s">
        <v>29</v>
      </c>
      <c r="N45" s="18" t="s">
        <v>182</v>
      </c>
      <c r="O45" s="15"/>
      <c r="P45" s="8"/>
      <c r="Q45" s="8"/>
    </row>
    <row r="46" spans="1:17" ht="69.75" customHeight="1" x14ac:dyDescent="0.2">
      <c r="A46" s="17">
        <v>46051.700996041662</v>
      </c>
      <c r="B46" s="18">
        <v>28208005404</v>
      </c>
      <c r="C46" s="18" t="s">
        <v>183</v>
      </c>
      <c r="D46" s="18" t="s">
        <v>184</v>
      </c>
      <c r="E46" s="18" t="s">
        <v>185</v>
      </c>
      <c r="F46" s="18" t="s">
        <v>26</v>
      </c>
      <c r="G46" s="18" t="s">
        <v>27</v>
      </c>
      <c r="H46" s="18" t="s">
        <v>31</v>
      </c>
      <c r="I46" s="20" t="str">
        <f ca="1">VLOOKUP($B46,Sheet1!$C$2:$AK$272,27,0)</f>
        <v>BÁO CÁO THỰC TẬP TỐT NGHIỆP</v>
      </c>
      <c r="J46" s="20" t="s">
        <v>22</v>
      </c>
      <c r="K46" s="20"/>
      <c r="L46" s="18" t="s">
        <v>41</v>
      </c>
      <c r="M46" s="18" t="s">
        <v>29</v>
      </c>
      <c r="N46" s="18" t="s">
        <v>186</v>
      </c>
      <c r="O46" s="15"/>
      <c r="P46" s="8"/>
      <c r="Q46" s="8"/>
    </row>
    <row r="47" spans="1:17" ht="69.75" customHeight="1" x14ac:dyDescent="0.2">
      <c r="A47" s="17">
        <v>46051.710733402782</v>
      </c>
      <c r="B47" s="18">
        <v>28208036232</v>
      </c>
      <c r="C47" s="18" t="s">
        <v>187</v>
      </c>
      <c r="D47" s="19" t="s">
        <v>188</v>
      </c>
      <c r="E47" s="18" t="s">
        <v>189</v>
      </c>
      <c r="F47" s="18" t="s">
        <v>26</v>
      </c>
      <c r="G47" s="18" t="s">
        <v>27</v>
      </c>
      <c r="H47" s="18" t="s">
        <v>31</v>
      </c>
      <c r="I47" s="20" t="str">
        <f ca="1">VLOOKUP($B47,Sheet1!$C$2:$AK$272,27,0)</f>
        <v>BÁO CÁO THỰC TẬP TỐT NGHIỆP</v>
      </c>
      <c r="J47" s="20" t="s">
        <v>22</v>
      </c>
      <c r="K47" s="20"/>
      <c r="L47" s="18" t="s">
        <v>28</v>
      </c>
      <c r="M47" s="18" t="s">
        <v>29</v>
      </c>
      <c r="N47" s="18" t="s">
        <v>190</v>
      </c>
      <c r="O47" s="15"/>
      <c r="P47" s="8"/>
      <c r="Q47" s="8"/>
    </row>
    <row r="48" spans="1:17" ht="69.75" customHeight="1" x14ac:dyDescent="0.2">
      <c r="A48" s="17">
        <v>46051.711567361112</v>
      </c>
      <c r="B48" s="18">
        <v>28208034626</v>
      </c>
      <c r="C48" s="18" t="s">
        <v>191</v>
      </c>
      <c r="D48" s="19" t="s">
        <v>192</v>
      </c>
      <c r="E48" s="18" t="s">
        <v>40</v>
      </c>
      <c r="F48" s="18" t="s">
        <v>26</v>
      </c>
      <c r="G48" s="18" t="s">
        <v>27</v>
      </c>
      <c r="H48" s="18" t="s">
        <v>31</v>
      </c>
      <c r="I48" s="20" t="str">
        <f ca="1">VLOOKUP($B48,Sheet1!$C$2:$AK$272,27,0)</f>
        <v>BÁO CÁO THỰC TẬP TỐT NGHIỆP</v>
      </c>
      <c r="J48" s="20" t="s">
        <v>22</v>
      </c>
      <c r="K48" s="20"/>
      <c r="L48" s="18" t="s">
        <v>41</v>
      </c>
      <c r="M48" s="18" t="s">
        <v>29</v>
      </c>
      <c r="N48" s="18" t="s">
        <v>193</v>
      </c>
      <c r="O48" s="15"/>
      <c r="P48" s="8"/>
      <c r="Q48" s="8"/>
    </row>
    <row r="49" spans="1:17" ht="69.75" customHeight="1" x14ac:dyDescent="0.2">
      <c r="A49" s="17">
        <v>46055.405889479167</v>
      </c>
      <c r="B49" s="18">
        <v>27207124663</v>
      </c>
      <c r="C49" s="18" t="s">
        <v>194</v>
      </c>
      <c r="D49" s="18" t="s">
        <v>195</v>
      </c>
      <c r="E49" s="18" t="s">
        <v>176</v>
      </c>
      <c r="F49" s="18" t="s">
        <v>26</v>
      </c>
      <c r="G49" s="18" t="s">
        <v>27</v>
      </c>
      <c r="H49" s="18" t="s">
        <v>106</v>
      </c>
      <c r="I49" s="20" t="str">
        <f ca="1">VLOOKUP($B49,Sheet1!$C$2:$AK$272,27,0)</f>
        <v>BÁO CÁO THỰC TẬP TỐT NGHIỆP</v>
      </c>
      <c r="J49" s="20" t="s">
        <v>22</v>
      </c>
      <c r="K49" s="20"/>
      <c r="L49" s="18" t="s">
        <v>196</v>
      </c>
      <c r="M49" s="18" t="s">
        <v>29</v>
      </c>
      <c r="N49" s="18" t="s">
        <v>197</v>
      </c>
      <c r="O49" s="15"/>
      <c r="P49" s="8"/>
      <c r="Q49" s="8"/>
    </row>
    <row r="50" spans="1:17" ht="69.75" customHeight="1" x14ac:dyDescent="0.2">
      <c r="A50" s="17">
        <v>46051.839020798609</v>
      </c>
      <c r="B50" s="18">
        <v>27207121752</v>
      </c>
      <c r="C50" s="18" t="s">
        <v>198</v>
      </c>
      <c r="D50" s="19" t="s">
        <v>199</v>
      </c>
      <c r="E50" s="18" t="s">
        <v>200</v>
      </c>
      <c r="F50" s="18" t="s">
        <v>26</v>
      </c>
      <c r="G50" s="18" t="s">
        <v>132</v>
      </c>
      <c r="H50" s="18" t="s">
        <v>75</v>
      </c>
      <c r="I50" s="20" t="str">
        <f ca="1">VLOOKUP($B50,Sheet1!$C$2:$AK$272,27,0)</f>
        <v>BÁO CÁO THỰC TẬP TỐT NGHIỆP</v>
      </c>
      <c r="J50" s="20" t="s">
        <v>22</v>
      </c>
      <c r="K50" s="20"/>
      <c r="L50" s="18" t="s">
        <v>51</v>
      </c>
      <c r="M50" s="18" t="s">
        <v>68</v>
      </c>
      <c r="N50" s="18" t="s">
        <v>201</v>
      </c>
      <c r="O50" s="15"/>
      <c r="P50" s="8"/>
      <c r="Q50" s="8"/>
    </row>
    <row r="51" spans="1:17" ht="69.75" customHeight="1" x14ac:dyDescent="0.2">
      <c r="A51" s="17">
        <v>46051.821530879628</v>
      </c>
      <c r="B51" s="18">
        <v>28208151980</v>
      </c>
      <c r="C51" s="18" t="s">
        <v>202</v>
      </c>
      <c r="D51" s="19" t="s">
        <v>203</v>
      </c>
      <c r="E51" s="18" t="s">
        <v>83</v>
      </c>
      <c r="F51" s="18" t="s">
        <v>26</v>
      </c>
      <c r="G51" s="18" t="s">
        <v>27</v>
      </c>
      <c r="H51" s="18" t="s">
        <v>75</v>
      </c>
      <c r="I51" s="20" t="str">
        <f ca="1">VLOOKUP($B51,Sheet1!$C$2:$AK$272,27,0)</f>
        <v>BÁO CÁO THỰC TẬP TỐT NGHIỆP</v>
      </c>
      <c r="J51" s="20" t="s">
        <v>22</v>
      </c>
      <c r="K51" s="20"/>
      <c r="L51" s="18" t="s">
        <v>41</v>
      </c>
      <c r="M51" s="18" t="s">
        <v>68</v>
      </c>
      <c r="N51" s="18" t="s">
        <v>204</v>
      </c>
      <c r="O51" s="15"/>
      <c r="P51" s="8"/>
      <c r="Q51" s="8"/>
    </row>
    <row r="52" spans="1:17" ht="69.75" customHeight="1" x14ac:dyDescent="0.2">
      <c r="A52" s="17">
        <v>46051.756713356481</v>
      </c>
      <c r="B52" s="18">
        <v>28208001228</v>
      </c>
      <c r="C52" s="18" t="s">
        <v>205</v>
      </c>
      <c r="D52" s="19" t="s">
        <v>206</v>
      </c>
      <c r="E52" s="18" t="s">
        <v>78</v>
      </c>
      <c r="F52" s="18" t="s">
        <v>16</v>
      </c>
      <c r="G52" s="18" t="s">
        <v>27</v>
      </c>
      <c r="H52" s="18" t="s">
        <v>31</v>
      </c>
      <c r="I52" s="20" t="str">
        <f ca="1">VLOOKUP($B52,Sheet1!$C$2:$AK$272,27,0)</f>
        <v>BÁO CÁO THỰC TẬP TỐT NGHIỆP</v>
      </c>
      <c r="J52" s="20" t="s">
        <v>22</v>
      </c>
      <c r="K52" s="20"/>
      <c r="L52" s="18" t="s">
        <v>207</v>
      </c>
      <c r="M52" s="18" t="s">
        <v>29</v>
      </c>
      <c r="N52" s="18" t="s">
        <v>208</v>
      </c>
      <c r="O52" s="15"/>
      <c r="P52" s="8"/>
      <c r="Q52" s="8"/>
    </row>
    <row r="53" spans="1:17" ht="69.75" customHeight="1" x14ac:dyDescent="0.2">
      <c r="A53" s="17">
        <v>46052.522252222218</v>
      </c>
      <c r="B53" s="18">
        <v>28214545352</v>
      </c>
      <c r="C53" s="18" t="s">
        <v>209</v>
      </c>
      <c r="D53" s="19" t="s">
        <v>210</v>
      </c>
      <c r="E53" s="18" t="s">
        <v>180</v>
      </c>
      <c r="F53" s="18" t="s">
        <v>26</v>
      </c>
      <c r="G53" s="18" t="s">
        <v>27</v>
      </c>
      <c r="H53" s="18" t="s">
        <v>139</v>
      </c>
      <c r="I53" s="20" t="str">
        <f ca="1">VLOOKUP($B53,Sheet1!$C$2:$AK$272,27,0)</f>
        <v>BÁO CÁO THỰC TẬP TỐT NGHIỆP</v>
      </c>
      <c r="J53" s="20" t="s">
        <v>22</v>
      </c>
      <c r="K53" s="20"/>
      <c r="L53" s="18" t="s">
        <v>181</v>
      </c>
      <c r="M53" s="18" t="s">
        <v>29</v>
      </c>
      <c r="N53" s="18" t="s">
        <v>211</v>
      </c>
      <c r="O53" s="15"/>
      <c r="P53" s="8"/>
      <c r="Q53" s="8"/>
    </row>
    <row r="54" spans="1:17" ht="69.75" customHeight="1" x14ac:dyDescent="0.2">
      <c r="A54" s="17">
        <v>46055.806187210648</v>
      </c>
      <c r="B54" s="18">
        <v>28208000472</v>
      </c>
      <c r="C54" s="18" t="s">
        <v>212</v>
      </c>
      <c r="D54" s="19" t="s">
        <v>213</v>
      </c>
      <c r="E54" s="18" t="s">
        <v>40</v>
      </c>
      <c r="F54" s="18" t="s">
        <v>26</v>
      </c>
      <c r="G54" s="18" t="s">
        <v>27</v>
      </c>
      <c r="H54" s="18" t="s">
        <v>75</v>
      </c>
      <c r="I54" s="20" t="str">
        <f ca="1">VLOOKUP($B54,Sheet1!$C$2:$AK$272,27,0)</f>
        <v>BÁO CÁO THỰC TẬP TỐT NGHIỆP</v>
      </c>
      <c r="J54" s="20" t="s">
        <v>22</v>
      </c>
      <c r="K54" s="20"/>
      <c r="L54" s="18" t="s">
        <v>214</v>
      </c>
      <c r="M54" s="18" t="s">
        <v>68</v>
      </c>
      <c r="N54" s="18" t="s">
        <v>215</v>
      </c>
      <c r="O54" s="15"/>
      <c r="P54" s="8"/>
      <c r="Q54" s="8"/>
    </row>
    <row r="55" spans="1:17" ht="69.75" customHeight="1" x14ac:dyDescent="0.2">
      <c r="A55" s="17">
        <v>46053.467933263892</v>
      </c>
      <c r="B55" s="18">
        <v>28201143043</v>
      </c>
      <c r="C55" s="18" t="s">
        <v>216</v>
      </c>
      <c r="D55" s="18" t="s">
        <v>217</v>
      </c>
      <c r="E55" s="18" t="s">
        <v>176</v>
      </c>
      <c r="F55" s="18" t="s">
        <v>26</v>
      </c>
      <c r="G55" s="18" t="s">
        <v>27</v>
      </c>
      <c r="H55" s="18" t="s">
        <v>139</v>
      </c>
      <c r="I55" s="20" t="str">
        <f ca="1">VLOOKUP($B55,Sheet1!$C$2:$AK$272,27,0)</f>
        <v>BÁO CÁO THỰC TẬP TỐT NGHIỆP</v>
      </c>
      <c r="J55" s="20" t="s">
        <v>22</v>
      </c>
      <c r="K55" s="20"/>
      <c r="L55" s="18" t="s">
        <v>218</v>
      </c>
      <c r="M55" s="18" t="s">
        <v>153</v>
      </c>
      <c r="N55" s="18" t="s">
        <v>785</v>
      </c>
      <c r="O55" s="15"/>
      <c r="P55" s="8"/>
      <c r="Q55" s="8"/>
    </row>
    <row r="56" spans="1:17" ht="69.75" customHeight="1" x14ac:dyDescent="0.2">
      <c r="A56" s="17">
        <v>46051.778215925922</v>
      </c>
      <c r="B56" s="18">
        <v>28216204311</v>
      </c>
      <c r="C56" s="18" t="s">
        <v>219</v>
      </c>
      <c r="D56" s="19" t="s">
        <v>220</v>
      </c>
      <c r="E56" s="18" t="s">
        <v>189</v>
      </c>
      <c r="F56" s="18" t="s">
        <v>26</v>
      </c>
      <c r="G56" s="18" t="s">
        <v>27</v>
      </c>
      <c r="H56" s="18" t="s">
        <v>31</v>
      </c>
      <c r="I56" s="20" t="str">
        <f ca="1">VLOOKUP($B56,Sheet1!$C$2:$AK$272,27,0)</f>
        <v>BÁO CÁO THỰC TẬP TỐT NGHIỆP</v>
      </c>
      <c r="J56" s="20" t="s">
        <v>22</v>
      </c>
      <c r="K56" s="20"/>
      <c r="L56" s="18" t="s">
        <v>221</v>
      </c>
      <c r="M56" s="18" t="s">
        <v>29</v>
      </c>
      <c r="N56" s="18" t="s">
        <v>222</v>
      </c>
      <c r="O56" s="15"/>
      <c r="P56" s="8"/>
      <c r="Q56" s="8"/>
    </row>
    <row r="57" spans="1:17" ht="69.75" customHeight="1" x14ac:dyDescent="0.2">
      <c r="A57" s="17">
        <v>46053.483022523149</v>
      </c>
      <c r="B57" s="18">
        <v>28208002374</v>
      </c>
      <c r="C57" s="18" t="s">
        <v>223</v>
      </c>
      <c r="D57" s="18" t="s">
        <v>224</v>
      </c>
      <c r="E57" s="18" t="s">
        <v>25</v>
      </c>
      <c r="F57" s="18" t="s">
        <v>26</v>
      </c>
      <c r="G57" s="18" t="s">
        <v>27</v>
      </c>
      <c r="H57" s="18" t="s">
        <v>106</v>
      </c>
      <c r="I57" s="20" t="str">
        <f ca="1">VLOOKUP($B57,Sheet1!$C$2:$AK$272,27,0)</f>
        <v>BÁO CÁO THỰC TẬP TỐT NGHIỆP</v>
      </c>
      <c r="J57" s="20" t="s">
        <v>22</v>
      </c>
      <c r="K57" s="20"/>
      <c r="L57" s="18" t="s">
        <v>225</v>
      </c>
      <c r="M57" s="18" t="s">
        <v>29</v>
      </c>
      <c r="N57" s="18" t="s">
        <v>226</v>
      </c>
      <c r="O57" s="15"/>
      <c r="P57" s="8"/>
      <c r="Q57" s="8"/>
    </row>
    <row r="58" spans="1:17" ht="69.75" customHeight="1" x14ac:dyDescent="0.2">
      <c r="A58" s="17">
        <v>46056.269552673606</v>
      </c>
      <c r="B58" s="18">
        <v>28208002425</v>
      </c>
      <c r="C58" s="18" t="s">
        <v>227</v>
      </c>
      <c r="D58" s="18" t="s">
        <v>228</v>
      </c>
      <c r="E58" s="18" t="s">
        <v>34</v>
      </c>
      <c r="F58" s="18" t="s">
        <v>26</v>
      </c>
      <c r="G58" s="18" t="s">
        <v>27</v>
      </c>
      <c r="H58" s="18" t="s">
        <v>106</v>
      </c>
      <c r="I58" s="20" t="str">
        <f ca="1">VLOOKUP($B58,Sheet1!$C$2:$AK$272,27,0)</f>
        <v>BÁO CÁO THỰC TẬP TỐT NGHIỆP</v>
      </c>
      <c r="J58" s="20" t="s">
        <v>22</v>
      </c>
      <c r="K58" s="20"/>
      <c r="L58" s="18" t="s">
        <v>225</v>
      </c>
      <c r="M58" s="18" t="s">
        <v>29</v>
      </c>
      <c r="N58" s="18" t="s">
        <v>229</v>
      </c>
      <c r="O58" s="15"/>
      <c r="P58" s="8"/>
      <c r="Q58" s="8"/>
    </row>
    <row r="59" spans="1:17" ht="69.75" customHeight="1" x14ac:dyDescent="0.2">
      <c r="A59" s="17">
        <v>46051.822045416666</v>
      </c>
      <c r="B59" s="18">
        <v>28218050646</v>
      </c>
      <c r="C59" s="18" t="s">
        <v>230</v>
      </c>
      <c r="D59" s="18" t="s">
        <v>231</v>
      </c>
      <c r="E59" s="18" t="s">
        <v>189</v>
      </c>
      <c r="F59" s="18" t="s">
        <v>26</v>
      </c>
      <c r="G59" s="18" t="s">
        <v>27</v>
      </c>
      <c r="H59" s="18" t="s">
        <v>75</v>
      </c>
      <c r="I59" s="20" t="str">
        <f ca="1">VLOOKUP($B59,Sheet1!$C$2:$AK$272,27,0)</f>
        <v>BÁO CÁO THỰC TẬP TỐT NGHIỆP</v>
      </c>
      <c r="J59" s="20" t="s">
        <v>22</v>
      </c>
      <c r="K59" s="20"/>
      <c r="L59" s="18" t="s">
        <v>232</v>
      </c>
      <c r="M59" s="18" t="s">
        <v>68</v>
      </c>
      <c r="N59" s="18" t="s">
        <v>786</v>
      </c>
      <c r="O59" s="15"/>
      <c r="P59" s="8"/>
      <c r="Q59" s="8"/>
    </row>
    <row r="60" spans="1:17" ht="69.75" customHeight="1" x14ac:dyDescent="0.2">
      <c r="A60" s="17">
        <v>46051.800152638883</v>
      </c>
      <c r="B60" s="18">
        <v>28208227611</v>
      </c>
      <c r="C60" s="18" t="s">
        <v>233</v>
      </c>
      <c r="D60" s="19" t="s">
        <v>234</v>
      </c>
      <c r="E60" s="18" t="s">
        <v>189</v>
      </c>
      <c r="F60" s="18" t="s">
        <v>26</v>
      </c>
      <c r="G60" s="18" t="s">
        <v>27</v>
      </c>
      <c r="H60" s="18" t="s">
        <v>106</v>
      </c>
      <c r="I60" s="20" t="str">
        <f ca="1">VLOOKUP($B60,Sheet1!$C$2:$AK$272,27,0)</f>
        <v>BÁO CÁO THỰC TẬP TỐT NGHIỆP</v>
      </c>
      <c r="J60" s="20" t="s">
        <v>22</v>
      </c>
      <c r="K60" s="20"/>
      <c r="L60" s="18" t="s">
        <v>104</v>
      </c>
      <c r="M60" s="18" t="s">
        <v>29</v>
      </c>
      <c r="N60" s="18" t="s">
        <v>787</v>
      </c>
      <c r="O60" s="15"/>
      <c r="P60" s="8"/>
      <c r="Q60" s="8"/>
    </row>
    <row r="61" spans="1:17" ht="69.75" customHeight="1" x14ac:dyDescent="0.2">
      <c r="A61" s="17">
        <v>46051.82204353009</v>
      </c>
      <c r="B61" s="18">
        <v>28208001232</v>
      </c>
      <c r="C61" s="18" t="s">
        <v>235</v>
      </c>
      <c r="D61" s="18" t="s">
        <v>236</v>
      </c>
      <c r="E61" s="18" t="s">
        <v>169</v>
      </c>
      <c r="F61" s="18" t="s">
        <v>26</v>
      </c>
      <c r="G61" s="18" t="s">
        <v>27</v>
      </c>
      <c r="H61" s="18" t="s">
        <v>139</v>
      </c>
      <c r="I61" s="20" t="str">
        <f ca="1">VLOOKUP($B61,Sheet1!$C$2:$AK$272,27,0)</f>
        <v>BÁO CÁO THỰC TẬP TỐT NGHIỆP</v>
      </c>
      <c r="J61" s="20" t="s">
        <v>22</v>
      </c>
      <c r="K61" s="20"/>
      <c r="L61" s="18" t="s">
        <v>79</v>
      </c>
      <c r="M61" s="18" t="s">
        <v>29</v>
      </c>
      <c r="N61" s="18" t="s">
        <v>237</v>
      </c>
      <c r="O61" s="15"/>
      <c r="P61" s="8"/>
      <c r="Q61" s="8"/>
    </row>
    <row r="62" spans="1:17" ht="69.75" customHeight="1" x14ac:dyDescent="0.2">
      <c r="A62" s="17">
        <v>46051.824139398144</v>
      </c>
      <c r="B62" s="18">
        <v>28208020230</v>
      </c>
      <c r="C62" s="18" t="s">
        <v>238</v>
      </c>
      <c r="D62" s="18" t="s">
        <v>239</v>
      </c>
      <c r="E62" s="18" t="s">
        <v>34</v>
      </c>
      <c r="F62" s="18" t="s">
        <v>26</v>
      </c>
      <c r="G62" s="18" t="s">
        <v>27</v>
      </c>
      <c r="H62" s="18" t="s">
        <v>75</v>
      </c>
      <c r="I62" s="20" t="str">
        <f ca="1">VLOOKUP($B62,Sheet1!$C$2:$AK$272,27,0)</f>
        <v>BÁO CÁO THỰC TẬP TỐT NGHIỆP</v>
      </c>
      <c r="J62" s="20" t="s">
        <v>22</v>
      </c>
      <c r="K62" s="20"/>
      <c r="L62" s="18" t="s">
        <v>240</v>
      </c>
      <c r="M62" s="18" t="s">
        <v>68</v>
      </c>
      <c r="N62" s="18" t="s">
        <v>241</v>
      </c>
      <c r="O62" s="15"/>
      <c r="P62" s="8"/>
      <c r="Q62" s="8"/>
    </row>
    <row r="63" spans="1:17" ht="69.75" customHeight="1" x14ac:dyDescent="0.2">
      <c r="A63" s="17">
        <v>46055.674842465276</v>
      </c>
      <c r="B63" s="18">
        <v>27202141732</v>
      </c>
      <c r="C63" s="18" t="s">
        <v>242</v>
      </c>
      <c r="D63" s="18" t="s">
        <v>243</v>
      </c>
      <c r="E63" s="18" t="s">
        <v>136</v>
      </c>
      <c r="F63" s="18" t="s">
        <v>26</v>
      </c>
      <c r="G63" s="18" t="s">
        <v>132</v>
      </c>
      <c r="H63" s="18" t="s">
        <v>75</v>
      </c>
      <c r="I63" s="20" t="str">
        <f ca="1">VLOOKUP($B63,Sheet1!$C$2:$AK$272,27,0)</f>
        <v>BÁO CÁO THỰC TẬP TỐT NGHIỆP</v>
      </c>
      <c r="J63" s="20" t="s">
        <v>161</v>
      </c>
      <c r="K63" s="20" t="s">
        <v>245</v>
      </c>
      <c r="L63" s="18" t="s">
        <v>244</v>
      </c>
      <c r="M63" s="18" t="s">
        <v>68</v>
      </c>
      <c r="N63" s="20" t="s">
        <v>245</v>
      </c>
      <c r="O63" s="15"/>
      <c r="P63" s="8"/>
      <c r="Q63" s="8"/>
    </row>
    <row r="64" spans="1:17" ht="69.75" customHeight="1" x14ac:dyDescent="0.2">
      <c r="A64" s="17">
        <v>46053.531106249997</v>
      </c>
      <c r="B64" s="18">
        <v>28208254001</v>
      </c>
      <c r="C64" s="18" t="s">
        <v>246</v>
      </c>
      <c r="D64" s="19" t="s">
        <v>247</v>
      </c>
      <c r="E64" s="18" t="s">
        <v>165</v>
      </c>
      <c r="F64" s="18" t="s">
        <v>26</v>
      </c>
      <c r="G64" s="18" t="s">
        <v>27</v>
      </c>
      <c r="H64" s="18" t="s">
        <v>106</v>
      </c>
      <c r="I64" s="20" t="str">
        <f ca="1">VLOOKUP($B64,Sheet1!$C$2:$AK$272,27,0)</f>
        <v>BÁO CÁO THỰC TẬP TỐT NGHIỆP</v>
      </c>
      <c r="J64" s="20" t="s">
        <v>22</v>
      </c>
      <c r="K64" s="20"/>
      <c r="L64" s="18" t="s">
        <v>248</v>
      </c>
      <c r="M64" s="18" t="s">
        <v>29</v>
      </c>
      <c r="N64" s="18" t="s">
        <v>249</v>
      </c>
      <c r="O64" s="15"/>
      <c r="P64" s="8"/>
      <c r="Q64" s="8"/>
    </row>
    <row r="65" spans="1:17" ht="69.75" customHeight="1" x14ac:dyDescent="0.2">
      <c r="A65" s="17">
        <v>46052.576665081018</v>
      </c>
      <c r="B65" s="18">
        <v>28208053568</v>
      </c>
      <c r="C65" s="18" t="s">
        <v>250</v>
      </c>
      <c r="D65" s="18" t="s">
        <v>251</v>
      </c>
      <c r="E65" s="18" t="s">
        <v>83</v>
      </c>
      <c r="F65" s="18" t="s">
        <v>26</v>
      </c>
      <c r="G65" s="18" t="s">
        <v>27</v>
      </c>
      <c r="H65" s="18" t="s">
        <v>106</v>
      </c>
      <c r="I65" s="20" t="str">
        <f ca="1">VLOOKUP($B65,Sheet1!$C$2:$AK$272,27,0)</f>
        <v>BÁO CÁO THỰC TẬP TỐT NGHIỆP</v>
      </c>
      <c r="J65" s="20" t="s">
        <v>22</v>
      </c>
      <c r="K65" s="20"/>
      <c r="L65" s="18" t="s">
        <v>252</v>
      </c>
      <c r="M65" s="18" t="s">
        <v>29</v>
      </c>
      <c r="N65" s="18" t="s">
        <v>253</v>
      </c>
      <c r="O65" s="15"/>
      <c r="P65" s="8"/>
      <c r="Q65" s="8"/>
    </row>
    <row r="66" spans="1:17" ht="69.75" customHeight="1" x14ac:dyDescent="0.2">
      <c r="A66" s="17">
        <v>46051.86890976852</v>
      </c>
      <c r="B66" s="18">
        <v>27207134401</v>
      </c>
      <c r="C66" s="18" t="s">
        <v>254</v>
      </c>
      <c r="D66" s="19" t="s">
        <v>255</v>
      </c>
      <c r="E66" s="18" t="s">
        <v>256</v>
      </c>
      <c r="F66" s="18" t="s">
        <v>26</v>
      </c>
      <c r="G66" s="18" t="s">
        <v>132</v>
      </c>
      <c r="H66" s="18" t="s">
        <v>75</v>
      </c>
      <c r="I66" s="20" t="str">
        <f ca="1">VLOOKUP($B66,Sheet1!$C$2:$AK$272,27,0)</f>
        <v>BÁO CÁO THỰC TẬP TỐT NGHIỆP</v>
      </c>
      <c r="J66" s="20" t="s">
        <v>22</v>
      </c>
      <c r="K66" s="20"/>
      <c r="L66" s="18" t="s">
        <v>51</v>
      </c>
      <c r="M66" s="18" t="s">
        <v>68</v>
      </c>
      <c r="N66" s="18" t="s">
        <v>257</v>
      </c>
      <c r="O66" s="15"/>
      <c r="P66" s="8"/>
      <c r="Q66" s="8"/>
    </row>
    <row r="67" spans="1:17" ht="69.75" customHeight="1" x14ac:dyDescent="0.2">
      <c r="A67" s="17">
        <v>46053.619966342594</v>
      </c>
      <c r="B67" s="18">
        <v>28208004094</v>
      </c>
      <c r="C67" s="18" t="s">
        <v>258</v>
      </c>
      <c r="D67" s="18" t="s">
        <v>95</v>
      </c>
      <c r="E67" s="18" t="s">
        <v>165</v>
      </c>
      <c r="F67" s="18" t="s">
        <v>26</v>
      </c>
      <c r="G67" s="18" t="s">
        <v>27</v>
      </c>
      <c r="H67" s="18" t="s">
        <v>106</v>
      </c>
      <c r="I67" s="20" t="str">
        <f ca="1">VLOOKUP($B67,Sheet1!$C$2:$AK$272,27,0)</f>
        <v>BÁO CÁO THỰC TẬP TỐT NGHIỆP</v>
      </c>
      <c r="J67" s="20" t="s">
        <v>22</v>
      </c>
      <c r="K67" s="20"/>
      <c r="L67" s="18" t="s">
        <v>248</v>
      </c>
      <c r="M67" s="18" t="s">
        <v>29</v>
      </c>
      <c r="N67" s="18" t="s">
        <v>259</v>
      </c>
      <c r="O67" s="15"/>
      <c r="P67" s="8"/>
      <c r="Q67" s="8"/>
    </row>
    <row r="68" spans="1:17" ht="69.75" customHeight="1" x14ac:dyDescent="0.2">
      <c r="A68" s="17">
        <v>46055.676014421297</v>
      </c>
      <c r="B68" s="18">
        <v>28208005673</v>
      </c>
      <c r="C68" s="18" t="s">
        <v>260</v>
      </c>
      <c r="D68" s="18" t="s">
        <v>261</v>
      </c>
      <c r="E68" s="18" t="s">
        <v>169</v>
      </c>
      <c r="F68" s="18" t="s">
        <v>26</v>
      </c>
      <c r="G68" s="18" t="s">
        <v>27</v>
      </c>
      <c r="H68" s="18" t="s">
        <v>75</v>
      </c>
      <c r="I68" s="20" t="str">
        <f ca="1">VLOOKUP($B68,Sheet1!$C$2:$AK$272,27,0)</f>
        <v>BÁO CÁO THỰC TẬP TỐT NGHIỆP</v>
      </c>
      <c r="J68" s="20" t="s">
        <v>161</v>
      </c>
      <c r="K68" s="20" t="s">
        <v>262</v>
      </c>
      <c r="L68" s="18" t="s">
        <v>63</v>
      </c>
      <c r="M68" s="18" t="s">
        <v>68</v>
      </c>
      <c r="N68" s="20" t="s">
        <v>788</v>
      </c>
      <c r="O68" s="15"/>
      <c r="P68" s="8"/>
      <c r="Q68" s="8"/>
    </row>
    <row r="69" spans="1:17" ht="69.75" customHeight="1" x14ac:dyDescent="0.2">
      <c r="A69" s="17">
        <v>46051.915721550926</v>
      </c>
      <c r="B69" s="18">
        <v>28218021742</v>
      </c>
      <c r="C69" s="18" t="s">
        <v>263</v>
      </c>
      <c r="D69" s="18" t="s">
        <v>264</v>
      </c>
      <c r="E69" s="18" t="s">
        <v>34</v>
      </c>
      <c r="F69" s="18" t="s">
        <v>26</v>
      </c>
      <c r="G69" s="18" t="s">
        <v>27</v>
      </c>
      <c r="H69" s="18" t="s">
        <v>106</v>
      </c>
      <c r="I69" s="20" t="str">
        <f ca="1">VLOOKUP($B69,Sheet1!$C$2:$AK$272,27,0)</f>
        <v>BÁO CÁO THỰC TẬP TỐT NGHIỆP</v>
      </c>
      <c r="J69" s="20" t="s">
        <v>22</v>
      </c>
      <c r="K69" s="20"/>
      <c r="L69" s="18" t="s">
        <v>265</v>
      </c>
      <c r="M69" s="18" t="s">
        <v>29</v>
      </c>
      <c r="N69" s="18" t="s">
        <v>266</v>
      </c>
      <c r="O69" s="15"/>
      <c r="P69" s="8"/>
      <c r="Q69" s="8"/>
    </row>
    <row r="70" spans="1:17" ht="69.75" customHeight="1" x14ac:dyDescent="0.2">
      <c r="A70" s="17">
        <v>46055.667341805558</v>
      </c>
      <c r="B70" s="18">
        <v>25217110364</v>
      </c>
      <c r="C70" s="18" t="s">
        <v>267</v>
      </c>
      <c r="D70" s="18" t="s">
        <v>268</v>
      </c>
      <c r="E70" s="18" t="s">
        <v>269</v>
      </c>
      <c r="F70" s="18" t="s">
        <v>26</v>
      </c>
      <c r="G70" s="18" t="s">
        <v>17</v>
      </c>
      <c r="H70" s="18" t="s">
        <v>75</v>
      </c>
      <c r="I70" s="20" t="str">
        <f ca="1">VLOOKUP($B70,Sheet1!$C$2:$AK$272,27,0)</f>
        <v>BÁO CÁO THỰC TẬP TỐT NGHIỆP</v>
      </c>
      <c r="J70" s="20" t="s">
        <v>161</v>
      </c>
      <c r="K70" s="20" t="s">
        <v>271</v>
      </c>
      <c r="L70" s="18" t="s">
        <v>789</v>
      </c>
      <c r="M70" s="18" t="s">
        <v>68</v>
      </c>
      <c r="N70" s="20" t="s">
        <v>271</v>
      </c>
      <c r="O70" s="15"/>
      <c r="P70" s="8"/>
      <c r="Q70" s="8"/>
    </row>
    <row r="71" spans="1:17" ht="69.75" customHeight="1" x14ac:dyDescent="0.2">
      <c r="A71" s="17">
        <v>46055.494183055554</v>
      </c>
      <c r="B71" s="18">
        <v>28208238804</v>
      </c>
      <c r="C71" s="18" t="s">
        <v>272</v>
      </c>
      <c r="D71" s="18" t="s">
        <v>273</v>
      </c>
      <c r="E71" s="18" t="s">
        <v>25</v>
      </c>
      <c r="F71" s="18" t="s">
        <v>26</v>
      </c>
      <c r="G71" s="18" t="s">
        <v>27</v>
      </c>
      <c r="H71" s="18" t="s">
        <v>37</v>
      </c>
      <c r="I71" s="20" t="str">
        <f ca="1">VLOOKUP($B71,Sheet1!$C$2:$AK$272,27,0)</f>
        <v>BÁO CÁO THỰC TẬP TỐT NGHIỆP</v>
      </c>
      <c r="J71" s="20" t="s">
        <v>22</v>
      </c>
      <c r="K71" s="20"/>
      <c r="L71" s="18" t="s">
        <v>35</v>
      </c>
      <c r="M71" s="18" t="s">
        <v>29</v>
      </c>
      <c r="N71" s="18" t="s">
        <v>274</v>
      </c>
      <c r="O71" s="15"/>
      <c r="P71" s="8"/>
      <c r="Q71" s="8"/>
    </row>
    <row r="72" spans="1:17" ht="69.75" customHeight="1" x14ac:dyDescent="0.2">
      <c r="A72" s="17">
        <v>46055.404236574075</v>
      </c>
      <c r="B72" s="18">
        <v>28218001578</v>
      </c>
      <c r="C72" s="18" t="s">
        <v>275</v>
      </c>
      <c r="D72" s="18" t="s">
        <v>276</v>
      </c>
      <c r="E72" s="18" t="s">
        <v>40</v>
      </c>
      <c r="F72" s="18" t="s">
        <v>26</v>
      </c>
      <c r="G72" s="18" t="s">
        <v>27</v>
      </c>
      <c r="H72" s="18" t="s">
        <v>106</v>
      </c>
      <c r="I72" s="20" t="str">
        <f ca="1">VLOOKUP($B72,Sheet1!$C$2:$AK$272,27,0)</f>
        <v>BÁO CÁO THỰC TẬP TỐT NGHIỆP</v>
      </c>
      <c r="J72" s="20" t="s">
        <v>22</v>
      </c>
      <c r="K72" s="20"/>
      <c r="L72" s="18" t="s">
        <v>104</v>
      </c>
      <c r="M72" s="18" t="s">
        <v>29</v>
      </c>
      <c r="N72" s="18" t="s">
        <v>277</v>
      </c>
      <c r="O72" s="15"/>
      <c r="P72" s="8"/>
      <c r="Q72" s="8"/>
    </row>
    <row r="73" spans="1:17" ht="69.75" customHeight="1" x14ac:dyDescent="0.2">
      <c r="A73" s="17">
        <v>46053.827719016204</v>
      </c>
      <c r="B73" s="18">
        <v>28208000844</v>
      </c>
      <c r="C73" s="18" t="s">
        <v>278</v>
      </c>
      <c r="D73" s="18" t="s">
        <v>62</v>
      </c>
      <c r="E73" s="18" t="s">
        <v>25</v>
      </c>
      <c r="F73" s="18" t="s">
        <v>26</v>
      </c>
      <c r="G73" s="18" t="s">
        <v>27</v>
      </c>
      <c r="H73" s="18" t="s">
        <v>75</v>
      </c>
      <c r="I73" s="20" t="str">
        <f ca="1">VLOOKUP($B73,Sheet1!$C$2:$AK$272,27,0)</f>
        <v>BÁO CÁO THỰC TẬP TỐT NGHIỆP</v>
      </c>
      <c r="J73" s="20" t="s">
        <v>22</v>
      </c>
      <c r="K73" s="20"/>
      <c r="L73" s="18" t="s">
        <v>279</v>
      </c>
      <c r="M73" s="18" t="s">
        <v>68</v>
      </c>
      <c r="N73" s="18" t="s">
        <v>280</v>
      </c>
      <c r="O73" s="15"/>
      <c r="P73" s="8"/>
      <c r="Q73" s="8"/>
    </row>
    <row r="74" spans="1:17" ht="69.75" customHeight="1" x14ac:dyDescent="0.2">
      <c r="A74" s="17">
        <v>46051.988000682875</v>
      </c>
      <c r="B74" s="18">
        <v>28208003815</v>
      </c>
      <c r="C74" s="18" t="s">
        <v>281</v>
      </c>
      <c r="D74" s="19" t="s">
        <v>282</v>
      </c>
      <c r="E74" s="18" t="s">
        <v>283</v>
      </c>
      <c r="F74" s="18" t="s">
        <v>16</v>
      </c>
      <c r="G74" s="18" t="s">
        <v>27</v>
      </c>
      <c r="H74" s="18" t="s">
        <v>139</v>
      </c>
      <c r="I74" s="20" t="str">
        <f ca="1">VLOOKUP($B74,Sheet1!$C$2:$AK$272,27,0)</f>
        <v>BÁO CÁO THỰC TẬP TỐT NGHIỆP</v>
      </c>
      <c r="J74" s="20" t="s">
        <v>22</v>
      </c>
      <c r="K74" s="20"/>
      <c r="L74" s="18" t="s">
        <v>79</v>
      </c>
      <c r="M74" s="18" t="s">
        <v>29</v>
      </c>
      <c r="N74" s="18" t="s">
        <v>284</v>
      </c>
      <c r="O74" s="15"/>
      <c r="P74" s="8"/>
      <c r="Q74" s="8"/>
    </row>
    <row r="75" spans="1:17" ht="69.75" customHeight="1" x14ac:dyDescent="0.2">
      <c r="A75" s="17">
        <v>46052.442549236112</v>
      </c>
      <c r="B75" s="18">
        <v>28208027475</v>
      </c>
      <c r="C75" s="18" t="s">
        <v>285</v>
      </c>
      <c r="D75" s="18" t="s">
        <v>286</v>
      </c>
      <c r="E75" s="18" t="s">
        <v>176</v>
      </c>
      <c r="F75" s="18" t="s">
        <v>26</v>
      </c>
      <c r="G75" s="18" t="s">
        <v>27</v>
      </c>
      <c r="H75" s="18" t="s">
        <v>31</v>
      </c>
      <c r="I75" s="20" t="str">
        <f ca="1">VLOOKUP($B75,Sheet1!$C$2:$AK$272,27,0)</f>
        <v>BÁO CÁO THỰC TẬP TỐT NGHIỆP</v>
      </c>
      <c r="J75" s="20" t="s">
        <v>22</v>
      </c>
      <c r="K75" s="20"/>
      <c r="L75" s="18" t="s">
        <v>28</v>
      </c>
      <c r="M75" s="18" t="s">
        <v>29</v>
      </c>
      <c r="N75" s="18" t="s">
        <v>287</v>
      </c>
      <c r="O75" s="15"/>
      <c r="P75" s="8"/>
      <c r="Q75" s="8"/>
    </row>
    <row r="76" spans="1:17" ht="69.75" customHeight="1" x14ac:dyDescent="0.2">
      <c r="A76" s="17">
        <v>46052.01529502315</v>
      </c>
      <c r="B76" s="18">
        <v>28204502696</v>
      </c>
      <c r="C76" s="18" t="s">
        <v>288</v>
      </c>
      <c r="D76" s="19" t="s">
        <v>289</v>
      </c>
      <c r="E76" s="18" t="s">
        <v>40</v>
      </c>
      <c r="F76" s="18" t="s">
        <v>26</v>
      </c>
      <c r="G76" s="18" t="s">
        <v>27</v>
      </c>
      <c r="H76" s="18" t="s">
        <v>106</v>
      </c>
      <c r="I76" s="20" t="str">
        <f ca="1">VLOOKUP($B76,Sheet1!$C$2:$AK$272,27,0)</f>
        <v>BÁO CÁO THỰC TẬP TỐT NGHIỆP</v>
      </c>
      <c r="J76" s="20" t="s">
        <v>22</v>
      </c>
      <c r="K76" s="20"/>
      <c r="L76" s="18" t="s">
        <v>252</v>
      </c>
      <c r="M76" s="18" t="s">
        <v>29</v>
      </c>
      <c r="N76" s="18" t="s">
        <v>290</v>
      </c>
      <c r="O76" s="15"/>
      <c r="P76" s="8"/>
      <c r="Q76" s="8"/>
    </row>
    <row r="77" spans="1:17" ht="69.75" customHeight="1" x14ac:dyDescent="0.2">
      <c r="A77" s="17">
        <v>46052.748247986106</v>
      </c>
      <c r="B77" s="18">
        <v>28208004696</v>
      </c>
      <c r="C77" s="18" t="s">
        <v>291</v>
      </c>
      <c r="D77" s="18" t="s">
        <v>292</v>
      </c>
      <c r="E77" s="18" t="s">
        <v>293</v>
      </c>
      <c r="F77" s="18" t="s">
        <v>26</v>
      </c>
      <c r="G77" s="18" t="s">
        <v>27</v>
      </c>
      <c r="H77" s="18" t="s">
        <v>139</v>
      </c>
      <c r="I77" s="20" t="str">
        <f ca="1">VLOOKUP($B77,Sheet1!$C$2:$AK$272,27,0)</f>
        <v>BÁO CÁO THỰC TẬP TỐT NGHIỆP</v>
      </c>
      <c r="J77" s="20" t="s">
        <v>161</v>
      </c>
      <c r="K77" s="18" t="s">
        <v>772</v>
      </c>
      <c r="L77" s="18" t="s">
        <v>720</v>
      </c>
      <c r="M77" s="18" t="s">
        <v>29</v>
      </c>
      <c r="N77" s="18" t="s">
        <v>790</v>
      </c>
      <c r="O77" s="15"/>
      <c r="P77" s="8"/>
      <c r="Q77" s="8"/>
    </row>
    <row r="78" spans="1:17" ht="69.75" customHeight="1" x14ac:dyDescent="0.2">
      <c r="A78" s="17">
        <v>46052.356572685181</v>
      </c>
      <c r="B78" s="18">
        <v>27212228929</v>
      </c>
      <c r="C78" s="18" t="s">
        <v>294</v>
      </c>
      <c r="D78" s="18" t="s">
        <v>295</v>
      </c>
      <c r="E78" s="18" t="s">
        <v>296</v>
      </c>
      <c r="F78" s="18" t="s">
        <v>26</v>
      </c>
      <c r="G78" s="18" t="s">
        <v>132</v>
      </c>
      <c r="H78" s="18" t="s">
        <v>139</v>
      </c>
      <c r="I78" s="20" t="str">
        <f ca="1">VLOOKUP($B78,Sheet1!$C$2:$AK$272,27,0)</f>
        <v>BÁO CÁO THỰC TẬP TỐT NGHIỆP</v>
      </c>
      <c r="J78" s="20" t="s">
        <v>22</v>
      </c>
      <c r="K78" s="20"/>
      <c r="L78" s="18" t="s">
        <v>79</v>
      </c>
      <c r="M78" s="18" t="s">
        <v>29</v>
      </c>
      <c r="N78" s="18" t="s">
        <v>297</v>
      </c>
      <c r="O78" s="15"/>
      <c r="P78" s="8"/>
      <c r="Q78" s="8"/>
    </row>
    <row r="79" spans="1:17" ht="69.75" customHeight="1" x14ac:dyDescent="0.2">
      <c r="A79" s="17">
        <v>46052.360039884261</v>
      </c>
      <c r="B79" s="18">
        <v>28208025228</v>
      </c>
      <c r="C79" s="18" t="s">
        <v>298</v>
      </c>
      <c r="D79" s="18" t="s">
        <v>44</v>
      </c>
      <c r="E79" s="18" t="s">
        <v>299</v>
      </c>
      <c r="F79" s="18" t="s">
        <v>26</v>
      </c>
      <c r="G79" s="18" t="s">
        <v>27</v>
      </c>
      <c r="H79" s="18" t="s">
        <v>31</v>
      </c>
      <c r="I79" s="20" t="str">
        <f ca="1">VLOOKUP($B79,Sheet1!$C$2:$AK$272,27,0)</f>
        <v>BÁO CÁO THỰC TẬP TỐT NGHIỆP</v>
      </c>
      <c r="J79" s="20" t="s">
        <v>22</v>
      </c>
      <c r="K79" s="20"/>
      <c r="L79" s="18" t="s">
        <v>28</v>
      </c>
      <c r="M79" s="18" t="s">
        <v>29</v>
      </c>
      <c r="N79" s="18" t="s">
        <v>300</v>
      </c>
      <c r="O79" s="15"/>
      <c r="P79" s="8"/>
      <c r="Q79" s="8"/>
    </row>
    <row r="80" spans="1:17" ht="69.75" customHeight="1" x14ac:dyDescent="0.2">
      <c r="A80" s="17">
        <v>46055.486004930557</v>
      </c>
      <c r="B80" s="18">
        <v>28204600357</v>
      </c>
      <c r="C80" s="18" t="s">
        <v>301</v>
      </c>
      <c r="D80" s="19" t="s">
        <v>302</v>
      </c>
      <c r="E80" s="18" t="s">
        <v>40</v>
      </c>
      <c r="F80" s="18" t="s">
        <v>26</v>
      </c>
      <c r="G80" s="18" t="s">
        <v>27</v>
      </c>
      <c r="H80" s="18" t="s">
        <v>70</v>
      </c>
      <c r="I80" s="20" t="str">
        <f ca="1">VLOOKUP($B80,Sheet1!$C$2:$AK$272,27,0)</f>
        <v>BÁO CÁO THỰC TẬP TỐT NGHIỆP</v>
      </c>
      <c r="J80" s="20" t="s">
        <v>174</v>
      </c>
      <c r="K80" s="20" t="s">
        <v>760</v>
      </c>
      <c r="L80" s="20" t="s">
        <v>657</v>
      </c>
      <c r="M80" s="18" t="s">
        <v>68</v>
      </c>
      <c r="N80" s="18"/>
      <c r="O80" s="15"/>
      <c r="P80" s="8"/>
      <c r="Q80" s="8"/>
    </row>
    <row r="81" spans="1:17" ht="69.75" customHeight="1" x14ac:dyDescent="0.2">
      <c r="A81" s="17">
        <v>46053.352189479163</v>
      </c>
      <c r="B81" s="18">
        <v>28208000460</v>
      </c>
      <c r="C81" s="18" t="s">
        <v>303</v>
      </c>
      <c r="D81" s="19" t="s">
        <v>304</v>
      </c>
      <c r="E81" s="18" t="s">
        <v>305</v>
      </c>
      <c r="F81" s="18" t="s">
        <v>16</v>
      </c>
      <c r="G81" s="18" t="s">
        <v>27</v>
      </c>
      <c r="H81" s="18" t="s">
        <v>70</v>
      </c>
      <c r="I81" s="20" t="str">
        <f ca="1">VLOOKUP($B81,Sheet1!$C$2:$AK$272,27,0)</f>
        <v>BÁO CÁO THỰC TẬP TỐT NGHIỆP</v>
      </c>
      <c r="J81" s="20" t="s">
        <v>22</v>
      </c>
      <c r="K81" s="20"/>
      <c r="L81" s="18" t="s">
        <v>306</v>
      </c>
      <c r="M81" s="18" t="s">
        <v>68</v>
      </c>
      <c r="N81" s="18" t="s">
        <v>307</v>
      </c>
      <c r="O81" s="15"/>
      <c r="P81" s="8"/>
      <c r="Q81" s="8"/>
    </row>
    <row r="82" spans="1:17" ht="69.75" customHeight="1" x14ac:dyDescent="0.2">
      <c r="A82" s="17">
        <v>46055.766800405094</v>
      </c>
      <c r="B82" s="18">
        <v>27207102890</v>
      </c>
      <c r="C82" s="18" t="s">
        <v>308</v>
      </c>
      <c r="D82" s="19" t="s">
        <v>309</v>
      </c>
      <c r="E82" s="18" t="s">
        <v>296</v>
      </c>
      <c r="F82" s="18" t="s">
        <v>26</v>
      </c>
      <c r="G82" s="18" t="s">
        <v>132</v>
      </c>
      <c r="H82" s="18" t="s">
        <v>70</v>
      </c>
      <c r="I82" s="20" t="str">
        <f ca="1">VLOOKUP($B82,Sheet1!$C$2:$AK$272,27,0)</f>
        <v>BÁO CÁO THỰC TẬP TỐT NGHIỆP</v>
      </c>
      <c r="J82" s="20" t="s">
        <v>22</v>
      </c>
      <c r="K82" s="20"/>
      <c r="L82" s="18" t="s">
        <v>127</v>
      </c>
      <c r="M82" s="18" t="s">
        <v>68</v>
      </c>
      <c r="N82" s="18" t="s">
        <v>310</v>
      </c>
      <c r="O82" s="15"/>
      <c r="P82" s="8"/>
      <c r="Q82" s="8"/>
    </row>
    <row r="83" spans="1:17" ht="69.75" customHeight="1" x14ac:dyDescent="0.2">
      <c r="A83" s="17">
        <v>46052.368709050927</v>
      </c>
      <c r="B83" s="18">
        <v>28208000506</v>
      </c>
      <c r="C83" s="18" t="s">
        <v>311</v>
      </c>
      <c r="D83" s="18" t="s">
        <v>312</v>
      </c>
      <c r="E83" s="18" t="s">
        <v>83</v>
      </c>
      <c r="F83" s="18" t="s">
        <v>26</v>
      </c>
      <c r="G83" s="18" t="s">
        <v>27</v>
      </c>
      <c r="H83" s="18" t="s">
        <v>70</v>
      </c>
      <c r="I83" s="20" t="str">
        <f ca="1">VLOOKUP($B83,Sheet1!$C$2:$AK$272,27,0)</f>
        <v>BÁO CÁO THỰC TẬP TỐT NGHIỆP</v>
      </c>
      <c r="J83" s="20" t="s">
        <v>22</v>
      </c>
      <c r="K83" s="20"/>
      <c r="L83" s="18" t="s">
        <v>313</v>
      </c>
      <c r="M83" s="18" t="s">
        <v>68</v>
      </c>
      <c r="N83" s="18" t="s">
        <v>314</v>
      </c>
      <c r="O83" s="15"/>
      <c r="P83" s="8"/>
      <c r="Q83" s="8"/>
    </row>
    <row r="84" spans="1:17" ht="69.75" customHeight="1" x14ac:dyDescent="0.2">
      <c r="A84" s="17">
        <v>46052.370730011578</v>
      </c>
      <c r="B84" s="18">
        <v>28208006728</v>
      </c>
      <c r="C84" s="18" t="s">
        <v>315</v>
      </c>
      <c r="D84" s="18" t="s">
        <v>316</v>
      </c>
      <c r="E84" s="18" t="s">
        <v>25</v>
      </c>
      <c r="F84" s="18" t="s">
        <v>26</v>
      </c>
      <c r="G84" s="18" t="s">
        <v>27</v>
      </c>
      <c r="H84" s="18" t="s">
        <v>31</v>
      </c>
      <c r="I84" s="20" t="str">
        <f ca="1">VLOOKUP($B84,Sheet1!$C$2:$AK$272,27,0)</f>
        <v>BÁO CÁO THỰC TẬP TỐT NGHIỆP</v>
      </c>
      <c r="J84" s="20" t="s">
        <v>22</v>
      </c>
      <c r="K84" s="20"/>
      <c r="L84" s="18" t="s">
        <v>28</v>
      </c>
      <c r="M84" s="18" t="s">
        <v>29</v>
      </c>
      <c r="N84" s="18" t="s">
        <v>317</v>
      </c>
      <c r="O84" s="15"/>
      <c r="P84" s="8"/>
      <c r="Q84" s="8"/>
    </row>
    <row r="85" spans="1:17" ht="69.75" customHeight="1" x14ac:dyDescent="0.2">
      <c r="A85" s="17">
        <v>46055.619865601853</v>
      </c>
      <c r="B85" s="18">
        <v>28208048776</v>
      </c>
      <c r="C85" s="18" t="s">
        <v>318</v>
      </c>
      <c r="D85" s="19" t="s">
        <v>319</v>
      </c>
      <c r="E85" s="18" t="s">
        <v>40</v>
      </c>
      <c r="F85" s="18" t="s">
        <v>26</v>
      </c>
      <c r="G85" s="18" t="s">
        <v>27</v>
      </c>
      <c r="H85" s="18" t="s">
        <v>70</v>
      </c>
      <c r="I85" s="20" t="str">
        <f ca="1">VLOOKUP($B85,Sheet1!$C$2:$AK$272,27,0)</f>
        <v>BÁO CÁO THỰC TẬP TỐT NGHIỆP</v>
      </c>
      <c r="J85" s="20" t="s">
        <v>22</v>
      </c>
      <c r="K85" s="20"/>
      <c r="L85" s="18" t="s">
        <v>320</v>
      </c>
      <c r="M85" s="18" t="s">
        <v>68</v>
      </c>
      <c r="N85" s="18" t="s">
        <v>321</v>
      </c>
      <c r="O85" s="15"/>
      <c r="P85" s="8"/>
      <c r="Q85" s="8"/>
    </row>
    <row r="86" spans="1:17" ht="69.75" customHeight="1" x14ac:dyDescent="0.2">
      <c r="A86" s="17">
        <v>46052.373575069447</v>
      </c>
      <c r="B86" s="18">
        <v>28208040700</v>
      </c>
      <c r="C86" s="18" t="s">
        <v>322</v>
      </c>
      <c r="D86" s="19" t="s">
        <v>323</v>
      </c>
      <c r="E86" s="18" t="s">
        <v>189</v>
      </c>
      <c r="F86" s="18" t="s">
        <v>26</v>
      </c>
      <c r="G86" s="18" t="s">
        <v>27</v>
      </c>
      <c r="H86" s="18" t="s">
        <v>70</v>
      </c>
      <c r="I86" s="20" t="str">
        <f ca="1">VLOOKUP($B86,Sheet1!$C$2:$AK$272,27,0)</f>
        <v>BÁO CÁO THỰC TẬP TỐT NGHIỆP</v>
      </c>
      <c r="J86" s="20" t="s">
        <v>22</v>
      </c>
      <c r="K86" s="20"/>
      <c r="L86" s="18" t="s">
        <v>79</v>
      </c>
      <c r="M86" s="18" t="s">
        <v>68</v>
      </c>
      <c r="N86" s="18" t="s">
        <v>324</v>
      </c>
      <c r="O86" s="15"/>
      <c r="P86" s="8"/>
      <c r="Q86" s="8"/>
    </row>
    <row r="87" spans="1:17" ht="69.75" customHeight="1" x14ac:dyDescent="0.2">
      <c r="A87" s="17">
        <v>46052.374524143517</v>
      </c>
      <c r="B87" s="18">
        <v>28208001082</v>
      </c>
      <c r="C87" s="18" t="s">
        <v>325</v>
      </c>
      <c r="D87" s="19" t="s">
        <v>326</v>
      </c>
      <c r="E87" s="18" t="s">
        <v>83</v>
      </c>
      <c r="F87" s="18" t="s">
        <v>26</v>
      </c>
      <c r="G87" s="18" t="s">
        <v>27</v>
      </c>
      <c r="H87" s="18" t="s">
        <v>70</v>
      </c>
      <c r="I87" s="20" t="str">
        <f ca="1">VLOOKUP($B87,Sheet1!$C$2:$AK$272,27,0)</f>
        <v>BÁO CÁO THỰC TẬP TỐT NGHIỆP</v>
      </c>
      <c r="J87" s="20" t="s">
        <v>22</v>
      </c>
      <c r="K87" s="20"/>
      <c r="L87" s="18" t="s">
        <v>252</v>
      </c>
      <c r="M87" s="18" t="s">
        <v>68</v>
      </c>
      <c r="N87" s="18" t="s">
        <v>327</v>
      </c>
      <c r="O87" s="15"/>
      <c r="P87" s="8"/>
      <c r="Q87" s="8"/>
    </row>
    <row r="88" spans="1:17" ht="69.75" customHeight="1" x14ac:dyDescent="0.2">
      <c r="A88" s="17">
        <v>46052.375888194445</v>
      </c>
      <c r="B88" s="18">
        <v>28208049424</v>
      </c>
      <c r="C88" s="18" t="s">
        <v>328</v>
      </c>
      <c r="D88" s="19" t="s">
        <v>329</v>
      </c>
      <c r="E88" s="18" t="s">
        <v>305</v>
      </c>
      <c r="F88" s="18" t="s">
        <v>16</v>
      </c>
      <c r="G88" s="18" t="s">
        <v>27</v>
      </c>
      <c r="H88" s="18" t="s">
        <v>70</v>
      </c>
      <c r="I88" s="20" t="str">
        <f ca="1">VLOOKUP($B88,Sheet1!$C$2:$AK$272,27,0)</f>
        <v>BÁO CÁO THỰC TẬP TỐT NGHIỆP</v>
      </c>
      <c r="J88" s="20" t="s">
        <v>22</v>
      </c>
      <c r="K88" s="20"/>
      <c r="L88" s="18" t="s">
        <v>181</v>
      </c>
      <c r="M88" s="18" t="s">
        <v>68</v>
      </c>
      <c r="N88" s="18" t="s">
        <v>330</v>
      </c>
      <c r="O88" s="15"/>
      <c r="P88" s="8"/>
      <c r="Q88" s="8"/>
    </row>
    <row r="89" spans="1:17" ht="69.75" customHeight="1" x14ac:dyDescent="0.2">
      <c r="A89" s="17">
        <v>46052.376851018518</v>
      </c>
      <c r="B89" s="18">
        <v>28208002019</v>
      </c>
      <c r="C89" s="18" t="s">
        <v>331</v>
      </c>
      <c r="D89" s="19" t="s">
        <v>332</v>
      </c>
      <c r="E89" s="18" t="s">
        <v>100</v>
      </c>
      <c r="F89" s="18" t="s">
        <v>26</v>
      </c>
      <c r="G89" s="18" t="s">
        <v>27</v>
      </c>
      <c r="H89" s="18" t="s">
        <v>70</v>
      </c>
      <c r="I89" s="20" t="str">
        <f ca="1">VLOOKUP($B89,Sheet1!$C$2:$AK$272,27,0)</f>
        <v>BÁO CÁO THỰC TẬP TỐT NGHIỆP</v>
      </c>
      <c r="J89" s="20" t="s">
        <v>22</v>
      </c>
      <c r="K89" s="20"/>
      <c r="L89" s="18" t="s">
        <v>112</v>
      </c>
      <c r="M89" s="18" t="s">
        <v>68</v>
      </c>
      <c r="N89" s="18" t="s">
        <v>333</v>
      </c>
      <c r="O89" s="15"/>
      <c r="P89" s="8"/>
      <c r="Q89" s="8"/>
    </row>
    <row r="90" spans="1:17" ht="69.75" customHeight="1" x14ac:dyDescent="0.2">
      <c r="A90" s="17">
        <v>46052.38009042824</v>
      </c>
      <c r="B90" s="18">
        <v>28204646208</v>
      </c>
      <c r="C90" s="18" t="s">
        <v>334</v>
      </c>
      <c r="D90" s="19" t="s">
        <v>24</v>
      </c>
      <c r="E90" s="18" t="s">
        <v>123</v>
      </c>
      <c r="F90" s="18" t="s">
        <v>26</v>
      </c>
      <c r="G90" s="18" t="s">
        <v>27</v>
      </c>
      <c r="H90" s="18" t="s">
        <v>70</v>
      </c>
      <c r="I90" s="20" t="str">
        <f ca="1">VLOOKUP($B90,Sheet1!$C$2:$AK$272,27,0)</f>
        <v>BÁO CÁO THỰC TẬP TỐT NGHIỆP</v>
      </c>
      <c r="J90" s="20" t="s">
        <v>161</v>
      </c>
      <c r="K90" s="18" t="s">
        <v>766</v>
      </c>
      <c r="L90" s="18" t="s">
        <v>112</v>
      </c>
      <c r="M90" s="18" t="s">
        <v>68</v>
      </c>
      <c r="N90" s="18" t="s">
        <v>766</v>
      </c>
      <c r="O90" s="15"/>
      <c r="P90" s="8"/>
      <c r="Q90" s="8"/>
    </row>
    <row r="91" spans="1:17" ht="69.75" customHeight="1" x14ac:dyDescent="0.2">
      <c r="A91" s="17">
        <v>46052.605266979168</v>
      </c>
      <c r="B91" s="18">
        <v>28208034773</v>
      </c>
      <c r="C91" s="18" t="s">
        <v>335</v>
      </c>
      <c r="D91" s="18" t="s">
        <v>336</v>
      </c>
      <c r="E91" s="18" t="s">
        <v>337</v>
      </c>
      <c r="F91" s="18" t="s">
        <v>26</v>
      </c>
      <c r="G91" s="18" t="s">
        <v>27</v>
      </c>
      <c r="H91" s="18" t="s">
        <v>70</v>
      </c>
      <c r="I91" s="20" t="str">
        <f ca="1">VLOOKUP($B91,Sheet1!$C$2:$AK$272,27,0)</f>
        <v>BÁO CÁO THỰC TẬP TỐT NGHIỆP</v>
      </c>
      <c r="J91" s="20" t="s">
        <v>22</v>
      </c>
      <c r="K91" s="20"/>
      <c r="L91" s="18" t="s">
        <v>313</v>
      </c>
      <c r="M91" s="18" t="s">
        <v>68</v>
      </c>
      <c r="N91" s="18" t="s">
        <v>338</v>
      </c>
      <c r="O91" s="15"/>
      <c r="P91" s="8"/>
      <c r="Q91" s="8"/>
    </row>
    <row r="92" spans="1:17" ht="69.75" customHeight="1" x14ac:dyDescent="0.2">
      <c r="A92" s="17">
        <v>46052.385850185186</v>
      </c>
      <c r="B92" s="18">
        <v>28208038493</v>
      </c>
      <c r="C92" s="18" t="s">
        <v>339</v>
      </c>
      <c r="D92" s="18" t="s">
        <v>33</v>
      </c>
      <c r="E92" s="18" t="s">
        <v>299</v>
      </c>
      <c r="F92" s="18" t="s">
        <v>26</v>
      </c>
      <c r="G92" s="18" t="s">
        <v>27</v>
      </c>
      <c r="H92" s="18" t="s">
        <v>70</v>
      </c>
      <c r="I92" s="20" t="str">
        <f ca="1">VLOOKUP($B92,Sheet1!$C$2:$AK$272,27,0)</f>
        <v>BÁO CÁO THỰC TẬP TỐT NGHIỆP</v>
      </c>
      <c r="J92" s="20" t="s">
        <v>22</v>
      </c>
      <c r="K92" s="20"/>
      <c r="L92" s="18" t="s">
        <v>112</v>
      </c>
      <c r="M92" s="18" t="s">
        <v>68</v>
      </c>
      <c r="N92" s="18" t="s">
        <v>340</v>
      </c>
      <c r="O92" s="15"/>
      <c r="P92" s="8"/>
      <c r="Q92" s="8"/>
    </row>
    <row r="93" spans="1:17" ht="69.75" customHeight="1" x14ac:dyDescent="0.2">
      <c r="A93" s="17">
        <v>46052.38720636574</v>
      </c>
      <c r="B93" s="18">
        <v>28208003995</v>
      </c>
      <c r="C93" s="18" t="s">
        <v>341</v>
      </c>
      <c r="D93" s="18" t="s">
        <v>342</v>
      </c>
      <c r="E93" s="18" t="s">
        <v>343</v>
      </c>
      <c r="F93" s="18" t="s">
        <v>26</v>
      </c>
      <c r="G93" s="18" t="s">
        <v>27</v>
      </c>
      <c r="H93" s="18" t="s">
        <v>70</v>
      </c>
      <c r="I93" s="20" t="str">
        <f ca="1">VLOOKUP($B93,Sheet1!$C$2:$AK$272,27,0)</f>
        <v>BÁO CÁO THỰC TẬP TỐT NGHIỆP</v>
      </c>
      <c r="J93" s="20" t="s">
        <v>22</v>
      </c>
      <c r="K93" s="20"/>
      <c r="L93" s="18" t="s">
        <v>344</v>
      </c>
      <c r="M93" s="18" t="s">
        <v>68</v>
      </c>
      <c r="N93" s="18" t="s">
        <v>345</v>
      </c>
      <c r="O93" s="15"/>
      <c r="P93" s="8"/>
      <c r="Q93" s="8"/>
    </row>
    <row r="94" spans="1:17" ht="69.75" customHeight="1" x14ac:dyDescent="0.2">
      <c r="A94" s="17">
        <v>46052.407075972224</v>
      </c>
      <c r="B94" s="18">
        <v>28208000880</v>
      </c>
      <c r="C94" s="18" t="s">
        <v>346</v>
      </c>
      <c r="D94" s="19" t="s">
        <v>347</v>
      </c>
      <c r="E94" s="18" t="s">
        <v>34</v>
      </c>
      <c r="F94" s="18" t="s">
        <v>26</v>
      </c>
      <c r="G94" s="18" t="s">
        <v>27</v>
      </c>
      <c r="H94" s="18" t="s">
        <v>47</v>
      </c>
      <c r="I94" s="20" t="str">
        <f ca="1">VLOOKUP($B94,Sheet1!$C$2:$AK$272,27,0)</f>
        <v>BÁO CÁO THỰC TẬP TỐT NGHIỆP</v>
      </c>
      <c r="J94" s="20" t="s">
        <v>22</v>
      </c>
      <c r="K94" s="20"/>
      <c r="L94" s="18" t="s">
        <v>348</v>
      </c>
      <c r="M94" s="18" t="s">
        <v>19</v>
      </c>
      <c r="N94" s="18" t="s">
        <v>349</v>
      </c>
      <c r="O94" s="15"/>
      <c r="P94" s="8"/>
      <c r="Q94" s="8"/>
    </row>
    <row r="95" spans="1:17" ht="69.75" customHeight="1" x14ac:dyDescent="0.2">
      <c r="A95" s="17">
        <v>46052.421400254629</v>
      </c>
      <c r="B95" s="18">
        <v>27207130900</v>
      </c>
      <c r="C95" s="18" t="s">
        <v>350</v>
      </c>
      <c r="D95" s="18" t="s">
        <v>351</v>
      </c>
      <c r="E95" s="18" t="s">
        <v>165</v>
      </c>
      <c r="F95" s="18" t="s">
        <v>26</v>
      </c>
      <c r="G95" s="18" t="s">
        <v>27</v>
      </c>
      <c r="H95" s="18" t="s">
        <v>47</v>
      </c>
      <c r="I95" s="20" t="str">
        <f ca="1">VLOOKUP($B95,Sheet1!$C$2:$AK$272,27,0)</f>
        <v>BÁO CÁO THỰC TẬP TỐT NGHIỆP</v>
      </c>
      <c r="J95" s="20" t="s">
        <v>22</v>
      </c>
      <c r="K95" s="20"/>
      <c r="L95" s="18" t="s">
        <v>352</v>
      </c>
      <c r="M95" s="18" t="s">
        <v>19</v>
      </c>
      <c r="N95" s="18" t="s">
        <v>353</v>
      </c>
      <c r="O95" s="15"/>
      <c r="P95" s="8"/>
      <c r="Q95" s="8"/>
    </row>
    <row r="96" spans="1:17" ht="69.75" customHeight="1" x14ac:dyDescent="0.2">
      <c r="A96" s="17">
        <v>46052.422253576384</v>
      </c>
      <c r="B96" s="18">
        <v>28206132737</v>
      </c>
      <c r="C96" s="18" t="s">
        <v>354</v>
      </c>
      <c r="D96" s="19" t="s">
        <v>355</v>
      </c>
      <c r="E96" s="18" t="s">
        <v>34</v>
      </c>
      <c r="F96" s="18" t="s">
        <v>26</v>
      </c>
      <c r="G96" s="18" t="s">
        <v>27</v>
      </c>
      <c r="H96" s="18" t="s">
        <v>47</v>
      </c>
      <c r="I96" s="20" t="str">
        <f ca="1">VLOOKUP($B96,Sheet1!$C$2:$AK$272,27,0)</f>
        <v>BÁO CÁO THỰC TẬP TỐT NGHIỆP</v>
      </c>
      <c r="J96" s="20" t="s">
        <v>161</v>
      </c>
      <c r="K96" s="18" t="s">
        <v>356</v>
      </c>
      <c r="L96" s="18" t="s">
        <v>774</v>
      </c>
      <c r="M96" s="18" t="s">
        <v>19</v>
      </c>
      <c r="N96" s="18" t="s">
        <v>356</v>
      </c>
      <c r="O96" s="15"/>
      <c r="P96" s="8"/>
      <c r="Q96" s="8"/>
    </row>
    <row r="97" spans="1:17" ht="69.75" customHeight="1" x14ac:dyDescent="0.2">
      <c r="A97" s="17">
        <v>46052.422748877318</v>
      </c>
      <c r="B97" s="18">
        <v>28208006609</v>
      </c>
      <c r="C97" s="18" t="s">
        <v>357</v>
      </c>
      <c r="D97" s="18" t="s">
        <v>358</v>
      </c>
      <c r="E97" s="18" t="s">
        <v>359</v>
      </c>
      <c r="F97" s="18" t="s">
        <v>26</v>
      </c>
      <c r="G97" s="18" t="s">
        <v>27</v>
      </c>
      <c r="H97" s="18" t="s">
        <v>47</v>
      </c>
      <c r="I97" s="20" t="str">
        <f ca="1">VLOOKUP($B97,Sheet1!$C$2:$AK$272,27,0)</f>
        <v>BÁO CÁO THỰC TẬP TỐT NGHIỆP</v>
      </c>
      <c r="J97" s="20" t="s">
        <v>161</v>
      </c>
      <c r="K97" s="18" t="s">
        <v>361</v>
      </c>
      <c r="L97" s="18" t="s">
        <v>776</v>
      </c>
      <c r="M97" s="18" t="s">
        <v>19</v>
      </c>
      <c r="N97" s="18" t="s">
        <v>361</v>
      </c>
      <c r="O97" s="15"/>
      <c r="P97" s="8"/>
      <c r="Q97" s="8"/>
    </row>
    <row r="98" spans="1:17" ht="69.75" customHeight="1" x14ac:dyDescent="0.2">
      <c r="A98" s="17">
        <v>46052.424449710648</v>
      </c>
      <c r="B98" s="18">
        <v>28218002858</v>
      </c>
      <c r="C98" s="18" t="s">
        <v>362</v>
      </c>
      <c r="D98" s="19" t="s">
        <v>156</v>
      </c>
      <c r="E98" s="18" t="s">
        <v>73</v>
      </c>
      <c r="F98" s="18" t="s">
        <v>26</v>
      </c>
      <c r="G98" s="18" t="s">
        <v>27</v>
      </c>
      <c r="H98" s="18" t="s">
        <v>106</v>
      </c>
      <c r="I98" s="20" t="str">
        <f ca="1">VLOOKUP($B98,Sheet1!$C$2:$AK$272,27,0)</f>
        <v>BÁO CÁO THỰC TẬP TỐT NGHIỆP</v>
      </c>
      <c r="J98" s="20" t="s">
        <v>768</v>
      </c>
      <c r="K98" s="18" t="s">
        <v>791</v>
      </c>
      <c r="L98" s="18" t="s">
        <v>35</v>
      </c>
      <c r="M98" s="18" t="s">
        <v>19</v>
      </c>
      <c r="N98" s="18" t="s">
        <v>791</v>
      </c>
      <c r="O98" s="15"/>
      <c r="P98" s="8"/>
      <c r="Q98" s="8"/>
    </row>
    <row r="99" spans="1:17" ht="69.75" customHeight="1" x14ac:dyDescent="0.2">
      <c r="A99" s="17">
        <v>46052.424621550927</v>
      </c>
      <c r="B99" s="18">
        <v>25217203161</v>
      </c>
      <c r="C99" s="18" t="s">
        <v>363</v>
      </c>
      <c r="D99" s="18" t="s">
        <v>364</v>
      </c>
      <c r="E99" s="18" t="s">
        <v>365</v>
      </c>
      <c r="F99" s="18" t="s">
        <v>26</v>
      </c>
      <c r="G99" s="18" t="s">
        <v>17</v>
      </c>
      <c r="H99" s="18" t="s">
        <v>47</v>
      </c>
      <c r="I99" s="20" t="str">
        <f ca="1">VLOOKUP($B99,Sheet1!$C$2:$AK$272,27,0)</f>
        <v>BÁO CÁO THỰC TẬP TỐT NGHIỆP</v>
      </c>
      <c r="J99" s="20" t="s">
        <v>22</v>
      </c>
      <c r="K99" s="20"/>
      <c r="L99" s="18" t="s">
        <v>366</v>
      </c>
      <c r="M99" s="18" t="s">
        <v>19</v>
      </c>
      <c r="N99" s="18" t="s">
        <v>367</v>
      </c>
      <c r="O99" s="15"/>
      <c r="P99" s="8"/>
      <c r="Q99" s="8"/>
    </row>
    <row r="100" spans="1:17" ht="69.75" customHeight="1" x14ac:dyDescent="0.2">
      <c r="A100" s="17">
        <v>46052.457548749997</v>
      </c>
      <c r="B100" s="18">
        <v>28218000754</v>
      </c>
      <c r="C100" s="18" t="s">
        <v>368</v>
      </c>
      <c r="D100" s="18" t="s">
        <v>369</v>
      </c>
      <c r="E100" s="18" t="s">
        <v>370</v>
      </c>
      <c r="F100" s="18" t="s">
        <v>16</v>
      </c>
      <c r="G100" s="18" t="s">
        <v>27</v>
      </c>
      <c r="H100" s="18" t="s">
        <v>47</v>
      </c>
      <c r="I100" s="20" t="str">
        <f ca="1">VLOOKUP($B100,Sheet1!$C$2:$AK$272,27,0)</f>
        <v>BÁO CÁO THỰC TẬP TỐT NGHIỆP</v>
      </c>
      <c r="J100" s="20" t="s">
        <v>22</v>
      </c>
      <c r="K100" s="20"/>
      <c r="L100" s="18" t="s">
        <v>137</v>
      </c>
      <c r="M100" s="18" t="s">
        <v>19</v>
      </c>
      <c r="N100" s="18" t="s">
        <v>371</v>
      </c>
      <c r="O100" s="15"/>
      <c r="P100" s="8"/>
      <c r="Q100" s="8"/>
    </row>
    <row r="101" spans="1:17" ht="69.75" customHeight="1" x14ac:dyDescent="0.2">
      <c r="A101" s="17">
        <v>46052.433021400459</v>
      </c>
      <c r="B101" s="18">
        <v>28208052843</v>
      </c>
      <c r="C101" s="18" t="s">
        <v>372</v>
      </c>
      <c r="D101" s="18" t="s">
        <v>373</v>
      </c>
      <c r="E101" s="18" t="s">
        <v>50</v>
      </c>
      <c r="F101" s="18" t="s">
        <v>26</v>
      </c>
      <c r="G101" s="18" t="s">
        <v>27</v>
      </c>
      <c r="H101" s="18" t="s">
        <v>21</v>
      </c>
      <c r="I101" s="20" t="str">
        <f ca="1">VLOOKUP($B101,Sheet1!$C$2:$AK$272,27,0)</f>
        <v>BÁO CÁO THỰC TẬP TỐT NGHIỆP</v>
      </c>
      <c r="J101" s="20" t="s">
        <v>22</v>
      </c>
      <c r="K101" s="20"/>
      <c r="L101" s="18" t="s">
        <v>374</v>
      </c>
      <c r="M101" s="18" t="s">
        <v>29</v>
      </c>
      <c r="N101" s="18" t="s">
        <v>375</v>
      </c>
      <c r="O101" s="15"/>
      <c r="P101" s="8"/>
      <c r="Q101" s="8"/>
    </row>
    <row r="102" spans="1:17" ht="69.75" customHeight="1" x14ac:dyDescent="0.2">
      <c r="A102" s="17">
        <v>46052.439419201386</v>
      </c>
      <c r="B102" s="18">
        <v>28210301285</v>
      </c>
      <c r="C102" s="18" t="s">
        <v>376</v>
      </c>
      <c r="D102" s="18" t="s">
        <v>377</v>
      </c>
      <c r="E102" s="18" t="s">
        <v>378</v>
      </c>
      <c r="F102" s="18" t="s">
        <v>16</v>
      </c>
      <c r="G102" s="18" t="s">
        <v>27</v>
      </c>
      <c r="H102" s="18" t="s">
        <v>47</v>
      </c>
      <c r="I102" s="20" t="str">
        <f ca="1">VLOOKUP($B102,Sheet1!$C$2:$AK$272,27,0)</f>
        <v>BÁO CÁO THỰC TẬP TỐT NGHIỆP</v>
      </c>
      <c r="J102" s="20" t="s">
        <v>22</v>
      </c>
      <c r="K102" s="20"/>
      <c r="L102" s="18" t="s">
        <v>379</v>
      </c>
      <c r="M102" s="18" t="s">
        <v>19</v>
      </c>
      <c r="N102" s="18" t="s">
        <v>380</v>
      </c>
      <c r="O102" s="15"/>
      <c r="P102" s="8"/>
      <c r="Q102" s="8"/>
    </row>
    <row r="103" spans="1:17" ht="69.75" customHeight="1" x14ac:dyDescent="0.2">
      <c r="A103" s="17">
        <v>46055.694341539347</v>
      </c>
      <c r="B103" s="18">
        <v>28208027313</v>
      </c>
      <c r="C103" s="18" t="s">
        <v>381</v>
      </c>
      <c r="D103" s="18" t="s">
        <v>144</v>
      </c>
      <c r="E103" s="18" t="s">
        <v>34</v>
      </c>
      <c r="F103" s="18" t="s">
        <v>26</v>
      </c>
      <c r="G103" s="18" t="s">
        <v>27</v>
      </c>
      <c r="H103" s="18" t="s">
        <v>70</v>
      </c>
      <c r="I103" s="20" t="str">
        <f ca="1">VLOOKUP($B103,Sheet1!$C$2:$AK$272,27,0)</f>
        <v>BÁO CÁO THỰC TẬP TỐT NGHIỆP</v>
      </c>
      <c r="J103" s="20" t="s">
        <v>22</v>
      </c>
      <c r="K103" s="20"/>
      <c r="L103" s="18" t="s">
        <v>127</v>
      </c>
      <c r="M103" s="18" t="s">
        <v>68</v>
      </c>
      <c r="N103" s="18" t="s">
        <v>382</v>
      </c>
      <c r="O103" s="15"/>
      <c r="P103" s="8"/>
      <c r="Q103" s="8"/>
    </row>
    <row r="104" spans="1:17" ht="69.75" customHeight="1" x14ac:dyDescent="0.2">
      <c r="A104" s="17">
        <v>46052.780991458334</v>
      </c>
      <c r="B104" s="18">
        <v>28208031328</v>
      </c>
      <c r="C104" s="18" t="s">
        <v>383</v>
      </c>
      <c r="D104" s="18" t="s">
        <v>384</v>
      </c>
      <c r="E104" s="18" t="s">
        <v>299</v>
      </c>
      <c r="F104" s="18" t="s">
        <v>26</v>
      </c>
      <c r="G104" s="18" t="s">
        <v>27</v>
      </c>
      <c r="H104" s="18" t="s">
        <v>70</v>
      </c>
      <c r="I104" s="20" t="str">
        <f ca="1">VLOOKUP($B104,Sheet1!$C$2:$AK$272,27,0)</f>
        <v>BÁO CÁO THỰC TẬP TỐT NGHIỆP</v>
      </c>
      <c r="J104" s="20" t="s">
        <v>22</v>
      </c>
      <c r="K104" s="20"/>
      <c r="L104" s="18" t="s">
        <v>127</v>
      </c>
      <c r="M104" s="18" t="s">
        <v>68</v>
      </c>
      <c r="N104" s="18" t="s">
        <v>385</v>
      </c>
      <c r="O104" s="15"/>
      <c r="P104" s="8"/>
      <c r="Q104" s="8"/>
    </row>
    <row r="105" spans="1:17" ht="69.75" customHeight="1" x14ac:dyDescent="0.2">
      <c r="A105" s="17">
        <v>46052.450486759262</v>
      </c>
      <c r="B105" s="18">
        <v>28208029072</v>
      </c>
      <c r="C105" s="18" t="s">
        <v>386</v>
      </c>
      <c r="D105" s="18" t="s">
        <v>387</v>
      </c>
      <c r="E105" s="18" t="s">
        <v>40</v>
      </c>
      <c r="F105" s="18" t="s">
        <v>26</v>
      </c>
      <c r="G105" s="18" t="s">
        <v>27</v>
      </c>
      <c r="H105" s="18" t="s">
        <v>21</v>
      </c>
      <c r="I105" s="20" t="str">
        <f ca="1">VLOOKUP($B105,Sheet1!$C$2:$AK$272,27,0)</f>
        <v>BÁO CÁO THỰC TẬP TỐT NGHIỆP</v>
      </c>
      <c r="J105" s="20" t="s">
        <v>22</v>
      </c>
      <c r="K105" s="20"/>
      <c r="L105" s="18" t="s">
        <v>56</v>
      </c>
      <c r="M105" s="18" t="s">
        <v>29</v>
      </c>
      <c r="N105" s="18" t="s">
        <v>777</v>
      </c>
      <c r="O105" s="15"/>
      <c r="P105" s="8"/>
      <c r="Q105" s="8"/>
    </row>
    <row r="106" spans="1:17" ht="69.75" customHeight="1" x14ac:dyDescent="0.2">
      <c r="A106" s="17">
        <v>46055.732535613424</v>
      </c>
      <c r="B106" s="18">
        <v>28208054729</v>
      </c>
      <c r="C106" s="18" t="s">
        <v>388</v>
      </c>
      <c r="D106" s="19" t="s">
        <v>389</v>
      </c>
      <c r="E106" s="18" t="s">
        <v>359</v>
      </c>
      <c r="F106" s="18" t="s">
        <v>26</v>
      </c>
      <c r="G106" s="18" t="s">
        <v>27</v>
      </c>
      <c r="H106" s="18" t="s">
        <v>139</v>
      </c>
      <c r="I106" s="20" t="str">
        <f ca="1">VLOOKUP($B106,Sheet1!$C$2:$AK$272,27,0)</f>
        <v>BÁO CÁO THỰC TẬP TỐT NGHIỆP</v>
      </c>
      <c r="J106" s="20" t="s">
        <v>22</v>
      </c>
      <c r="K106" s="20"/>
      <c r="L106" s="18" t="s">
        <v>390</v>
      </c>
      <c r="M106" s="18" t="s">
        <v>29</v>
      </c>
      <c r="N106" s="18" t="s">
        <v>391</v>
      </c>
      <c r="O106" s="15"/>
      <c r="P106" s="8"/>
      <c r="Q106" s="8"/>
    </row>
    <row r="107" spans="1:17" ht="69.75" customHeight="1" x14ac:dyDescent="0.2">
      <c r="A107" s="17">
        <v>46052.457095844904</v>
      </c>
      <c r="B107" s="18">
        <v>27207146419</v>
      </c>
      <c r="C107" s="18" t="s">
        <v>392</v>
      </c>
      <c r="D107" s="19" t="s">
        <v>393</v>
      </c>
      <c r="E107" s="18" t="s">
        <v>176</v>
      </c>
      <c r="F107" s="18" t="s">
        <v>26</v>
      </c>
      <c r="G107" s="18" t="s">
        <v>27</v>
      </c>
      <c r="H107" s="18" t="s">
        <v>139</v>
      </c>
      <c r="I107" s="20" t="str">
        <f ca="1">VLOOKUP($B107,Sheet1!$C$2:$AK$272,27,0)</f>
        <v>BÁO CÁO THỰC TẬP TỐT NGHIỆP</v>
      </c>
      <c r="J107" s="20" t="s">
        <v>22</v>
      </c>
      <c r="K107" s="20"/>
      <c r="L107" s="18" t="s">
        <v>218</v>
      </c>
      <c r="M107" s="18" t="s">
        <v>29</v>
      </c>
      <c r="N107" s="18" t="s">
        <v>394</v>
      </c>
      <c r="O107" s="15"/>
      <c r="P107" s="8"/>
      <c r="Q107" s="8"/>
    </row>
    <row r="108" spans="1:17" ht="69.75" customHeight="1" x14ac:dyDescent="0.2">
      <c r="A108" s="17">
        <v>46052.461596412038</v>
      </c>
      <c r="B108" s="18">
        <v>28208001290</v>
      </c>
      <c r="C108" s="18" t="s">
        <v>395</v>
      </c>
      <c r="D108" s="18" t="s">
        <v>396</v>
      </c>
      <c r="E108" s="18" t="s">
        <v>397</v>
      </c>
      <c r="F108" s="18" t="s">
        <v>16</v>
      </c>
      <c r="G108" s="18" t="s">
        <v>27</v>
      </c>
      <c r="H108" s="18" t="s">
        <v>75</v>
      </c>
      <c r="I108" s="20" t="str">
        <f ca="1">VLOOKUP($B108,Sheet1!$C$2:$AK$272,27,0)</f>
        <v>BÁO CÁO THỰC TẬP TỐT NGHIỆP</v>
      </c>
      <c r="J108" s="20" t="s">
        <v>22</v>
      </c>
      <c r="K108" s="20"/>
      <c r="L108" s="18" t="s">
        <v>207</v>
      </c>
      <c r="M108" s="18" t="s">
        <v>68</v>
      </c>
      <c r="N108" s="18" t="s">
        <v>398</v>
      </c>
      <c r="O108" s="15"/>
      <c r="P108" s="8"/>
      <c r="Q108" s="8"/>
    </row>
    <row r="109" spans="1:17" ht="69.75" customHeight="1" x14ac:dyDescent="0.2">
      <c r="A109" s="17">
        <v>46052.939737523149</v>
      </c>
      <c r="B109" s="18">
        <v>27207127979</v>
      </c>
      <c r="C109" s="18" t="s">
        <v>399</v>
      </c>
      <c r="D109" s="18" t="s">
        <v>400</v>
      </c>
      <c r="E109" s="18" t="s">
        <v>296</v>
      </c>
      <c r="F109" s="18" t="s">
        <v>26</v>
      </c>
      <c r="G109" s="18" t="s">
        <v>132</v>
      </c>
      <c r="H109" s="18" t="s">
        <v>53</v>
      </c>
      <c r="I109" s="20" t="str">
        <f ca="1">VLOOKUP($B109,Sheet1!$C$2:$AK$272,27,0)</f>
        <v>BÁO CÁO THỰC TẬP TỐT NGHIỆP</v>
      </c>
      <c r="J109" s="20" t="s">
        <v>22</v>
      </c>
      <c r="K109" s="20"/>
      <c r="L109" s="18" t="s">
        <v>127</v>
      </c>
      <c r="M109" s="18" t="s">
        <v>29</v>
      </c>
      <c r="N109" s="18" t="s">
        <v>401</v>
      </c>
      <c r="O109" s="15"/>
      <c r="P109" s="8"/>
      <c r="Q109" s="8"/>
    </row>
    <row r="110" spans="1:17" ht="69.75" customHeight="1" x14ac:dyDescent="0.2">
      <c r="A110" s="21">
        <v>46052.464161909724</v>
      </c>
      <c r="B110" s="22">
        <v>26217131923</v>
      </c>
      <c r="C110" s="22" t="s">
        <v>402</v>
      </c>
      <c r="D110" s="22" t="s">
        <v>403</v>
      </c>
      <c r="E110" s="22" t="s">
        <v>404</v>
      </c>
      <c r="F110" s="22" t="s">
        <v>16</v>
      </c>
      <c r="G110" s="22" t="s">
        <v>132</v>
      </c>
      <c r="H110" s="22" t="s">
        <v>53</v>
      </c>
      <c r="I110" s="22" t="str">
        <f ca="1">VLOOKUP($B110,Sheet1!$C$2:$AK$272,27,0)</f>
        <v>BÁO CÁO THỰC TẬP TỐT NGHIỆP</v>
      </c>
      <c r="J110" s="20" t="s">
        <v>22</v>
      </c>
      <c r="K110" s="22"/>
      <c r="L110" s="22" t="s">
        <v>405</v>
      </c>
      <c r="M110" s="22" t="s">
        <v>29</v>
      </c>
      <c r="N110" s="22" t="s">
        <v>406</v>
      </c>
      <c r="O110" s="33"/>
      <c r="P110" s="24"/>
      <c r="Q110" s="24"/>
    </row>
    <row r="111" spans="1:17" ht="69.75" customHeight="1" x14ac:dyDescent="0.2">
      <c r="A111" s="17">
        <v>46052.475025868058</v>
      </c>
      <c r="B111" s="18">
        <v>28208052811</v>
      </c>
      <c r="C111" s="18" t="s">
        <v>407</v>
      </c>
      <c r="D111" s="18" t="s">
        <v>261</v>
      </c>
      <c r="E111" s="18" t="s">
        <v>359</v>
      </c>
      <c r="F111" s="18" t="s">
        <v>26</v>
      </c>
      <c r="G111" s="18" t="s">
        <v>27</v>
      </c>
      <c r="H111" s="18" t="s">
        <v>53</v>
      </c>
      <c r="I111" s="20" t="str">
        <f ca="1">VLOOKUP($B111,Sheet1!$C$2:$AK$272,27,0)</f>
        <v>BÁO CÁO THỰC TẬP TỐT NGHIỆP</v>
      </c>
      <c r="J111" s="20" t="s">
        <v>22</v>
      </c>
      <c r="K111" s="20"/>
      <c r="L111" s="18" t="s">
        <v>225</v>
      </c>
      <c r="M111" s="18" t="s">
        <v>19</v>
      </c>
      <c r="N111" s="18" t="s">
        <v>769</v>
      </c>
      <c r="O111" s="15"/>
      <c r="P111" s="8"/>
      <c r="Q111" s="8"/>
    </row>
    <row r="112" spans="1:17" ht="69.75" customHeight="1" x14ac:dyDescent="0.2">
      <c r="A112" s="17">
        <v>46052.476877777779</v>
      </c>
      <c r="B112" s="18">
        <v>27217128905</v>
      </c>
      <c r="C112" s="18" t="s">
        <v>408</v>
      </c>
      <c r="D112" s="18" t="s">
        <v>409</v>
      </c>
      <c r="E112" s="18" t="s">
        <v>410</v>
      </c>
      <c r="F112" s="18" t="s">
        <v>16</v>
      </c>
      <c r="G112" s="18" t="s">
        <v>132</v>
      </c>
      <c r="H112" s="18" t="s">
        <v>53</v>
      </c>
      <c r="I112" s="20" t="str">
        <f ca="1">VLOOKUP($B112,Sheet1!$C$2:$AK$272,27,0)</f>
        <v>BÁO CÁO THỰC TẬP TỐT NGHIỆP</v>
      </c>
      <c r="J112" s="20" t="s">
        <v>22</v>
      </c>
      <c r="K112" s="20"/>
      <c r="L112" s="18" t="s">
        <v>159</v>
      </c>
      <c r="M112" s="18" t="s">
        <v>29</v>
      </c>
      <c r="N112" s="18" t="s">
        <v>411</v>
      </c>
      <c r="O112" s="15"/>
      <c r="P112" s="8"/>
      <c r="Q112" s="8"/>
    </row>
    <row r="113" spans="1:17" ht="69.75" customHeight="1" x14ac:dyDescent="0.2">
      <c r="A113" s="17">
        <v>46052.479187719902</v>
      </c>
      <c r="B113" s="18">
        <v>28205141297</v>
      </c>
      <c r="C113" s="18" t="s">
        <v>412</v>
      </c>
      <c r="D113" s="18" t="s">
        <v>413</v>
      </c>
      <c r="E113" s="18" t="s">
        <v>73</v>
      </c>
      <c r="F113" s="18" t="s">
        <v>26</v>
      </c>
      <c r="G113" s="18" t="s">
        <v>27</v>
      </c>
      <c r="H113" s="18" t="s">
        <v>53</v>
      </c>
      <c r="I113" s="20" t="str">
        <f ca="1">VLOOKUP($B113,Sheet1!$C$2:$AK$272,27,0)</f>
        <v>BÁO CÁO THỰC TẬP TỐT NGHIỆP</v>
      </c>
      <c r="J113" s="20" t="s">
        <v>22</v>
      </c>
      <c r="K113" s="20"/>
      <c r="L113" s="18" t="s">
        <v>159</v>
      </c>
      <c r="M113" s="18" t="s">
        <v>29</v>
      </c>
      <c r="N113" s="18" t="s">
        <v>414</v>
      </c>
      <c r="O113" s="15"/>
      <c r="P113" s="8"/>
      <c r="Q113" s="8"/>
    </row>
    <row r="114" spans="1:17" ht="69.75" customHeight="1" x14ac:dyDescent="0.2">
      <c r="A114" s="17">
        <v>46055.779907835647</v>
      </c>
      <c r="B114" s="18">
        <v>27217142150</v>
      </c>
      <c r="C114" s="18" t="s">
        <v>415</v>
      </c>
      <c r="D114" s="19" t="s">
        <v>416</v>
      </c>
      <c r="E114" s="18" t="s">
        <v>417</v>
      </c>
      <c r="F114" s="18" t="s">
        <v>16</v>
      </c>
      <c r="G114" s="18" t="s">
        <v>132</v>
      </c>
      <c r="H114" s="18" t="s">
        <v>53</v>
      </c>
      <c r="I114" s="20" t="str">
        <f ca="1">VLOOKUP($B114,Sheet1!$C$2:$AK$372,27,0)</f>
        <v>BÁO CÁO THỰC TẬP TỐT NGHIỆP</v>
      </c>
      <c r="J114" s="20" t="s">
        <v>22</v>
      </c>
      <c r="K114" s="20"/>
      <c r="L114" s="18" t="s">
        <v>418</v>
      </c>
      <c r="M114" s="18" t="s">
        <v>19</v>
      </c>
      <c r="N114" s="18" t="s">
        <v>419</v>
      </c>
      <c r="O114" s="15"/>
      <c r="P114" s="8"/>
      <c r="Q114" s="8"/>
    </row>
    <row r="115" spans="1:17" ht="69.75" customHeight="1" x14ac:dyDescent="0.2">
      <c r="A115" s="17">
        <v>46052.484177546299</v>
      </c>
      <c r="B115" s="18">
        <v>28204905341</v>
      </c>
      <c r="C115" s="18" t="s">
        <v>420</v>
      </c>
      <c r="D115" s="18" t="s">
        <v>421</v>
      </c>
      <c r="E115" s="18" t="s">
        <v>165</v>
      </c>
      <c r="F115" s="18" t="s">
        <v>26</v>
      </c>
      <c r="G115" s="18" t="s">
        <v>27</v>
      </c>
      <c r="H115" s="18" t="s">
        <v>70</v>
      </c>
      <c r="I115" s="20" t="str">
        <f ca="1">VLOOKUP($B115,Sheet1!$C$2:$AK$272,27,0)</f>
        <v>BÁO CÁO THỰC TẬP TỐT NGHIỆP</v>
      </c>
      <c r="J115" s="20" t="s">
        <v>22</v>
      </c>
      <c r="K115" s="20"/>
      <c r="L115" s="18" t="s">
        <v>127</v>
      </c>
      <c r="M115" s="18" t="s">
        <v>68</v>
      </c>
      <c r="N115" s="18" t="s">
        <v>792</v>
      </c>
      <c r="O115" s="15"/>
      <c r="P115" s="8"/>
      <c r="Q115" s="8"/>
    </row>
    <row r="116" spans="1:17" ht="69.75" customHeight="1" x14ac:dyDescent="0.2">
      <c r="A116" s="17">
        <v>46053.429252789356</v>
      </c>
      <c r="B116" s="18">
        <v>28204526427</v>
      </c>
      <c r="C116" s="18" t="s">
        <v>422</v>
      </c>
      <c r="D116" s="18" t="s">
        <v>423</v>
      </c>
      <c r="E116" s="18" t="s">
        <v>73</v>
      </c>
      <c r="F116" s="18" t="s">
        <v>26</v>
      </c>
      <c r="G116" s="18" t="s">
        <v>27</v>
      </c>
      <c r="H116" s="18" t="s">
        <v>21</v>
      </c>
      <c r="I116" s="20" t="str">
        <f ca="1">VLOOKUP($B116,Sheet1!$C$2:$AK$272,27,0)</f>
        <v>BÁO CÁO THỰC TẬP TỐT NGHIỆP</v>
      </c>
      <c r="J116" s="20" t="s">
        <v>22</v>
      </c>
      <c r="K116" s="20"/>
      <c r="L116" s="18" t="s">
        <v>424</v>
      </c>
      <c r="M116" s="18" t="s">
        <v>29</v>
      </c>
      <c r="N116" s="18" t="s">
        <v>425</v>
      </c>
      <c r="O116" s="15"/>
      <c r="P116" s="8"/>
      <c r="Q116" s="8"/>
    </row>
    <row r="117" spans="1:17" ht="69.75" customHeight="1" x14ac:dyDescent="0.2">
      <c r="A117" s="17">
        <v>46052.484557141201</v>
      </c>
      <c r="B117" s="18">
        <v>28208004346</v>
      </c>
      <c r="C117" s="18" t="s">
        <v>426</v>
      </c>
      <c r="D117" s="18" t="s">
        <v>427</v>
      </c>
      <c r="E117" s="18" t="s">
        <v>428</v>
      </c>
      <c r="F117" s="18" t="s">
        <v>26</v>
      </c>
      <c r="G117" s="18" t="s">
        <v>27</v>
      </c>
      <c r="H117" s="18" t="s">
        <v>21</v>
      </c>
      <c r="I117" s="20" t="str">
        <f ca="1">VLOOKUP($B117,Sheet1!$C$2:$AK$272,27,0)</f>
        <v>BÁO CÁO THỰC TẬP TỐT NGHIỆP</v>
      </c>
      <c r="J117" s="20" t="s">
        <v>22</v>
      </c>
      <c r="K117" s="20"/>
      <c r="L117" s="18" t="s">
        <v>424</v>
      </c>
      <c r="M117" s="18" t="s">
        <v>29</v>
      </c>
      <c r="N117" s="18" t="s">
        <v>429</v>
      </c>
      <c r="O117" s="15"/>
      <c r="P117" s="8"/>
      <c r="Q117" s="8"/>
    </row>
    <row r="118" spans="1:17" ht="69.75" customHeight="1" x14ac:dyDescent="0.2">
      <c r="A118" s="17">
        <v>46055.541171180557</v>
      </c>
      <c r="B118" s="18">
        <v>28218006061</v>
      </c>
      <c r="C118" s="18" t="s">
        <v>430</v>
      </c>
      <c r="D118" s="18" t="s">
        <v>431</v>
      </c>
      <c r="E118" s="18" t="s">
        <v>299</v>
      </c>
      <c r="F118" s="18" t="s">
        <v>26</v>
      </c>
      <c r="G118" s="18" t="s">
        <v>27</v>
      </c>
      <c r="H118" s="18" t="s">
        <v>106</v>
      </c>
      <c r="I118" s="20" t="str">
        <f ca="1">VLOOKUP($B118,Sheet1!$C$2:$AK$272,27,0)</f>
        <v>BÁO CÁO THỰC TẬP TỐT NGHIỆP</v>
      </c>
      <c r="J118" s="20" t="s">
        <v>22</v>
      </c>
      <c r="K118" s="20"/>
      <c r="L118" s="18" t="s">
        <v>432</v>
      </c>
      <c r="M118" s="18" t="s">
        <v>29</v>
      </c>
      <c r="N118" s="18" t="s">
        <v>433</v>
      </c>
      <c r="O118" s="15"/>
      <c r="P118" s="8"/>
      <c r="Q118" s="8"/>
    </row>
    <row r="119" spans="1:17" ht="69.75" customHeight="1" x14ac:dyDescent="0.2">
      <c r="A119" s="17">
        <v>46052.588462523148</v>
      </c>
      <c r="B119" s="18">
        <v>28208031702</v>
      </c>
      <c r="C119" s="18" t="s">
        <v>434</v>
      </c>
      <c r="D119" s="19" t="s">
        <v>164</v>
      </c>
      <c r="E119" s="18" t="s">
        <v>78</v>
      </c>
      <c r="F119" s="18" t="s">
        <v>16</v>
      </c>
      <c r="G119" s="18" t="s">
        <v>27</v>
      </c>
      <c r="H119" s="18" t="s">
        <v>47</v>
      </c>
      <c r="I119" s="20" t="str">
        <f ca="1">VLOOKUP($B119,Sheet1!$C$2:$AK$272,27,0)</f>
        <v>BÁO CÁO THỰC TẬP TỐT NGHIỆP</v>
      </c>
      <c r="J119" s="20" t="s">
        <v>22</v>
      </c>
      <c r="K119" s="20"/>
      <c r="L119" s="18" t="s">
        <v>181</v>
      </c>
      <c r="M119" s="18" t="s">
        <v>19</v>
      </c>
      <c r="N119" s="18" t="s">
        <v>435</v>
      </c>
      <c r="O119" s="15"/>
      <c r="P119" s="8"/>
      <c r="Q119" s="8"/>
    </row>
    <row r="120" spans="1:17" ht="69.75" customHeight="1" x14ac:dyDescent="0.2">
      <c r="A120" s="17">
        <v>46052.589643009254</v>
      </c>
      <c r="B120" s="18">
        <v>28208038632</v>
      </c>
      <c r="C120" s="18" t="s">
        <v>436</v>
      </c>
      <c r="D120" s="19" t="s">
        <v>437</v>
      </c>
      <c r="E120" s="18" t="s">
        <v>305</v>
      </c>
      <c r="F120" s="18" t="s">
        <v>16</v>
      </c>
      <c r="G120" s="18" t="s">
        <v>27</v>
      </c>
      <c r="H120" s="18" t="s">
        <v>47</v>
      </c>
      <c r="I120" s="20" t="str">
        <f ca="1">VLOOKUP($B120,Sheet1!$C$2:$AK$272,27,0)</f>
        <v>BÁO CÁO THỰC TẬP TỐT NGHIỆP</v>
      </c>
      <c r="J120" s="20" t="s">
        <v>22</v>
      </c>
      <c r="K120" s="20"/>
      <c r="L120" s="18" t="s">
        <v>181</v>
      </c>
      <c r="M120" s="18" t="s">
        <v>19</v>
      </c>
      <c r="N120" s="18" t="s">
        <v>438</v>
      </c>
      <c r="O120" s="15"/>
      <c r="P120" s="8"/>
      <c r="Q120" s="8"/>
    </row>
    <row r="121" spans="1:17" ht="69.75" customHeight="1" x14ac:dyDescent="0.2">
      <c r="A121" s="17">
        <v>46052.85021123843</v>
      </c>
      <c r="B121" s="18">
        <v>28208052295</v>
      </c>
      <c r="C121" s="18" t="s">
        <v>439</v>
      </c>
      <c r="D121" s="19" t="s">
        <v>440</v>
      </c>
      <c r="E121" s="18" t="s">
        <v>83</v>
      </c>
      <c r="F121" s="18" t="s">
        <v>26</v>
      </c>
      <c r="G121" s="18" t="s">
        <v>27</v>
      </c>
      <c r="H121" s="18" t="s">
        <v>21</v>
      </c>
      <c r="I121" s="20" t="str">
        <f ca="1">VLOOKUP($B121,Sheet1!$C$2:$AK$272,27,0)</f>
        <v>BÁO CÁO THỰC TẬP TỐT NGHIỆP</v>
      </c>
      <c r="J121" s="20" t="s">
        <v>22</v>
      </c>
      <c r="K121" s="20"/>
      <c r="L121" s="18" t="s">
        <v>344</v>
      </c>
      <c r="M121" s="18" t="s">
        <v>29</v>
      </c>
      <c r="N121" s="18" t="s">
        <v>441</v>
      </c>
      <c r="O121" s="15"/>
      <c r="P121" s="8"/>
      <c r="Q121" s="8"/>
    </row>
    <row r="122" spans="1:17" ht="69.75" customHeight="1" x14ac:dyDescent="0.2">
      <c r="A122" s="17">
        <v>46052.615090555555</v>
      </c>
      <c r="B122" s="18">
        <v>28208002336</v>
      </c>
      <c r="C122" s="18" t="s">
        <v>442</v>
      </c>
      <c r="D122" s="19" t="s">
        <v>443</v>
      </c>
      <c r="E122" s="18" t="s">
        <v>169</v>
      </c>
      <c r="F122" s="18" t="s">
        <v>26</v>
      </c>
      <c r="G122" s="18" t="s">
        <v>27</v>
      </c>
      <c r="H122" s="18" t="s">
        <v>21</v>
      </c>
      <c r="I122" s="20" t="str">
        <f ca="1">VLOOKUP($B122,Sheet1!$C$2:$AK$272,27,0)</f>
        <v>BÁO CÁO THỰC TẬP TỐT NGHIỆP</v>
      </c>
      <c r="J122" s="20" t="s">
        <v>22</v>
      </c>
      <c r="K122" s="20"/>
      <c r="L122" s="18" t="s">
        <v>56</v>
      </c>
      <c r="M122" s="18" t="s">
        <v>29</v>
      </c>
      <c r="N122" s="18" t="s">
        <v>444</v>
      </c>
      <c r="O122" s="15"/>
      <c r="P122" s="8"/>
      <c r="Q122" s="8"/>
    </row>
    <row r="123" spans="1:17" ht="69.75" customHeight="1" x14ac:dyDescent="0.2">
      <c r="A123" s="17">
        <v>46052.92993810185</v>
      </c>
      <c r="B123" s="18">
        <v>28208004162</v>
      </c>
      <c r="C123" s="18" t="s">
        <v>445</v>
      </c>
      <c r="D123" s="18" t="s">
        <v>446</v>
      </c>
      <c r="E123" s="18" t="s">
        <v>25</v>
      </c>
      <c r="F123" s="18" t="s">
        <v>26</v>
      </c>
      <c r="G123" s="18" t="s">
        <v>27</v>
      </c>
      <c r="H123" s="18" t="s">
        <v>53</v>
      </c>
      <c r="I123" s="20" t="str">
        <f ca="1">VLOOKUP($B123,Sheet1!$C$2:$AK$272,27,0)</f>
        <v>BÁO CÁO THỰC TẬP TỐT NGHIỆP</v>
      </c>
      <c r="J123" s="20" t="s">
        <v>768</v>
      </c>
      <c r="K123" s="20" t="s">
        <v>771</v>
      </c>
      <c r="L123" s="18" t="s">
        <v>447</v>
      </c>
      <c r="M123" s="18" t="s">
        <v>29</v>
      </c>
      <c r="N123" s="18" t="s">
        <v>448</v>
      </c>
      <c r="O123" s="15"/>
      <c r="P123" s="8"/>
      <c r="Q123" s="8"/>
    </row>
    <row r="124" spans="1:17" ht="69.75" customHeight="1" x14ac:dyDescent="0.2">
      <c r="A124" s="17">
        <v>46052.647314155096</v>
      </c>
      <c r="B124" s="18">
        <v>28218049647</v>
      </c>
      <c r="C124" s="18" t="s">
        <v>449</v>
      </c>
      <c r="D124" s="18" t="s">
        <v>450</v>
      </c>
      <c r="E124" s="18" t="s">
        <v>451</v>
      </c>
      <c r="F124" s="18" t="s">
        <v>26</v>
      </c>
      <c r="G124" s="18" t="s">
        <v>27</v>
      </c>
      <c r="H124" s="18" t="s">
        <v>21</v>
      </c>
      <c r="I124" s="20" t="str">
        <f ca="1">VLOOKUP($B124,Sheet1!$C$2:$AK$272,27,0)</f>
        <v>BÁO CÁO THỰC TẬP TỐT NGHIỆP</v>
      </c>
      <c r="J124" s="20" t="s">
        <v>22</v>
      </c>
      <c r="K124" s="20"/>
      <c r="L124" s="18" t="s">
        <v>56</v>
      </c>
      <c r="M124" s="18" t="s">
        <v>29</v>
      </c>
      <c r="N124" s="18" t="s">
        <v>793</v>
      </c>
      <c r="O124" s="15"/>
      <c r="P124" s="8"/>
      <c r="Q124" s="8"/>
    </row>
    <row r="125" spans="1:17" ht="69.75" customHeight="1" x14ac:dyDescent="0.2">
      <c r="A125" s="17">
        <v>46052.785231759262</v>
      </c>
      <c r="B125" s="18">
        <v>28208051685</v>
      </c>
      <c r="C125" s="18" t="s">
        <v>452</v>
      </c>
      <c r="D125" s="18" t="s">
        <v>387</v>
      </c>
      <c r="E125" s="18" t="s">
        <v>25</v>
      </c>
      <c r="F125" s="18" t="s">
        <v>26</v>
      </c>
      <c r="G125" s="18" t="s">
        <v>27</v>
      </c>
      <c r="H125" s="18" t="s">
        <v>21</v>
      </c>
      <c r="I125" s="20" t="str">
        <f ca="1">VLOOKUP($B125,Sheet1!$C$2:$AK$272,27,0)</f>
        <v>BÁO CÁO THỰC TẬP TỐT NGHIỆP</v>
      </c>
      <c r="J125" s="20" t="s">
        <v>22</v>
      </c>
      <c r="K125" s="20"/>
      <c r="L125" s="18" t="s">
        <v>112</v>
      </c>
      <c r="M125" s="18" t="s">
        <v>29</v>
      </c>
      <c r="N125" s="18" t="s">
        <v>453</v>
      </c>
      <c r="O125" s="15"/>
      <c r="P125" s="8"/>
      <c r="Q125" s="8"/>
    </row>
    <row r="126" spans="1:17" ht="69.75" customHeight="1" x14ac:dyDescent="0.2">
      <c r="A126" s="17">
        <v>46052.666932037042</v>
      </c>
      <c r="B126" s="18">
        <v>28208151176</v>
      </c>
      <c r="C126" s="18" t="s">
        <v>454</v>
      </c>
      <c r="D126" s="18" t="s">
        <v>455</v>
      </c>
      <c r="E126" s="18" t="s">
        <v>40</v>
      </c>
      <c r="F126" s="18" t="s">
        <v>26</v>
      </c>
      <c r="G126" s="18" t="s">
        <v>27</v>
      </c>
      <c r="H126" s="18" t="s">
        <v>21</v>
      </c>
      <c r="I126" s="20" t="str">
        <f ca="1">VLOOKUP($B126,Sheet1!$C$2:$AK$272,27,0)</f>
        <v>BÁO CÁO THỰC TẬP TỐT NGHIỆP</v>
      </c>
      <c r="J126" s="20" t="s">
        <v>22</v>
      </c>
      <c r="K126" s="20"/>
      <c r="L126" s="18" t="s">
        <v>424</v>
      </c>
      <c r="M126" s="18" t="s">
        <v>29</v>
      </c>
      <c r="N126" s="18" t="s">
        <v>456</v>
      </c>
      <c r="O126" s="15"/>
      <c r="P126" s="8"/>
      <c r="Q126" s="8"/>
    </row>
    <row r="127" spans="1:17" ht="69.75" customHeight="1" x14ac:dyDescent="0.2">
      <c r="A127" s="17">
        <v>46052.672876608798</v>
      </c>
      <c r="B127" s="18">
        <v>28208004174</v>
      </c>
      <c r="C127" s="18" t="s">
        <v>457</v>
      </c>
      <c r="D127" s="18" t="s">
        <v>458</v>
      </c>
      <c r="E127" s="18" t="s">
        <v>189</v>
      </c>
      <c r="F127" s="18" t="s">
        <v>26</v>
      </c>
      <c r="G127" s="18" t="s">
        <v>27</v>
      </c>
      <c r="H127" s="18" t="s">
        <v>21</v>
      </c>
      <c r="I127" s="20" t="str">
        <f ca="1">VLOOKUP($B127,Sheet1!$C$2:$AK$272,27,0)</f>
        <v>BÁO CÁO THỰC TẬP TỐT NGHIỆP</v>
      </c>
      <c r="J127" s="20" t="s">
        <v>22</v>
      </c>
      <c r="K127" s="20"/>
      <c r="L127" s="18" t="s">
        <v>56</v>
      </c>
      <c r="M127" s="18" t="s">
        <v>29</v>
      </c>
      <c r="N127" s="18" t="s">
        <v>459</v>
      </c>
      <c r="O127" s="15"/>
      <c r="P127" s="8"/>
      <c r="Q127" s="8"/>
    </row>
    <row r="128" spans="1:17" ht="69.75" customHeight="1" x14ac:dyDescent="0.2">
      <c r="A128" s="17">
        <v>46055.74573461806</v>
      </c>
      <c r="B128" s="18">
        <v>28214843933</v>
      </c>
      <c r="C128" s="18" t="s">
        <v>460</v>
      </c>
      <c r="D128" s="18" t="s">
        <v>461</v>
      </c>
      <c r="E128" s="18" t="s">
        <v>34</v>
      </c>
      <c r="F128" s="18" t="s">
        <v>26</v>
      </c>
      <c r="G128" s="18" t="s">
        <v>27</v>
      </c>
      <c r="H128" s="18" t="s">
        <v>139</v>
      </c>
      <c r="I128" s="20" t="str">
        <f ca="1">VLOOKUP($B128,Sheet1!$C$2:$AK$272,27,0)</f>
        <v>BÁO CÁO THỰC TẬP TỐT NGHIỆP</v>
      </c>
      <c r="J128" s="20" t="s">
        <v>22</v>
      </c>
      <c r="K128" s="20"/>
      <c r="L128" s="18" t="s">
        <v>462</v>
      </c>
      <c r="M128" s="18" t="s">
        <v>29</v>
      </c>
      <c r="N128" s="18" t="s">
        <v>463</v>
      </c>
      <c r="O128" s="15"/>
      <c r="P128" s="8"/>
      <c r="Q128" s="8"/>
    </row>
    <row r="129" spans="1:17" ht="69.75" customHeight="1" x14ac:dyDescent="0.2">
      <c r="A129" s="17">
        <v>46052.742689583334</v>
      </c>
      <c r="B129" s="18">
        <v>28208005423</v>
      </c>
      <c r="C129" s="18" t="s">
        <v>464</v>
      </c>
      <c r="D129" s="18" t="s">
        <v>465</v>
      </c>
      <c r="E129" s="18" t="s">
        <v>123</v>
      </c>
      <c r="F129" s="18" t="s">
        <v>26</v>
      </c>
      <c r="G129" s="18" t="s">
        <v>27</v>
      </c>
      <c r="H129" s="18" t="s">
        <v>75</v>
      </c>
      <c r="I129" s="20" t="str">
        <f ca="1">VLOOKUP($B129,Sheet1!$C$2:$AK$272,27,0)</f>
        <v>BÁO CÁO THỰC TẬP TỐT NGHIỆP</v>
      </c>
      <c r="J129" s="20" t="s">
        <v>22</v>
      </c>
      <c r="K129" s="20"/>
      <c r="L129" s="18" t="s">
        <v>778</v>
      </c>
      <c r="M129" s="18" t="s">
        <v>68</v>
      </c>
      <c r="N129" s="18" t="s">
        <v>466</v>
      </c>
      <c r="O129" s="15"/>
      <c r="P129" s="8"/>
      <c r="Q129" s="8"/>
    </row>
    <row r="130" spans="1:17" ht="69.75" customHeight="1" x14ac:dyDescent="0.2">
      <c r="A130" s="17">
        <v>46055.430113101851</v>
      </c>
      <c r="B130" s="18">
        <v>28208103940</v>
      </c>
      <c r="C130" s="18" t="s">
        <v>467</v>
      </c>
      <c r="D130" s="19" t="s">
        <v>468</v>
      </c>
      <c r="E130" s="18" t="s">
        <v>299</v>
      </c>
      <c r="F130" s="18" t="s">
        <v>26</v>
      </c>
      <c r="G130" s="18" t="s">
        <v>27</v>
      </c>
      <c r="H130" s="18" t="s">
        <v>75</v>
      </c>
      <c r="I130" s="20" t="str">
        <f ca="1">VLOOKUP($B130,Sheet1!$C$2:$AK$272,27,0)</f>
        <v>BÁO CÁO THỰC TẬP TỐT NGHIỆP</v>
      </c>
      <c r="J130" s="20" t="s">
        <v>22</v>
      </c>
      <c r="K130" s="20"/>
      <c r="L130" s="18" t="s">
        <v>778</v>
      </c>
      <c r="M130" s="18" t="s">
        <v>68</v>
      </c>
      <c r="N130" s="18" t="s">
        <v>469</v>
      </c>
      <c r="O130" s="15"/>
      <c r="P130" s="8"/>
      <c r="Q130" s="8"/>
    </row>
    <row r="131" spans="1:17" ht="69.75" customHeight="1" x14ac:dyDescent="0.2">
      <c r="A131" s="17">
        <v>46055.521966018518</v>
      </c>
      <c r="B131" s="18">
        <v>28208025059</v>
      </c>
      <c r="C131" s="18" t="s">
        <v>470</v>
      </c>
      <c r="D131" s="18" t="s">
        <v>471</v>
      </c>
      <c r="E131" s="18" t="s">
        <v>176</v>
      </c>
      <c r="F131" s="18" t="s">
        <v>26</v>
      </c>
      <c r="G131" s="18" t="s">
        <v>27</v>
      </c>
      <c r="H131" s="18" t="s">
        <v>70</v>
      </c>
      <c r="I131" s="20" t="str">
        <f ca="1">VLOOKUP($B131,Sheet1!$C$2:$AK$272,27,0)</f>
        <v>BÁO CÁO THỰC TẬP TỐT NGHIỆP</v>
      </c>
      <c r="J131" s="20" t="s">
        <v>22</v>
      </c>
      <c r="K131" s="20"/>
      <c r="L131" s="18" t="s">
        <v>56</v>
      </c>
      <c r="M131" s="18" t="s">
        <v>68</v>
      </c>
      <c r="N131" s="18" t="s">
        <v>472</v>
      </c>
      <c r="O131" s="15"/>
      <c r="P131" s="8"/>
      <c r="Q131" s="8"/>
    </row>
    <row r="132" spans="1:17" ht="69.75" customHeight="1" x14ac:dyDescent="0.2">
      <c r="A132" s="17">
        <v>46055.523066400463</v>
      </c>
      <c r="B132" s="18">
        <v>28208054910</v>
      </c>
      <c r="C132" s="18" t="s">
        <v>473</v>
      </c>
      <c r="D132" s="19" t="s">
        <v>151</v>
      </c>
      <c r="E132" s="18" t="s">
        <v>176</v>
      </c>
      <c r="F132" s="18" t="s">
        <v>26</v>
      </c>
      <c r="G132" s="18" t="s">
        <v>27</v>
      </c>
      <c r="H132" s="18" t="s">
        <v>70</v>
      </c>
      <c r="I132" s="18" t="str">
        <f ca="1">VLOOKUP($B132,Sheet1!$C$2:$AK$272,27,0)</f>
        <v>BÁO CÁO THỰC TẬP TỐT NGHIỆP</v>
      </c>
      <c r="J132" s="20" t="s">
        <v>22</v>
      </c>
      <c r="K132" s="18"/>
      <c r="L132" s="18" t="s">
        <v>474</v>
      </c>
      <c r="M132" s="18" t="s">
        <v>68</v>
      </c>
      <c r="N132" s="18" t="s">
        <v>475</v>
      </c>
      <c r="O132" s="15"/>
      <c r="P132" s="8"/>
      <c r="Q132" s="8"/>
    </row>
    <row r="133" spans="1:17" ht="69.75" customHeight="1" x14ac:dyDescent="0.2">
      <c r="A133" s="17">
        <v>46052.78387373843</v>
      </c>
      <c r="B133" s="18">
        <v>28218006731</v>
      </c>
      <c r="C133" s="18" t="s">
        <v>476</v>
      </c>
      <c r="D133" s="19" t="s">
        <v>437</v>
      </c>
      <c r="E133" s="18" t="s">
        <v>305</v>
      </c>
      <c r="F133" s="18" t="s">
        <v>16</v>
      </c>
      <c r="G133" s="18" t="s">
        <v>27</v>
      </c>
      <c r="H133" s="18" t="s">
        <v>70</v>
      </c>
      <c r="I133" s="20" t="str">
        <f ca="1">VLOOKUP($B133,Sheet1!$C$2:$AK$272,27,0)</f>
        <v>BÁO CÁO THỰC TẬP TỐT NGHIỆP</v>
      </c>
      <c r="J133" s="20" t="s">
        <v>22</v>
      </c>
      <c r="K133" s="20"/>
      <c r="L133" s="18" t="s">
        <v>96</v>
      </c>
      <c r="M133" s="18" t="s">
        <v>68</v>
      </c>
      <c r="N133" s="18" t="s">
        <v>477</v>
      </c>
      <c r="O133" s="15"/>
      <c r="P133" s="8"/>
      <c r="Q133" s="8"/>
    </row>
    <row r="134" spans="1:17" ht="69.75" customHeight="1" x14ac:dyDescent="0.2">
      <c r="A134" s="17">
        <v>46052.814564421293</v>
      </c>
      <c r="B134" s="18">
        <v>28208004642</v>
      </c>
      <c r="C134" s="18" t="s">
        <v>478</v>
      </c>
      <c r="D134" s="18" t="s">
        <v>479</v>
      </c>
      <c r="E134" s="18" t="s">
        <v>123</v>
      </c>
      <c r="F134" s="18" t="s">
        <v>26</v>
      </c>
      <c r="G134" s="18" t="s">
        <v>27</v>
      </c>
      <c r="H134" s="18" t="s">
        <v>75</v>
      </c>
      <c r="I134" s="20" t="str">
        <f ca="1">VLOOKUP($B134,Sheet1!$C$2:$AK$272,27,0)</f>
        <v>BÁO CÁO THỰC TẬP TỐT NGHIỆP</v>
      </c>
      <c r="J134" s="20" t="s">
        <v>22</v>
      </c>
      <c r="K134" s="20"/>
      <c r="L134" s="18" t="s">
        <v>794</v>
      </c>
      <c r="M134" s="18" t="s">
        <v>68</v>
      </c>
      <c r="N134" s="18" t="s">
        <v>795</v>
      </c>
      <c r="O134" s="15"/>
      <c r="P134" s="8"/>
      <c r="Q134" s="8"/>
    </row>
    <row r="135" spans="1:17" ht="69.75" customHeight="1" x14ac:dyDescent="0.2">
      <c r="A135" s="17">
        <v>46052.845321354165</v>
      </c>
      <c r="B135" s="18">
        <v>28208002969</v>
      </c>
      <c r="C135" s="18" t="s">
        <v>480</v>
      </c>
      <c r="D135" s="18" t="s">
        <v>481</v>
      </c>
      <c r="E135" s="18" t="s">
        <v>25</v>
      </c>
      <c r="F135" s="18" t="s">
        <v>26</v>
      </c>
      <c r="G135" s="18" t="s">
        <v>27</v>
      </c>
      <c r="H135" s="18" t="s">
        <v>75</v>
      </c>
      <c r="I135" s="20" t="str">
        <f ca="1">VLOOKUP($B135,Sheet1!$C$2:$AK$272,27,0)</f>
        <v>BÁO CÁO THỰC TẬP TỐT NGHIỆP</v>
      </c>
      <c r="J135" s="20" t="s">
        <v>22</v>
      </c>
      <c r="K135" s="20"/>
      <c r="L135" s="18" t="s">
        <v>28</v>
      </c>
      <c r="M135" s="18" t="s">
        <v>68</v>
      </c>
      <c r="N135" s="18" t="s">
        <v>482</v>
      </c>
      <c r="O135" s="15"/>
      <c r="P135" s="8"/>
      <c r="Q135" s="8"/>
    </row>
    <row r="136" spans="1:17" ht="69.75" customHeight="1" x14ac:dyDescent="0.2">
      <c r="A136" s="17">
        <v>46052.862721319441</v>
      </c>
      <c r="B136" s="18">
        <v>28204650785</v>
      </c>
      <c r="C136" s="18" t="s">
        <v>483</v>
      </c>
      <c r="D136" s="19" t="s">
        <v>484</v>
      </c>
      <c r="E136" s="18" t="s">
        <v>40</v>
      </c>
      <c r="F136" s="18" t="s">
        <v>26</v>
      </c>
      <c r="G136" s="18" t="s">
        <v>27</v>
      </c>
      <c r="H136" s="18" t="s">
        <v>37</v>
      </c>
      <c r="I136" s="20" t="str">
        <f ca="1">VLOOKUP($B136,Sheet1!$C$2:$AK$272,27,0)</f>
        <v>BÁO CÁO THỰC TẬP TỐT NGHIỆP</v>
      </c>
      <c r="J136" s="20" t="s">
        <v>22</v>
      </c>
      <c r="K136" s="20"/>
      <c r="L136" s="18" t="s">
        <v>485</v>
      </c>
      <c r="M136" s="18" t="s">
        <v>29</v>
      </c>
      <c r="N136" s="18" t="s">
        <v>486</v>
      </c>
      <c r="O136" s="15"/>
      <c r="P136" s="8"/>
      <c r="Q136" s="8"/>
    </row>
    <row r="137" spans="1:17" ht="69.75" customHeight="1" x14ac:dyDescent="0.2">
      <c r="A137" s="17">
        <v>46052.870889375001</v>
      </c>
      <c r="B137" s="18">
        <v>28208003853</v>
      </c>
      <c r="C137" s="18" t="s">
        <v>487</v>
      </c>
      <c r="D137" s="19" t="s">
        <v>488</v>
      </c>
      <c r="E137" s="18" t="s">
        <v>165</v>
      </c>
      <c r="F137" s="18" t="s">
        <v>26</v>
      </c>
      <c r="G137" s="18" t="s">
        <v>27</v>
      </c>
      <c r="H137" s="18" t="s">
        <v>37</v>
      </c>
      <c r="I137" s="20" t="str">
        <f ca="1">VLOOKUP($B137,Sheet1!$C$2:$AK$272,27,0)</f>
        <v>BÁO CÁO THỰC TẬP TỐT NGHIỆP</v>
      </c>
      <c r="J137" s="20" t="s">
        <v>22</v>
      </c>
      <c r="K137" s="20"/>
      <c r="L137" s="18" t="s">
        <v>789</v>
      </c>
      <c r="M137" s="18" t="s">
        <v>29</v>
      </c>
      <c r="N137" s="18" t="s">
        <v>489</v>
      </c>
      <c r="O137" s="15"/>
      <c r="P137" s="8"/>
      <c r="Q137" s="8"/>
    </row>
    <row r="138" spans="1:17" ht="69.75" customHeight="1" x14ac:dyDescent="0.2">
      <c r="A138" s="17">
        <v>46053.832786828702</v>
      </c>
      <c r="B138" s="18">
        <v>28216228403</v>
      </c>
      <c r="C138" s="18" t="s">
        <v>490</v>
      </c>
      <c r="D138" s="18" t="s">
        <v>396</v>
      </c>
      <c r="E138" s="18" t="s">
        <v>40</v>
      </c>
      <c r="F138" s="18" t="s">
        <v>26</v>
      </c>
      <c r="G138" s="18" t="s">
        <v>27</v>
      </c>
      <c r="H138" s="18" t="s">
        <v>491</v>
      </c>
      <c r="I138" s="20" t="str">
        <f ca="1">VLOOKUP($B138,Sheet1!$C$2:$AK$272,27,0)</f>
        <v>BÁO CÁO THỰC TẬP TỐT NGHIỆP</v>
      </c>
      <c r="J138" s="20" t="s">
        <v>161</v>
      </c>
      <c r="K138" s="18" t="s">
        <v>767</v>
      </c>
      <c r="L138" s="18" t="s">
        <v>112</v>
      </c>
      <c r="M138" s="18" t="s">
        <v>19</v>
      </c>
      <c r="N138" s="18" t="s">
        <v>767</v>
      </c>
      <c r="O138" s="15"/>
      <c r="P138" s="8"/>
      <c r="Q138" s="8"/>
    </row>
    <row r="139" spans="1:17" ht="69.75" customHeight="1" x14ac:dyDescent="0.2">
      <c r="A139" s="17">
        <v>46052.928792372681</v>
      </c>
      <c r="B139" s="18">
        <v>28208003095</v>
      </c>
      <c r="C139" s="18" t="s">
        <v>492</v>
      </c>
      <c r="D139" s="19" t="s">
        <v>493</v>
      </c>
      <c r="E139" s="18" t="s">
        <v>176</v>
      </c>
      <c r="F139" s="18" t="s">
        <v>26</v>
      </c>
      <c r="G139" s="18" t="s">
        <v>27</v>
      </c>
      <c r="H139" s="18" t="s">
        <v>53</v>
      </c>
      <c r="I139" s="20" t="str">
        <f ca="1">VLOOKUP($B139,Sheet1!$C$2:$AK$272,27,0)</f>
        <v>BÁO CÁO THỰC TẬP TỐT NGHIỆP</v>
      </c>
      <c r="J139" s="20" t="s">
        <v>22</v>
      </c>
      <c r="K139" s="20"/>
      <c r="L139" s="18" t="s">
        <v>494</v>
      </c>
      <c r="M139" s="18" t="s">
        <v>29</v>
      </c>
      <c r="N139" s="18" t="s">
        <v>495</v>
      </c>
      <c r="O139" s="15"/>
      <c r="P139" s="8"/>
      <c r="Q139" s="8"/>
    </row>
    <row r="140" spans="1:17" ht="69.75" customHeight="1" x14ac:dyDescent="0.2">
      <c r="A140" s="17">
        <v>46052.933177824074</v>
      </c>
      <c r="B140" s="18">
        <v>27207142526</v>
      </c>
      <c r="C140" s="18" t="s">
        <v>496</v>
      </c>
      <c r="D140" s="19" t="s">
        <v>497</v>
      </c>
      <c r="E140" s="18" t="s">
        <v>256</v>
      </c>
      <c r="F140" s="18" t="s">
        <v>26</v>
      </c>
      <c r="G140" s="18" t="s">
        <v>132</v>
      </c>
      <c r="H140" s="18" t="s">
        <v>53</v>
      </c>
      <c r="I140" s="20" t="str">
        <f ca="1">VLOOKUP($B140,Sheet1!$C$2:$AK$272,27,0)</f>
        <v>BÁO CÁO THỰC TẬP TỐT NGHIỆP</v>
      </c>
      <c r="J140" s="20" t="s">
        <v>22</v>
      </c>
      <c r="K140" s="20"/>
      <c r="L140" s="18" t="s">
        <v>498</v>
      </c>
      <c r="M140" s="18" t="s">
        <v>68</v>
      </c>
      <c r="N140" s="18" t="s">
        <v>499</v>
      </c>
      <c r="O140" s="15"/>
      <c r="P140" s="8"/>
      <c r="Q140" s="8"/>
    </row>
    <row r="141" spans="1:17" ht="69.75" customHeight="1" x14ac:dyDescent="0.2">
      <c r="A141" s="17">
        <v>46052.933312638888</v>
      </c>
      <c r="B141" s="18">
        <v>28204651620</v>
      </c>
      <c r="C141" s="18" t="s">
        <v>500</v>
      </c>
      <c r="D141" s="18" t="s">
        <v>501</v>
      </c>
      <c r="E141" s="18" t="s">
        <v>176</v>
      </c>
      <c r="F141" s="18" t="s">
        <v>26</v>
      </c>
      <c r="G141" s="18" t="s">
        <v>27</v>
      </c>
      <c r="H141" s="18" t="s">
        <v>53</v>
      </c>
      <c r="I141" s="20" t="str">
        <f ca="1">VLOOKUP($B141,Sheet1!$C$2:$AK$272,27,0)</f>
        <v>BÁO CÁO THỰC TẬP TỐT NGHIỆP</v>
      </c>
      <c r="J141" s="20" t="s">
        <v>22</v>
      </c>
      <c r="K141" s="20"/>
      <c r="L141" s="18" t="s">
        <v>586</v>
      </c>
      <c r="M141" s="18" t="s">
        <v>29</v>
      </c>
      <c r="N141" s="18" t="s">
        <v>502</v>
      </c>
      <c r="O141" s="15"/>
      <c r="P141" s="8"/>
      <c r="Q141" s="8"/>
    </row>
    <row r="142" spans="1:17" ht="69.75" customHeight="1" x14ac:dyDescent="0.2">
      <c r="A142" s="17">
        <v>46052.934329247684</v>
      </c>
      <c r="B142" s="18">
        <v>28208306062</v>
      </c>
      <c r="C142" s="18" t="s">
        <v>503</v>
      </c>
      <c r="D142" s="19" t="s">
        <v>504</v>
      </c>
      <c r="E142" s="18" t="s">
        <v>180</v>
      </c>
      <c r="F142" s="18" t="s">
        <v>26</v>
      </c>
      <c r="G142" s="18" t="s">
        <v>27</v>
      </c>
      <c r="H142" s="18" t="s">
        <v>37</v>
      </c>
      <c r="I142" s="20" t="str">
        <f ca="1">VLOOKUP($B142,Sheet1!$C$2:$AK$272,27,0)</f>
        <v>BÁO CÁO THỰC TẬP TỐT NGHIỆP</v>
      </c>
      <c r="J142" s="20" t="s">
        <v>22</v>
      </c>
      <c r="K142" s="20"/>
      <c r="L142" s="18" t="s">
        <v>279</v>
      </c>
      <c r="M142" s="18" t="s">
        <v>29</v>
      </c>
      <c r="N142" s="18" t="s">
        <v>505</v>
      </c>
      <c r="O142" s="15"/>
      <c r="P142" s="8"/>
      <c r="Q142" s="8"/>
    </row>
    <row r="143" spans="1:17" ht="69.75" customHeight="1" x14ac:dyDescent="0.2">
      <c r="A143" s="17">
        <v>46055.462472129628</v>
      </c>
      <c r="B143" s="18">
        <v>28218003924</v>
      </c>
      <c r="C143" s="18" t="s">
        <v>506</v>
      </c>
      <c r="D143" s="19" t="s">
        <v>507</v>
      </c>
      <c r="E143" s="18" t="s">
        <v>100</v>
      </c>
      <c r="F143" s="18" t="s">
        <v>26</v>
      </c>
      <c r="G143" s="18" t="s">
        <v>27</v>
      </c>
      <c r="H143" s="18" t="s">
        <v>53</v>
      </c>
      <c r="I143" s="20" t="str">
        <f ca="1">VLOOKUP($B143,Sheet1!$C$2:$AK$272,27,0)</f>
        <v>BÁO CÁO THỰC TẬP TỐT NGHIỆP</v>
      </c>
      <c r="J143" s="20" t="s">
        <v>22</v>
      </c>
      <c r="K143" s="20"/>
      <c r="L143" s="18" t="s">
        <v>225</v>
      </c>
      <c r="M143" s="18" t="s">
        <v>19</v>
      </c>
      <c r="N143" s="18" t="s">
        <v>508</v>
      </c>
      <c r="O143" s="15"/>
      <c r="P143" s="8"/>
      <c r="Q143" s="8"/>
    </row>
    <row r="144" spans="1:17" ht="69.75" customHeight="1" x14ac:dyDescent="0.2">
      <c r="A144" s="17">
        <v>46054.820617708334</v>
      </c>
      <c r="B144" s="18">
        <v>28208048257</v>
      </c>
      <c r="C144" s="18" t="s">
        <v>509</v>
      </c>
      <c r="D144" s="19" t="s">
        <v>488</v>
      </c>
      <c r="E144" s="18" t="s">
        <v>176</v>
      </c>
      <c r="F144" s="18" t="s">
        <v>26</v>
      </c>
      <c r="G144" s="18" t="s">
        <v>27</v>
      </c>
      <c r="H144" s="18" t="s">
        <v>53</v>
      </c>
      <c r="I144" s="20" t="str">
        <f ca="1">VLOOKUP($B144,Sheet1!$C$2:$AK$272,27,0)</f>
        <v>BÁO CÁO THỰC TẬP TỐT NGHIỆP</v>
      </c>
      <c r="J144" s="20" t="s">
        <v>22</v>
      </c>
      <c r="K144" s="20"/>
      <c r="L144" s="18" t="s">
        <v>127</v>
      </c>
      <c r="M144" s="18" t="s">
        <v>29</v>
      </c>
      <c r="N144" s="18" t="s">
        <v>510</v>
      </c>
      <c r="O144" s="15"/>
      <c r="P144" s="8"/>
      <c r="Q144" s="8"/>
    </row>
    <row r="145" spans="1:17" ht="69.75" customHeight="1" x14ac:dyDescent="0.2">
      <c r="A145" s="17">
        <v>46052.943130902779</v>
      </c>
      <c r="B145" s="18">
        <v>28208001739</v>
      </c>
      <c r="C145" s="18" t="s">
        <v>511</v>
      </c>
      <c r="D145" s="18" t="s">
        <v>512</v>
      </c>
      <c r="E145" s="18" t="s">
        <v>100</v>
      </c>
      <c r="F145" s="18" t="s">
        <v>26</v>
      </c>
      <c r="G145" s="18" t="s">
        <v>27</v>
      </c>
      <c r="H145" s="18" t="s">
        <v>53</v>
      </c>
      <c r="I145" s="20" t="str">
        <f ca="1">VLOOKUP($B145,Sheet1!$C$2:$AK$272,27,0)</f>
        <v>BÁO CÁO THỰC TẬP TỐT NGHIỆP</v>
      </c>
      <c r="J145" s="20" t="s">
        <v>22</v>
      </c>
      <c r="K145" s="20"/>
      <c r="L145" s="18" t="s">
        <v>127</v>
      </c>
      <c r="M145" s="18" t="s">
        <v>29</v>
      </c>
      <c r="N145" s="18" t="s">
        <v>513</v>
      </c>
      <c r="O145" s="15"/>
      <c r="P145" s="8"/>
      <c r="Q145" s="8"/>
    </row>
    <row r="146" spans="1:17" ht="69.75" customHeight="1" x14ac:dyDescent="0.2">
      <c r="A146" s="17">
        <v>46053.367332094909</v>
      </c>
      <c r="B146" s="18">
        <v>27217146484</v>
      </c>
      <c r="C146" s="18" t="s">
        <v>514</v>
      </c>
      <c r="D146" s="18" t="s">
        <v>515</v>
      </c>
      <c r="E146" s="18" t="s">
        <v>131</v>
      </c>
      <c r="F146" s="18" t="s">
        <v>26</v>
      </c>
      <c r="G146" s="18" t="s">
        <v>132</v>
      </c>
      <c r="H146" s="18" t="s">
        <v>53</v>
      </c>
      <c r="I146" s="20" t="str">
        <f ca="1">VLOOKUP($B146,Sheet1!$C$2:$AK$272,27,0)</f>
        <v>BÁO CÁO THỰC TẬP TỐT NGHIỆP</v>
      </c>
      <c r="J146" s="20" t="s">
        <v>22</v>
      </c>
      <c r="K146" s="20"/>
      <c r="L146" s="18" t="s">
        <v>148</v>
      </c>
      <c r="M146" s="18" t="s">
        <v>68</v>
      </c>
      <c r="N146" s="18" t="s">
        <v>516</v>
      </c>
      <c r="O146" s="15"/>
      <c r="P146" s="8"/>
      <c r="Q146" s="8"/>
    </row>
    <row r="147" spans="1:17" ht="69.75" customHeight="1" x14ac:dyDescent="0.2">
      <c r="A147" s="17">
        <v>46053.782720069445</v>
      </c>
      <c r="B147" s="18">
        <v>26217220919</v>
      </c>
      <c r="C147" s="18" t="s">
        <v>517</v>
      </c>
      <c r="D147" s="18" t="s">
        <v>518</v>
      </c>
      <c r="E147" s="18" t="s">
        <v>519</v>
      </c>
      <c r="F147" s="18" t="s">
        <v>26</v>
      </c>
      <c r="G147" s="18" t="s">
        <v>520</v>
      </c>
      <c r="H147" s="18" t="s">
        <v>53</v>
      </c>
      <c r="I147" s="18" t="str">
        <f ca="1">VLOOKUP($B147,Sheet1!$C$2:$AK$272,27,0)</f>
        <v>BÁO CÁO THỰC TẬP TỐT NGHIỆP</v>
      </c>
      <c r="J147" s="18" t="s">
        <v>22</v>
      </c>
      <c r="K147" s="18"/>
      <c r="L147" s="18" t="s">
        <v>521</v>
      </c>
      <c r="M147" s="18" t="s">
        <v>29</v>
      </c>
      <c r="N147" s="18" t="s">
        <v>522</v>
      </c>
      <c r="O147" s="15"/>
      <c r="P147" s="8"/>
      <c r="Q147" s="8"/>
    </row>
    <row r="148" spans="1:17" ht="69.75" customHeight="1" x14ac:dyDescent="0.2">
      <c r="A148" s="17">
        <v>46052.956036226853</v>
      </c>
      <c r="B148" s="18">
        <v>28218005182</v>
      </c>
      <c r="C148" s="18" t="s">
        <v>523</v>
      </c>
      <c r="D148" s="18" t="s">
        <v>524</v>
      </c>
      <c r="E148" s="18" t="s">
        <v>525</v>
      </c>
      <c r="F148" s="18" t="s">
        <v>26</v>
      </c>
      <c r="G148" s="18" t="s">
        <v>27</v>
      </c>
      <c r="H148" s="18" t="s">
        <v>53</v>
      </c>
      <c r="I148" s="20" t="str">
        <f ca="1">VLOOKUP($B148,Sheet1!$C$2:$AK$272,27,0)</f>
        <v>BÁO CÁO THỰC TẬP TỐT NGHIỆP</v>
      </c>
      <c r="J148" s="20" t="s">
        <v>22</v>
      </c>
      <c r="K148" s="20"/>
      <c r="L148" s="18" t="s">
        <v>225</v>
      </c>
      <c r="M148" s="18" t="s">
        <v>19</v>
      </c>
      <c r="N148" s="18" t="s">
        <v>526</v>
      </c>
      <c r="O148" s="15"/>
      <c r="P148" s="8"/>
      <c r="Q148" s="8"/>
    </row>
    <row r="149" spans="1:17" ht="69.75" customHeight="1" x14ac:dyDescent="0.2">
      <c r="A149" s="17">
        <v>46052.970750115739</v>
      </c>
      <c r="B149" s="18">
        <v>25217216024</v>
      </c>
      <c r="C149" s="18" t="s">
        <v>527</v>
      </c>
      <c r="D149" s="18" t="s">
        <v>528</v>
      </c>
      <c r="E149" s="18" t="s">
        <v>529</v>
      </c>
      <c r="F149" s="18" t="s">
        <v>26</v>
      </c>
      <c r="G149" s="18" t="s">
        <v>17</v>
      </c>
      <c r="H149" s="18" t="s">
        <v>53</v>
      </c>
      <c r="I149" s="20" t="str">
        <f ca="1">VLOOKUP($B149,Sheet1!$C$2:$AK$272,27,0)</f>
        <v>BÁO CÁO THỰC TẬP TỐT NGHIỆP</v>
      </c>
      <c r="J149" s="20" t="s">
        <v>22</v>
      </c>
      <c r="K149" s="20"/>
      <c r="L149" s="18" t="s">
        <v>225</v>
      </c>
      <c r="M149" s="18" t="s">
        <v>29</v>
      </c>
      <c r="N149" s="18" t="s">
        <v>530</v>
      </c>
      <c r="O149" s="15"/>
      <c r="P149" s="8"/>
      <c r="Q149" s="8"/>
    </row>
    <row r="150" spans="1:17" ht="69.75" customHeight="1" x14ac:dyDescent="0.2">
      <c r="A150" s="17">
        <v>46052.974708148147</v>
      </c>
      <c r="B150" s="18">
        <v>27207124538</v>
      </c>
      <c r="C150" s="18" t="s">
        <v>531</v>
      </c>
      <c r="D150" s="19" t="s">
        <v>532</v>
      </c>
      <c r="E150" s="18" t="s">
        <v>533</v>
      </c>
      <c r="F150" s="18" t="s">
        <v>26</v>
      </c>
      <c r="G150" s="18" t="s">
        <v>132</v>
      </c>
      <c r="H150" s="18" t="s">
        <v>53</v>
      </c>
      <c r="I150" s="20" t="str">
        <f ca="1">VLOOKUP($B150,Sheet1!$C$2:$AK$272,27,0)</f>
        <v>BÁO CÁO THỰC TẬP TỐT NGHIỆP</v>
      </c>
      <c r="J150" s="20" t="s">
        <v>22</v>
      </c>
      <c r="K150" s="20"/>
      <c r="L150" s="18" t="s">
        <v>534</v>
      </c>
      <c r="M150" s="18" t="s">
        <v>68</v>
      </c>
      <c r="N150" s="18" t="s">
        <v>535</v>
      </c>
      <c r="O150" s="15"/>
      <c r="P150" s="8"/>
      <c r="Q150" s="8"/>
    </row>
    <row r="151" spans="1:17" ht="69.75" customHeight="1" x14ac:dyDescent="0.2">
      <c r="A151" s="17">
        <v>46053.473423564814</v>
      </c>
      <c r="B151" s="18">
        <v>28218054522</v>
      </c>
      <c r="C151" s="18" t="s">
        <v>536</v>
      </c>
      <c r="D151" s="18" t="s">
        <v>537</v>
      </c>
      <c r="E151" s="18" t="s">
        <v>538</v>
      </c>
      <c r="F151" s="18" t="s">
        <v>26</v>
      </c>
      <c r="G151" s="18" t="s">
        <v>27</v>
      </c>
      <c r="H151" s="18" t="s">
        <v>106</v>
      </c>
      <c r="I151" s="20" t="str">
        <f ca="1">VLOOKUP($B151,Sheet1!$C$2:$AK$272,27,0)</f>
        <v>BÁO CÁO THỰC TẬP TỐT NGHIỆP</v>
      </c>
      <c r="J151" s="20" t="s">
        <v>22</v>
      </c>
      <c r="K151" s="20"/>
      <c r="L151" s="18" t="s">
        <v>539</v>
      </c>
      <c r="M151" s="18" t="s">
        <v>29</v>
      </c>
      <c r="N151" s="18" t="s">
        <v>540</v>
      </c>
      <c r="O151" s="15"/>
      <c r="P151" s="8"/>
      <c r="Q151" s="8"/>
    </row>
    <row r="152" spans="1:17" ht="69.75" customHeight="1" x14ac:dyDescent="0.2">
      <c r="A152" s="17">
        <v>46055.68228793981</v>
      </c>
      <c r="B152" s="18">
        <v>28218032222</v>
      </c>
      <c r="C152" s="18" t="s">
        <v>541</v>
      </c>
      <c r="D152" s="18" t="s">
        <v>33</v>
      </c>
      <c r="E152" s="18" t="s">
        <v>34</v>
      </c>
      <c r="F152" s="18" t="s">
        <v>26</v>
      </c>
      <c r="G152" s="18" t="s">
        <v>27</v>
      </c>
      <c r="H152" s="18" t="s">
        <v>106</v>
      </c>
      <c r="I152" s="20" t="str">
        <f ca="1">VLOOKUP($B152,Sheet1!$C$2:$AK$272,27,0)</f>
        <v>BÁO CÁO THỰC TẬP TỐT NGHIỆP</v>
      </c>
      <c r="J152" s="20" t="s">
        <v>22</v>
      </c>
      <c r="K152" s="20"/>
      <c r="L152" s="18" t="s">
        <v>542</v>
      </c>
      <c r="M152" s="18" t="s">
        <v>29</v>
      </c>
      <c r="N152" s="18" t="s">
        <v>543</v>
      </c>
      <c r="O152" s="15"/>
      <c r="P152" s="8"/>
      <c r="Q152" s="8"/>
    </row>
    <row r="153" spans="1:17" ht="69.75" customHeight="1" x14ac:dyDescent="0.2">
      <c r="A153" s="17">
        <v>46055.870771168979</v>
      </c>
      <c r="B153" s="18">
        <v>27217133852</v>
      </c>
      <c r="C153" s="18" t="s">
        <v>544</v>
      </c>
      <c r="D153" s="18" t="s">
        <v>545</v>
      </c>
      <c r="E153" s="18" t="s">
        <v>34</v>
      </c>
      <c r="F153" s="18" t="s">
        <v>26</v>
      </c>
      <c r="G153" s="18" t="s">
        <v>27</v>
      </c>
      <c r="H153" s="18" t="s">
        <v>86</v>
      </c>
      <c r="I153" s="20" t="str">
        <f ca="1">VLOOKUP($B153,Sheet1!$C$2:$AK$272,27,0)</f>
        <v>BÁO CÁO THỰC TẬP TỐT NGHIỆP</v>
      </c>
      <c r="J153" s="20" t="s">
        <v>161</v>
      </c>
      <c r="K153" s="20" t="s">
        <v>763</v>
      </c>
      <c r="L153" s="18" t="s">
        <v>586</v>
      </c>
      <c r="M153" s="18" t="s">
        <v>19</v>
      </c>
      <c r="N153" s="20" t="s">
        <v>763</v>
      </c>
      <c r="O153" s="15"/>
      <c r="P153" s="8"/>
      <c r="Q153" s="8"/>
    </row>
    <row r="154" spans="1:17" ht="69.75" customHeight="1" x14ac:dyDescent="0.2">
      <c r="A154" s="17">
        <v>46053.936879525463</v>
      </c>
      <c r="B154" s="18">
        <v>28208005201</v>
      </c>
      <c r="C154" s="18" t="s">
        <v>546</v>
      </c>
      <c r="D154" s="18" t="s">
        <v>547</v>
      </c>
      <c r="E154" s="18" t="s">
        <v>83</v>
      </c>
      <c r="F154" s="18" t="s">
        <v>26</v>
      </c>
      <c r="G154" s="18" t="s">
        <v>27</v>
      </c>
      <c r="H154" s="18" t="s">
        <v>37</v>
      </c>
      <c r="I154" s="20" t="str">
        <f ca="1">VLOOKUP($B154,Sheet1!$C$2:$AK$272,27,0)</f>
        <v>BÁO CÁO THỰC TẬP TỐT NGHIỆP</v>
      </c>
      <c r="J154" s="20" t="s">
        <v>161</v>
      </c>
      <c r="K154" s="18" t="s">
        <v>779</v>
      </c>
      <c r="L154" s="18" t="s">
        <v>643</v>
      </c>
      <c r="M154" s="18" t="s">
        <v>29</v>
      </c>
      <c r="N154" s="18" t="s">
        <v>779</v>
      </c>
      <c r="O154" s="15"/>
      <c r="P154" s="8"/>
      <c r="Q154" s="8"/>
    </row>
    <row r="155" spans="1:17" ht="69.75" customHeight="1" x14ac:dyDescent="0.2">
      <c r="A155" s="17">
        <v>46053.933187245369</v>
      </c>
      <c r="B155" s="18">
        <v>28204337515</v>
      </c>
      <c r="C155" s="18" t="s">
        <v>548</v>
      </c>
      <c r="D155" s="18" t="s">
        <v>549</v>
      </c>
      <c r="E155" s="18" t="s">
        <v>50</v>
      </c>
      <c r="F155" s="18" t="s">
        <v>26</v>
      </c>
      <c r="G155" s="18" t="s">
        <v>27</v>
      </c>
      <c r="H155" s="18" t="s">
        <v>37</v>
      </c>
      <c r="I155" s="20" t="str">
        <f ca="1">VLOOKUP($B155,Sheet1!$C$2:$AK$272,27,0)</f>
        <v>BÁO CÁO THỰC TẬP TỐT NGHIỆP</v>
      </c>
      <c r="J155" s="20" t="s">
        <v>22</v>
      </c>
      <c r="K155" s="20"/>
      <c r="L155" s="18" t="s">
        <v>550</v>
      </c>
      <c r="M155" s="18" t="s">
        <v>29</v>
      </c>
      <c r="N155" s="18" t="s">
        <v>551</v>
      </c>
      <c r="O155" s="15"/>
      <c r="P155" s="8"/>
      <c r="Q155" s="8"/>
    </row>
    <row r="156" spans="1:17" ht="69.75" customHeight="1" x14ac:dyDescent="0.2">
      <c r="A156" s="17">
        <v>46053.442938935186</v>
      </c>
      <c r="B156" s="18">
        <v>28218305990</v>
      </c>
      <c r="C156" s="18" t="s">
        <v>552</v>
      </c>
      <c r="D156" s="19" t="s">
        <v>304</v>
      </c>
      <c r="E156" s="18" t="s">
        <v>553</v>
      </c>
      <c r="F156" s="18" t="s">
        <v>158</v>
      </c>
      <c r="G156" s="18" t="s">
        <v>27</v>
      </c>
      <c r="H156" s="18" t="s">
        <v>53</v>
      </c>
      <c r="I156" s="20" t="str">
        <f ca="1">VLOOKUP($B156,Sheet1!$C$2:$AK$272,27,0)</f>
        <v>KHÓA LUẬN</v>
      </c>
      <c r="J156" s="20" t="s">
        <v>22</v>
      </c>
      <c r="K156" s="20"/>
      <c r="L156" s="18" t="s">
        <v>207</v>
      </c>
      <c r="M156" s="18" t="s">
        <v>153</v>
      </c>
      <c r="N156" s="18" t="s">
        <v>554</v>
      </c>
      <c r="O156" s="15"/>
      <c r="P156" s="8"/>
      <c r="Q156" s="8"/>
    </row>
    <row r="157" spans="1:17" ht="69.75" customHeight="1" x14ac:dyDescent="0.2">
      <c r="A157" s="17">
        <v>46054.574093668984</v>
      </c>
      <c r="B157" s="18">
        <v>28208035310</v>
      </c>
      <c r="C157" s="18" t="s">
        <v>555</v>
      </c>
      <c r="D157" s="18" t="s">
        <v>556</v>
      </c>
      <c r="E157" s="18" t="s">
        <v>25</v>
      </c>
      <c r="F157" s="18" t="s">
        <v>26</v>
      </c>
      <c r="G157" s="18" t="s">
        <v>27</v>
      </c>
      <c r="H157" s="18" t="s">
        <v>21</v>
      </c>
      <c r="I157" s="20" t="str">
        <f ca="1">VLOOKUP($B157,Sheet1!$C$2:$AK$272,27,0)</f>
        <v>BÁO CÁO THỰC TẬP TỐT NGHIỆP</v>
      </c>
      <c r="J157" s="20" t="s">
        <v>22</v>
      </c>
      <c r="K157" s="20"/>
      <c r="L157" s="18" t="s">
        <v>56</v>
      </c>
      <c r="M157" s="18" t="s">
        <v>29</v>
      </c>
      <c r="N157" s="18" t="s">
        <v>557</v>
      </c>
      <c r="O157" s="15"/>
      <c r="P157" s="8"/>
      <c r="Q157" s="8"/>
    </row>
    <row r="158" spans="1:17" ht="69.75" customHeight="1" x14ac:dyDescent="0.2">
      <c r="A158" s="17">
        <v>46055.344240115737</v>
      </c>
      <c r="B158" s="18">
        <v>28200350838</v>
      </c>
      <c r="C158" s="18" t="s">
        <v>558</v>
      </c>
      <c r="D158" s="18" t="s">
        <v>559</v>
      </c>
      <c r="E158" s="18" t="s">
        <v>560</v>
      </c>
      <c r="F158" s="18" t="s">
        <v>158</v>
      </c>
      <c r="G158" s="18" t="s">
        <v>27</v>
      </c>
      <c r="H158" s="18" t="s">
        <v>120</v>
      </c>
      <c r="I158" s="20" t="str">
        <f ca="1">VLOOKUP($B158,Sheet1!$C$2:$AK$272,27,0)</f>
        <v>KHÓA LUẬN</v>
      </c>
      <c r="J158" s="20" t="s">
        <v>22</v>
      </c>
      <c r="K158" s="20"/>
      <c r="L158" s="18" t="s">
        <v>561</v>
      </c>
      <c r="M158" s="18" t="s">
        <v>29</v>
      </c>
      <c r="N158" s="18" t="s">
        <v>562</v>
      </c>
      <c r="O158" s="15"/>
      <c r="P158" s="8"/>
      <c r="Q158" s="8"/>
    </row>
    <row r="159" spans="1:17" ht="69.75" customHeight="1" x14ac:dyDescent="0.2">
      <c r="A159" s="17">
        <v>46053.473877222219</v>
      </c>
      <c r="B159" s="18">
        <v>28208005206</v>
      </c>
      <c r="C159" s="18" t="s">
        <v>563</v>
      </c>
      <c r="D159" s="19" t="s">
        <v>564</v>
      </c>
      <c r="E159" s="18" t="s">
        <v>73</v>
      </c>
      <c r="F159" s="18" t="s">
        <v>26</v>
      </c>
      <c r="G159" s="18" t="s">
        <v>27</v>
      </c>
      <c r="H159" s="18" t="s">
        <v>37</v>
      </c>
      <c r="I159" s="20" t="str">
        <f ca="1">VLOOKUP($B159,Sheet1!$C$2:$AK$272,27,0)</f>
        <v>BÁO CÁO THỰC TẬP TỐT NGHIỆP</v>
      </c>
      <c r="J159" s="20" t="s">
        <v>22</v>
      </c>
      <c r="K159" s="20"/>
      <c r="L159" s="18" t="s">
        <v>565</v>
      </c>
      <c r="M159" s="18" t="s">
        <v>29</v>
      </c>
      <c r="N159" s="18" t="s">
        <v>566</v>
      </c>
      <c r="O159" s="15"/>
      <c r="P159" s="8"/>
      <c r="Q159" s="8"/>
    </row>
    <row r="160" spans="1:17" ht="69.75" customHeight="1" x14ac:dyDescent="0.2">
      <c r="A160" s="17">
        <v>46055.417066678245</v>
      </c>
      <c r="B160" s="18">
        <v>28208003340</v>
      </c>
      <c r="C160" s="18" t="s">
        <v>567</v>
      </c>
      <c r="D160" s="19" t="s">
        <v>568</v>
      </c>
      <c r="E160" s="18" t="s">
        <v>123</v>
      </c>
      <c r="F160" s="18" t="s">
        <v>26</v>
      </c>
      <c r="G160" s="18" t="s">
        <v>27</v>
      </c>
      <c r="H160" s="18" t="s">
        <v>31</v>
      </c>
      <c r="I160" s="20" t="str">
        <f ca="1">VLOOKUP($B160,Sheet1!$C$2:$AK$272,27,0)</f>
        <v>BÁO CÁO THỰC TẬP TỐT NGHIỆP</v>
      </c>
      <c r="J160" s="20" t="s">
        <v>22</v>
      </c>
      <c r="K160" s="20"/>
      <c r="L160" s="18" t="s">
        <v>569</v>
      </c>
      <c r="M160" s="18" t="s">
        <v>29</v>
      </c>
      <c r="N160" s="18" t="s">
        <v>570</v>
      </c>
      <c r="O160" s="15"/>
      <c r="P160" s="8"/>
      <c r="Q160" s="8"/>
    </row>
    <row r="161" spans="1:17" ht="69.75" customHeight="1" x14ac:dyDescent="0.2">
      <c r="A161" s="17">
        <v>46053.485788287042</v>
      </c>
      <c r="B161" s="18">
        <v>28218003900</v>
      </c>
      <c r="C161" s="18" t="s">
        <v>571</v>
      </c>
      <c r="D161" s="19" t="s">
        <v>572</v>
      </c>
      <c r="E161" s="18" t="s">
        <v>573</v>
      </c>
      <c r="F161" s="18" t="s">
        <v>26</v>
      </c>
      <c r="G161" s="18" t="s">
        <v>132</v>
      </c>
      <c r="H161" s="18" t="s">
        <v>37</v>
      </c>
      <c r="I161" s="20" t="str">
        <f ca="1">VLOOKUP($B161,Sheet1!$C$2:$AK$272,27,0)</f>
        <v>BÁO CÁO THỰC TẬP TỐT NGHIỆP</v>
      </c>
      <c r="J161" s="20" t="s">
        <v>22</v>
      </c>
      <c r="K161" s="20"/>
      <c r="L161" s="18" t="s">
        <v>35</v>
      </c>
      <c r="M161" s="18" t="s">
        <v>29</v>
      </c>
      <c r="N161" s="18" t="s">
        <v>574</v>
      </c>
      <c r="O161" s="15"/>
      <c r="P161" s="8"/>
      <c r="Q161" s="8"/>
    </row>
    <row r="162" spans="1:17" ht="69.75" customHeight="1" x14ac:dyDescent="0.2">
      <c r="A162" s="17">
        <v>46055.780734270833</v>
      </c>
      <c r="B162" s="18">
        <v>28208034537</v>
      </c>
      <c r="C162" s="18" t="s">
        <v>575</v>
      </c>
      <c r="D162" s="18" t="s">
        <v>576</v>
      </c>
      <c r="E162" s="18" t="s">
        <v>165</v>
      </c>
      <c r="F162" s="18" t="s">
        <v>26</v>
      </c>
      <c r="G162" s="18" t="s">
        <v>27</v>
      </c>
      <c r="H162" s="18" t="s">
        <v>106</v>
      </c>
      <c r="I162" s="20" t="str">
        <f ca="1">VLOOKUP($B162,Sheet1!$C$2:$AK$272,27,0)</f>
        <v>BÁO CÁO THỰC TẬP TỐT NGHIỆP</v>
      </c>
      <c r="J162" s="20" t="s">
        <v>22</v>
      </c>
      <c r="K162" s="20"/>
      <c r="L162" s="18" t="s">
        <v>225</v>
      </c>
      <c r="M162" s="18" t="s">
        <v>29</v>
      </c>
      <c r="N162" s="18" t="s">
        <v>577</v>
      </c>
      <c r="O162" s="15"/>
      <c r="P162" s="8"/>
      <c r="Q162" s="8"/>
    </row>
    <row r="163" spans="1:17" ht="69.75" customHeight="1" x14ac:dyDescent="0.2">
      <c r="A163" s="17">
        <v>46053.515006435184</v>
      </c>
      <c r="B163" s="18">
        <v>28208036351</v>
      </c>
      <c r="C163" s="18" t="s">
        <v>578</v>
      </c>
      <c r="D163" s="19" t="s">
        <v>579</v>
      </c>
      <c r="E163" s="18" t="s">
        <v>100</v>
      </c>
      <c r="F163" s="18" t="s">
        <v>26</v>
      </c>
      <c r="G163" s="18" t="s">
        <v>27</v>
      </c>
      <c r="H163" s="18" t="s">
        <v>106</v>
      </c>
      <c r="I163" s="20" t="str">
        <f ca="1">VLOOKUP($B163,Sheet1!$C$2:$AK$272,27,0)</f>
        <v>BÁO CÁO THỰC TẬP TỐT NGHIỆP</v>
      </c>
      <c r="J163" s="20" t="s">
        <v>22</v>
      </c>
      <c r="K163" s="20"/>
      <c r="L163" s="18" t="s">
        <v>225</v>
      </c>
      <c r="M163" s="18" t="s">
        <v>29</v>
      </c>
      <c r="N163" s="18" t="s">
        <v>580</v>
      </c>
      <c r="O163" s="15"/>
      <c r="P163" s="8"/>
      <c r="Q163" s="8"/>
    </row>
    <row r="164" spans="1:17" ht="69.75" customHeight="1" x14ac:dyDescent="0.2">
      <c r="A164" s="17">
        <v>46053.539265023152</v>
      </c>
      <c r="B164" s="18">
        <v>28218048381</v>
      </c>
      <c r="C164" s="18" t="s">
        <v>581</v>
      </c>
      <c r="D164" s="19" t="s">
        <v>582</v>
      </c>
      <c r="E164" s="18" t="s">
        <v>40</v>
      </c>
      <c r="F164" s="18" t="s">
        <v>26</v>
      </c>
      <c r="G164" s="18" t="s">
        <v>27</v>
      </c>
      <c r="H164" s="18" t="s">
        <v>106</v>
      </c>
      <c r="I164" s="20" t="str">
        <f ca="1">VLOOKUP($B164,Sheet1!$C$2:$AK$272,27,0)</f>
        <v>BÁO CÁO THỰC TẬP TỐT NGHIỆP</v>
      </c>
      <c r="J164" s="20" t="s">
        <v>22</v>
      </c>
      <c r="K164" s="20"/>
      <c r="L164" s="18" t="s">
        <v>104</v>
      </c>
      <c r="M164" s="18" t="s">
        <v>29</v>
      </c>
      <c r="N164" s="18" t="s">
        <v>583</v>
      </c>
      <c r="O164" s="15"/>
      <c r="P164" s="8"/>
      <c r="Q164" s="8"/>
    </row>
    <row r="165" spans="1:17" ht="69.75" customHeight="1" x14ac:dyDescent="0.2">
      <c r="A165" s="17">
        <v>46055.994740601847</v>
      </c>
      <c r="B165" s="18">
        <v>28205205446</v>
      </c>
      <c r="C165" s="18" t="s">
        <v>584</v>
      </c>
      <c r="D165" s="19" t="s">
        <v>585</v>
      </c>
      <c r="E165" s="18" t="s">
        <v>359</v>
      </c>
      <c r="F165" s="18" t="s">
        <v>26</v>
      </c>
      <c r="G165" s="18" t="s">
        <v>27</v>
      </c>
      <c r="H165" s="18" t="s">
        <v>86</v>
      </c>
      <c r="I165" s="20" t="str">
        <f ca="1">VLOOKUP($B165,Sheet1!$C$2:$AK$272,27,0)</f>
        <v>BÁO CÁO THỰC TẬP TỐT NGHIỆP</v>
      </c>
      <c r="J165" s="20" t="s">
        <v>161</v>
      </c>
      <c r="K165" s="20" t="s">
        <v>764</v>
      </c>
      <c r="L165" s="18" t="s">
        <v>586</v>
      </c>
      <c r="M165" s="18" t="s">
        <v>19</v>
      </c>
      <c r="N165" s="20" t="s">
        <v>764</v>
      </c>
      <c r="O165" s="15"/>
      <c r="P165" s="8"/>
      <c r="Q165" s="8"/>
    </row>
    <row r="166" spans="1:17" ht="69.75" customHeight="1" x14ac:dyDescent="0.2">
      <c r="A166" s="17">
        <v>46053.625312210643</v>
      </c>
      <c r="B166" s="18">
        <v>28218002769</v>
      </c>
      <c r="C166" s="18" t="s">
        <v>587</v>
      </c>
      <c r="D166" s="19" t="s">
        <v>203</v>
      </c>
      <c r="E166" s="18" t="s">
        <v>83</v>
      </c>
      <c r="F166" s="18" t="s">
        <v>26</v>
      </c>
      <c r="G166" s="18" t="s">
        <v>27</v>
      </c>
      <c r="H166" s="18" t="s">
        <v>21</v>
      </c>
      <c r="I166" s="20" t="str">
        <f ca="1">VLOOKUP($B166,Sheet1!$C$2:$AK$272,27,0)</f>
        <v>BÁO CÁO THỰC TẬP TỐT NGHIỆP</v>
      </c>
      <c r="J166" s="20" t="s">
        <v>22</v>
      </c>
      <c r="K166" s="20"/>
      <c r="L166" s="18" t="s">
        <v>56</v>
      </c>
      <c r="M166" s="18" t="s">
        <v>29</v>
      </c>
      <c r="N166" s="18" t="s">
        <v>588</v>
      </c>
      <c r="O166" s="15"/>
      <c r="P166" s="8"/>
      <c r="Q166" s="8"/>
    </row>
    <row r="167" spans="1:17" ht="69.75" customHeight="1" x14ac:dyDescent="0.2">
      <c r="A167" s="17">
        <v>46053.635310173609</v>
      </c>
      <c r="B167" s="18">
        <v>28218002544</v>
      </c>
      <c r="C167" s="18" t="s">
        <v>589</v>
      </c>
      <c r="D167" s="18" t="s">
        <v>590</v>
      </c>
      <c r="E167" s="18" t="s">
        <v>165</v>
      </c>
      <c r="F167" s="18" t="s">
        <v>26</v>
      </c>
      <c r="G167" s="18" t="s">
        <v>27</v>
      </c>
      <c r="H167" s="18" t="s">
        <v>70</v>
      </c>
      <c r="I167" s="20" t="str">
        <f ca="1">VLOOKUP($B167,Sheet1!$C$2:$AK$272,27,0)</f>
        <v>BÁO CÁO THỰC TẬP TỐT NGHIỆP</v>
      </c>
      <c r="J167" s="20" t="s">
        <v>22</v>
      </c>
      <c r="K167" s="20"/>
      <c r="L167" s="18" t="s">
        <v>591</v>
      </c>
      <c r="M167" s="18" t="s">
        <v>68</v>
      </c>
      <c r="N167" s="18" t="s">
        <v>592</v>
      </c>
      <c r="O167" s="15"/>
      <c r="P167" s="8"/>
      <c r="Q167" s="8"/>
    </row>
    <row r="168" spans="1:17" ht="69.75" customHeight="1" x14ac:dyDescent="0.2">
      <c r="A168" s="17">
        <v>46053.6385915625</v>
      </c>
      <c r="B168" s="18">
        <v>28208004207</v>
      </c>
      <c r="C168" s="18" t="s">
        <v>593</v>
      </c>
      <c r="D168" s="18" t="s">
        <v>594</v>
      </c>
      <c r="E168" s="18" t="s">
        <v>100</v>
      </c>
      <c r="F168" s="18" t="s">
        <v>26</v>
      </c>
      <c r="G168" s="18" t="s">
        <v>27</v>
      </c>
      <c r="H168" s="18" t="s">
        <v>70</v>
      </c>
      <c r="I168" s="20" t="str">
        <f ca="1">VLOOKUP($B168,Sheet1!$C$2:$AK$272,27,0)</f>
        <v>BÁO CÁO THỰC TẬP TỐT NGHIỆP</v>
      </c>
      <c r="J168" s="20" t="s">
        <v>22</v>
      </c>
      <c r="K168" s="20"/>
      <c r="L168" s="18" t="s">
        <v>112</v>
      </c>
      <c r="M168" s="18" t="s">
        <v>68</v>
      </c>
      <c r="N168" s="18" t="s">
        <v>595</v>
      </c>
      <c r="O168" s="15"/>
      <c r="P168" s="8"/>
      <c r="Q168" s="8"/>
    </row>
    <row r="169" spans="1:17" ht="69.75" customHeight="1" x14ac:dyDescent="0.2">
      <c r="A169" s="17">
        <v>46053.657019432867</v>
      </c>
      <c r="B169" s="18">
        <v>28208002909</v>
      </c>
      <c r="C169" s="18" t="s">
        <v>596</v>
      </c>
      <c r="D169" s="18" t="s">
        <v>597</v>
      </c>
      <c r="E169" s="18" t="s">
        <v>25</v>
      </c>
      <c r="F169" s="18" t="s">
        <v>26</v>
      </c>
      <c r="G169" s="18" t="s">
        <v>27</v>
      </c>
      <c r="H169" s="18" t="s">
        <v>70</v>
      </c>
      <c r="I169" s="20" t="str">
        <f ca="1">VLOOKUP($B169,Sheet1!$C$2:$AK$272,27,0)</f>
        <v>BÁO CÁO THỰC TẬP TỐT NGHIỆP</v>
      </c>
      <c r="J169" s="20" t="s">
        <v>22</v>
      </c>
      <c r="K169" s="20"/>
      <c r="L169" s="18" t="s">
        <v>252</v>
      </c>
      <c r="M169" s="18" t="s">
        <v>68</v>
      </c>
      <c r="N169" s="18" t="s">
        <v>598</v>
      </c>
      <c r="O169" s="15"/>
      <c r="P169" s="8"/>
      <c r="Q169" s="8"/>
    </row>
    <row r="170" spans="1:17" ht="69.75" customHeight="1" x14ac:dyDescent="0.2">
      <c r="A170" s="17">
        <v>46055.40639621528</v>
      </c>
      <c r="B170" s="18">
        <v>28208402533</v>
      </c>
      <c r="C170" s="18" t="s">
        <v>599</v>
      </c>
      <c r="D170" s="18" t="s">
        <v>600</v>
      </c>
      <c r="E170" s="18" t="s">
        <v>40</v>
      </c>
      <c r="F170" s="18" t="s">
        <v>26</v>
      </c>
      <c r="G170" s="18" t="s">
        <v>27</v>
      </c>
      <c r="H170" s="18" t="s">
        <v>139</v>
      </c>
      <c r="I170" s="20" t="str">
        <f ca="1">VLOOKUP($B170,Sheet1!$C$2:$AK$272,27,0)</f>
        <v>BÁO CÁO THỰC TẬP TỐT NGHIỆP</v>
      </c>
      <c r="J170" s="20" t="s">
        <v>22</v>
      </c>
      <c r="K170" s="20"/>
      <c r="L170" s="18" t="s">
        <v>601</v>
      </c>
      <c r="M170" s="18" t="s">
        <v>29</v>
      </c>
      <c r="N170" s="18" t="s">
        <v>602</v>
      </c>
      <c r="O170" s="15"/>
      <c r="P170" s="8"/>
      <c r="Q170" s="8"/>
    </row>
    <row r="171" spans="1:17" ht="69.75" customHeight="1" x14ac:dyDescent="0.2">
      <c r="A171" s="17">
        <v>46053.660767685185</v>
      </c>
      <c r="B171" s="18">
        <v>26212932260</v>
      </c>
      <c r="C171" s="18" t="s">
        <v>603</v>
      </c>
      <c r="D171" s="18" t="s">
        <v>604</v>
      </c>
      <c r="E171" s="18" t="s">
        <v>605</v>
      </c>
      <c r="F171" s="18" t="s">
        <v>16</v>
      </c>
      <c r="G171" s="18" t="s">
        <v>520</v>
      </c>
      <c r="H171" s="18" t="s">
        <v>139</v>
      </c>
      <c r="I171" s="20" t="str">
        <f ca="1">VLOOKUP($B171,Sheet1!$C$2:$AK$272,27,0)</f>
        <v>BÁO CÁO THỰC TẬP TỐT NGHIỆP</v>
      </c>
      <c r="J171" s="20" t="s">
        <v>22</v>
      </c>
      <c r="K171" s="20"/>
      <c r="L171" s="18" t="s">
        <v>181</v>
      </c>
      <c r="M171" s="18" t="s">
        <v>29</v>
      </c>
      <c r="N171" s="18" t="s">
        <v>796</v>
      </c>
      <c r="O171" s="15"/>
      <c r="P171" s="8"/>
      <c r="Q171" s="8"/>
    </row>
    <row r="172" spans="1:17" ht="69.75" customHeight="1" x14ac:dyDescent="0.2">
      <c r="A172" s="17">
        <v>46054.31069810185</v>
      </c>
      <c r="B172" s="18">
        <v>28218001735</v>
      </c>
      <c r="C172" s="18" t="s">
        <v>606</v>
      </c>
      <c r="D172" s="18" t="s">
        <v>607</v>
      </c>
      <c r="E172" s="18" t="s">
        <v>78</v>
      </c>
      <c r="F172" s="18" t="s">
        <v>16</v>
      </c>
      <c r="G172" s="18" t="s">
        <v>27</v>
      </c>
      <c r="H172" s="18" t="s">
        <v>53</v>
      </c>
      <c r="I172" s="20" t="str">
        <f ca="1">VLOOKUP($B172,Sheet1!$C$2:$AK$272,27,0)</f>
        <v>KHÓA LUẬN</v>
      </c>
      <c r="J172" s="20" t="s">
        <v>22</v>
      </c>
      <c r="K172" s="20"/>
      <c r="L172" s="18" t="s">
        <v>96</v>
      </c>
      <c r="M172" s="18" t="s">
        <v>68</v>
      </c>
      <c r="N172" s="18" t="s">
        <v>608</v>
      </c>
      <c r="O172" s="15"/>
      <c r="P172" s="8"/>
      <c r="Q172" s="8"/>
    </row>
    <row r="173" spans="1:17" ht="69.75" customHeight="1" x14ac:dyDescent="0.2">
      <c r="A173" s="17">
        <v>46053.689767256947</v>
      </c>
      <c r="B173" s="18">
        <v>28206535441</v>
      </c>
      <c r="C173" s="18" t="s">
        <v>609</v>
      </c>
      <c r="D173" s="18" t="s">
        <v>610</v>
      </c>
      <c r="E173" s="18" t="s">
        <v>299</v>
      </c>
      <c r="F173" s="18" t="s">
        <v>26</v>
      </c>
      <c r="G173" s="18" t="s">
        <v>27</v>
      </c>
      <c r="H173" s="18" t="s">
        <v>106</v>
      </c>
      <c r="I173" s="20" t="str">
        <f ca="1">VLOOKUP($B173,Sheet1!$C$2:$AK$272,27,0)</f>
        <v>BÁO CÁO THỰC TẬP TỐT NGHIỆP</v>
      </c>
      <c r="J173" s="20" t="s">
        <v>22</v>
      </c>
      <c r="K173" s="20"/>
      <c r="L173" s="18" t="s">
        <v>611</v>
      </c>
      <c r="M173" s="18" t="s">
        <v>29</v>
      </c>
      <c r="N173" s="18" t="s">
        <v>612</v>
      </c>
      <c r="O173" s="15"/>
      <c r="P173" s="8"/>
      <c r="Q173" s="8"/>
    </row>
    <row r="174" spans="1:17" ht="69.75" customHeight="1" x14ac:dyDescent="0.2">
      <c r="A174" s="17">
        <v>46053.735199351853</v>
      </c>
      <c r="B174" s="18">
        <v>28208000372</v>
      </c>
      <c r="C174" s="18" t="s">
        <v>613</v>
      </c>
      <c r="D174" s="19" t="s">
        <v>614</v>
      </c>
      <c r="E174" s="18" t="s">
        <v>100</v>
      </c>
      <c r="F174" s="18" t="s">
        <v>26</v>
      </c>
      <c r="G174" s="18" t="s">
        <v>27</v>
      </c>
      <c r="H174" s="18" t="s">
        <v>139</v>
      </c>
      <c r="I174" s="20" t="str">
        <f ca="1">VLOOKUP($B174,Sheet1!$C$2:$AK$272,27,0)</f>
        <v>BÁO CÁO THỰC TẬP TỐT NGHIỆP</v>
      </c>
      <c r="J174" s="20" t="s">
        <v>22</v>
      </c>
      <c r="K174" s="20"/>
      <c r="L174" s="18" t="s">
        <v>148</v>
      </c>
      <c r="M174" s="18" t="s">
        <v>29</v>
      </c>
      <c r="N174" s="18" t="s">
        <v>615</v>
      </c>
      <c r="O174" s="15"/>
      <c r="P174" s="8"/>
      <c r="Q174" s="8"/>
    </row>
    <row r="175" spans="1:17" ht="69.75" customHeight="1" x14ac:dyDescent="0.2">
      <c r="A175" s="17">
        <v>46055.401677847221</v>
      </c>
      <c r="B175" s="18">
        <v>28208321233</v>
      </c>
      <c r="C175" s="18" t="s">
        <v>616</v>
      </c>
      <c r="D175" s="19" t="s">
        <v>617</v>
      </c>
      <c r="E175" s="18" t="s">
        <v>618</v>
      </c>
      <c r="F175" s="18" t="s">
        <v>158</v>
      </c>
      <c r="G175" s="18" t="s">
        <v>27</v>
      </c>
      <c r="H175" s="18" t="s">
        <v>120</v>
      </c>
      <c r="I175" s="20" t="str">
        <f ca="1">VLOOKUP($B175,Sheet1!$C$2:$AK$272,27,0)</f>
        <v>KHÓA LUẬN</v>
      </c>
      <c r="J175" s="20" t="s">
        <v>22</v>
      </c>
      <c r="K175" s="20"/>
      <c r="L175" s="18" t="s">
        <v>159</v>
      </c>
      <c r="M175" s="18" t="s">
        <v>29</v>
      </c>
      <c r="N175" s="18" t="s">
        <v>619</v>
      </c>
      <c r="O175" s="15"/>
      <c r="P175" s="8"/>
      <c r="Q175" s="8"/>
    </row>
    <row r="176" spans="1:17" ht="69.75" customHeight="1" x14ac:dyDescent="0.2">
      <c r="A176" s="17">
        <v>46053.737974641204</v>
      </c>
      <c r="B176" s="18">
        <v>28218045260</v>
      </c>
      <c r="C176" s="18" t="s">
        <v>620</v>
      </c>
      <c r="D176" s="18" t="s">
        <v>621</v>
      </c>
      <c r="E176" s="18" t="s">
        <v>40</v>
      </c>
      <c r="F176" s="18" t="s">
        <v>26</v>
      </c>
      <c r="G176" s="18" t="s">
        <v>27</v>
      </c>
      <c r="H176" s="18" t="s">
        <v>139</v>
      </c>
      <c r="I176" s="20" t="str">
        <f ca="1">VLOOKUP($B176,Sheet1!$C$2:$AK$272,27,0)</f>
        <v>BÁO CÁO THỰC TẬP TỐT NGHIỆP</v>
      </c>
      <c r="J176" s="20" t="s">
        <v>22</v>
      </c>
      <c r="K176" s="20"/>
      <c r="L176" s="18" t="s">
        <v>622</v>
      </c>
      <c r="M176" s="18" t="s">
        <v>153</v>
      </c>
      <c r="N176" s="18" t="s">
        <v>623</v>
      </c>
      <c r="O176" s="15"/>
      <c r="P176" s="8"/>
      <c r="Q176" s="8"/>
    </row>
    <row r="177" spans="1:17" ht="69.75" customHeight="1" x14ac:dyDescent="0.2">
      <c r="A177" s="17">
        <v>46053.754470034721</v>
      </c>
      <c r="B177" s="18">
        <v>28208020522</v>
      </c>
      <c r="C177" s="18" t="s">
        <v>624</v>
      </c>
      <c r="D177" s="18" t="s">
        <v>625</v>
      </c>
      <c r="E177" s="18" t="s">
        <v>25</v>
      </c>
      <c r="F177" s="18" t="s">
        <v>26</v>
      </c>
      <c r="G177" s="18" t="s">
        <v>27</v>
      </c>
      <c r="H177" s="18" t="s">
        <v>106</v>
      </c>
      <c r="I177" s="20" t="str">
        <f ca="1">VLOOKUP($B177,Sheet1!$C$2:$AK$272,27,0)</f>
        <v>BÁO CÁO THỰC TẬP TỐT NGHIỆP</v>
      </c>
      <c r="J177" s="20" t="s">
        <v>22</v>
      </c>
      <c r="K177" s="20"/>
      <c r="L177" s="18" t="s">
        <v>252</v>
      </c>
      <c r="M177" s="18" t="s">
        <v>29</v>
      </c>
      <c r="N177" s="18" t="s">
        <v>626</v>
      </c>
      <c r="O177" s="15"/>
      <c r="P177" s="8"/>
      <c r="Q177" s="8"/>
    </row>
    <row r="178" spans="1:17" s="25" customFormat="1" ht="69.75" customHeight="1" x14ac:dyDescent="0.2">
      <c r="A178" s="21">
        <v>46055.564484780094</v>
      </c>
      <c r="B178" s="22">
        <v>28208105595</v>
      </c>
      <c r="C178" s="22" t="s">
        <v>627</v>
      </c>
      <c r="D178" s="22" t="s">
        <v>628</v>
      </c>
      <c r="E178" s="22" t="s">
        <v>83</v>
      </c>
      <c r="F178" s="22" t="s">
        <v>26</v>
      </c>
      <c r="G178" s="22" t="s">
        <v>27</v>
      </c>
      <c r="H178" s="22" t="s">
        <v>37</v>
      </c>
      <c r="I178" s="22" t="str">
        <f ca="1">VLOOKUP($B178,Sheet1!$C$2:$AK$272,27,0)</f>
        <v>BÁO CÁO THỰC TẬP TỐT NGHIỆP</v>
      </c>
      <c r="J178" s="22" t="s">
        <v>174</v>
      </c>
      <c r="K178" s="22" t="s">
        <v>773</v>
      </c>
      <c r="L178" s="22" t="s">
        <v>279</v>
      </c>
      <c r="M178" s="22" t="s">
        <v>29</v>
      </c>
      <c r="N178" s="22"/>
      <c r="O178" s="33"/>
      <c r="P178" s="24"/>
      <c r="Q178" s="24"/>
    </row>
    <row r="179" spans="1:17" ht="69.75" customHeight="1" x14ac:dyDescent="0.2">
      <c r="A179" s="17">
        <v>46053.791353969908</v>
      </c>
      <c r="B179" s="18">
        <v>28206841890</v>
      </c>
      <c r="C179" s="18" t="s">
        <v>629</v>
      </c>
      <c r="D179" s="19" t="s">
        <v>630</v>
      </c>
      <c r="E179" s="18" t="s">
        <v>34</v>
      </c>
      <c r="F179" s="18" t="s">
        <v>26</v>
      </c>
      <c r="G179" s="18" t="s">
        <v>27</v>
      </c>
      <c r="H179" s="18" t="s">
        <v>37</v>
      </c>
      <c r="I179" s="20" t="str">
        <f ca="1">VLOOKUP($B179,Sheet1!$C$2:$AK$272,27,0)</f>
        <v>BÁO CÁO THỰC TẬP TỐT NGHIỆP</v>
      </c>
      <c r="J179" s="20" t="s">
        <v>22</v>
      </c>
      <c r="K179" s="20"/>
      <c r="L179" s="18" t="s">
        <v>550</v>
      </c>
      <c r="M179" s="18" t="s">
        <v>29</v>
      </c>
      <c r="N179" s="18" t="s">
        <v>631</v>
      </c>
      <c r="O179" s="15"/>
      <c r="P179" s="8"/>
      <c r="Q179" s="8"/>
    </row>
    <row r="180" spans="1:17" ht="69.75" customHeight="1" x14ac:dyDescent="0.2">
      <c r="A180" s="17">
        <v>46053.797405694444</v>
      </c>
      <c r="B180" s="18">
        <v>25217102936</v>
      </c>
      <c r="C180" s="18" t="s">
        <v>632</v>
      </c>
      <c r="D180" s="18" t="s">
        <v>633</v>
      </c>
      <c r="E180" s="18" t="s">
        <v>634</v>
      </c>
      <c r="F180" s="18" t="s">
        <v>26</v>
      </c>
      <c r="G180" s="18" t="s">
        <v>520</v>
      </c>
      <c r="H180" s="18" t="s">
        <v>37</v>
      </c>
      <c r="I180" s="20" t="str">
        <f ca="1">VLOOKUP($B180,Sheet1!$C$2:$AK$272,27,0)</f>
        <v>BÁO CÁO THỰC TẬP TỐT NGHIỆP</v>
      </c>
      <c r="J180" s="20" t="s">
        <v>22</v>
      </c>
      <c r="K180" s="20"/>
      <c r="L180" s="18" t="s">
        <v>635</v>
      </c>
      <c r="M180" s="18" t="s">
        <v>29</v>
      </c>
      <c r="N180" s="18" t="s">
        <v>636</v>
      </c>
      <c r="O180" s="15"/>
      <c r="P180" s="8"/>
      <c r="Q180" s="8"/>
    </row>
    <row r="181" spans="1:17" ht="69.75" customHeight="1" x14ac:dyDescent="0.2">
      <c r="A181" s="17">
        <v>46054.540719988421</v>
      </c>
      <c r="B181" s="18">
        <v>28208148475</v>
      </c>
      <c r="C181" s="18" t="s">
        <v>637</v>
      </c>
      <c r="D181" s="18" t="s">
        <v>236</v>
      </c>
      <c r="E181" s="18" t="s">
        <v>25</v>
      </c>
      <c r="F181" s="18" t="s">
        <v>26</v>
      </c>
      <c r="G181" s="18" t="s">
        <v>27</v>
      </c>
      <c r="H181" s="18" t="s">
        <v>53</v>
      </c>
      <c r="I181" s="20" t="str">
        <f ca="1">VLOOKUP($B181,Sheet1!$C$2:$AK$272,27,0)</f>
        <v>KHÓA LUẬN</v>
      </c>
      <c r="J181" s="20" t="s">
        <v>22</v>
      </c>
      <c r="K181" s="20"/>
      <c r="L181" s="18" t="s">
        <v>638</v>
      </c>
      <c r="M181" s="18" t="s">
        <v>68</v>
      </c>
      <c r="N181" s="18" t="s">
        <v>639</v>
      </c>
      <c r="O181" s="15"/>
      <c r="P181" s="8"/>
      <c r="Q181" s="8"/>
    </row>
    <row r="182" spans="1:17" ht="69.75" customHeight="1" x14ac:dyDescent="0.2">
      <c r="A182" s="17">
        <v>46053.815939687498</v>
      </c>
      <c r="B182" s="18">
        <v>28206546317</v>
      </c>
      <c r="C182" s="18" t="s">
        <v>640</v>
      </c>
      <c r="D182" s="18" t="s">
        <v>641</v>
      </c>
      <c r="E182" s="18" t="s">
        <v>169</v>
      </c>
      <c r="F182" s="18" t="s">
        <v>26</v>
      </c>
      <c r="G182" s="18" t="s">
        <v>27</v>
      </c>
      <c r="H182" s="18" t="s">
        <v>106</v>
      </c>
      <c r="I182" s="20" t="str">
        <f ca="1">VLOOKUP($B182,Sheet1!$C$2:$AK$272,27,0)</f>
        <v>BÁO CÁO THỰC TẬP TỐT NGHIỆP</v>
      </c>
      <c r="J182" s="20" t="s">
        <v>768</v>
      </c>
      <c r="K182" s="18" t="s">
        <v>798</v>
      </c>
      <c r="L182" s="18" t="s">
        <v>35</v>
      </c>
      <c r="M182" s="18" t="s">
        <v>19</v>
      </c>
      <c r="N182" s="18" t="s">
        <v>798</v>
      </c>
      <c r="O182" s="15"/>
      <c r="P182" s="8"/>
      <c r="Q182" s="8"/>
    </row>
    <row r="183" spans="1:17" ht="69.75" customHeight="1" x14ac:dyDescent="0.2">
      <c r="A183" s="17">
        <v>46053.828485208331</v>
      </c>
      <c r="B183" s="18">
        <v>28218046280</v>
      </c>
      <c r="C183" s="18" t="s">
        <v>642</v>
      </c>
      <c r="D183" s="19" t="s">
        <v>111</v>
      </c>
      <c r="E183" s="18" t="s">
        <v>165</v>
      </c>
      <c r="F183" s="18" t="s">
        <v>26</v>
      </c>
      <c r="G183" s="18" t="s">
        <v>27</v>
      </c>
      <c r="H183" s="18" t="s">
        <v>37</v>
      </c>
      <c r="I183" s="20" t="str">
        <f ca="1">VLOOKUP($B183,Sheet1!$C$2:$AK$272,27,0)</f>
        <v>BÁO CÁO THỰC TẬP TỐT NGHIỆP</v>
      </c>
      <c r="J183" s="20" t="s">
        <v>22</v>
      </c>
      <c r="K183" s="20"/>
      <c r="L183" s="18" t="s">
        <v>643</v>
      </c>
      <c r="M183" s="18" t="s">
        <v>29</v>
      </c>
      <c r="N183" s="18" t="s">
        <v>644</v>
      </c>
      <c r="O183" s="15"/>
      <c r="P183" s="8"/>
      <c r="Q183" s="8"/>
    </row>
    <row r="184" spans="1:17" ht="69.75" customHeight="1" x14ac:dyDescent="0.2">
      <c r="A184" s="17">
        <v>46053.825928969905</v>
      </c>
      <c r="B184" s="18">
        <v>24217104921</v>
      </c>
      <c r="C184" s="18" t="s">
        <v>645</v>
      </c>
      <c r="D184" s="18" t="s">
        <v>646</v>
      </c>
      <c r="E184" s="18" t="s">
        <v>647</v>
      </c>
      <c r="F184" s="18" t="s">
        <v>26</v>
      </c>
      <c r="G184" s="18" t="s">
        <v>17</v>
      </c>
      <c r="H184" s="18" t="s">
        <v>37</v>
      </c>
      <c r="I184" s="20" t="str">
        <f ca="1">VLOOKUP($B184,Sheet1!$C$2:$AK$272,27,0)</f>
        <v>BÁO CÁO THỰC TẬP TỐT NGHIỆP</v>
      </c>
      <c r="J184" s="20" t="s">
        <v>22</v>
      </c>
      <c r="K184" s="20"/>
      <c r="L184" s="18" t="s">
        <v>643</v>
      </c>
      <c r="M184" s="18" t="s">
        <v>29</v>
      </c>
      <c r="N184" s="18" t="s">
        <v>648</v>
      </c>
      <c r="O184" s="15"/>
      <c r="P184" s="8"/>
      <c r="Q184" s="8"/>
    </row>
    <row r="185" spans="1:17" ht="69.75" customHeight="1" x14ac:dyDescent="0.2">
      <c r="A185" s="17">
        <v>46053.82828238426</v>
      </c>
      <c r="B185" s="18">
        <v>28208052913</v>
      </c>
      <c r="C185" s="18" t="s">
        <v>649</v>
      </c>
      <c r="D185" s="18" t="s">
        <v>650</v>
      </c>
      <c r="E185" s="18" t="s">
        <v>34</v>
      </c>
      <c r="F185" s="18" t="s">
        <v>26</v>
      </c>
      <c r="G185" s="18" t="s">
        <v>27</v>
      </c>
      <c r="H185" s="18" t="s">
        <v>37</v>
      </c>
      <c r="I185" s="20" t="str">
        <f ca="1">VLOOKUP($B185,Sheet1!$C$2:$AK$272,27,0)</f>
        <v>BÁO CÁO THỰC TẬP TỐT NGHIỆP</v>
      </c>
      <c r="J185" s="20" t="s">
        <v>22</v>
      </c>
      <c r="K185" s="20"/>
      <c r="L185" s="18" t="s">
        <v>279</v>
      </c>
      <c r="M185" s="18" t="s">
        <v>29</v>
      </c>
      <c r="N185" s="18" t="s">
        <v>651</v>
      </c>
      <c r="O185" s="15"/>
      <c r="P185" s="8"/>
      <c r="Q185" s="8"/>
    </row>
    <row r="186" spans="1:17" ht="69.75" customHeight="1" x14ac:dyDescent="0.2">
      <c r="A186" s="17">
        <v>46053.839033587967</v>
      </c>
      <c r="B186" s="18">
        <v>28208005640</v>
      </c>
      <c r="C186" s="18" t="s">
        <v>652</v>
      </c>
      <c r="D186" s="18" t="s">
        <v>653</v>
      </c>
      <c r="E186" s="18" t="s">
        <v>165</v>
      </c>
      <c r="F186" s="18" t="s">
        <v>26</v>
      </c>
      <c r="G186" s="18" t="s">
        <v>27</v>
      </c>
      <c r="H186" s="18" t="s">
        <v>37</v>
      </c>
      <c r="I186" s="20" t="str">
        <f ca="1">VLOOKUP($B186,Sheet1!$C$2:$AK$272,27,0)</f>
        <v>BÁO CÁO THỰC TẬP TỐT NGHIỆP</v>
      </c>
      <c r="J186" s="20" t="s">
        <v>22</v>
      </c>
      <c r="K186" s="20"/>
      <c r="L186" s="18" t="s">
        <v>643</v>
      </c>
      <c r="M186" s="18" t="s">
        <v>29</v>
      </c>
      <c r="N186" s="18" t="s">
        <v>654</v>
      </c>
      <c r="O186" s="15"/>
      <c r="P186" s="8"/>
      <c r="Q186" s="8"/>
    </row>
    <row r="187" spans="1:17" ht="69.75" customHeight="1" x14ac:dyDescent="0.2">
      <c r="A187" s="17">
        <v>46053.884457222222</v>
      </c>
      <c r="B187" s="18">
        <v>28208004373</v>
      </c>
      <c r="C187" s="18" t="s">
        <v>655</v>
      </c>
      <c r="D187" s="18" t="s">
        <v>656</v>
      </c>
      <c r="E187" s="18" t="s">
        <v>40</v>
      </c>
      <c r="F187" s="18" t="s">
        <v>26</v>
      </c>
      <c r="G187" s="18" t="s">
        <v>27</v>
      </c>
      <c r="H187" s="18" t="s">
        <v>31</v>
      </c>
      <c r="I187" s="20" t="str">
        <f ca="1">VLOOKUP($B187,Sheet1!$C$2:$AK$272,27,0)</f>
        <v>BÁO CÁO THỰC TẬP TỐT NGHIỆP</v>
      </c>
      <c r="J187" s="20" t="s">
        <v>22</v>
      </c>
      <c r="K187" s="20"/>
      <c r="L187" s="18" t="s">
        <v>657</v>
      </c>
      <c r="M187" s="18" t="s">
        <v>29</v>
      </c>
      <c r="N187" s="18" t="s">
        <v>658</v>
      </c>
      <c r="O187" s="15"/>
      <c r="P187" s="8"/>
      <c r="Q187" s="8"/>
    </row>
    <row r="188" spans="1:17" ht="69.75" customHeight="1" x14ac:dyDescent="0.2">
      <c r="A188" s="17">
        <v>46055.709863530094</v>
      </c>
      <c r="B188" s="18">
        <v>26217134132</v>
      </c>
      <c r="C188" s="18" t="s">
        <v>659</v>
      </c>
      <c r="D188" s="18" t="s">
        <v>660</v>
      </c>
      <c r="E188" s="18" t="s">
        <v>661</v>
      </c>
      <c r="F188" s="18" t="s">
        <v>26</v>
      </c>
      <c r="G188" s="18" t="s">
        <v>520</v>
      </c>
      <c r="H188" s="18" t="s">
        <v>139</v>
      </c>
      <c r="I188" s="20" t="str">
        <f ca="1">VLOOKUP($B188,Sheet1!$C$2:$AK$272,27,0)</f>
        <v>BÁO CÁO THỰC TẬP TỐT NGHIỆP</v>
      </c>
      <c r="J188" s="20" t="s">
        <v>22</v>
      </c>
      <c r="K188" s="20"/>
      <c r="L188" s="18" t="s">
        <v>601</v>
      </c>
      <c r="M188" s="18" t="s">
        <v>29</v>
      </c>
      <c r="N188" s="18" t="s">
        <v>780</v>
      </c>
      <c r="O188" s="15"/>
      <c r="P188" s="8"/>
      <c r="Q188" s="8"/>
    </row>
    <row r="189" spans="1:17" ht="69.75" customHeight="1" x14ac:dyDescent="0.2">
      <c r="A189" s="17">
        <v>46053.974863842595</v>
      </c>
      <c r="B189" s="18">
        <v>28208303439</v>
      </c>
      <c r="C189" s="18" t="s">
        <v>662</v>
      </c>
      <c r="D189" s="18" t="s">
        <v>663</v>
      </c>
      <c r="E189" s="18" t="s">
        <v>157</v>
      </c>
      <c r="F189" s="18" t="s">
        <v>158</v>
      </c>
      <c r="G189" s="18" t="s">
        <v>27</v>
      </c>
      <c r="H189" s="18" t="s">
        <v>160</v>
      </c>
      <c r="I189" s="20" t="str">
        <f ca="1">VLOOKUP($B189,Sheet1!$C$2:$AK$272,27,0)</f>
        <v>KHÓA LUẬN</v>
      </c>
      <c r="J189" s="20" t="s">
        <v>22</v>
      </c>
      <c r="K189" s="20"/>
      <c r="L189" s="18" t="s">
        <v>181</v>
      </c>
      <c r="M189" s="18" t="s">
        <v>29</v>
      </c>
      <c r="N189" s="18" t="s">
        <v>664</v>
      </c>
      <c r="O189" s="15"/>
      <c r="P189" s="8"/>
      <c r="Q189" s="8"/>
    </row>
    <row r="190" spans="1:17" ht="69.75" customHeight="1" x14ac:dyDescent="0.2">
      <c r="A190" s="17">
        <v>46055.64782726852</v>
      </c>
      <c r="B190" s="18">
        <v>26217130366</v>
      </c>
      <c r="C190" s="18" t="s">
        <v>665</v>
      </c>
      <c r="D190" s="18" t="s">
        <v>666</v>
      </c>
      <c r="E190" s="18" t="s">
        <v>667</v>
      </c>
      <c r="F190" s="18" t="s">
        <v>16</v>
      </c>
      <c r="G190" s="18" t="s">
        <v>520</v>
      </c>
      <c r="H190" s="18" t="s">
        <v>31</v>
      </c>
      <c r="I190" s="20" t="str">
        <f ca="1">VLOOKUP($B190,Sheet1!$C$2:$AK$272,27,0)</f>
        <v>BÁO CÁO THỰC TẬP TỐT NGHIỆP</v>
      </c>
      <c r="J190" s="20" t="s">
        <v>22</v>
      </c>
      <c r="K190" s="20"/>
      <c r="L190" s="18" t="s">
        <v>96</v>
      </c>
      <c r="M190" s="18" t="s">
        <v>29</v>
      </c>
      <c r="N190" s="18" t="s">
        <v>668</v>
      </c>
      <c r="O190" s="15"/>
      <c r="P190" s="8"/>
      <c r="Q190" s="8"/>
    </row>
    <row r="191" spans="1:17" ht="69.75" customHeight="1" x14ac:dyDescent="0.2">
      <c r="A191" s="17">
        <v>46054.380846608794</v>
      </c>
      <c r="B191" s="18">
        <v>28208006569</v>
      </c>
      <c r="C191" s="18" t="s">
        <v>669</v>
      </c>
      <c r="D191" s="18" t="s">
        <v>621</v>
      </c>
      <c r="E191" s="18" t="s">
        <v>123</v>
      </c>
      <c r="F191" s="18" t="s">
        <v>26</v>
      </c>
      <c r="G191" s="18" t="s">
        <v>27</v>
      </c>
      <c r="H191" s="18" t="s">
        <v>75</v>
      </c>
      <c r="I191" s="20" t="str">
        <f ca="1">VLOOKUP($B191,Sheet1!$C$2:$AK$272,27,0)</f>
        <v>BÁO CÁO THỰC TẬP TỐT NGHIỆP</v>
      </c>
      <c r="J191" s="20" t="s">
        <v>22</v>
      </c>
      <c r="K191" s="20"/>
      <c r="L191" s="18" t="s">
        <v>41</v>
      </c>
      <c r="M191" s="18" t="s">
        <v>68</v>
      </c>
      <c r="N191" s="18" t="s">
        <v>670</v>
      </c>
      <c r="O191" s="15"/>
      <c r="P191" s="8"/>
      <c r="Q191" s="8"/>
    </row>
    <row r="192" spans="1:17" ht="69.75" customHeight="1" x14ac:dyDescent="0.2">
      <c r="A192" s="17">
        <v>46054.481552372687</v>
      </c>
      <c r="B192" s="18">
        <v>28208000084</v>
      </c>
      <c r="C192" s="18" t="s">
        <v>671</v>
      </c>
      <c r="D192" s="18" t="s">
        <v>481</v>
      </c>
      <c r="E192" s="18" t="s">
        <v>180</v>
      </c>
      <c r="F192" s="18" t="s">
        <v>26</v>
      </c>
      <c r="G192" s="18" t="s">
        <v>27</v>
      </c>
      <c r="H192" s="18" t="s">
        <v>37</v>
      </c>
      <c r="I192" s="20" t="str">
        <f ca="1">VLOOKUP($B192,Sheet1!$C$2:$AK$272,27,0)</f>
        <v>BÁO CÁO THỰC TẬP TỐT NGHIỆP</v>
      </c>
      <c r="J192" s="20" t="s">
        <v>22</v>
      </c>
      <c r="K192" s="20"/>
      <c r="L192" s="18" t="s">
        <v>360</v>
      </c>
      <c r="M192" s="18" t="s">
        <v>29</v>
      </c>
      <c r="N192" s="18" t="s">
        <v>672</v>
      </c>
      <c r="O192" s="15"/>
      <c r="P192" s="8"/>
      <c r="Q192" s="8"/>
    </row>
    <row r="193" spans="1:17" ht="69.75" customHeight="1" x14ac:dyDescent="0.2">
      <c r="A193" s="17">
        <v>46054.482471192125</v>
      </c>
      <c r="B193" s="18">
        <v>28208140048</v>
      </c>
      <c r="C193" s="18" t="s">
        <v>673</v>
      </c>
      <c r="D193" s="18" t="s">
        <v>674</v>
      </c>
      <c r="E193" s="18" t="s">
        <v>189</v>
      </c>
      <c r="F193" s="18" t="s">
        <v>26</v>
      </c>
      <c r="G193" s="18" t="s">
        <v>27</v>
      </c>
      <c r="H193" s="18" t="s">
        <v>37</v>
      </c>
      <c r="I193" s="20" t="str">
        <f ca="1">VLOOKUP($B193,Sheet1!$C$2:$AK$272,27,0)</f>
        <v>BÁO CÁO THỰC TẬP TỐT NGHIỆP</v>
      </c>
      <c r="J193" s="20" t="s">
        <v>22</v>
      </c>
      <c r="K193" s="20"/>
      <c r="L193" s="18" t="s">
        <v>360</v>
      </c>
      <c r="M193" s="18" t="s">
        <v>29</v>
      </c>
      <c r="N193" s="18" t="s">
        <v>675</v>
      </c>
      <c r="O193" s="15"/>
      <c r="P193" s="8"/>
      <c r="Q193" s="8"/>
    </row>
    <row r="194" spans="1:17" ht="69.75" customHeight="1" x14ac:dyDescent="0.2">
      <c r="A194" s="17">
        <v>46054.494077870375</v>
      </c>
      <c r="B194" s="18">
        <v>28208100741</v>
      </c>
      <c r="C194" s="18" t="s">
        <v>676</v>
      </c>
      <c r="D194" s="18" t="s">
        <v>677</v>
      </c>
      <c r="E194" s="18" t="s">
        <v>34</v>
      </c>
      <c r="F194" s="18" t="s">
        <v>26</v>
      </c>
      <c r="G194" s="18" t="s">
        <v>27</v>
      </c>
      <c r="H194" s="18" t="s">
        <v>37</v>
      </c>
      <c r="I194" s="20" t="str">
        <f ca="1">VLOOKUP($B194,Sheet1!$C$2:$AK$272,27,0)</f>
        <v>BÁO CÁO THỰC TẬP TỐT NGHIỆP</v>
      </c>
      <c r="J194" s="20" t="s">
        <v>22</v>
      </c>
      <c r="K194" s="20"/>
      <c r="L194" s="18" t="s">
        <v>360</v>
      </c>
      <c r="M194" s="18" t="s">
        <v>29</v>
      </c>
      <c r="N194" s="18" t="s">
        <v>678</v>
      </c>
      <c r="O194" s="15"/>
      <c r="P194" s="8"/>
      <c r="Q194" s="8"/>
    </row>
    <row r="195" spans="1:17" ht="69.75" customHeight="1" x14ac:dyDescent="0.2">
      <c r="A195" s="17">
        <v>46054.558175439815</v>
      </c>
      <c r="B195" s="18">
        <v>28218054700</v>
      </c>
      <c r="C195" s="18" t="s">
        <v>679</v>
      </c>
      <c r="D195" s="18" t="s">
        <v>680</v>
      </c>
      <c r="E195" s="18" t="s">
        <v>681</v>
      </c>
      <c r="F195" s="18" t="s">
        <v>26</v>
      </c>
      <c r="G195" s="18" t="s">
        <v>27</v>
      </c>
      <c r="H195" s="18" t="s">
        <v>21</v>
      </c>
      <c r="I195" s="20" t="str">
        <f ca="1">VLOOKUP($B195,Sheet1!$C$2:$AK$272,27,0)</f>
        <v>BÁO CÁO THỰC TẬP TỐT NGHIỆP</v>
      </c>
      <c r="J195" s="20" t="s">
        <v>22</v>
      </c>
      <c r="K195" s="20"/>
      <c r="L195" s="18" t="s">
        <v>56</v>
      </c>
      <c r="M195" s="18" t="s">
        <v>29</v>
      </c>
      <c r="N195" s="18" t="s">
        <v>682</v>
      </c>
      <c r="O195" s="15"/>
      <c r="P195" s="8"/>
      <c r="Q195" s="8"/>
    </row>
    <row r="196" spans="1:17" ht="69.75" customHeight="1" x14ac:dyDescent="0.2">
      <c r="A196" s="17">
        <v>46054.564196354171</v>
      </c>
      <c r="B196" s="18">
        <v>28218003890</v>
      </c>
      <c r="C196" s="18" t="s">
        <v>683</v>
      </c>
      <c r="D196" s="18" t="s">
        <v>684</v>
      </c>
      <c r="E196" s="18" t="s">
        <v>83</v>
      </c>
      <c r="F196" s="18" t="s">
        <v>26</v>
      </c>
      <c r="G196" s="18" t="s">
        <v>27</v>
      </c>
      <c r="H196" s="18" t="s">
        <v>21</v>
      </c>
      <c r="I196" s="20" t="str">
        <f ca="1">VLOOKUP($B196,Sheet1!$C$2:$AK$272,27,0)</f>
        <v>BÁO CÁO THỰC TẬP TỐT NGHIỆP</v>
      </c>
      <c r="J196" s="20" t="s">
        <v>22</v>
      </c>
      <c r="K196" s="20"/>
      <c r="L196" s="18" t="s">
        <v>56</v>
      </c>
      <c r="M196" s="18" t="s">
        <v>29</v>
      </c>
      <c r="N196" s="18" t="s">
        <v>685</v>
      </c>
      <c r="O196" s="15"/>
      <c r="P196" s="8"/>
      <c r="Q196" s="8"/>
    </row>
    <row r="197" spans="1:17" ht="69.75" customHeight="1" x14ac:dyDescent="0.2">
      <c r="A197" s="17">
        <v>46054.614438761579</v>
      </c>
      <c r="B197" s="18">
        <v>28204604095</v>
      </c>
      <c r="C197" s="18" t="s">
        <v>686</v>
      </c>
      <c r="D197" s="19" t="s">
        <v>687</v>
      </c>
      <c r="E197" s="18" t="s">
        <v>189</v>
      </c>
      <c r="F197" s="18" t="s">
        <v>26</v>
      </c>
      <c r="G197" s="18" t="s">
        <v>27</v>
      </c>
      <c r="H197" s="18" t="s">
        <v>21</v>
      </c>
      <c r="I197" s="20" t="str">
        <f ca="1">VLOOKUP($B197,Sheet1!$C$2:$AK$272,27,0)</f>
        <v>BÁO CÁO THỰC TẬP TỐT NGHIỆP</v>
      </c>
      <c r="J197" s="20" t="s">
        <v>22</v>
      </c>
      <c r="K197" s="20"/>
      <c r="L197" s="18" t="s">
        <v>424</v>
      </c>
      <c r="M197" s="18" t="s">
        <v>29</v>
      </c>
      <c r="N197" s="18" t="s">
        <v>688</v>
      </c>
      <c r="O197" s="15"/>
      <c r="P197" s="8"/>
      <c r="Q197" s="8"/>
    </row>
    <row r="198" spans="1:17" ht="69.75" customHeight="1" x14ac:dyDescent="0.2">
      <c r="A198" s="17">
        <v>46054.676956030089</v>
      </c>
      <c r="B198" s="18">
        <v>28206254569</v>
      </c>
      <c r="C198" s="18" t="s">
        <v>689</v>
      </c>
      <c r="D198" s="18" t="s">
        <v>690</v>
      </c>
      <c r="E198" s="18" t="s">
        <v>78</v>
      </c>
      <c r="F198" s="18" t="s">
        <v>16</v>
      </c>
      <c r="G198" s="18" t="s">
        <v>27</v>
      </c>
      <c r="H198" s="18" t="s">
        <v>75</v>
      </c>
      <c r="I198" s="20" t="str">
        <f ca="1">VLOOKUP($B198,Sheet1!$C$2:$AK$272,27,0)</f>
        <v>BÁO CÁO THỰC TẬP TỐT NGHIỆP</v>
      </c>
      <c r="J198" s="20" t="s">
        <v>22</v>
      </c>
      <c r="K198" s="20"/>
      <c r="L198" s="18" t="s">
        <v>207</v>
      </c>
      <c r="M198" s="18" t="s">
        <v>68</v>
      </c>
      <c r="N198" s="18" t="s">
        <v>691</v>
      </c>
      <c r="O198" s="15"/>
      <c r="P198" s="8"/>
      <c r="Q198" s="8"/>
    </row>
    <row r="199" spans="1:17" ht="69.75" customHeight="1" x14ac:dyDescent="0.2">
      <c r="A199" s="17">
        <v>46054.687073611116</v>
      </c>
      <c r="B199" s="18">
        <v>27207139637</v>
      </c>
      <c r="C199" s="18" t="s">
        <v>692</v>
      </c>
      <c r="D199" s="18" t="s">
        <v>693</v>
      </c>
      <c r="E199" s="18" t="s">
        <v>40</v>
      </c>
      <c r="F199" s="18" t="s">
        <v>26</v>
      </c>
      <c r="G199" s="18" t="s">
        <v>27</v>
      </c>
      <c r="H199" s="18" t="s">
        <v>31</v>
      </c>
      <c r="I199" s="20" t="str">
        <f ca="1">VLOOKUP($B199,Sheet1!$C$2:$AK$272,27,0)</f>
        <v>BÁO CÁO THỰC TẬP TỐT NGHIỆP</v>
      </c>
      <c r="J199" s="20" t="s">
        <v>22</v>
      </c>
      <c r="K199" s="20"/>
      <c r="L199" s="18" t="s">
        <v>781</v>
      </c>
      <c r="M199" s="18" t="s">
        <v>29</v>
      </c>
      <c r="N199" s="18" t="s">
        <v>694</v>
      </c>
      <c r="O199" s="15"/>
      <c r="P199" s="8"/>
      <c r="Q199" s="8"/>
    </row>
    <row r="200" spans="1:17" ht="69.75" customHeight="1" x14ac:dyDescent="0.2">
      <c r="A200" s="17">
        <v>46054.734475532408</v>
      </c>
      <c r="B200" s="18">
        <v>28208004114</v>
      </c>
      <c r="C200" s="18" t="s">
        <v>695</v>
      </c>
      <c r="D200" s="18" t="s">
        <v>696</v>
      </c>
      <c r="E200" s="18" t="s">
        <v>180</v>
      </c>
      <c r="F200" s="18" t="s">
        <v>26</v>
      </c>
      <c r="G200" s="18" t="s">
        <v>27</v>
      </c>
      <c r="H200" s="18" t="s">
        <v>37</v>
      </c>
      <c r="I200" s="20" t="str">
        <f ca="1">VLOOKUP($B200,Sheet1!$C$2:$AK$272,27,0)</f>
        <v>BÁO CÁO THỰC TẬP TỐT NGHIỆP</v>
      </c>
      <c r="J200" s="20" t="s">
        <v>22</v>
      </c>
      <c r="K200" s="20"/>
      <c r="L200" s="18" t="s">
        <v>360</v>
      </c>
      <c r="M200" s="18" t="s">
        <v>29</v>
      </c>
      <c r="N200" s="18" t="s">
        <v>697</v>
      </c>
      <c r="O200" s="15"/>
      <c r="P200" s="8"/>
      <c r="Q200" s="8"/>
    </row>
    <row r="201" spans="1:17" ht="69.75" customHeight="1" x14ac:dyDescent="0.2">
      <c r="A201" s="17">
        <v>46054.998539247681</v>
      </c>
      <c r="B201" s="18">
        <v>28218004763</v>
      </c>
      <c r="C201" s="18" t="s">
        <v>698</v>
      </c>
      <c r="D201" s="18" t="s">
        <v>699</v>
      </c>
      <c r="E201" s="18" t="s">
        <v>700</v>
      </c>
      <c r="F201" s="18" t="s">
        <v>26</v>
      </c>
      <c r="G201" s="18" t="s">
        <v>27</v>
      </c>
      <c r="H201" s="18" t="s">
        <v>491</v>
      </c>
      <c r="I201" s="20" t="str">
        <f ca="1">VLOOKUP($B201,Sheet1!$C$2:$AK$272,27,0)</f>
        <v>BÁO CÁO THỰC TẬP TỐT NGHIỆP</v>
      </c>
      <c r="J201" s="20" t="s">
        <v>22</v>
      </c>
      <c r="K201" s="20"/>
      <c r="L201" s="18" t="s">
        <v>701</v>
      </c>
      <c r="M201" s="18" t="s">
        <v>702</v>
      </c>
      <c r="N201" s="18" t="s">
        <v>797</v>
      </c>
      <c r="O201" s="15"/>
      <c r="P201" s="8"/>
      <c r="Q201" s="8"/>
    </row>
    <row r="202" spans="1:17" ht="69.75" customHeight="1" x14ac:dyDescent="0.2">
      <c r="A202" s="17">
        <v>46054.874451354168</v>
      </c>
      <c r="B202" s="18">
        <v>28208053626</v>
      </c>
      <c r="C202" s="18" t="s">
        <v>703</v>
      </c>
      <c r="D202" s="19" t="s">
        <v>213</v>
      </c>
      <c r="E202" s="18" t="s">
        <v>123</v>
      </c>
      <c r="F202" s="18" t="s">
        <v>26</v>
      </c>
      <c r="G202" s="18" t="s">
        <v>27</v>
      </c>
      <c r="H202" s="18" t="s">
        <v>75</v>
      </c>
      <c r="I202" s="20" t="str">
        <f ca="1">VLOOKUP($B202,Sheet1!$C$2:$AK$272,27,0)</f>
        <v>BÁO CÁO THỰC TẬP TỐT NGHIỆP</v>
      </c>
      <c r="J202" s="20" t="s">
        <v>22</v>
      </c>
      <c r="K202" s="20"/>
      <c r="L202" s="18" t="s">
        <v>63</v>
      </c>
      <c r="M202" s="18" t="s">
        <v>68</v>
      </c>
      <c r="N202" s="18" t="s">
        <v>782</v>
      </c>
      <c r="O202" s="15"/>
      <c r="P202" s="8"/>
      <c r="Q202" s="8"/>
    </row>
    <row r="203" spans="1:17" ht="69.75" customHeight="1" x14ac:dyDescent="0.2">
      <c r="A203" s="17">
        <v>46054.906963113426</v>
      </c>
      <c r="B203" s="18">
        <v>28218004225</v>
      </c>
      <c r="C203" s="18" t="s">
        <v>704</v>
      </c>
      <c r="D203" s="18" t="s">
        <v>705</v>
      </c>
      <c r="E203" s="18" t="s">
        <v>706</v>
      </c>
      <c r="F203" s="18" t="s">
        <v>16</v>
      </c>
      <c r="G203" s="18" t="s">
        <v>27</v>
      </c>
      <c r="H203" s="18" t="s">
        <v>75</v>
      </c>
      <c r="I203" s="20" t="str">
        <f ca="1">VLOOKUP($B203,Sheet1!$C$2:$AK$272,27,0)</f>
        <v>BÁO CÁO THỰC TẬP TỐT NGHIỆP</v>
      </c>
      <c r="J203" s="20" t="s">
        <v>22</v>
      </c>
      <c r="K203" s="20"/>
      <c r="L203" s="18" t="s">
        <v>207</v>
      </c>
      <c r="M203" s="18" t="s">
        <v>68</v>
      </c>
      <c r="N203" s="18" t="s">
        <v>707</v>
      </c>
      <c r="O203" s="15"/>
      <c r="P203" s="8"/>
      <c r="Q203" s="8"/>
    </row>
    <row r="204" spans="1:17" ht="69.75" customHeight="1" x14ac:dyDescent="0.2">
      <c r="A204" s="17">
        <v>46054.909167662037</v>
      </c>
      <c r="B204" s="18">
        <v>28218025488</v>
      </c>
      <c r="C204" s="18" t="s">
        <v>708</v>
      </c>
      <c r="D204" s="18" t="s">
        <v>450</v>
      </c>
      <c r="E204" s="18" t="s">
        <v>397</v>
      </c>
      <c r="F204" s="18" t="s">
        <v>16</v>
      </c>
      <c r="G204" s="18" t="s">
        <v>27</v>
      </c>
      <c r="H204" s="18" t="s">
        <v>75</v>
      </c>
      <c r="I204" s="20" t="str">
        <f ca="1">VLOOKUP($B204,Sheet1!$C$2:$AK$272,27,0)</f>
        <v>BÁO CÁO THỰC TẬP TỐT NGHIỆP</v>
      </c>
      <c r="J204" s="20" t="s">
        <v>22</v>
      </c>
      <c r="K204" s="20"/>
      <c r="L204" s="18" t="s">
        <v>207</v>
      </c>
      <c r="M204" s="18" t="s">
        <v>68</v>
      </c>
      <c r="N204" s="18" t="s">
        <v>398</v>
      </c>
      <c r="O204" s="15"/>
      <c r="P204" s="8"/>
      <c r="Q204" s="8"/>
    </row>
    <row r="205" spans="1:17" s="25" customFormat="1" ht="69.75" customHeight="1" x14ac:dyDescent="0.2">
      <c r="A205" s="21">
        <v>46055.732389143523</v>
      </c>
      <c r="B205" s="22">
        <v>28208006659</v>
      </c>
      <c r="C205" s="22" t="s">
        <v>709</v>
      </c>
      <c r="D205" s="23" t="s">
        <v>710</v>
      </c>
      <c r="E205" s="22" t="s">
        <v>34</v>
      </c>
      <c r="F205" s="22" t="s">
        <v>26</v>
      </c>
      <c r="G205" s="22" t="s">
        <v>27</v>
      </c>
      <c r="H205" s="22" t="s">
        <v>21</v>
      </c>
      <c r="I205" s="22" t="str">
        <f ca="1">VLOOKUP($B205,Sheet1!$C$2:$AK$272,27,0)</f>
        <v>BÁO CÁO THỰC TẬP TỐT NGHIỆP</v>
      </c>
      <c r="J205" s="22" t="s">
        <v>174</v>
      </c>
      <c r="K205" s="22" t="s">
        <v>761</v>
      </c>
      <c r="L205" s="22" t="s">
        <v>657</v>
      </c>
      <c r="M205" s="22" t="s">
        <v>29</v>
      </c>
      <c r="N205" s="22"/>
      <c r="O205" s="33"/>
      <c r="P205" s="24"/>
      <c r="Q205" s="24"/>
    </row>
    <row r="206" spans="1:17" ht="69.75" customHeight="1" x14ac:dyDescent="0.2">
      <c r="A206" s="17">
        <v>46055.433068634258</v>
      </c>
      <c r="B206" s="18">
        <v>28207237757</v>
      </c>
      <c r="C206" s="18" t="s">
        <v>711</v>
      </c>
      <c r="D206" s="19" t="s">
        <v>440</v>
      </c>
      <c r="E206" s="18" t="s">
        <v>553</v>
      </c>
      <c r="F206" s="18" t="s">
        <v>158</v>
      </c>
      <c r="G206" s="18" t="s">
        <v>27</v>
      </c>
      <c r="H206" s="18" t="s">
        <v>713</v>
      </c>
      <c r="I206" s="20" t="str">
        <f ca="1">VLOOKUP($B206,Sheet1!$C$2:$AK$272,27,0)</f>
        <v>KHÓA LUẬN</v>
      </c>
      <c r="J206" s="20" t="s">
        <v>22</v>
      </c>
      <c r="K206" s="20"/>
      <c r="L206" s="18" t="s">
        <v>207</v>
      </c>
      <c r="M206" s="18" t="s">
        <v>29</v>
      </c>
      <c r="N206" s="18" t="s">
        <v>712</v>
      </c>
      <c r="O206" s="15"/>
      <c r="P206" s="8"/>
      <c r="Q206" s="8"/>
    </row>
    <row r="207" spans="1:17" ht="69.75" customHeight="1" x14ac:dyDescent="0.2">
      <c r="A207" s="17">
        <v>46055.41548221065</v>
      </c>
      <c r="B207" s="18">
        <v>28203502896</v>
      </c>
      <c r="C207" s="18" t="s">
        <v>714</v>
      </c>
      <c r="D207" s="18" t="s">
        <v>715</v>
      </c>
      <c r="E207" s="18" t="s">
        <v>157</v>
      </c>
      <c r="F207" s="18" t="s">
        <v>158</v>
      </c>
      <c r="G207" s="18" t="s">
        <v>27</v>
      </c>
      <c r="H207" s="18" t="s">
        <v>713</v>
      </c>
      <c r="I207" s="20" t="str">
        <f ca="1">VLOOKUP($B207,Sheet1!$C$2:$AK$272,27,0)</f>
        <v>KHÓA LUẬN</v>
      </c>
      <c r="J207" s="20" t="s">
        <v>174</v>
      </c>
      <c r="K207" s="20" t="s">
        <v>770</v>
      </c>
      <c r="L207" s="18" t="s">
        <v>207</v>
      </c>
      <c r="M207" s="18" t="s">
        <v>153</v>
      </c>
      <c r="N207" s="20" t="s">
        <v>770</v>
      </c>
      <c r="O207" s="15"/>
      <c r="P207" s="8"/>
      <c r="Q207" s="8"/>
    </row>
    <row r="208" spans="1:17" ht="69.75" customHeight="1" x14ac:dyDescent="0.2">
      <c r="A208" s="17">
        <v>46055.033688784722</v>
      </c>
      <c r="B208" s="18">
        <v>28208047873</v>
      </c>
      <c r="C208" s="18" t="s">
        <v>716</v>
      </c>
      <c r="D208" s="18" t="s">
        <v>717</v>
      </c>
      <c r="E208" s="18" t="s">
        <v>34</v>
      </c>
      <c r="F208" s="18" t="s">
        <v>26</v>
      </c>
      <c r="G208" s="18" t="s">
        <v>27</v>
      </c>
      <c r="H208" s="18" t="s">
        <v>106</v>
      </c>
      <c r="I208" s="20" t="str">
        <f ca="1">VLOOKUP($B208,Sheet1!$C$2:$AK$272,27,0)</f>
        <v>BÁO CÁO THỰC TẬP TỐT NGHIỆP</v>
      </c>
      <c r="J208" s="20" t="s">
        <v>22</v>
      </c>
      <c r="K208" s="20"/>
      <c r="L208" s="18" t="s">
        <v>252</v>
      </c>
      <c r="M208" s="18" t="s">
        <v>29</v>
      </c>
      <c r="N208" s="18" t="s">
        <v>718</v>
      </c>
      <c r="O208" s="15"/>
      <c r="P208" s="8"/>
      <c r="Q208" s="8"/>
    </row>
    <row r="209" spans="1:17" ht="69.75" customHeight="1" x14ac:dyDescent="0.2">
      <c r="A209" s="17">
        <v>46055.918025034727</v>
      </c>
      <c r="B209" s="18">
        <v>28208306063</v>
      </c>
      <c r="C209" s="18" t="s">
        <v>719</v>
      </c>
      <c r="D209" s="18" t="s">
        <v>173</v>
      </c>
      <c r="E209" s="18" t="s">
        <v>157</v>
      </c>
      <c r="F209" s="18" t="s">
        <v>158</v>
      </c>
      <c r="G209" s="18" t="s">
        <v>27</v>
      </c>
      <c r="H209" s="18" t="s">
        <v>713</v>
      </c>
      <c r="I209" s="20" t="str">
        <f ca="1">VLOOKUP($B209,Sheet1!$C$2:$AK$272,27,0)</f>
        <v>KHÓA LUẬN</v>
      </c>
      <c r="J209" s="20" t="s">
        <v>161</v>
      </c>
      <c r="K209" s="20" t="s">
        <v>758</v>
      </c>
      <c r="L209" s="18" t="s">
        <v>720</v>
      </c>
      <c r="M209" s="18" t="s">
        <v>29</v>
      </c>
      <c r="N209" s="20" t="s">
        <v>758</v>
      </c>
      <c r="O209" s="15"/>
      <c r="P209" s="8"/>
      <c r="Q209" s="8"/>
    </row>
    <row r="210" spans="1:17" ht="69.75" customHeight="1" x14ac:dyDescent="0.2">
      <c r="A210" s="17">
        <v>46055.206731886574</v>
      </c>
      <c r="B210" s="18">
        <v>28208151401</v>
      </c>
      <c r="C210" s="18" t="s">
        <v>721</v>
      </c>
      <c r="D210" s="18" t="s">
        <v>722</v>
      </c>
      <c r="E210" s="18" t="s">
        <v>157</v>
      </c>
      <c r="F210" s="18" t="s">
        <v>158</v>
      </c>
      <c r="G210" s="18" t="s">
        <v>27</v>
      </c>
      <c r="H210" s="18" t="s">
        <v>713</v>
      </c>
      <c r="I210" s="20" t="str">
        <f ca="1">VLOOKUP($B210,Sheet1!$C$2:$AK$272,27,0)</f>
        <v>KHÓA LUẬN</v>
      </c>
      <c r="J210" s="20" t="s">
        <v>22</v>
      </c>
      <c r="K210" s="20"/>
      <c r="L210" s="18" t="s">
        <v>207</v>
      </c>
      <c r="M210" s="18" t="s">
        <v>29</v>
      </c>
      <c r="N210" s="18" t="s">
        <v>723</v>
      </c>
      <c r="O210" s="15"/>
      <c r="P210" s="8"/>
      <c r="Q210" s="8"/>
    </row>
    <row r="211" spans="1:17" ht="69.75" customHeight="1" x14ac:dyDescent="0.2">
      <c r="A211" s="17">
        <v>46055.40558496528</v>
      </c>
      <c r="B211" s="18">
        <v>28218304766</v>
      </c>
      <c r="C211" s="18" t="s">
        <v>724</v>
      </c>
      <c r="D211" s="18" t="s">
        <v>725</v>
      </c>
      <c r="E211" s="18" t="s">
        <v>553</v>
      </c>
      <c r="F211" s="18" t="s">
        <v>158</v>
      </c>
      <c r="G211" s="18" t="s">
        <v>27</v>
      </c>
      <c r="H211" s="18" t="s">
        <v>160</v>
      </c>
      <c r="I211" s="20" t="str">
        <f ca="1">VLOOKUP($B211,Sheet1!$C$2:$AK$272,27,0)</f>
        <v>KHÓA LUẬN</v>
      </c>
      <c r="J211" s="20" t="s">
        <v>161</v>
      </c>
      <c r="K211" s="20" t="s">
        <v>726</v>
      </c>
      <c r="L211" s="18" t="s">
        <v>79</v>
      </c>
      <c r="M211" s="18" t="s">
        <v>29</v>
      </c>
      <c r="N211" s="20" t="s">
        <v>726</v>
      </c>
      <c r="O211" s="15"/>
      <c r="P211" s="8"/>
      <c r="Q211" s="8"/>
    </row>
    <row r="212" spans="1:17" ht="69.75" customHeight="1" x14ac:dyDescent="0.2">
      <c r="A212" s="17">
        <v>46055.415918865736</v>
      </c>
      <c r="B212" s="18">
        <v>28206929749</v>
      </c>
      <c r="C212" s="18" t="s">
        <v>727</v>
      </c>
      <c r="D212" s="18" t="s">
        <v>728</v>
      </c>
      <c r="E212" s="18" t="s">
        <v>25</v>
      </c>
      <c r="F212" s="18" t="s">
        <v>26</v>
      </c>
      <c r="G212" s="18" t="s">
        <v>27</v>
      </c>
      <c r="H212" s="18" t="s">
        <v>106</v>
      </c>
      <c r="I212" s="20" t="str">
        <f ca="1">VLOOKUP($B212,Sheet1!$C$2:$AK$272,27,0)</f>
        <v>BÁO CÁO THỰC TẬP TỐT NGHIỆP</v>
      </c>
      <c r="J212" s="20" t="s">
        <v>22</v>
      </c>
      <c r="K212" s="20"/>
      <c r="L212" s="18" t="s">
        <v>225</v>
      </c>
      <c r="M212" s="18" t="s">
        <v>29</v>
      </c>
      <c r="N212" s="18" t="s">
        <v>729</v>
      </c>
      <c r="O212" s="15"/>
      <c r="P212" s="8"/>
      <c r="Q212" s="8"/>
    </row>
    <row r="213" spans="1:17" ht="69.75" customHeight="1" x14ac:dyDescent="0.2">
      <c r="A213" s="17">
        <v>46055.437649398147</v>
      </c>
      <c r="B213" s="18">
        <v>26207141604</v>
      </c>
      <c r="C213" s="18" t="s">
        <v>730</v>
      </c>
      <c r="D213" s="18" t="s">
        <v>731</v>
      </c>
      <c r="E213" s="18" t="s">
        <v>305</v>
      </c>
      <c r="F213" s="18" t="s">
        <v>16</v>
      </c>
      <c r="G213" s="18" t="s">
        <v>520</v>
      </c>
      <c r="H213" s="18" t="s">
        <v>491</v>
      </c>
      <c r="I213" s="20" t="str">
        <f ca="1">VLOOKUP($B213,Sheet1!$C$2:$AK$272,27,0)</f>
        <v>BÁO CÁO THỰC TẬP TỐT NGHIỆP</v>
      </c>
      <c r="J213" s="20" t="s">
        <v>22</v>
      </c>
      <c r="K213" s="20"/>
      <c r="L213" s="18" t="s">
        <v>732</v>
      </c>
      <c r="M213" s="18" t="s">
        <v>19</v>
      </c>
      <c r="N213" s="18" t="s">
        <v>733</v>
      </c>
      <c r="O213" s="15"/>
      <c r="P213" s="8"/>
      <c r="Q213" s="8"/>
    </row>
    <row r="214" spans="1:17" ht="69.75" customHeight="1" x14ac:dyDescent="0.2">
      <c r="A214" s="17">
        <v>46055.731582789347</v>
      </c>
      <c r="B214" s="18">
        <v>28208023818</v>
      </c>
      <c r="C214" s="18" t="s">
        <v>734</v>
      </c>
      <c r="D214" s="18" t="s">
        <v>465</v>
      </c>
      <c r="E214" s="18" t="s">
        <v>735</v>
      </c>
      <c r="F214" s="18" t="s">
        <v>16</v>
      </c>
      <c r="G214" s="18" t="s">
        <v>27</v>
      </c>
      <c r="H214" s="18" t="s">
        <v>75</v>
      </c>
      <c r="I214" s="20" t="str">
        <f ca="1">VLOOKUP($B214,Sheet1!$C$2:$AK$272,27,0)</f>
        <v>BÁO CÁO THỰC TẬP TỐT NGHIỆP</v>
      </c>
      <c r="J214" s="20" t="s">
        <v>22</v>
      </c>
      <c r="K214" s="20"/>
      <c r="L214" s="18" t="s">
        <v>783</v>
      </c>
      <c r="M214" s="18" t="s">
        <v>68</v>
      </c>
      <c r="N214" s="18" t="s">
        <v>736</v>
      </c>
      <c r="O214" s="15"/>
      <c r="P214" s="8"/>
      <c r="Q214" s="8"/>
    </row>
    <row r="215" spans="1:17" ht="69.75" customHeight="1" x14ac:dyDescent="0.2">
      <c r="A215" s="17">
        <v>46055.517039108796</v>
      </c>
      <c r="B215" s="18">
        <v>28208032409</v>
      </c>
      <c r="C215" s="18" t="s">
        <v>737</v>
      </c>
      <c r="D215" s="18" t="s">
        <v>738</v>
      </c>
      <c r="E215" s="18" t="s">
        <v>83</v>
      </c>
      <c r="F215" s="18" t="s">
        <v>26</v>
      </c>
      <c r="G215" s="18" t="s">
        <v>27</v>
      </c>
      <c r="H215" s="18" t="s">
        <v>21</v>
      </c>
      <c r="I215" s="20" t="str">
        <f ca="1">VLOOKUP($B215,Sheet1!$C$2:$AK$272,27,0)</f>
        <v>BÁO CÁO THỰC TẬP TỐT NGHIỆP</v>
      </c>
      <c r="J215" s="20" t="s">
        <v>22</v>
      </c>
      <c r="K215" s="20"/>
      <c r="L215" s="20" t="str">
        <f ca="1">VLOOKUP($B215,Sheet1!$C$2:$AK$272,23,0)</f>
        <v>Meliá Danang Beach Resort</v>
      </c>
      <c r="M215" s="18" t="s">
        <v>29</v>
      </c>
      <c r="N215" s="18" t="s">
        <v>765</v>
      </c>
      <c r="O215" s="15"/>
      <c r="P215" s="8"/>
      <c r="Q215" s="8"/>
    </row>
    <row r="216" spans="1:17" ht="69.75" customHeight="1" x14ac:dyDescent="0.2">
      <c r="A216" s="17">
        <v>46055.592845405088</v>
      </c>
      <c r="B216" s="18">
        <v>27217145651</v>
      </c>
      <c r="C216" s="18" t="s">
        <v>739</v>
      </c>
      <c r="D216" s="18" t="s">
        <v>740</v>
      </c>
      <c r="E216" s="18" t="s">
        <v>706</v>
      </c>
      <c r="F216" s="18" t="s">
        <v>16</v>
      </c>
      <c r="G216" s="18" t="s">
        <v>132</v>
      </c>
      <c r="H216" s="18" t="s">
        <v>491</v>
      </c>
      <c r="I216" s="20" t="str">
        <f ca="1">VLOOKUP($B216,Sheet1!$C$2:$AK$272,27,0)</f>
        <v>BÁO CÁO THỰC TẬP TỐT NGHIỆP</v>
      </c>
      <c r="J216" s="20" t="s">
        <v>22</v>
      </c>
      <c r="K216" s="20"/>
      <c r="L216" s="18" t="s">
        <v>741</v>
      </c>
      <c r="M216" s="18" t="s">
        <v>19</v>
      </c>
      <c r="N216" s="18" t="s">
        <v>742</v>
      </c>
      <c r="O216" s="15"/>
      <c r="P216" s="8"/>
      <c r="Q216" s="8"/>
    </row>
    <row r="217" spans="1:17" ht="69.75" customHeight="1" x14ac:dyDescent="0.2">
      <c r="A217" s="17">
        <v>46055.577065370366</v>
      </c>
      <c r="B217" s="18">
        <v>28208053246</v>
      </c>
      <c r="C217" s="18" t="s">
        <v>743</v>
      </c>
      <c r="D217" s="18" t="s">
        <v>744</v>
      </c>
      <c r="E217" s="18" t="s">
        <v>40</v>
      </c>
      <c r="F217" s="18" t="s">
        <v>26</v>
      </c>
      <c r="G217" s="18" t="s">
        <v>27</v>
      </c>
      <c r="H217" s="18" t="s">
        <v>21</v>
      </c>
      <c r="I217" s="20" t="str">
        <f ca="1">VLOOKUP($B217,Sheet1!$C$2:$AK$272,27,0)</f>
        <v>BÁO CÁO THỰC TẬP TỐT NGHIỆP</v>
      </c>
      <c r="J217" s="20" t="s">
        <v>22</v>
      </c>
      <c r="K217" s="20"/>
      <c r="L217" s="18" t="s">
        <v>112</v>
      </c>
      <c r="M217" s="18" t="s">
        <v>29</v>
      </c>
      <c r="N217" s="18" t="s">
        <v>745</v>
      </c>
      <c r="O217" s="15"/>
      <c r="P217" s="8"/>
      <c r="Q217" s="8"/>
    </row>
    <row r="218" spans="1:17" ht="69.75" customHeight="1" x14ac:dyDescent="0.2">
      <c r="A218" s="17">
        <v>46055.815110625001</v>
      </c>
      <c r="B218" s="18">
        <v>28208053243</v>
      </c>
      <c r="C218" s="18" t="s">
        <v>746</v>
      </c>
      <c r="D218" s="19" t="s">
        <v>747</v>
      </c>
      <c r="E218" s="18" t="s">
        <v>748</v>
      </c>
      <c r="F218" s="18" t="s">
        <v>26</v>
      </c>
      <c r="G218" s="18" t="s">
        <v>27</v>
      </c>
      <c r="H218" s="18" t="s">
        <v>106</v>
      </c>
      <c r="I218" s="20" t="str">
        <f ca="1">VLOOKUP($B218,Sheet1!$C$2:$AK$272,27,0)</f>
        <v>BÁO CÁO THỰC TẬP TỐT NGHIỆP</v>
      </c>
      <c r="J218" s="20" t="s">
        <v>22</v>
      </c>
      <c r="K218" s="20"/>
      <c r="L218" s="18" t="s">
        <v>252</v>
      </c>
      <c r="M218" s="18" t="s">
        <v>29</v>
      </c>
      <c r="N218" s="18" t="s">
        <v>749</v>
      </c>
      <c r="O218" s="15"/>
      <c r="P218" s="8"/>
      <c r="Q218" s="8"/>
    </row>
    <row r="219" spans="1:17" ht="69.75" customHeight="1" x14ac:dyDescent="0.2">
      <c r="A219" s="17">
        <v>46055.699670254631</v>
      </c>
      <c r="B219" s="18">
        <v>27217142131</v>
      </c>
      <c r="C219" s="18" t="s">
        <v>750</v>
      </c>
      <c r="D219" s="19" t="s">
        <v>751</v>
      </c>
      <c r="E219" s="18" t="s">
        <v>78</v>
      </c>
      <c r="F219" s="18" t="s">
        <v>16</v>
      </c>
      <c r="G219" s="18" t="s">
        <v>27</v>
      </c>
      <c r="H219" s="18" t="s">
        <v>120</v>
      </c>
      <c r="I219" s="20" t="str">
        <f ca="1">VLOOKUP($B219,Sheet1!$C$2:$AK$272,27,0)</f>
        <v>KHÓA LUẬN</v>
      </c>
      <c r="J219" s="20" t="s">
        <v>161</v>
      </c>
      <c r="K219" s="20" t="s">
        <v>757</v>
      </c>
      <c r="L219" s="18" t="s">
        <v>79</v>
      </c>
      <c r="M219" s="18" t="s">
        <v>29</v>
      </c>
      <c r="N219" s="20" t="s">
        <v>757</v>
      </c>
      <c r="O219" s="15"/>
      <c r="P219" s="8"/>
      <c r="Q219" s="8"/>
    </row>
    <row r="220" spans="1:17" ht="69.75" customHeight="1" x14ac:dyDescent="0.2">
      <c r="A220" s="17">
        <v>46055.718180868054</v>
      </c>
      <c r="B220" s="18">
        <v>28216846313</v>
      </c>
      <c r="C220" s="18" t="s">
        <v>752</v>
      </c>
      <c r="D220" s="18" t="s">
        <v>501</v>
      </c>
      <c r="E220" s="18" t="s">
        <v>359</v>
      </c>
      <c r="F220" s="18" t="s">
        <v>26</v>
      </c>
      <c r="G220" s="18" t="s">
        <v>27</v>
      </c>
      <c r="H220" s="18" t="s">
        <v>139</v>
      </c>
      <c r="I220" s="20" t="str">
        <f ca="1">VLOOKUP($B220,Sheet1!$C$2:$AK$272,27,0)</f>
        <v>BÁO CÁO THỰC TẬP TỐT NGHIỆP</v>
      </c>
      <c r="J220" s="20" t="s">
        <v>22</v>
      </c>
      <c r="K220" s="20"/>
      <c r="L220" s="18" t="s">
        <v>79</v>
      </c>
      <c r="M220" s="18" t="s">
        <v>29</v>
      </c>
      <c r="N220" s="18" t="s">
        <v>753</v>
      </c>
      <c r="O220" s="15"/>
      <c r="P220" s="8"/>
      <c r="Q220" s="8"/>
    </row>
    <row r="221" spans="1:17" ht="69.75" customHeight="1" x14ac:dyDescent="0.2">
      <c r="A221" s="17">
        <v>46055.8009321875</v>
      </c>
      <c r="B221" s="18">
        <v>28210334081</v>
      </c>
      <c r="C221" s="18" t="s">
        <v>754</v>
      </c>
      <c r="D221" s="18" t="s">
        <v>465</v>
      </c>
      <c r="E221" s="18" t="s">
        <v>185</v>
      </c>
      <c r="F221" s="18" t="s">
        <v>26</v>
      </c>
      <c r="G221" s="18" t="s">
        <v>27</v>
      </c>
      <c r="H221" s="18" t="s">
        <v>86</v>
      </c>
      <c r="I221" s="20" t="str">
        <f ca="1">VLOOKUP($B221,Sheet1!$C$2:$AK$272,27,0)</f>
        <v>BÁO CÁO THỰC TẬP TỐT NGHIỆP</v>
      </c>
      <c r="J221" s="20" t="s">
        <v>161</v>
      </c>
      <c r="K221" s="20" t="s">
        <v>755</v>
      </c>
      <c r="L221" s="18" t="s">
        <v>96</v>
      </c>
      <c r="M221" s="18" t="s">
        <v>85</v>
      </c>
      <c r="N221" s="20" t="s">
        <v>755</v>
      </c>
      <c r="O221" s="15"/>
      <c r="P221" s="8"/>
      <c r="Q221" s="8"/>
    </row>
    <row r="222" spans="1:17" ht="12.75" x14ac:dyDescent="0.2">
      <c r="L222" s="8"/>
    </row>
    <row r="223" spans="1:17" ht="12.75" x14ac:dyDescent="0.2">
      <c r="L223" s="8"/>
    </row>
    <row r="224" spans="1:17" ht="12.75" x14ac:dyDescent="0.2">
      <c r="L224" s="8"/>
    </row>
    <row r="225" spans="12:12" ht="12.75" x14ac:dyDescent="0.2">
      <c r="L225" s="8"/>
    </row>
    <row r="226" spans="12:12" ht="12.75" x14ac:dyDescent="0.2">
      <c r="L226" s="8"/>
    </row>
    <row r="227" spans="12:12" ht="12.75" x14ac:dyDescent="0.2">
      <c r="L227" s="8"/>
    </row>
    <row r="228" spans="12:12" ht="12.75" x14ac:dyDescent="0.2">
      <c r="L228" s="8"/>
    </row>
    <row r="229" spans="12:12" ht="12.75" x14ac:dyDescent="0.2">
      <c r="L229" s="8"/>
    </row>
    <row r="230" spans="12:12" ht="12.75" x14ac:dyDescent="0.2">
      <c r="L230" s="8"/>
    </row>
    <row r="231" spans="12:12" ht="12.75" x14ac:dyDescent="0.2">
      <c r="L231" s="8"/>
    </row>
    <row r="232" spans="12:12" ht="12.75" x14ac:dyDescent="0.2">
      <c r="L232" s="8"/>
    </row>
    <row r="233" spans="12:12" ht="12.75" x14ac:dyDescent="0.2">
      <c r="L233" s="8"/>
    </row>
    <row r="234" spans="12:12" ht="12.75" x14ac:dyDescent="0.2">
      <c r="L234" s="8"/>
    </row>
    <row r="235" spans="12:12" ht="12.75" x14ac:dyDescent="0.2">
      <c r="L235" s="8"/>
    </row>
    <row r="236" spans="12:12" ht="12.75" x14ac:dyDescent="0.2">
      <c r="L236" s="8"/>
    </row>
    <row r="237" spans="12:12" ht="12.75" x14ac:dyDescent="0.2">
      <c r="L237" s="8"/>
    </row>
    <row r="238" spans="12:12" ht="12.75" x14ac:dyDescent="0.2">
      <c r="L238" s="8"/>
    </row>
    <row r="239" spans="12:12" ht="12.75" x14ac:dyDescent="0.2">
      <c r="L239" s="8"/>
    </row>
    <row r="240" spans="12:12" ht="12.75" x14ac:dyDescent="0.2">
      <c r="L240" s="8"/>
    </row>
    <row r="241" spans="12:12" ht="12.75" x14ac:dyDescent="0.2">
      <c r="L241" s="8"/>
    </row>
    <row r="242" spans="12:12" ht="12.75" x14ac:dyDescent="0.2">
      <c r="L242" s="8"/>
    </row>
    <row r="243" spans="12:12" ht="12.75" x14ac:dyDescent="0.2">
      <c r="L243" s="8"/>
    </row>
    <row r="244" spans="12:12" ht="12.75" x14ac:dyDescent="0.2">
      <c r="L244" s="8"/>
    </row>
    <row r="245" spans="12:12" ht="12.75" x14ac:dyDescent="0.2">
      <c r="L245" s="8"/>
    </row>
    <row r="246" spans="12:12" ht="12.75" x14ac:dyDescent="0.2">
      <c r="L246" s="8"/>
    </row>
    <row r="247" spans="12:12" ht="12.75" x14ac:dyDescent="0.2">
      <c r="L247" s="8"/>
    </row>
    <row r="248" spans="12:12" ht="12.75" x14ac:dyDescent="0.2">
      <c r="L248" s="8"/>
    </row>
    <row r="249" spans="12:12" ht="12.75" x14ac:dyDescent="0.2">
      <c r="L249" s="8"/>
    </row>
    <row r="250" spans="12:12" ht="12.75" x14ac:dyDescent="0.2">
      <c r="L250" s="8"/>
    </row>
    <row r="251" spans="12:12" ht="12.75" x14ac:dyDescent="0.2">
      <c r="L251" s="8"/>
    </row>
    <row r="252" spans="12:12" ht="12.75" x14ac:dyDescent="0.2">
      <c r="L252" s="8"/>
    </row>
    <row r="253" spans="12:12" ht="12.75" x14ac:dyDescent="0.2">
      <c r="L253" s="8"/>
    </row>
    <row r="254" spans="12:12" ht="12.75" x14ac:dyDescent="0.2">
      <c r="L254" s="8"/>
    </row>
    <row r="255" spans="12:12" ht="12.75" x14ac:dyDescent="0.2">
      <c r="L255" s="8"/>
    </row>
  </sheetData>
  <autoFilter ref="A9:Q9" xr:uid="{00000000-0001-0000-0000-000000000000}"/>
  <dataValidations count="1">
    <dataValidation type="list" allowBlank="1" sqref="J11:J221" xr:uid="{00000000-0002-0000-0000-000000000000}">
      <formula1>"DUYỆT,KHÔNG DUYỆT,DUYỆT, CẦN CHỈNH SỬA"</formula1>
    </dataValidation>
  </dataValidations>
  <hyperlinks>
    <hyperlink ref="A6" r:id="rId1" xr:uid="{00000000-0004-0000-0000-000000000000}"/>
  </hyperlinks>
  <pageMargins left="0.7" right="0.7" top="0.75" bottom="0.75" header="0.3" footer="0.3"/>
  <pageSetup paperSize="9" orientation="portrait" verticalDpi="0"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6E32-5A2C-4E42-BF6A-E9D74DFC4FB5}">
  <dimension ref="A1:Q255"/>
  <sheetViews>
    <sheetView workbookViewId="0">
      <selection activeCell="A11" sqref="A11:A221"/>
    </sheetView>
  </sheetViews>
  <sheetFormatPr defaultColWidth="12.5703125" defaultRowHeight="12.75" x14ac:dyDescent="0.2"/>
  <cols>
    <col min="1" max="1" width="18.28515625" style="9" customWidth="1"/>
    <col min="2" max="2" width="12.42578125" style="9" customWidth="1"/>
    <col min="3" max="3" width="18.85546875" style="9" customWidth="1"/>
    <col min="4" max="4" width="14.140625" style="9" customWidth="1"/>
    <col min="5" max="5" width="13.140625" style="9" customWidth="1"/>
    <col min="6" max="6" width="16.85546875" style="9" customWidth="1"/>
    <col min="7" max="7" width="6.140625" style="9" customWidth="1"/>
    <col min="8" max="8" width="13.7109375" style="9" customWidth="1"/>
    <col min="9" max="9" width="15.7109375" style="9" customWidth="1"/>
    <col min="10" max="10" width="18.85546875" style="9" customWidth="1"/>
    <col min="11" max="11" width="24.85546875" style="9" customWidth="1"/>
    <col min="12" max="12" width="15.140625" style="9" customWidth="1"/>
    <col min="13" max="13" width="10.42578125" style="9" customWidth="1"/>
    <col min="14" max="14" width="40.7109375" style="9" customWidth="1"/>
    <col min="15" max="17" width="18.85546875" style="9" customWidth="1"/>
    <col min="18" max="16384" width="12.5703125" style="9"/>
  </cols>
  <sheetData>
    <row r="1" spans="1:17" ht="16.5" x14ac:dyDescent="0.25">
      <c r="A1" s="6"/>
      <c r="B1" s="6"/>
      <c r="C1" s="7" t="s">
        <v>0</v>
      </c>
      <c r="D1" s="6"/>
      <c r="E1" s="6"/>
      <c r="F1" s="6"/>
      <c r="G1" s="6"/>
      <c r="H1" s="6"/>
      <c r="L1" s="8"/>
      <c r="M1" s="6"/>
      <c r="N1" s="6"/>
      <c r="O1" s="10"/>
      <c r="P1" s="10"/>
      <c r="Q1" s="10"/>
    </row>
    <row r="2" spans="1:17" ht="16.5" x14ac:dyDescent="0.25">
      <c r="A2" s="6"/>
      <c r="B2" s="6"/>
      <c r="C2" s="11" t="s">
        <v>1</v>
      </c>
      <c r="D2" s="6"/>
      <c r="E2" s="6"/>
      <c r="F2" s="6"/>
      <c r="G2" s="6"/>
      <c r="H2" s="6"/>
      <c r="L2" s="8"/>
      <c r="M2" s="6"/>
      <c r="N2" s="6"/>
      <c r="O2" s="10"/>
      <c r="P2" s="10"/>
      <c r="Q2" s="10"/>
    </row>
    <row r="3" spans="1:17" x14ac:dyDescent="0.2">
      <c r="A3" s="12" t="s">
        <v>2</v>
      </c>
      <c r="B3" s="6"/>
      <c r="C3" s="6"/>
      <c r="D3" s="6"/>
      <c r="E3" s="6"/>
      <c r="F3" s="6"/>
      <c r="G3" s="6"/>
      <c r="H3" s="6"/>
      <c r="L3" s="8"/>
      <c r="M3" s="6"/>
      <c r="N3" s="6"/>
      <c r="O3" s="10"/>
      <c r="P3" s="10"/>
      <c r="Q3" s="10"/>
    </row>
    <row r="4" spans="1:17" x14ac:dyDescent="0.2">
      <c r="A4" s="13"/>
      <c r="B4" s="6"/>
      <c r="C4" s="6"/>
      <c r="D4" s="6"/>
      <c r="E4" s="6"/>
      <c r="F4" s="6"/>
      <c r="G4" s="6"/>
      <c r="H4" s="6"/>
      <c r="L4" s="8"/>
      <c r="M4" s="6"/>
      <c r="N4" s="6"/>
      <c r="O4" s="10"/>
      <c r="P4" s="10"/>
      <c r="Q4" s="10"/>
    </row>
    <row r="5" spans="1:17" x14ac:dyDescent="0.2">
      <c r="A5" s="13"/>
      <c r="B5" s="6"/>
      <c r="C5" s="6"/>
      <c r="D5" s="6"/>
      <c r="E5" s="6"/>
      <c r="F5" s="6"/>
      <c r="G5" s="6"/>
      <c r="H5" s="6"/>
      <c r="L5" s="8"/>
      <c r="M5" s="6"/>
      <c r="N5" s="6"/>
      <c r="O5" s="10"/>
      <c r="P5" s="10"/>
      <c r="Q5" s="10"/>
    </row>
    <row r="6" spans="1:17" x14ac:dyDescent="0.2">
      <c r="A6" s="14" t="s">
        <v>756</v>
      </c>
      <c r="B6" s="6"/>
      <c r="C6" s="6"/>
      <c r="D6" s="6"/>
      <c r="E6" s="6"/>
      <c r="F6" s="6"/>
      <c r="G6" s="6"/>
      <c r="H6" s="6"/>
      <c r="L6" s="8"/>
      <c r="M6" s="6"/>
      <c r="N6" s="6"/>
      <c r="O6" s="10"/>
      <c r="P6" s="10"/>
      <c r="Q6" s="10"/>
    </row>
    <row r="7" spans="1:17" x14ac:dyDescent="0.2">
      <c r="A7" s="9" t="s">
        <v>803</v>
      </c>
      <c r="B7" s="6"/>
      <c r="C7" s="6"/>
      <c r="D7" s="6"/>
      <c r="E7" s="6"/>
      <c r="F7" s="6"/>
      <c r="G7" s="6"/>
      <c r="H7" s="6"/>
      <c r="L7" s="8"/>
      <c r="M7" s="6"/>
      <c r="N7" s="6"/>
      <c r="O7" s="10"/>
      <c r="P7" s="10"/>
      <c r="Q7" s="10"/>
    </row>
    <row r="8" spans="1:17" x14ac:dyDescent="0.2">
      <c r="A8" s="12" t="s">
        <v>802</v>
      </c>
      <c r="B8" s="6"/>
      <c r="C8" s="6"/>
      <c r="D8" s="6"/>
      <c r="E8" s="6"/>
      <c r="F8" s="6"/>
      <c r="G8" s="6"/>
      <c r="H8" s="6"/>
      <c r="L8" s="8"/>
      <c r="M8" s="6"/>
      <c r="N8" s="6"/>
      <c r="O8" s="10"/>
      <c r="P8" s="10"/>
      <c r="Q8" s="10"/>
    </row>
    <row r="9" spans="1:17" x14ac:dyDescent="0.2">
      <c r="B9" s="6"/>
      <c r="C9" s="6"/>
      <c r="D9" s="6"/>
      <c r="E9" s="6"/>
      <c r="F9" s="6"/>
      <c r="G9" s="6"/>
      <c r="H9" s="6"/>
      <c r="L9" s="8"/>
      <c r="M9" s="6"/>
      <c r="N9" s="6"/>
      <c r="O9" s="10"/>
      <c r="P9" s="10"/>
      <c r="Q9" s="10"/>
    </row>
    <row r="10" spans="1:17" s="31" customFormat="1" ht="78" customHeight="1" x14ac:dyDescent="0.2">
      <c r="A10" s="30" t="s">
        <v>800</v>
      </c>
      <c r="B10" s="30" t="s">
        <v>3</v>
      </c>
      <c r="C10" s="30" t="s">
        <v>4</v>
      </c>
      <c r="D10" s="30" t="s">
        <v>5</v>
      </c>
      <c r="E10" s="30" t="s">
        <v>6</v>
      </c>
      <c r="F10" s="30" t="s">
        <v>7</v>
      </c>
      <c r="G10" s="30" t="s">
        <v>8</v>
      </c>
      <c r="H10" s="30" t="s">
        <v>10</v>
      </c>
      <c r="I10" s="16" t="s">
        <v>11</v>
      </c>
      <c r="J10" s="16" t="s">
        <v>12</v>
      </c>
      <c r="K10" s="16" t="s">
        <v>759</v>
      </c>
      <c r="L10" s="30" t="s">
        <v>801</v>
      </c>
      <c r="M10" s="30" t="s">
        <v>9</v>
      </c>
      <c r="N10" s="30" t="s">
        <v>799</v>
      </c>
      <c r="O10" s="30" t="s">
        <v>804</v>
      </c>
    </row>
    <row r="11" spans="1:17" ht="69.75" customHeight="1" x14ac:dyDescent="0.2">
      <c r="A11" s="17">
        <v>46052.58908362269</v>
      </c>
      <c r="B11" s="18">
        <v>25217107474</v>
      </c>
      <c r="C11" s="18" t="s">
        <v>13</v>
      </c>
      <c r="D11" s="18" t="s">
        <v>14</v>
      </c>
      <c r="E11" s="18" t="s">
        <v>15</v>
      </c>
      <c r="F11" s="18" t="s">
        <v>16</v>
      </c>
      <c r="G11" s="18" t="s">
        <v>17</v>
      </c>
      <c r="H11" s="18" t="s">
        <v>21</v>
      </c>
      <c r="I11" s="20" t="s">
        <v>805</v>
      </c>
      <c r="J11" s="20" t="s">
        <v>22</v>
      </c>
      <c r="K11" s="20"/>
      <c r="L11" s="18" t="s">
        <v>18</v>
      </c>
      <c r="M11" s="18" t="s">
        <v>19</v>
      </c>
      <c r="N11" s="18" t="s">
        <v>20</v>
      </c>
      <c r="O11" s="15"/>
      <c r="P11" s="8"/>
      <c r="Q11" s="8"/>
    </row>
    <row r="12" spans="1:17" ht="69.75" customHeight="1" x14ac:dyDescent="0.2">
      <c r="A12" s="17">
        <v>46051.798784398146</v>
      </c>
      <c r="B12" s="18">
        <v>28209305565</v>
      </c>
      <c r="C12" s="18" t="s">
        <v>23</v>
      </c>
      <c r="D12" s="19" t="s">
        <v>24</v>
      </c>
      <c r="E12" s="18" t="s">
        <v>25</v>
      </c>
      <c r="F12" s="18" t="s">
        <v>26</v>
      </c>
      <c r="G12" s="18" t="s">
        <v>27</v>
      </c>
      <c r="H12" s="18" t="s">
        <v>31</v>
      </c>
      <c r="I12" s="20" t="s">
        <v>805</v>
      </c>
      <c r="J12" s="20" t="s">
        <v>22</v>
      </c>
      <c r="K12" s="20"/>
      <c r="L12" s="18" t="s">
        <v>28</v>
      </c>
      <c r="M12" s="18" t="s">
        <v>29</v>
      </c>
      <c r="N12" s="18" t="s">
        <v>30</v>
      </c>
      <c r="O12" s="15"/>
      <c r="P12" s="8"/>
      <c r="Q12" s="8"/>
    </row>
    <row r="13" spans="1:17" ht="69.75" customHeight="1" x14ac:dyDescent="0.2">
      <c r="A13" s="17">
        <v>46053.805599953703</v>
      </c>
      <c r="B13" s="18">
        <v>28204706232</v>
      </c>
      <c r="C13" s="18" t="s">
        <v>32</v>
      </c>
      <c r="D13" s="18" t="s">
        <v>33</v>
      </c>
      <c r="E13" s="18" t="s">
        <v>34</v>
      </c>
      <c r="F13" s="18" t="s">
        <v>26</v>
      </c>
      <c r="G13" s="18" t="s">
        <v>27</v>
      </c>
      <c r="H13" s="18" t="s">
        <v>37</v>
      </c>
      <c r="I13" s="20" t="s">
        <v>805</v>
      </c>
      <c r="J13" s="20" t="s">
        <v>22</v>
      </c>
      <c r="K13" s="20"/>
      <c r="L13" s="18" t="s">
        <v>35</v>
      </c>
      <c r="M13" s="18" t="s">
        <v>29</v>
      </c>
      <c r="N13" s="18" t="s">
        <v>36</v>
      </c>
      <c r="O13" s="15"/>
      <c r="P13" s="8"/>
      <c r="Q13" s="8"/>
    </row>
    <row r="14" spans="1:17" ht="69.75" customHeight="1" x14ac:dyDescent="0.2">
      <c r="A14" s="17">
        <v>46055.5121134375</v>
      </c>
      <c r="B14" s="18">
        <v>28208027850</v>
      </c>
      <c r="C14" s="18" t="s">
        <v>38</v>
      </c>
      <c r="D14" s="19" t="s">
        <v>39</v>
      </c>
      <c r="E14" s="18" t="s">
        <v>40</v>
      </c>
      <c r="F14" s="18" t="s">
        <v>26</v>
      </c>
      <c r="G14" s="18" t="s">
        <v>27</v>
      </c>
      <c r="H14" s="18" t="s">
        <v>31</v>
      </c>
      <c r="I14" s="20" t="s">
        <v>805</v>
      </c>
      <c r="J14" s="20" t="s">
        <v>22</v>
      </c>
      <c r="K14" s="20"/>
      <c r="L14" s="18" t="s">
        <v>41</v>
      </c>
      <c r="M14" s="18" t="s">
        <v>29</v>
      </c>
      <c r="N14" s="18" t="s">
        <v>42</v>
      </c>
      <c r="O14" s="15"/>
      <c r="P14" s="8"/>
      <c r="Q14" s="8"/>
    </row>
    <row r="15" spans="1:17" ht="69.75" customHeight="1" x14ac:dyDescent="0.2">
      <c r="A15" s="17">
        <v>46052.392837962965</v>
      </c>
      <c r="B15" s="18">
        <v>28208037364</v>
      </c>
      <c r="C15" s="18" t="s">
        <v>43</v>
      </c>
      <c r="D15" s="18" t="s">
        <v>44</v>
      </c>
      <c r="E15" s="18" t="s">
        <v>25</v>
      </c>
      <c r="F15" s="18" t="s">
        <v>26</v>
      </c>
      <c r="G15" s="18" t="s">
        <v>27</v>
      </c>
      <c r="H15" s="18" t="s">
        <v>47</v>
      </c>
      <c r="I15" s="20" t="s">
        <v>805</v>
      </c>
      <c r="J15" s="20" t="s">
        <v>22</v>
      </c>
      <c r="K15" s="20"/>
      <c r="L15" s="18" t="s">
        <v>45</v>
      </c>
      <c r="M15" s="18" t="s">
        <v>19</v>
      </c>
      <c r="N15" s="18" t="s">
        <v>46</v>
      </c>
      <c r="O15" s="15"/>
      <c r="P15" s="8"/>
      <c r="Q15" s="8"/>
    </row>
    <row r="16" spans="1:17" ht="69.75" customHeight="1" x14ac:dyDescent="0.2">
      <c r="A16" s="17">
        <v>46052.939517129635</v>
      </c>
      <c r="B16" s="18">
        <v>28208001005</v>
      </c>
      <c r="C16" s="18" t="s">
        <v>48</v>
      </c>
      <c r="D16" s="18" t="s">
        <v>49</v>
      </c>
      <c r="E16" s="18" t="s">
        <v>50</v>
      </c>
      <c r="F16" s="18" t="s">
        <v>26</v>
      </c>
      <c r="G16" s="18" t="s">
        <v>27</v>
      </c>
      <c r="H16" s="18" t="s">
        <v>53</v>
      </c>
      <c r="I16" s="20" t="s">
        <v>805</v>
      </c>
      <c r="J16" s="20" t="s">
        <v>22</v>
      </c>
      <c r="K16" s="20"/>
      <c r="L16" s="18" t="s">
        <v>51</v>
      </c>
      <c r="M16" s="18" t="s">
        <v>29</v>
      </c>
      <c r="N16" s="18" t="s">
        <v>52</v>
      </c>
      <c r="O16" s="15"/>
      <c r="P16" s="8"/>
      <c r="Q16" s="8"/>
    </row>
    <row r="17" spans="1:17" ht="69.75" customHeight="1" x14ac:dyDescent="0.2">
      <c r="A17" s="17">
        <v>46055.479539942127</v>
      </c>
      <c r="B17" s="18">
        <v>28208053169</v>
      </c>
      <c r="C17" s="18" t="s">
        <v>54</v>
      </c>
      <c r="D17" s="18" t="s">
        <v>55</v>
      </c>
      <c r="E17" s="18" t="s">
        <v>50</v>
      </c>
      <c r="F17" s="18" t="s">
        <v>26</v>
      </c>
      <c r="G17" s="18" t="s">
        <v>27</v>
      </c>
      <c r="H17" s="18" t="s">
        <v>21</v>
      </c>
      <c r="I17" s="20" t="s">
        <v>805</v>
      </c>
      <c r="J17" s="20" t="s">
        <v>22</v>
      </c>
      <c r="K17" s="20"/>
      <c r="L17" s="18" t="s">
        <v>56</v>
      </c>
      <c r="M17" s="18" t="s">
        <v>29</v>
      </c>
      <c r="N17" s="18" t="s">
        <v>775</v>
      </c>
      <c r="O17" s="15"/>
      <c r="P17" s="8"/>
      <c r="Q17" s="8"/>
    </row>
    <row r="18" spans="1:17" ht="69.75" customHeight="1" x14ac:dyDescent="0.2">
      <c r="A18" s="17">
        <v>46053.924635740739</v>
      </c>
      <c r="B18" s="18">
        <v>28208001590</v>
      </c>
      <c r="C18" s="18" t="s">
        <v>57</v>
      </c>
      <c r="D18" s="19" t="s">
        <v>58</v>
      </c>
      <c r="E18" s="18" t="s">
        <v>25</v>
      </c>
      <c r="F18" s="18" t="s">
        <v>26</v>
      </c>
      <c r="G18" s="18" t="s">
        <v>27</v>
      </c>
      <c r="H18" s="18" t="s">
        <v>31</v>
      </c>
      <c r="I18" s="20" t="s">
        <v>805</v>
      </c>
      <c r="J18" s="20" t="s">
        <v>22</v>
      </c>
      <c r="K18" s="20"/>
      <c r="L18" s="18" t="s">
        <v>59</v>
      </c>
      <c r="M18" s="18" t="s">
        <v>29</v>
      </c>
      <c r="N18" s="18" t="s">
        <v>60</v>
      </c>
      <c r="O18" s="15"/>
      <c r="P18" s="8"/>
      <c r="Q18" s="8"/>
    </row>
    <row r="19" spans="1:17" ht="69.75" customHeight="1" x14ac:dyDescent="0.2">
      <c r="A19" s="17">
        <v>46054.940125497684</v>
      </c>
      <c r="B19" s="18">
        <v>28208036094</v>
      </c>
      <c r="C19" s="18" t="s">
        <v>61</v>
      </c>
      <c r="D19" s="18" t="s">
        <v>62</v>
      </c>
      <c r="E19" s="18" t="s">
        <v>25</v>
      </c>
      <c r="F19" s="18" t="s">
        <v>26</v>
      </c>
      <c r="G19" s="18" t="s">
        <v>27</v>
      </c>
      <c r="H19" s="18" t="s">
        <v>31</v>
      </c>
      <c r="I19" s="20" t="s">
        <v>805</v>
      </c>
      <c r="J19" s="20" t="s">
        <v>22</v>
      </c>
      <c r="K19" s="20"/>
      <c r="L19" s="18" t="s">
        <v>63</v>
      </c>
      <c r="M19" s="18" t="s">
        <v>29</v>
      </c>
      <c r="N19" s="18" t="s">
        <v>64</v>
      </c>
      <c r="O19" s="15"/>
      <c r="P19" s="8"/>
      <c r="Q19" s="8"/>
    </row>
    <row r="20" spans="1:17" ht="69.75" customHeight="1" x14ac:dyDescent="0.2">
      <c r="A20" s="17">
        <v>46055.461059618057</v>
      </c>
      <c r="B20" s="18">
        <v>28218001585</v>
      </c>
      <c r="C20" s="18" t="s">
        <v>65</v>
      </c>
      <c r="D20" s="19" t="s">
        <v>66</v>
      </c>
      <c r="E20" s="18" t="s">
        <v>25</v>
      </c>
      <c r="F20" s="18" t="s">
        <v>26</v>
      </c>
      <c r="G20" s="18" t="s">
        <v>27</v>
      </c>
      <c r="H20" s="18" t="s">
        <v>70</v>
      </c>
      <c r="I20" s="20" t="s">
        <v>805</v>
      </c>
      <c r="J20" s="20" t="s">
        <v>22</v>
      </c>
      <c r="K20" s="20"/>
      <c r="L20" s="18" t="s">
        <v>67</v>
      </c>
      <c r="M20" s="18" t="s">
        <v>68</v>
      </c>
      <c r="N20" s="18" t="s">
        <v>69</v>
      </c>
      <c r="O20" s="15"/>
      <c r="P20" s="8"/>
      <c r="Q20" s="8"/>
    </row>
    <row r="21" spans="1:17" ht="69.75" customHeight="1" x14ac:dyDescent="0.2">
      <c r="A21" s="17">
        <v>46052.828984918982</v>
      </c>
      <c r="B21" s="18">
        <v>28208004370</v>
      </c>
      <c r="C21" s="18" t="s">
        <v>71</v>
      </c>
      <c r="D21" s="19" t="s">
        <v>72</v>
      </c>
      <c r="E21" s="18" t="s">
        <v>73</v>
      </c>
      <c r="F21" s="18" t="s">
        <v>26</v>
      </c>
      <c r="G21" s="18" t="s">
        <v>27</v>
      </c>
      <c r="H21" s="18" t="s">
        <v>75</v>
      </c>
      <c r="I21" s="20" t="s">
        <v>805</v>
      </c>
      <c r="J21" s="20" t="s">
        <v>22</v>
      </c>
      <c r="K21" s="20"/>
      <c r="L21" s="18" t="s">
        <v>28</v>
      </c>
      <c r="M21" s="18" t="s">
        <v>68</v>
      </c>
      <c r="N21" s="18" t="s">
        <v>74</v>
      </c>
      <c r="O21" s="15"/>
      <c r="P21" s="8"/>
      <c r="Q21" s="8"/>
    </row>
    <row r="22" spans="1:17" ht="69.75" customHeight="1" x14ac:dyDescent="0.2">
      <c r="A22" s="17">
        <v>46052.47876917824</v>
      </c>
      <c r="B22" s="18">
        <v>24207214504</v>
      </c>
      <c r="C22" s="18" t="s">
        <v>76</v>
      </c>
      <c r="D22" s="19" t="s">
        <v>77</v>
      </c>
      <c r="E22" s="18" t="s">
        <v>78</v>
      </c>
      <c r="F22" s="18" t="s">
        <v>16</v>
      </c>
      <c r="G22" s="18" t="s">
        <v>27</v>
      </c>
      <c r="H22" s="18" t="s">
        <v>53</v>
      </c>
      <c r="I22" s="20" t="s">
        <v>805</v>
      </c>
      <c r="J22" s="20" t="s">
        <v>22</v>
      </c>
      <c r="K22" s="20"/>
      <c r="L22" s="18" t="s">
        <v>79</v>
      </c>
      <c r="M22" s="18" t="s">
        <v>29</v>
      </c>
      <c r="N22" s="18" t="s">
        <v>80</v>
      </c>
      <c r="O22" s="15"/>
      <c r="P22" s="8"/>
      <c r="Q22" s="8"/>
    </row>
    <row r="23" spans="1:17" ht="69.75" customHeight="1" x14ac:dyDescent="0.2">
      <c r="A23" s="17">
        <v>46055.908626203702</v>
      </c>
      <c r="B23" s="18">
        <v>28207702170</v>
      </c>
      <c r="C23" s="18" t="s">
        <v>81</v>
      </c>
      <c r="D23" s="18" t="s">
        <v>82</v>
      </c>
      <c r="E23" s="18" t="s">
        <v>83</v>
      </c>
      <c r="F23" s="18" t="s">
        <v>26</v>
      </c>
      <c r="G23" s="18" t="s">
        <v>27</v>
      </c>
      <c r="H23" s="18" t="s">
        <v>86</v>
      </c>
      <c r="I23" s="20" t="s">
        <v>805</v>
      </c>
      <c r="J23" s="20" t="s">
        <v>161</v>
      </c>
      <c r="K23" s="20" t="s">
        <v>762</v>
      </c>
      <c r="L23" s="18" t="s">
        <v>84</v>
      </c>
      <c r="M23" s="18" t="s">
        <v>85</v>
      </c>
      <c r="N23" s="20" t="s">
        <v>762</v>
      </c>
      <c r="O23" s="15"/>
      <c r="P23" s="8"/>
      <c r="Q23" s="8"/>
    </row>
    <row r="24" spans="1:17" ht="69.75" customHeight="1" x14ac:dyDescent="0.2">
      <c r="A24" s="17">
        <v>46053.47209476852</v>
      </c>
      <c r="B24" s="18">
        <v>28218041821</v>
      </c>
      <c r="C24" s="18" t="s">
        <v>87</v>
      </c>
      <c r="D24" s="18" t="s">
        <v>88</v>
      </c>
      <c r="E24" s="18" t="s">
        <v>34</v>
      </c>
      <c r="F24" s="18" t="s">
        <v>26</v>
      </c>
      <c r="G24" s="18" t="s">
        <v>27</v>
      </c>
      <c r="H24" s="18" t="s">
        <v>37</v>
      </c>
      <c r="I24" s="20" t="s">
        <v>805</v>
      </c>
      <c r="J24" s="20" t="s">
        <v>22</v>
      </c>
      <c r="K24" s="20"/>
      <c r="L24" s="18" t="s">
        <v>35</v>
      </c>
      <c r="M24" s="18" t="s">
        <v>29</v>
      </c>
      <c r="N24" s="18" t="s">
        <v>89</v>
      </c>
      <c r="O24" s="15"/>
      <c r="P24" s="8"/>
      <c r="Q24" s="8"/>
    </row>
    <row r="25" spans="1:17" ht="69.75" customHeight="1" x14ac:dyDescent="0.2">
      <c r="A25" s="17">
        <v>46051.477737511574</v>
      </c>
      <c r="B25" s="18">
        <v>28208020589</v>
      </c>
      <c r="C25" s="18" t="s">
        <v>90</v>
      </c>
      <c r="D25" s="19" t="s">
        <v>91</v>
      </c>
      <c r="E25" s="18" t="s">
        <v>25</v>
      </c>
      <c r="F25" s="18" t="s">
        <v>26</v>
      </c>
      <c r="G25" s="18" t="s">
        <v>27</v>
      </c>
      <c r="H25" s="18" t="s">
        <v>31</v>
      </c>
      <c r="I25" s="20" t="s">
        <v>805</v>
      </c>
      <c r="J25" s="20" t="s">
        <v>22</v>
      </c>
      <c r="K25" s="20"/>
      <c r="L25" s="18" t="s">
        <v>92</v>
      </c>
      <c r="M25" s="18" t="s">
        <v>29</v>
      </c>
      <c r="N25" s="18" t="s">
        <v>93</v>
      </c>
      <c r="O25" s="15"/>
      <c r="P25" s="8"/>
      <c r="Q25" s="8"/>
    </row>
    <row r="26" spans="1:17" ht="69.75" customHeight="1" x14ac:dyDescent="0.2">
      <c r="A26" s="17">
        <v>46054.25890458333</v>
      </c>
      <c r="B26" s="18">
        <v>28208004382</v>
      </c>
      <c r="C26" s="18" t="s">
        <v>94</v>
      </c>
      <c r="D26" s="18" t="s">
        <v>95</v>
      </c>
      <c r="E26" s="18" t="s">
        <v>34</v>
      </c>
      <c r="F26" s="18" t="s">
        <v>26</v>
      </c>
      <c r="G26" s="18" t="s">
        <v>27</v>
      </c>
      <c r="H26" s="18" t="s">
        <v>31</v>
      </c>
      <c r="I26" s="20" t="s">
        <v>805</v>
      </c>
      <c r="J26" s="20" t="s">
        <v>22</v>
      </c>
      <c r="K26" s="20"/>
      <c r="L26" s="18" t="s">
        <v>96</v>
      </c>
      <c r="M26" s="18" t="s">
        <v>29</v>
      </c>
      <c r="N26" s="18" t="s">
        <v>97</v>
      </c>
      <c r="O26" s="15"/>
      <c r="P26" s="8"/>
      <c r="Q26" s="8"/>
    </row>
    <row r="27" spans="1:17" ht="69.75" customHeight="1" x14ac:dyDescent="0.2">
      <c r="A27" s="17">
        <v>46051.490244768516</v>
      </c>
      <c r="B27" s="18">
        <v>27207101004</v>
      </c>
      <c r="C27" s="18" t="s">
        <v>98</v>
      </c>
      <c r="D27" s="18" t="s">
        <v>99</v>
      </c>
      <c r="E27" s="18" t="s">
        <v>100</v>
      </c>
      <c r="F27" s="18" t="s">
        <v>26</v>
      </c>
      <c r="G27" s="18" t="s">
        <v>27</v>
      </c>
      <c r="H27" s="18" t="s">
        <v>31</v>
      </c>
      <c r="I27" s="20" t="s">
        <v>805</v>
      </c>
      <c r="J27" s="20" t="s">
        <v>22</v>
      </c>
      <c r="K27" s="20"/>
      <c r="L27" s="18" t="s">
        <v>96</v>
      </c>
      <c r="M27" s="18" t="s">
        <v>29</v>
      </c>
      <c r="N27" s="18" t="s">
        <v>101</v>
      </c>
      <c r="O27" s="15"/>
      <c r="P27" s="8"/>
      <c r="Q27" s="8"/>
    </row>
    <row r="28" spans="1:17" ht="69.75" customHeight="1" x14ac:dyDescent="0.2">
      <c r="A28" s="17">
        <v>46055.931233750001</v>
      </c>
      <c r="B28" s="18">
        <v>28208002509</v>
      </c>
      <c r="C28" s="18" t="s">
        <v>102</v>
      </c>
      <c r="D28" s="18" t="s">
        <v>103</v>
      </c>
      <c r="E28" s="18" t="s">
        <v>34</v>
      </c>
      <c r="F28" s="18" t="s">
        <v>26</v>
      </c>
      <c r="G28" s="18" t="s">
        <v>27</v>
      </c>
      <c r="H28" s="18" t="s">
        <v>106</v>
      </c>
      <c r="I28" s="20" t="s">
        <v>805</v>
      </c>
      <c r="J28" s="20" t="s">
        <v>22</v>
      </c>
      <c r="K28" s="20"/>
      <c r="L28" s="18" t="s">
        <v>104</v>
      </c>
      <c r="M28" s="18" t="s">
        <v>29</v>
      </c>
      <c r="N28" s="18" t="s">
        <v>105</v>
      </c>
      <c r="O28" s="15"/>
      <c r="P28" s="8"/>
      <c r="Q28" s="8"/>
    </row>
    <row r="29" spans="1:17" ht="69.75" customHeight="1" x14ac:dyDescent="0.2">
      <c r="A29" s="17">
        <v>46052.969950474537</v>
      </c>
      <c r="B29" s="18">
        <v>28218052773</v>
      </c>
      <c r="C29" s="18" t="s">
        <v>107</v>
      </c>
      <c r="D29" s="18" t="s">
        <v>108</v>
      </c>
      <c r="E29" s="18" t="s">
        <v>83</v>
      </c>
      <c r="F29" s="18" t="s">
        <v>26</v>
      </c>
      <c r="G29" s="18" t="s">
        <v>27</v>
      </c>
      <c r="H29" s="18" t="s">
        <v>53</v>
      </c>
      <c r="I29" s="20" t="s">
        <v>805</v>
      </c>
      <c r="J29" s="20" t="s">
        <v>22</v>
      </c>
      <c r="K29" s="20"/>
      <c r="L29" s="18" t="s">
        <v>51</v>
      </c>
      <c r="M29" s="18" t="s">
        <v>29</v>
      </c>
      <c r="N29" s="18" t="s">
        <v>109</v>
      </c>
      <c r="O29" s="15"/>
      <c r="P29" s="8"/>
      <c r="Q29" s="8"/>
    </row>
    <row r="30" spans="1:17" ht="69.75" customHeight="1" x14ac:dyDescent="0.2">
      <c r="A30" s="17">
        <v>46055.704187337964</v>
      </c>
      <c r="B30" s="18">
        <v>28218034958</v>
      </c>
      <c r="C30" s="18" t="s">
        <v>110</v>
      </c>
      <c r="D30" s="19" t="s">
        <v>111</v>
      </c>
      <c r="E30" s="18" t="s">
        <v>40</v>
      </c>
      <c r="F30" s="18" t="s">
        <v>26</v>
      </c>
      <c r="G30" s="18" t="s">
        <v>27</v>
      </c>
      <c r="H30" s="18" t="s">
        <v>21</v>
      </c>
      <c r="I30" s="20" t="s">
        <v>805</v>
      </c>
      <c r="J30" s="20" t="s">
        <v>22</v>
      </c>
      <c r="K30" s="20"/>
      <c r="L30" s="18" t="s">
        <v>112</v>
      </c>
      <c r="M30" s="18" t="s">
        <v>29</v>
      </c>
      <c r="N30" s="18" t="s">
        <v>113</v>
      </c>
      <c r="O30" s="15"/>
      <c r="P30" s="8"/>
      <c r="Q30" s="8"/>
    </row>
    <row r="31" spans="1:17" ht="69.75" customHeight="1" x14ac:dyDescent="0.2">
      <c r="A31" s="17">
        <v>46051.638612222217</v>
      </c>
      <c r="B31" s="18">
        <v>29218038702</v>
      </c>
      <c r="C31" s="18" t="s">
        <v>114</v>
      </c>
      <c r="D31" s="18" t="s">
        <v>115</v>
      </c>
      <c r="E31" s="18" t="s">
        <v>116</v>
      </c>
      <c r="F31" s="18" t="s">
        <v>26</v>
      </c>
      <c r="G31" s="18" t="s">
        <v>117</v>
      </c>
      <c r="H31" s="18" t="s">
        <v>120</v>
      </c>
      <c r="I31" s="20" t="s">
        <v>805</v>
      </c>
      <c r="J31" s="20" t="s">
        <v>22</v>
      </c>
      <c r="K31" s="20"/>
      <c r="L31" s="18" t="s">
        <v>118</v>
      </c>
      <c r="M31" s="18" t="s">
        <v>68</v>
      </c>
      <c r="N31" s="18" t="s">
        <v>119</v>
      </c>
      <c r="O31" s="15"/>
      <c r="P31" s="8"/>
      <c r="Q31" s="8"/>
    </row>
    <row r="32" spans="1:17" ht="69.75" customHeight="1" x14ac:dyDescent="0.2">
      <c r="A32" s="17">
        <v>46051.663185590282</v>
      </c>
      <c r="B32" s="18">
        <v>28212405074</v>
      </c>
      <c r="C32" s="18" t="s">
        <v>121</v>
      </c>
      <c r="D32" s="18" t="s">
        <v>122</v>
      </c>
      <c r="E32" s="18" t="s">
        <v>123</v>
      </c>
      <c r="F32" s="18" t="s">
        <v>26</v>
      </c>
      <c r="G32" s="18" t="s">
        <v>27</v>
      </c>
      <c r="H32" s="18" t="s">
        <v>53</v>
      </c>
      <c r="I32" s="20" t="s">
        <v>805</v>
      </c>
      <c r="J32" s="20" t="s">
        <v>22</v>
      </c>
      <c r="K32" s="20"/>
      <c r="L32" s="18" t="s">
        <v>51</v>
      </c>
      <c r="M32" s="18" t="s">
        <v>29</v>
      </c>
      <c r="N32" s="18" t="s">
        <v>124</v>
      </c>
      <c r="O32" s="15"/>
      <c r="P32" s="8"/>
      <c r="Q32" s="8"/>
    </row>
    <row r="33" spans="1:17" ht="69.75" customHeight="1" x14ac:dyDescent="0.2">
      <c r="A33" s="17">
        <v>46055.698781851854</v>
      </c>
      <c r="B33" s="18">
        <v>28208045207</v>
      </c>
      <c r="C33" s="18" t="s">
        <v>125</v>
      </c>
      <c r="D33" s="19" t="s">
        <v>126</v>
      </c>
      <c r="E33" s="18" t="s">
        <v>83</v>
      </c>
      <c r="F33" s="18" t="s">
        <v>26</v>
      </c>
      <c r="G33" s="18" t="s">
        <v>27</v>
      </c>
      <c r="H33" s="18" t="s">
        <v>70</v>
      </c>
      <c r="I33" s="20" t="s">
        <v>805</v>
      </c>
      <c r="J33" s="20" t="s">
        <v>22</v>
      </c>
      <c r="K33" s="20"/>
      <c r="L33" s="18" t="s">
        <v>127</v>
      </c>
      <c r="M33" s="18" t="s">
        <v>68</v>
      </c>
      <c r="N33" s="18" t="s">
        <v>128</v>
      </c>
      <c r="O33" s="15"/>
      <c r="P33" s="8"/>
      <c r="Q33" s="8"/>
    </row>
    <row r="34" spans="1:17" ht="69.75" customHeight="1" x14ac:dyDescent="0.2">
      <c r="A34" s="17">
        <v>46053.489521782409</v>
      </c>
      <c r="B34" s="18">
        <v>27207143817</v>
      </c>
      <c r="C34" s="18" t="s">
        <v>129</v>
      </c>
      <c r="D34" s="18" t="s">
        <v>130</v>
      </c>
      <c r="E34" s="18" t="s">
        <v>131</v>
      </c>
      <c r="F34" s="18" t="s">
        <v>26</v>
      </c>
      <c r="G34" s="18" t="s">
        <v>132</v>
      </c>
      <c r="H34" s="18" t="s">
        <v>31</v>
      </c>
      <c r="I34" s="20" t="s">
        <v>805</v>
      </c>
      <c r="J34" s="20" t="s">
        <v>22</v>
      </c>
      <c r="K34" s="20"/>
      <c r="L34" s="18" t="s">
        <v>96</v>
      </c>
      <c r="M34" s="18" t="s">
        <v>29</v>
      </c>
      <c r="N34" s="18" t="s">
        <v>133</v>
      </c>
      <c r="O34" s="15"/>
      <c r="P34" s="8"/>
      <c r="Q34" s="8"/>
    </row>
    <row r="35" spans="1:17" ht="69.75" customHeight="1" x14ac:dyDescent="0.2">
      <c r="A35" s="17">
        <v>46052.654281331023</v>
      </c>
      <c r="B35" s="18">
        <v>27217153816</v>
      </c>
      <c r="C35" s="18" t="s">
        <v>134</v>
      </c>
      <c r="D35" s="19" t="s">
        <v>135</v>
      </c>
      <c r="E35" s="18" t="s">
        <v>136</v>
      </c>
      <c r="F35" s="18" t="s">
        <v>26</v>
      </c>
      <c r="G35" s="18" t="s">
        <v>132</v>
      </c>
      <c r="H35" s="18" t="s">
        <v>139</v>
      </c>
      <c r="I35" s="20" t="s">
        <v>805</v>
      </c>
      <c r="J35" s="20" t="s">
        <v>22</v>
      </c>
      <c r="K35" s="20"/>
      <c r="L35" s="18" t="s">
        <v>137</v>
      </c>
      <c r="M35" s="18" t="s">
        <v>29</v>
      </c>
      <c r="N35" s="18" t="s">
        <v>138</v>
      </c>
      <c r="O35" s="15"/>
      <c r="P35" s="8"/>
      <c r="Q35" s="8"/>
    </row>
    <row r="36" spans="1:17" ht="69.75" customHeight="1" x14ac:dyDescent="0.2">
      <c r="A36" s="17">
        <v>46055.682397708333</v>
      </c>
      <c r="B36" s="18">
        <v>27207131320</v>
      </c>
      <c r="C36" s="18" t="s">
        <v>140</v>
      </c>
      <c r="D36" s="18" t="s">
        <v>141</v>
      </c>
      <c r="E36" s="18" t="s">
        <v>40</v>
      </c>
      <c r="F36" s="18" t="s">
        <v>26</v>
      </c>
      <c r="G36" s="18" t="s">
        <v>27</v>
      </c>
      <c r="H36" s="18" t="s">
        <v>31</v>
      </c>
      <c r="I36" s="20" t="s">
        <v>805</v>
      </c>
      <c r="J36" s="20" t="s">
        <v>22</v>
      </c>
      <c r="K36" s="20"/>
      <c r="L36" s="18" t="s">
        <v>352</v>
      </c>
      <c r="M36" s="18" t="s">
        <v>29</v>
      </c>
      <c r="N36" s="18" t="s">
        <v>142</v>
      </c>
      <c r="O36" s="15"/>
      <c r="P36" s="8"/>
      <c r="Q36" s="8"/>
    </row>
    <row r="37" spans="1:17" ht="69.75" customHeight="1" x14ac:dyDescent="0.2">
      <c r="A37" s="17">
        <v>46052.768566342595</v>
      </c>
      <c r="B37" s="18">
        <v>28218050044</v>
      </c>
      <c r="C37" s="18" t="s">
        <v>143</v>
      </c>
      <c r="D37" s="18" t="s">
        <v>144</v>
      </c>
      <c r="E37" s="18" t="s">
        <v>40</v>
      </c>
      <c r="F37" s="18" t="s">
        <v>26</v>
      </c>
      <c r="G37" s="18" t="s">
        <v>27</v>
      </c>
      <c r="H37" s="18" t="s">
        <v>31</v>
      </c>
      <c r="I37" s="20" t="s">
        <v>805</v>
      </c>
      <c r="J37" s="20" t="s">
        <v>22</v>
      </c>
      <c r="K37" s="20"/>
      <c r="L37" s="18" t="s">
        <v>28</v>
      </c>
      <c r="M37" s="18" t="s">
        <v>29</v>
      </c>
      <c r="N37" s="18" t="s">
        <v>145</v>
      </c>
      <c r="O37" s="15"/>
      <c r="P37" s="8"/>
      <c r="Q37" s="8"/>
    </row>
    <row r="38" spans="1:17" ht="69.75" customHeight="1" x14ac:dyDescent="0.2">
      <c r="A38" s="17">
        <v>46055.710483194445</v>
      </c>
      <c r="B38" s="18">
        <v>28200402882</v>
      </c>
      <c r="C38" s="18" t="s">
        <v>146</v>
      </c>
      <c r="D38" s="18" t="s">
        <v>147</v>
      </c>
      <c r="E38" s="18" t="s">
        <v>34</v>
      </c>
      <c r="F38" s="18" t="s">
        <v>26</v>
      </c>
      <c r="G38" s="18" t="s">
        <v>27</v>
      </c>
      <c r="H38" s="18" t="s">
        <v>139</v>
      </c>
      <c r="I38" s="20" t="s">
        <v>805</v>
      </c>
      <c r="J38" s="20" t="s">
        <v>22</v>
      </c>
      <c r="K38" s="20"/>
      <c r="L38" s="18" t="s">
        <v>148</v>
      </c>
      <c r="M38" s="18" t="s">
        <v>29</v>
      </c>
      <c r="N38" s="18" t="s">
        <v>149</v>
      </c>
      <c r="O38" s="15"/>
      <c r="P38" s="8"/>
      <c r="Q38" s="8"/>
    </row>
    <row r="39" spans="1:17" ht="69.75" customHeight="1" x14ac:dyDescent="0.2">
      <c r="A39" s="17">
        <v>46055.346058946758</v>
      </c>
      <c r="B39" s="18">
        <v>28208039850</v>
      </c>
      <c r="C39" s="18" t="s">
        <v>150</v>
      </c>
      <c r="D39" s="19" t="s">
        <v>151</v>
      </c>
      <c r="E39" s="18" t="s">
        <v>25</v>
      </c>
      <c r="F39" s="18" t="s">
        <v>26</v>
      </c>
      <c r="G39" s="18" t="s">
        <v>27</v>
      </c>
      <c r="H39" s="18" t="s">
        <v>120</v>
      </c>
      <c r="I39" s="20" t="s">
        <v>805</v>
      </c>
      <c r="J39" s="20" t="s">
        <v>22</v>
      </c>
      <c r="K39" s="20"/>
      <c r="L39" s="18" t="s">
        <v>152</v>
      </c>
      <c r="M39" s="18" t="s">
        <v>153</v>
      </c>
      <c r="N39" s="18" t="s">
        <v>154</v>
      </c>
      <c r="O39" s="15"/>
      <c r="P39" s="8"/>
      <c r="Q39" s="8"/>
    </row>
    <row r="40" spans="1:17" ht="69.75" customHeight="1" x14ac:dyDescent="0.2">
      <c r="A40" s="17">
        <v>46051.6694565625</v>
      </c>
      <c r="B40" s="18">
        <v>28208300036</v>
      </c>
      <c r="C40" s="18" t="s">
        <v>155</v>
      </c>
      <c r="D40" s="19" t="s">
        <v>156</v>
      </c>
      <c r="E40" s="18" t="s">
        <v>157</v>
      </c>
      <c r="F40" s="18" t="s">
        <v>158</v>
      </c>
      <c r="G40" s="18" t="s">
        <v>27</v>
      </c>
      <c r="H40" s="18" t="s">
        <v>160</v>
      </c>
      <c r="I40" s="20" t="s">
        <v>806</v>
      </c>
      <c r="J40" s="20" t="s">
        <v>161</v>
      </c>
      <c r="K40" s="20" t="s">
        <v>162</v>
      </c>
      <c r="L40" s="18" t="s">
        <v>159</v>
      </c>
      <c r="M40" s="18" t="s">
        <v>29</v>
      </c>
      <c r="N40" s="18" t="s">
        <v>784</v>
      </c>
      <c r="O40" s="15"/>
      <c r="P40" s="8"/>
      <c r="Q40" s="8"/>
    </row>
    <row r="41" spans="1:17" ht="69.75" customHeight="1" x14ac:dyDescent="0.2">
      <c r="A41" s="17">
        <v>46055.57762434028</v>
      </c>
      <c r="B41" s="18">
        <v>28206105368</v>
      </c>
      <c r="C41" s="18" t="s">
        <v>163</v>
      </c>
      <c r="D41" s="19" t="s">
        <v>164</v>
      </c>
      <c r="E41" s="18" t="s">
        <v>165</v>
      </c>
      <c r="F41" s="18" t="s">
        <v>26</v>
      </c>
      <c r="G41" s="18" t="s">
        <v>27</v>
      </c>
      <c r="H41" s="18" t="s">
        <v>21</v>
      </c>
      <c r="I41" s="20" t="s">
        <v>805</v>
      </c>
      <c r="J41" s="20" t="s">
        <v>22</v>
      </c>
      <c r="K41" s="20"/>
      <c r="L41" s="18" t="s">
        <v>112</v>
      </c>
      <c r="M41" s="18" t="s">
        <v>29</v>
      </c>
      <c r="N41" s="18" t="s">
        <v>166</v>
      </c>
      <c r="O41" s="15"/>
      <c r="P41" s="8"/>
      <c r="Q41" s="8"/>
    </row>
    <row r="42" spans="1:17" ht="69.75" customHeight="1" x14ac:dyDescent="0.2">
      <c r="A42" s="17">
        <v>46053.673284710647</v>
      </c>
      <c r="B42" s="18">
        <v>28209238485</v>
      </c>
      <c r="C42" s="18" t="s">
        <v>167</v>
      </c>
      <c r="D42" s="19" t="s">
        <v>168</v>
      </c>
      <c r="E42" s="18" t="s">
        <v>169</v>
      </c>
      <c r="F42" s="18" t="s">
        <v>26</v>
      </c>
      <c r="G42" s="18" t="s">
        <v>27</v>
      </c>
      <c r="H42" s="18" t="s">
        <v>106</v>
      </c>
      <c r="I42" s="20" t="s">
        <v>805</v>
      </c>
      <c r="J42" s="20" t="s">
        <v>22</v>
      </c>
      <c r="K42" s="20"/>
      <c r="L42" s="18" t="s">
        <v>170</v>
      </c>
      <c r="M42" s="18" t="s">
        <v>29</v>
      </c>
      <c r="N42" s="18" t="s">
        <v>171</v>
      </c>
      <c r="O42" s="15"/>
      <c r="P42" s="8"/>
      <c r="Q42" s="8"/>
    </row>
    <row r="43" spans="1:17" s="29" customFormat="1" ht="69.75" customHeight="1" x14ac:dyDescent="0.2">
      <c r="A43" s="26">
        <v>46052.650467453699</v>
      </c>
      <c r="B43" s="27">
        <v>28208138339</v>
      </c>
      <c r="C43" s="27" t="s">
        <v>172</v>
      </c>
      <c r="D43" s="27" t="s">
        <v>173</v>
      </c>
      <c r="E43" s="27" t="s">
        <v>40</v>
      </c>
      <c r="F43" s="27" t="s">
        <v>26</v>
      </c>
      <c r="G43" s="27" t="s">
        <v>27</v>
      </c>
      <c r="H43" s="27" t="s">
        <v>21</v>
      </c>
      <c r="I43" s="27" t="s">
        <v>805</v>
      </c>
      <c r="J43" s="27" t="s">
        <v>174</v>
      </c>
      <c r="K43" s="27"/>
      <c r="L43" s="27" t="s">
        <v>112</v>
      </c>
      <c r="M43" s="27" t="s">
        <v>29</v>
      </c>
      <c r="N43" s="27"/>
      <c r="O43" s="32"/>
      <c r="P43" s="28"/>
      <c r="Q43" s="28"/>
    </row>
    <row r="44" spans="1:17" ht="69.75" customHeight="1" x14ac:dyDescent="0.2">
      <c r="A44" s="17">
        <v>46051.692187430555</v>
      </c>
      <c r="B44" s="18">
        <v>28208142242</v>
      </c>
      <c r="C44" s="18" t="s">
        <v>175</v>
      </c>
      <c r="D44" s="18" t="s">
        <v>144</v>
      </c>
      <c r="E44" s="18" t="s">
        <v>176</v>
      </c>
      <c r="F44" s="18" t="s">
        <v>26</v>
      </c>
      <c r="G44" s="18" t="s">
        <v>27</v>
      </c>
      <c r="H44" s="18" t="s">
        <v>31</v>
      </c>
      <c r="I44" s="20" t="s">
        <v>805</v>
      </c>
      <c r="J44" s="20" t="s">
        <v>22</v>
      </c>
      <c r="K44" s="20"/>
      <c r="L44" s="18" t="s">
        <v>28</v>
      </c>
      <c r="M44" s="18" t="s">
        <v>29</v>
      </c>
      <c r="N44" s="18" t="s">
        <v>177</v>
      </c>
      <c r="O44" s="15"/>
      <c r="P44" s="8"/>
      <c r="Q44" s="8"/>
    </row>
    <row r="45" spans="1:17" ht="69.75" customHeight="1" x14ac:dyDescent="0.2">
      <c r="A45" s="17">
        <v>46053.756711909722</v>
      </c>
      <c r="B45" s="18">
        <v>28208054653</v>
      </c>
      <c r="C45" s="18" t="s">
        <v>178</v>
      </c>
      <c r="D45" s="18" t="s">
        <v>179</v>
      </c>
      <c r="E45" s="18" t="s">
        <v>180</v>
      </c>
      <c r="F45" s="18" t="s">
        <v>26</v>
      </c>
      <c r="G45" s="18" t="s">
        <v>27</v>
      </c>
      <c r="H45" s="18" t="s">
        <v>139</v>
      </c>
      <c r="I45" s="20" t="s">
        <v>805</v>
      </c>
      <c r="J45" s="20" t="s">
        <v>22</v>
      </c>
      <c r="K45" s="20"/>
      <c r="L45" s="18" t="s">
        <v>181</v>
      </c>
      <c r="M45" s="18" t="s">
        <v>29</v>
      </c>
      <c r="N45" s="18" t="s">
        <v>182</v>
      </c>
      <c r="O45" s="15"/>
      <c r="P45" s="8"/>
      <c r="Q45" s="8"/>
    </row>
    <row r="46" spans="1:17" ht="69.75" customHeight="1" x14ac:dyDescent="0.2">
      <c r="A46" s="17">
        <v>46051.700996041662</v>
      </c>
      <c r="B46" s="18">
        <v>28208005404</v>
      </c>
      <c r="C46" s="18" t="s">
        <v>183</v>
      </c>
      <c r="D46" s="18" t="s">
        <v>184</v>
      </c>
      <c r="E46" s="18" t="s">
        <v>185</v>
      </c>
      <c r="F46" s="18" t="s">
        <v>26</v>
      </c>
      <c r="G46" s="18" t="s">
        <v>27</v>
      </c>
      <c r="H46" s="18" t="s">
        <v>31</v>
      </c>
      <c r="I46" s="20" t="s">
        <v>805</v>
      </c>
      <c r="J46" s="20" t="s">
        <v>22</v>
      </c>
      <c r="K46" s="20"/>
      <c r="L46" s="18" t="s">
        <v>41</v>
      </c>
      <c r="M46" s="18" t="s">
        <v>29</v>
      </c>
      <c r="N46" s="18" t="s">
        <v>186</v>
      </c>
      <c r="O46" s="15"/>
      <c r="P46" s="8"/>
      <c r="Q46" s="8"/>
    </row>
    <row r="47" spans="1:17" ht="69.75" customHeight="1" x14ac:dyDescent="0.2">
      <c r="A47" s="17">
        <v>46051.710733402782</v>
      </c>
      <c r="B47" s="18">
        <v>28208036232</v>
      </c>
      <c r="C47" s="18" t="s">
        <v>187</v>
      </c>
      <c r="D47" s="19" t="s">
        <v>188</v>
      </c>
      <c r="E47" s="18" t="s">
        <v>189</v>
      </c>
      <c r="F47" s="18" t="s">
        <v>26</v>
      </c>
      <c r="G47" s="18" t="s">
        <v>27</v>
      </c>
      <c r="H47" s="18" t="s">
        <v>31</v>
      </c>
      <c r="I47" s="20" t="s">
        <v>805</v>
      </c>
      <c r="J47" s="20" t="s">
        <v>22</v>
      </c>
      <c r="K47" s="20"/>
      <c r="L47" s="18" t="s">
        <v>28</v>
      </c>
      <c r="M47" s="18" t="s">
        <v>29</v>
      </c>
      <c r="N47" s="18" t="s">
        <v>190</v>
      </c>
      <c r="O47" s="15"/>
      <c r="P47" s="8"/>
      <c r="Q47" s="8"/>
    </row>
    <row r="48" spans="1:17" ht="69.75" customHeight="1" x14ac:dyDescent="0.2">
      <c r="A48" s="17">
        <v>46051.711567361112</v>
      </c>
      <c r="B48" s="18">
        <v>28208034626</v>
      </c>
      <c r="C48" s="18" t="s">
        <v>191</v>
      </c>
      <c r="D48" s="19" t="s">
        <v>192</v>
      </c>
      <c r="E48" s="18" t="s">
        <v>40</v>
      </c>
      <c r="F48" s="18" t="s">
        <v>26</v>
      </c>
      <c r="G48" s="18" t="s">
        <v>27</v>
      </c>
      <c r="H48" s="18" t="s">
        <v>31</v>
      </c>
      <c r="I48" s="20" t="s">
        <v>805</v>
      </c>
      <c r="J48" s="20" t="s">
        <v>22</v>
      </c>
      <c r="K48" s="20"/>
      <c r="L48" s="18" t="s">
        <v>41</v>
      </c>
      <c r="M48" s="18" t="s">
        <v>29</v>
      </c>
      <c r="N48" s="18" t="s">
        <v>193</v>
      </c>
      <c r="O48" s="15"/>
      <c r="P48" s="8"/>
      <c r="Q48" s="8"/>
    </row>
    <row r="49" spans="1:17" ht="69.75" customHeight="1" x14ac:dyDescent="0.2">
      <c r="A49" s="17">
        <v>46055.405889479167</v>
      </c>
      <c r="B49" s="18">
        <v>27207124663</v>
      </c>
      <c r="C49" s="18" t="s">
        <v>194</v>
      </c>
      <c r="D49" s="18" t="s">
        <v>195</v>
      </c>
      <c r="E49" s="18" t="s">
        <v>176</v>
      </c>
      <c r="F49" s="18" t="s">
        <v>26</v>
      </c>
      <c r="G49" s="18" t="s">
        <v>27</v>
      </c>
      <c r="H49" s="18" t="s">
        <v>106</v>
      </c>
      <c r="I49" s="20" t="s">
        <v>805</v>
      </c>
      <c r="J49" s="20" t="s">
        <v>22</v>
      </c>
      <c r="K49" s="20"/>
      <c r="L49" s="18" t="s">
        <v>196</v>
      </c>
      <c r="M49" s="18" t="s">
        <v>29</v>
      </c>
      <c r="N49" s="18" t="s">
        <v>197</v>
      </c>
      <c r="O49" s="15"/>
      <c r="P49" s="8"/>
      <c r="Q49" s="8"/>
    </row>
    <row r="50" spans="1:17" ht="69.75" customHeight="1" x14ac:dyDescent="0.2">
      <c r="A50" s="17">
        <v>46051.839020798609</v>
      </c>
      <c r="B50" s="18">
        <v>27207121752</v>
      </c>
      <c r="C50" s="18" t="s">
        <v>198</v>
      </c>
      <c r="D50" s="19" t="s">
        <v>199</v>
      </c>
      <c r="E50" s="18" t="s">
        <v>200</v>
      </c>
      <c r="F50" s="18" t="s">
        <v>26</v>
      </c>
      <c r="G50" s="18" t="s">
        <v>132</v>
      </c>
      <c r="H50" s="18" t="s">
        <v>75</v>
      </c>
      <c r="I50" s="20" t="s">
        <v>805</v>
      </c>
      <c r="J50" s="20" t="s">
        <v>22</v>
      </c>
      <c r="K50" s="20"/>
      <c r="L50" s="18" t="s">
        <v>51</v>
      </c>
      <c r="M50" s="18" t="s">
        <v>68</v>
      </c>
      <c r="N50" s="18" t="s">
        <v>201</v>
      </c>
      <c r="O50" s="15"/>
      <c r="P50" s="8"/>
      <c r="Q50" s="8"/>
    </row>
    <row r="51" spans="1:17" ht="69.75" customHeight="1" x14ac:dyDescent="0.2">
      <c r="A51" s="17">
        <v>46051.821530879628</v>
      </c>
      <c r="B51" s="18">
        <v>28208151980</v>
      </c>
      <c r="C51" s="18" t="s">
        <v>202</v>
      </c>
      <c r="D51" s="19" t="s">
        <v>203</v>
      </c>
      <c r="E51" s="18" t="s">
        <v>83</v>
      </c>
      <c r="F51" s="18" t="s">
        <v>26</v>
      </c>
      <c r="G51" s="18" t="s">
        <v>27</v>
      </c>
      <c r="H51" s="18" t="s">
        <v>75</v>
      </c>
      <c r="I51" s="20" t="s">
        <v>805</v>
      </c>
      <c r="J51" s="20" t="s">
        <v>22</v>
      </c>
      <c r="K51" s="20"/>
      <c r="L51" s="18" t="s">
        <v>41</v>
      </c>
      <c r="M51" s="18" t="s">
        <v>68</v>
      </c>
      <c r="N51" s="18" t="s">
        <v>204</v>
      </c>
      <c r="O51" s="15"/>
      <c r="P51" s="8"/>
      <c r="Q51" s="8"/>
    </row>
    <row r="52" spans="1:17" ht="69.75" customHeight="1" x14ac:dyDescent="0.2">
      <c r="A52" s="17">
        <v>46051.756713356481</v>
      </c>
      <c r="B52" s="18">
        <v>28208001228</v>
      </c>
      <c r="C52" s="18" t="s">
        <v>205</v>
      </c>
      <c r="D52" s="19" t="s">
        <v>206</v>
      </c>
      <c r="E52" s="18" t="s">
        <v>78</v>
      </c>
      <c r="F52" s="18" t="s">
        <v>16</v>
      </c>
      <c r="G52" s="18" t="s">
        <v>27</v>
      </c>
      <c r="H52" s="18" t="s">
        <v>31</v>
      </c>
      <c r="I52" s="20" t="s">
        <v>805</v>
      </c>
      <c r="J52" s="20" t="s">
        <v>22</v>
      </c>
      <c r="K52" s="20"/>
      <c r="L52" s="18" t="s">
        <v>207</v>
      </c>
      <c r="M52" s="18" t="s">
        <v>29</v>
      </c>
      <c r="N52" s="18" t="s">
        <v>208</v>
      </c>
      <c r="O52" s="15"/>
      <c r="P52" s="8"/>
      <c r="Q52" s="8"/>
    </row>
    <row r="53" spans="1:17" ht="69.75" customHeight="1" x14ac:dyDescent="0.2">
      <c r="A53" s="17">
        <v>46052.522252222218</v>
      </c>
      <c r="B53" s="18">
        <v>28214545352</v>
      </c>
      <c r="C53" s="18" t="s">
        <v>209</v>
      </c>
      <c r="D53" s="19" t="s">
        <v>210</v>
      </c>
      <c r="E53" s="18" t="s">
        <v>180</v>
      </c>
      <c r="F53" s="18" t="s">
        <v>26</v>
      </c>
      <c r="G53" s="18" t="s">
        <v>27</v>
      </c>
      <c r="H53" s="18" t="s">
        <v>139</v>
      </c>
      <c r="I53" s="20" t="s">
        <v>805</v>
      </c>
      <c r="J53" s="20" t="s">
        <v>22</v>
      </c>
      <c r="K53" s="20"/>
      <c r="L53" s="18" t="s">
        <v>181</v>
      </c>
      <c r="M53" s="18" t="s">
        <v>29</v>
      </c>
      <c r="N53" s="18" t="s">
        <v>211</v>
      </c>
      <c r="O53" s="15"/>
      <c r="P53" s="8"/>
      <c r="Q53" s="8"/>
    </row>
    <row r="54" spans="1:17" ht="69.75" customHeight="1" x14ac:dyDescent="0.2">
      <c r="A54" s="17">
        <v>46055.806187210648</v>
      </c>
      <c r="B54" s="18">
        <v>28208000472</v>
      </c>
      <c r="C54" s="18" t="s">
        <v>212</v>
      </c>
      <c r="D54" s="19" t="s">
        <v>213</v>
      </c>
      <c r="E54" s="18" t="s">
        <v>40</v>
      </c>
      <c r="F54" s="18" t="s">
        <v>26</v>
      </c>
      <c r="G54" s="18" t="s">
        <v>27</v>
      </c>
      <c r="H54" s="18" t="s">
        <v>75</v>
      </c>
      <c r="I54" s="20" t="s">
        <v>805</v>
      </c>
      <c r="J54" s="20" t="s">
        <v>22</v>
      </c>
      <c r="K54" s="20"/>
      <c r="L54" s="18" t="s">
        <v>214</v>
      </c>
      <c r="M54" s="18" t="s">
        <v>68</v>
      </c>
      <c r="N54" s="18" t="s">
        <v>215</v>
      </c>
      <c r="O54" s="15"/>
      <c r="P54" s="8"/>
      <c r="Q54" s="8"/>
    </row>
    <row r="55" spans="1:17" ht="69.75" customHeight="1" x14ac:dyDescent="0.2">
      <c r="A55" s="17">
        <v>46053.467933263892</v>
      </c>
      <c r="B55" s="18">
        <v>28201143043</v>
      </c>
      <c r="C55" s="18" t="s">
        <v>216</v>
      </c>
      <c r="D55" s="18" t="s">
        <v>217</v>
      </c>
      <c r="E55" s="18" t="s">
        <v>176</v>
      </c>
      <c r="F55" s="18" t="s">
        <v>26</v>
      </c>
      <c r="G55" s="18" t="s">
        <v>27</v>
      </c>
      <c r="H55" s="18" t="s">
        <v>139</v>
      </c>
      <c r="I55" s="20" t="s">
        <v>805</v>
      </c>
      <c r="J55" s="20" t="s">
        <v>22</v>
      </c>
      <c r="K55" s="20"/>
      <c r="L55" s="18" t="s">
        <v>218</v>
      </c>
      <c r="M55" s="18" t="s">
        <v>153</v>
      </c>
      <c r="N55" s="18" t="s">
        <v>785</v>
      </c>
      <c r="O55" s="15"/>
      <c r="P55" s="8"/>
      <c r="Q55" s="8"/>
    </row>
    <row r="56" spans="1:17" ht="69.75" customHeight="1" x14ac:dyDescent="0.2">
      <c r="A56" s="17">
        <v>46051.778215925922</v>
      </c>
      <c r="B56" s="18">
        <v>28216204311</v>
      </c>
      <c r="C56" s="18" t="s">
        <v>219</v>
      </c>
      <c r="D56" s="19" t="s">
        <v>220</v>
      </c>
      <c r="E56" s="18" t="s">
        <v>189</v>
      </c>
      <c r="F56" s="18" t="s">
        <v>26</v>
      </c>
      <c r="G56" s="18" t="s">
        <v>27</v>
      </c>
      <c r="H56" s="18" t="s">
        <v>31</v>
      </c>
      <c r="I56" s="20" t="s">
        <v>805</v>
      </c>
      <c r="J56" s="20" t="s">
        <v>22</v>
      </c>
      <c r="K56" s="20"/>
      <c r="L56" s="18" t="s">
        <v>221</v>
      </c>
      <c r="M56" s="18" t="s">
        <v>29</v>
      </c>
      <c r="N56" s="18" t="s">
        <v>222</v>
      </c>
      <c r="O56" s="15"/>
      <c r="P56" s="8"/>
      <c r="Q56" s="8"/>
    </row>
    <row r="57" spans="1:17" ht="69.75" customHeight="1" x14ac:dyDescent="0.2">
      <c r="A57" s="17">
        <v>46053.483022523149</v>
      </c>
      <c r="B57" s="18">
        <v>28208002374</v>
      </c>
      <c r="C57" s="18" t="s">
        <v>223</v>
      </c>
      <c r="D57" s="18" t="s">
        <v>224</v>
      </c>
      <c r="E57" s="18" t="s">
        <v>25</v>
      </c>
      <c r="F57" s="18" t="s">
        <v>26</v>
      </c>
      <c r="G57" s="18" t="s">
        <v>27</v>
      </c>
      <c r="H57" s="18" t="s">
        <v>106</v>
      </c>
      <c r="I57" s="20" t="s">
        <v>805</v>
      </c>
      <c r="J57" s="20" t="s">
        <v>22</v>
      </c>
      <c r="K57" s="20"/>
      <c r="L57" s="18" t="s">
        <v>225</v>
      </c>
      <c r="M57" s="18" t="s">
        <v>29</v>
      </c>
      <c r="N57" s="18" t="s">
        <v>226</v>
      </c>
      <c r="O57" s="15"/>
      <c r="P57" s="8"/>
      <c r="Q57" s="8"/>
    </row>
    <row r="58" spans="1:17" ht="69.75" customHeight="1" x14ac:dyDescent="0.2">
      <c r="A58" s="17">
        <v>46056.269552673606</v>
      </c>
      <c r="B58" s="18">
        <v>28208002425</v>
      </c>
      <c r="C58" s="18" t="s">
        <v>227</v>
      </c>
      <c r="D58" s="18" t="s">
        <v>228</v>
      </c>
      <c r="E58" s="18" t="s">
        <v>34</v>
      </c>
      <c r="F58" s="18" t="s">
        <v>26</v>
      </c>
      <c r="G58" s="18" t="s">
        <v>27</v>
      </c>
      <c r="H58" s="18" t="s">
        <v>106</v>
      </c>
      <c r="I58" s="20" t="s">
        <v>805</v>
      </c>
      <c r="J58" s="20" t="s">
        <v>22</v>
      </c>
      <c r="K58" s="20"/>
      <c r="L58" s="18" t="s">
        <v>225</v>
      </c>
      <c r="M58" s="18" t="s">
        <v>29</v>
      </c>
      <c r="N58" s="18" t="s">
        <v>229</v>
      </c>
      <c r="O58" s="15"/>
      <c r="P58" s="8"/>
      <c r="Q58" s="8"/>
    </row>
    <row r="59" spans="1:17" ht="69.75" customHeight="1" x14ac:dyDescent="0.2">
      <c r="A59" s="17">
        <v>46051.822045416666</v>
      </c>
      <c r="B59" s="18">
        <v>28218050646</v>
      </c>
      <c r="C59" s="18" t="s">
        <v>230</v>
      </c>
      <c r="D59" s="18" t="s">
        <v>231</v>
      </c>
      <c r="E59" s="18" t="s">
        <v>189</v>
      </c>
      <c r="F59" s="18" t="s">
        <v>26</v>
      </c>
      <c r="G59" s="18" t="s">
        <v>27</v>
      </c>
      <c r="H59" s="18" t="s">
        <v>75</v>
      </c>
      <c r="I59" s="20" t="s">
        <v>805</v>
      </c>
      <c r="J59" s="20" t="s">
        <v>22</v>
      </c>
      <c r="K59" s="20"/>
      <c r="L59" s="18" t="s">
        <v>232</v>
      </c>
      <c r="M59" s="18" t="s">
        <v>68</v>
      </c>
      <c r="N59" s="18" t="s">
        <v>786</v>
      </c>
      <c r="O59" s="15"/>
      <c r="P59" s="8"/>
      <c r="Q59" s="8"/>
    </row>
    <row r="60" spans="1:17" ht="69.75" customHeight="1" x14ac:dyDescent="0.2">
      <c r="A60" s="17">
        <v>46051.800152638883</v>
      </c>
      <c r="B60" s="18">
        <v>28208227611</v>
      </c>
      <c r="C60" s="18" t="s">
        <v>233</v>
      </c>
      <c r="D60" s="19" t="s">
        <v>234</v>
      </c>
      <c r="E60" s="18" t="s">
        <v>189</v>
      </c>
      <c r="F60" s="18" t="s">
        <v>26</v>
      </c>
      <c r="G60" s="18" t="s">
        <v>27</v>
      </c>
      <c r="H60" s="18" t="s">
        <v>106</v>
      </c>
      <c r="I60" s="20" t="s">
        <v>805</v>
      </c>
      <c r="J60" s="20" t="s">
        <v>22</v>
      </c>
      <c r="K60" s="20"/>
      <c r="L60" s="18" t="s">
        <v>104</v>
      </c>
      <c r="M60" s="18" t="s">
        <v>29</v>
      </c>
      <c r="N60" s="18" t="s">
        <v>787</v>
      </c>
      <c r="O60" s="15"/>
      <c r="P60" s="8"/>
      <c r="Q60" s="8"/>
    </row>
    <row r="61" spans="1:17" ht="69.75" customHeight="1" x14ac:dyDescent="0.2">
      <c r="A61" s="17">
        <v>46051.82204353009</v>
      </c>
      <c r="B61" s="18">
        <v>28208001232</v>
      </c>
      <c r="C61" s="18" t="s">
        <v>235</v>
      </c>
      <c r="D61" s="18" t="s">
        <v>236</v>
      </c>
      <c r="E61" s="18" t="s">
        <v>169</v>
      </c>
      <c r="F61" s="18" t="s">
        <v>26</v>
      </c>
      <c r="G61" s="18" t="s">
        <v>27</v>
      </c>
      <c r="H61" s="18" t="s">
        <v>139</v>
      </c>
      <c r="I61" s="20" t="s">
        <v>805</v>
      </c>
      <c r="J61" s="20" t="s">
        <v>22</v>
      </c>
      <c r="K61" s="20"/>
      <c r="L61" s="18" t="s">
        <v>79</v>
      </c>
      <c r="M61" s="18" t="s">
        <v>29</v>
      </c>
      <c r="N61" s="18" t="s">
        <v>237</v>
      </c>
      <c r="O61" s="15"/>
      <c r="P61" s="8"/>
      <c r="Q61" s="8"/>
    </row>
    <row r="62" spans="1:17" ht="69.75" customHeight="1" x14ac:dyDescent="0.2">
      <c r="A62" s="17">
        <v>46051.824139398144</v>
      </c>
      <c r="B62" s="18">
        <v>28208020230</v>
      </c>
      <c r="C62" s="18" t="s">
        <v>238</v>
      </c>
      <c r="D62" s="18" t="s">
        <v>239</v>
      </c>
      <c r="E62" s="18" t="s">
        <v>34</v>
      </c>
      <c r="F62" s="18" t="s">
        <v>26</v>
      </c>
      <c r="G62" s="18" t="s">
        <v>27</v>
      </c>
      <c r="H62" s="18" t="s">
        <v>75</v>
      </c>
      <c r="I62" s="20" t="s">
        <v>805</v>
      </c>
      <c r="J62" s="20" t="s">
        <v>22</v>
      </c>
      <c r="K62" s="20"/>
      <c r="L62" s="18" t="s">
        <v>240</v>
      </c>
      <c r="M62" s="18" t="s">
        <v>68</v>
      </c>
      <c r="N62" s="18" t="s">
        <v>241</v>
      </c>
      <c r="O62" s="15"/>
      <c r="P62" s="8"/>
      <c r="Q62" s="8"/>
    </row>
    <row r="63" spans="1:17" ht="69.75" customHeight="1" x14ac:dyDescent="0.2">
      <c r="A63" s="17">
        <v>46055.674842465276</v>
      </c>
      <c r="B63" s="18">
        <v>27202141732</v>
      </c>
      <c r="C63" s="18" t="s">
        <v>242</v>
      </c>
      <c r="D63" s="18" t="s">
        <v>243</v>
      </c>
      <c r="E63" s="18" t="s">
        <v>136</v>
      </c>
      <c r="F63" s="18" t="s">
        <v>26</v>
      </c>
      <c r="G63" s="18" t="s">
        <v>132</v>
      </c>
      <c r="H63" s="18" t="s">
        <v>75</v>
      </c>
      <c r="I63" s="20" t="s">
        <v>805</v>
      </c>
      <c r="J63" s="20" t="s">
        <v>161</v>
      </c>
      <c r="K63" s="20" t="s">
        <v>245</v>
      </c>
      <c r="L63" s="18" t="s">
        <v>244</v>
      </c>
      <c r="M63" s="18" t="s">
        <v>68</v>
      </c>
      <c r="N63" s="20" t="s">
        <v>245</v>
      </c>
      <c r="O63" s="15"/>
      <c r="P63" s="8"/>
      <c r="Q63" s="8"/>
    </row>
    <row r="64" spans="1:17" ht="69.75" customHeight="1" x14ac:dyDescent="0.2">
      <c r="A64" s="17">
        <v>46053.531106249997</v>
      </c>
      <c r="B64" s="18">
        <v>28208254001</v>
      </c>
      <c r="C64" s="18" t="s">
        <v>246</v>
      </c>
      <c r="D64" s="19" t="s">
        <v>247</v>
      </c>
      <c r="E64" s="18" t="s">
        <v>165</v>
      </c>
      <c r="F64" s="18" t="s">
        <v>26</v>
      </c>
      <c r="G64" s="18" t="s">
        <v>27</v>
      </c>
      <c r="H64" s="18" t="s">
        <v>106</v>
      </c>
      <c r="I64" s="20" t="s">
        <v>805</v>
      </c>
      <c r="J64" s="20" t="s">
        <v>22</v>
      </c>
      <c r="K64" s="20"/>
      <c r="L64" s="18" t="s">
        <v>248</v>
      </c>
      <c r="M64" s="18" t="s">
        <v>29</v>
      </c>
      <c r="N64" s="18" t="s">
        <v>249</v>
      </c>
      <c r="O64" s="15"/>
      <c r="P64" s="8"/>
      <c r="Q64" s="8"/>
    </row>
    <row r="65" spans="1:17" ht="69.75" customHeight="1" x14ac:dyDescent="0.2">
      <c r="A65" s="17">
        <v>46052.576665081018</v>
      </c>
      <c r="B65" s="18">
        <v>28208053568</v>
      </c>
      <c r="C65" s="18" t="s">
        <v>250</v>
      </c>
      <c r="D65" s="18" t="s">
        <v>251</v>
      </c>
      <c r="E65" s="18" t="s">
        <v>83</v>
      </c>
      <c r="F65" s="18" t="s">
        <v>26</v>
      </c>
      <c r="G65" s="18" t="s">
        <v>27</v>
      </c>
      <c r="H65" s="18" t="s">
        <v>106</v>
      </c>
      <c r="I65" s="20" t="s">
        <v>805</v>
      </c>
      <c r="J65" s="20" t="s">
        <v>22</v>
      </c>
      <c r="K65" s="20"/>
      <c r="L65" s="18" t="s">
        <v>252</v>
      </c>
      <c r="M65" s="18" t="s">
        <v>29</v>
      </c>
      <c r="N65" s="18" t="s">
        <v>253</v>
      </c>
      <c r="O65" s="15"/>
      <c r="P65" s="8"/>
      <c r="Q65" s="8"/>
    </row>
    <row r="66" spans="1:17" ht="69.75" customHeight="1" x14ac:dyDescent="0.2">
      <c r="A66" s="17">
        <v>46051.86890976852</v>
      </c>
      <c r="B66" s="18">
        <v>27207134401</v>
      </c>
      <c r="C66" s="18" t="s">
        <v>254</v>
      </c>
      <c r="D66" s="19" t="s">
        <v>255</v>
      </c>
      <c r="E66" s="18" t="s">
        <v>256</v>
      </c>
      <c r="F66" s="18" t="s">
        <v>26</v>
      </c>
      <c r="G66" s="18" t="s">
        <v>132</v>
      </c>
      <c r="H66" s="18" t="s">
        <v>75</v>
      </c>
      <c r="I66" s="20" t="s">
        <v>805</v>
      </c>
      <c r="J66" s="20" t="s">
        <v>22</v>
      </c>
      <c r="K66" s="20"/>
      <c r="L66" s="18" t="s">
        <v>51</v>
      </c>
      <c r="M66" s="18" t="s">
        <v>68</v>
      </c>
      <c r="N66" s="18" t="s">
        <v>257</v>
      </c>
      <c r="O66" s="15"/>
      <c r="P66" s="8"/>
      <c r="Q66" s="8"/>
    </row>
    <row r="67" spans="1:17" ht="69.75" customHeight="1" x14ac:dyDescent="0.2">
      <c r="A67" s="17">
        <v>46053.619966342594</v>
      </c>
      <c r="B67" s="18">
        <v>28208004094</v>
      </c>
      <c r="C67" s="18" t="s">
        <v>258</v>
      </c>
      <c r="D67" s="18" t="s">
        <v>95</v>
      </c>
      <c r="E67" s="18" t="s">
        <v>165</v>
      </c>
      <c r="F67" s="18" t="s">
        <v>26</v>
      </c>
      <c r="G67" s="18" t="s">
        <v>27</v>
      </c>
      <c r="H67" s="18" t="s">
        <v>106</v>
      </c>
      <c r="I67" s="20" t="s">
        <v>805</v>
      </c>
      <c r="J67" s="20" t="s">
        <v>22</v>
      </c>
      <c r="K67" s="20"/>
      <c r="L67" s="18" t="s">
        <v>248</v>
      </c>
      <c r="M67" s="18" t="s">
        <v>29</v>
      </c>
      <c r="N67" s="18" t="s">
        <v>259</v>
      </c>
      <c r="O67" s="15"/>
      <c r="P67" s="8"/>
      <c r="Q67" s="8"/>
    </row>
    <row r="68" spans="1:17" ht="69.75" customHeight="1" x14ac:dyDescent="0.2">
      <c r="A68" s="17">
        <v>46055.676014421297</v>
      </c>
      <c r="B68" s="18">
        <v>28208005673</v>
      </c>
      <c r="C68" s="18" t="s">
        <v>260</v>
      </c>
      <c r="D68" s="18" t="s">
        <v>261</v>
      </c>
      <c r="E68" s="18" t="s">
        <v>169</v>
      </c>
      <c r="F68" s="18" t="s">
        <v>26</v>
      </c>
      <c r="G68" s="18" t="s">
        <v>27</v>
      </c>
      <c r="H68" s="18" t="s">
        <v>75</v>
      </c>
      <c r="I68" s="20" t="s">
        <v>805</v>
      </c>
      <c r="J68" s="20" t="s">
        <v>161</v>
      </c>
      <c r="K68" s="20" t="s">
        <v>262</v>
      </c>
      <c r="L68" s="18" t="s">
        <v>63</v>
      </c>
      <c r="M68" s="18" t="s">
        <v>68</v>
      </c>
      <c r="N68" s="20" t="s">
        <v>788</v>
      </c>
      <c r="O68" s="15"/>
      <c r="P68" s="8"/>
      <c r="Q68" s="8"/>
    </row>
    <row r="69" spans="1:17" ht="69.75" customHeight="1" x14ac:dyDescent="0.2">
      <c r="A69" s="17">
        <v>46051.915721550926</v>
      </c>
      <c r="B69" s="18">
        <v>28218021742</v>
      </c>
      <c r="C69" s="18" t="s">
        <v>263</v>
      </c>
      <c r="D69" s="18" t="s">
        <v>264</v>
      </c>
      <c r="E69" s="18" t="s">
        <v>34</v>
      </c>
      <c r="F69" s="18" t="s">
        <v>26</v>
      </c>
      <c r="G69" s="18" t="s">
        <v>27</v>
      </c>
      <c r="H69" s="18" t="s">
        <v>106</v>
      </c>
      <c r="I69" s="20" t="s">
        <v>805</v>
      </c>
      <c r="J69" s="20" t="s">
        <v>22</v>
      </c>
      <c r="K69" s="20"/>
      <c r="L69" s="18" t="s">
        <v>265</v>
      </c>
      <c r="M69" s="18" t="s">
        <v>29</v>
      </c>
      <c r="N69" s="18" t="s">
        <v>266</v>
      </c>
      <c r="O69" s="15"/>
      <c r="P69" s="8"/>
      <c r="Q69" s="8"/>
    </row>
    <row r="70" spans="1:17" ht="69.75" customHeight="1" x14ac:dyDescent="0.2">
      <c r="A70" s="17">
        <v>46055.667341805558</v>
      </c>
      <c r="B70" s="18">
        <v>25217110364</v>
      </c>
      <c r="C70" s="18" t="s">
        <v>267</v>
      </c>
      <c r="D70" s="18" t="s">
        <v>268</v>
      </c>
      <c r="E70" s="18" t="s">
        <v>269</v>
      </c>
      <c r="F70" s="18" t="s">
        <v>26</v>
      </c>
      <c r="G70" s="18" t="s">
        <v>17</v>
      </c>
      <c r="H70" s="18" t="s">
        <v>75</v>
      </c>
      <c r="I70" s="20" t="s">
        <v>805</v>
      </c>
      <c r="J70" s="20" t="s">
        <v>161</v>
      </c>
      <c r="K70" s="20" t="s">
        <v>271</v>
      </c>
      <c r="L70" s="18" t="s">
        <v>789</v>
      </c>
      <c r="M70" s="18" t="s">
        <v>68</v>
      </c>
      <c r="N70" s="20" t="s">
        <v>271</v>
      </c>
      <c r="O70" s="15"/>
      <c r="P70" s="8"/>
      <c r="Q70" s="8"/>
    </row>
    <row r="71" spans="1:17" ht="69.75" customHeight="1" x14ac:dyDescent="0.2">
      <c r="A71" s="17">
        <v>46055.494183055554</v>
      </c>
      <c r="B71" s="18">
        <v>28208238804</v>
      </c>
      <c r="C71" s="18" t="s">
        <v>272</v>
      </c>
      <c r="D71" s="18" t="s">
        <v>273</v>
      </c>
      <c r="E71" s="18" t="s">
        <v>25</v>
      </c>
      <c r="F71" s="18" t="s">
        <v>26</v>
      </c>
      <c r="G71" s="18" t="s">
        <v>27</v>
      </c>
      <c r="H71" s="18" t="s">
        <v>37</v>
      </c>
      <c r="I71" s="20" t="s">
        <v>805</v>
      </c>
      <c r="J71" s="20" t="s">
        <v>22</v>
      </c>
      <c r="K71" s="20"/>
      <c r="L71" s="18" t="s">
        <v>35</v>
      </c>
      <c r="M71" s="18" t="s">
        <v>29</v>
      </c>
      <c r="N71" s="18" t="s">
        <v>274</v>
      </c>
      <c r="O71" s="15"/>
      <c r="P71" s="8"/>
      <c r="Q71" s="8"/>
    </row>
    <row r="72" spans="1:17" ht="69.75" customHeight="1" x14ac:dyDescent="0.2">
      <c r="A72" s="17">
        <v>46055.404236574075</v>
      </c>
      <c r="B72" s="18">
        <v>28218001578</v>
      </c>
      <c r="C72" s="18" t="s">
        <v>275</v>
      </c>
      <c r="D72" s="18" t="s">
        <v>276</v>
      </c>
      <c r="E72" s="18" t="s">
        <v>40</v>
      </c>
      <c r="F72" s="18" t="s">
        <v>26</v>
      </c>
      <c r="G72" s="18" t="s">
        <v>27</v>
      </c>
      <c r="H72" s="18" t="s">
        <v>106</v>
      </c>
      <c r="I72" s="20" t="s">
        <v>805</v>
      </c>
      <c r="J72" s="20" t="s">
        <v>22</v>
      </c>
      <c r="K72" s="20"/>
      <c r="L72" s="18" t="s">
        <v>104</v>
      </c>
      <c r="M72" s="18" t="s">
        <v>29</v>
      </c>
      <c r="N72" s="18" t="s">
        <v>277</v>
      </c>
      <c r="O72" s="15"/>
      <c r="P72" s="8"/>
      <c r="Q72" s="8"/>
    </row>
    <row r="73" spans="1:17" ht="69.75" customHeight="1" x14ac:dyDescent="0.2">
      <c r="A73" s="17">
        <v>46053.827719016204</v>
      </c>
      <c r="B73" s="18">
        <v>28208000844</v>
      </c>
      <c r="C73" s="18" t="s">
        <v>278</v>
      </c>
      <c r="D73" s="18" t="s">
        <v>62</v>
      </c>
      <c r="E73" s="18" t="s">
        <v>25</v>
      </c>
      <c r="F73" s="18" t="s">
        <v>26</v>
      </c>
      <c r="G73" s="18" t="s">
        <v>27</v>
      </c>
      <c r="H73" s="18" t="s">
        <v>75</v>
      </c>
      <c r="I73" s="20" t="s">
        <v>805</v>
      </c>
      <c r="J73" s="20" t="s">
        <v>22</v>
      </c>
      <c r="K73" s="20"/>
      <c r="L73" s="18" t="s">
        <v>279</v>
      </c>
      <c r="M73" s="18" t="s">
        <v>68</v>
      </c>
      <c r="N73" s="18" t="s">
        <v>280</v>
      </c>
      <c r="O73" s="15"/>
      <c r="P73" s="8"/>
      <c r="Q73" s="8"/>
    </row>
    <row r="74" spans="1:17" ht="69.75" customHeight="1" x14ac:dyDescent="0.2">
      <c r="A74" s="17">
        <v>46051.988000682875</v>
      </c>
      <c r="B74" s="18">
        <v>28208003815</v>
      </c>
      <c r="C74" s="18" t="s">
        <v>281</v>
      </c>
      <c r="D74" s="19" t="s">
        <v>282</v>
      </c>
      <c r="E74" s="18" t="s">
        <v>283</v>
      </c>
      <c r="F74" s="18" t="s">
        <v>16</v>
      </c>
      <c r="G74" s="18" t="s">
        <v>27</v>
      </c>
      <c r="H74" s="18" t="s">
        <v>139</v>
      </c>
      <c r="I74" s="20" t="s">
        <v>805</v>
      </c>
      <c r="J74" s="20" t="s">
        <v>22</v>
      </c>
      <c r="K74" s="20"/>
      <c r="L74" s="18" t="s">
        <v>79</v>
      </c>
      <c r="M74" s="18" t="s">
        <v>29</v>
      </c>
      <c r="N74" s="18" t="s">
        <v>284</v>
      </c>
      <c r="O74" s="15"/>
      <c r="P74" s="8"/>
      <c r="Q74" s="8"/>
    </row>
    <row r="75" spans="1:17" ht="69.75" customHeight="1" x14ac:dyDescent="0.2">
      <c r="A75" s="17">
        <v>46052.442549236112</v>
      </c>
      <c r="B75" s="18">
        <v>28208027475</v>
      </c>
      <c r="C75" s="18" t="s">
        <v>285</v>
      </c>
      <c r="D75" s="18" t="s">
        <v>286</v>
      </c>
      <c r="E75" s="18" t="s">
        <v>176</v>
      </c>
      <c r="F75" s="18" t="s">
        <v>26</v>
      </c>
      <c r="G75" s="18" t="s">
        <v>27</v>
      </c>
      <c r="H75" s="18" t="s">
        <v>31</v>
      </c>
      <c r="I75" s="20" t="s">
        <v>805</v>
      </c>
      <c r="J75" s="20" t="s">
        <v>22</v>
      </c>
      <c r="K75" s="20"/>
      <c r="L75" s="18" t="s">
        <v>28</v>
      </c>
      <c r="M75" s="18" t="s">
        <v>29</v>
      </c>
      <c r="N75" s="18" t="s">
        <v>287</v>
      </c>
      <c r="O75" s="15"/>
      <c r="P75" s="8"/>
      <c r="Q75" s="8"/>
    </row>
    <row r="76" spans="1:17" ht="69.75" customHeight="1" x14ac:dyDescent="0.2">
      <c r="A76" s="17">
        <v>46052.01529502315</v>
      </c>
      <c r="B76" s="18">
        <v>28204502696</v>
      </c>
      <c r="C76" s="18" t="s">
        <v>288</v>
      </c>
      <c r="D76" s="19" t="s">
        <v>289</v>
      </c>
      <c r="E76" s="18" t="s">
        <v>40</v>
      </c>
      <c r="F76" s="18" t="s">
        <v>26</v>
      </c>
      <c r="G76" s="18" t="s">
        <v>27</v>
      </c>
      <c r="H76" s="18" t="s">
        <v>106</v>
      </c>
      <c r="I76" s="20" t="s">
        <v>805</v>
      </c>
      <c r="J76" s="20" t="s">
        <v>22</v>
      </c>
      <c r="K76" s="20"/>
      <c r="L76" s="18" t="s">
        <v>252</v>
      </c>
      <c r="M76" s="18" t="s">
        <v>29</v>
      </c>
      <c r="N76" s="18" t="s">
        <v>290</v>
      </c>
      <c r="O76" s="15"/>
      <c r="P76" s="8"/>
      <c r="Q76" s="8"/>
    </row>
    <row r="77" spans="1:17" ht="69.75" customHeight="1" x14ac:dyDescent="0.2">
      <c r="A77" s="17">
        <v>46052.748247986106</v>
      </c>
      <c r="B77" s="18">
        <v>28208004696</v>
      </c>
      <c r="C77" s="18" t="s">
        <v>291</v>
      </c>
      <c r="D77" s="18" t="s">
        <v>292</v>
      </c>
      <c r="E77" s="18" t="s">
        <v>293</v>
      </c>
      <c r="F77" s="18" t="s">
        <v>26</v>
      </c>
      <c r="G77" s="18" t="s">
        <v>27</v>
      </c>
      <c r="H77" s="18" t="s">
        <v>139</v>
      </c>
      <c r="I77" s="20" t="s">
        <v>805</v>
      </c>
      <c r="J77" s="20" t="s">
        <v>161</v>
      </c>
      <c r="K77" s="18" t="s">
        <v>772</v>
      </c>
      <c r="L77" s="18" t="s">
        <v>720</v>
      </c>
      <c r="M77" s="18" t="s">
        <v>29</v>
      </c>
      <c r="N77" s="18" t="s">
        <v>790</v>
      </c>
      <c r="O77" s="15"/>
      <c r="P77" s="8"/>
      <c r="Q77" s="8"/>
    </row>
    <row r="78" spans="1:17" ht="69.75" customHeight="1" x14ac:dyDescent="0.2">
      <c r="A78" s="17">
        <v>46052.356572685181</v>
      </c>
      <c r="B78" s="18">
        <v>27212228929</v>
      </c>
      <c r="C78" s="18" t="s">
        <v>294</v>
      </c>
      <c r="D78" s="18" t="s">
        <v>295</v>
      </c>
      <c r="E78" s="18" t="s">
        <v>296</v>
      </c>
      <c r="F78" s="18" t="s">
        <v>26</v>
      </c>
      <c r="G78" s="18" t="s">
        <v>132</v>
      </c>
      <c r="H78" s="18" t="s">
        <v>139</v>
      </c>
      <c r="I78" s="20" t="s">
        <v>805</v>
      </c>
      <c r="J78" s="20" t="s">
        <v>22</v>
      </c>
      <c r="K78" s="20"/>
      <c r="L78" s="18" t="s">
        <v>79</v>
      </c>
      <c r="M78" s="18" t="s">
        <v>29</v>
      </c>
      <c r="N78" s="18" t="s">
        <v>297</v>
      </c>
      <c r="O78" s="15"/>
      <c r="P78" s="8"/>
      <c r="Q78" s="8"/>
    </row>
    <row r="79" spans="1:17" ht="69.75" customHeight="1" x14ac:dyDescent="0.2">
      <c r="A79" s="17">
        <v>46052.360039884261</v>
      </c>
      <c r="B79" s="18">
        <v>28208025228</v>
      </c>
      <c r="C79" s="18" t="s">
        <v>298</v>
      </c>
      <c r="D79" s="18" t="s">
        <v>44</v>
      </c>
      <c r="E79" s="18" t="s">
        <v>299</v>
      </c>
      <c r="F79" s="18" t="s">
        <v>26</v>
      </c>
      <c r="G79" s="18" t="s">
        <v>27</v>
      </c>
      <c r="H79" s="18" t="s">
        <v>31</v>
      </c>
      <c r="I79" s="20" t="s">
        <v>805</v>
      </c>
      <c r="J79" s="20" t="s">
        <v>22</v>
      </c>
      <c r="K79" s="20"/>
      <c r="L79" s="18" t="s">
        <v>28</v>
      </c>
      <c r="M79" s="18" t="s">
        <v>29</v>
      </c>
      <c r="N79" s="18" t="s">
        <v>300</v>
      </c>
      <c r="O79" s="15"/>
      <c r="P79" s="8"/>
      <c r="Q79" s="8"/>
    </row>
    <row r="80" spans="1:17" ht="69.75" customHeight="1" x14ac:dyDescent="0.2">
      <c r="A80" s="17">
        <v>46055.486004930557</v>
      </c>
      <c r="B80" s="18">
        <v>28204600357</v>
      </c>
      <c r="C80" s="18" t="s">
        <v>301</v>
      </c>
      <c r="D80" s="19" t="s">
        <v>302</v>
      </c>
      <c r="E80" s="18" t="s">
        <v>40</v>
      </c>
      <c r="F80" s="18" t="s">
        <v>26</v>
      </c>
      <c r="G80" s="18" t="s">
        <v>27</v>
      </c>
      <c r="H80" s="18" t="s">
        <v>70</v>
      </c>
      <c r="I80" s="20" t="s">
        <v>805</v>
      </c>
      <c r="J80" s="20" t="s">
        <v>174</v>
      </c>
      <c r="K80" s="20" t="s">
        <v>760</v>
      </c>
      <c r="L80" s="20" t="s">
        <v>657</v>
      </c>
      <c r="M80" s="18" t="s">
        <v>68</v>
      </c>
      <c r="N80" s="18"/>
      <c r="O80" s="15"/>
      <c r="P80" s="8"/>
      <c r="Q80" s="8"/>
    </row>
    <row r="81" spans="1:17" ht="69.75" customHeight="1" x14ac:dyDescent="0.2">
      <c r="A81" s="17">
        <v>46053.352189479163</v>
      </c>
      <c r="B81" s="18">
        <v>28208000460</v>
      </c>
      <c r="C81" s="18" t="s">
        <v>303</v>
      </c>
      <c r="D81" s="19" t="s">
        <v>304</v>
      </c>
      <c r="E81" s="18" t="s">
        <v>305</v>
      </c>
      <c r="F81" s="18" t="s">
        <v>16</v>
      </c>
      <c r="G81" s="18" t="s">
        <v>27</v>
      </c>
      <c r="H81" s="18" t="s">
        <v>70</v>
      </c>
      <c r="I81" s="20" t="s">
        <v>805</v>
      </c>
      <c r="J81" s="20" t="s">
        <v>22</v>
      </c>
      <c r="K81" s="20"/>
      <c r="L81" s="18" t="s">
        <v>306</v>
      </c>
      <c r="M81" s="18" t="s">
        <v>68</v>
      </c>
      <c r="N81" s="18" t="s">
        <v>307</v>
      </c>
      <c r="O81" s="15"/>
      <c r="P81" s="8"/>
      <c r="Q81" s="8"/>
    </row>
    <row r="82" spans="1:17" ht="69.75" customHeight="1" x14ac:dyDescent="0.2">
      <c r="A82" s="17">
        <v>46055.766800405094</v>
      </c>
      <c r="B82" s="18">
        <v>27207102890</v>
      </c>
      <c r="C82" s="18" t="s">
        <v>308</v>
      </c>
      <c r="D82" s="19" t="s">
        <v>309</v>
      </c>
      <c r="E82" s="18" t="s">
        <v>296</v>
      </c>
      <c r="F82" s="18" t="s">
        <v>26</v>
      </c>
      <c r="G82" s="18" t="s">
        <v>132</v>
      </c>
      <c r="H82" s="18" t="s">
        <v>70</v>
      </c>
      <c r="I82" s="20" t="s">
        <v>805</v>
      </c>
      <c r="J82" s="20" t="s">
        <v>22</v>
      </c>
      <c r="K82" s="20"/>
      <c r="L82" s="18" t="s">
        <v>127</v>
      </c>
      <c r="M82" s="18" t="s">
        <v>68</v>
      </c>
      <c r="N82" s="18" t="s">
        <v>310</v>
      </c>
      <c r="O82" s="15"/>
      <c r="P82" s="8"/>
      <c r="Q82" s="8"/>
    </row>
    <row r="83" spans="1:17" ht="69.75" customHeight="1" x14ac:dyDescent="0.2">
      <c r="A83" s="17">
        <v>46052.368709050927</v>
      </c>
      <c r="B83" s="18">
        <v>28208000506</v>
      </c>
      <c r="C83" s="18" t="s">
        <v>311</v>
      </c>
      <c r="D83" s="18" t="s">
        <v>312</v>
      </c>
      <c r="E83" s="18" t="s">
        <v>83</v>
      </c>
      <c r="F83" s="18" t="s">
        <v>26</v>
      </c>
      <c r="G83" s="18" t="s">
        <v>27</v>
      </c>
      <c r="H83" s="18" t="s">
        <v>70</v>
      </c>
      <c r="I83" s="20" t="s">
        <v>805</v>
      </c>
      <c r="J83" s="20" t="s">
        <v>22</v>
      </c>
      <c r="K83" s="20"/>
      <c r="L83" s="18" t="s">
        <v>313</v>
      </c>
      <c r="M83" s="18" t="s">
        <v>68</v>
      </c>
      <c r="N83" s="18" t="s">
        <v>314</v>
      </c>
      <c r="O83" s="15"/>
      <c r="P83" s="8"/>
      <c r="Q83" s="8"/>
    </row>
    <row r="84" spans="1:17" ht="69.75" customHeight="1" x14ac:dyDescent="0.2">
      <c r="A84" s="17">
        <v>46052.370730011578</v>
      </c>
      <c r="B84" s="18">
        <v>28208006728</v>
      </c>
      <c r="C84" s="18" t="s">
        <v>315</v>
      </c>
      <c r="D84" s="18" t="s">
        <v>316</v>
      </c>
      <c r="E84" s="18" t="s">
        <v>25</v>
      </c>
      <c r="F84" s="18" t="s">
        <v>26</v>
      </c>
      <c r="G84" s="18" t="s">
        <v>27</v>
      </c>
      <c r="H84" s="18" t="s">
        <v>31</v>
      </c>
      <c r="I84" s="20" t="s">
        <v>805</v>
      </c>
      <c r="J84" s="20" t="s">
        <v>22</v>
      </c>
      <c r="K84" s="20"/>
      <c r="L84" s="18" t="s">
        <v>28</v>
      </c>
      <c r="M84" s="18" t="s">
        <v>29</v>
      </c>
      <c r="N84" s="18" t="s">
        <v>317</v>
      </c>
      <c r="O84" s="15"/>
      <c r="P84" s="8"/>
      <c r="Q84" s="8"/>
    </row>
    <row r="85" spans="1:17" ht="69.75" customHeight="1" x14ac:dyDescent="0.2">
      <c r="A85" s="17">
        <v>46055.619865601853</v>
      </c>
      <c r="B85" s="18">
        <v>28208048776</v>
      </c>
      <c r="C85" s="18" t="s">
        <v>318</v>
      </c>
      <c r="D85" s="19" t="s">
        <v>319</v>
      </c>
      <c r="E85" s="18" t="s">
        <v>40</v>
      </c>
      <c r="F85" s="18" t="s">
        <v>26</v>
      </c>
      <c r="G85" s="18" t="s">
        <v>27</v>
      </c>
      <c r="H85" s="18" t="s">
        <v>70</v>
      </c>
      <c r="I85" s="20" t="s">
        <v>805</v>
      </c>
      <c r="J85" s="20" t="s">
        <v>22</v>
      </c>
      <c r="K85" s="20"/>
      <c r="L85" s="18" t="s">
        <v>320</v>
      </c>
      <c r="M85" s="18" t="s">
        <v>68</v>
      </c>
      <c r="N85" s="18" t="s">
        <v>321</v>
      </c>
      <c r="O85" s="15"/>
      <c r="P85" s="8"/>
      <c r="Q85" s="8"/>
    </row>
    <row r="86" spans="1:17" ht="69.75" customHeight="1" x14ac:dyDescent="0.2">
      <c r="A86" s="17">
        <v>46052.373575069447</v>
      </c>
      <c r="B86" s="18">
        <v>28208040700</v>
      </c>
      <c r="C86" s="18" t="s">
        <v>322</v>
      </c>
      <c r="D86" s="19" t="s">
        <v>323</v>
      </c>
      <c r="E86" s="18" t="s">
        <v>189</v>
      </c>
      <c r="F86" s="18" t="s">
        <v>26</v>
      </c>
      <c r="G86" s="18" t="s">
        <v>27</v>
      </c>
      <c r="H86" s="18" t="s">
        <v>70</v>
      </c>
      <c r="I86" s="20" t="s">
        <v>805</v>
      </c>
      <c r="J86" s="20" t="s">
        <v>22</v>
      </c>
      <c r="K86" s="20"/>
      <c r="L86" s="18" t="s">
        <v>79</v>
      </c>
      <c r="M86" s="18" t="s">
        <v>68</v>
      </c>
      <c r="N86" s="18" t="s">
        <v>324</v>
      </c>
      <c r="O86" s="15"/>
      <c r="P86" s="8"/>
      <c r="Q86" s="8"/>
    </row>
    <row r="87" spans="1:17" ht="69.75" customHeight="1" x14ac:dyDescent="0.2">
      <c r="A87" s="17">
        <v>46052.374524143517</v>
      </c>
      <c r="B87" s="18">
        <v>28208001082</v>
      </c>
      <c r="C87" s="18" t="s">
        <v>325</v>
      </c>
      <c r="D87" s="19" t="s">
        <v>326</v>
      </c>
      <c r="E87" s="18" t="s">
        <v>83</v>
      </c>
      <c r="F87" s="18" t="s">
        <v>26</v>
      </c>
      <c r="G87" s="18" t="s">
        <v>27</v>
      </c>
      <c r="H87" s="18" t="s">
        <v>70</v>
      </c>
      <c r="I87" s="20" t="s">
        <v>805</v>
      </c>
      <c r="J87" s="20" t="s">
        <v>22</v>
      </c>
      <c r="K87" s="20"/>
      <c r="L87" s="18" t="s">
        <v>252</v>
      </c>
      <c r="M87" s="18" t="s">
        <v>68</v>
      </c>
      <c r="N87" s="18" t="s">
        <v>327</v>
      </c>
      <c r="O87" s="15"/>
      <c r="P87" s="8"/>
      <c r="Q87" s="8"/>
    </row>
    <row r="88" spans="1:17" ht="69.75" customHeight="1" x14ac:dyDescent="0.2">
      <c r="A88" s="17">
        <v>46052.375888194445</v>
      </c>
      <c r="B88" s="18">
        <v>28208049424</v>
      </c>
      <c r="C88" s="18" t="s">
        <v>328</v>
      </c>
      <c r="D88" s="19" t="s">
        <v>329</v>
      </c>
      <c r="E88" s="18" t="s">
        <v>305</v>
      </c>
      <c r="F88" s="18" t="s">
        <v>16</v>
      </c>
      <c r="G88" s="18" t="s">
        <v>27</v>
      </c>
      <c r="H88" s="18" t="s">
        <v>70</v>
      </c>
      <c r="I88" s="20" t="s">
        <v>805</v>
      </c>
      <c r="J88" s="20" t="s">
        <v>22</v>
      </c>
      <c r="K88" s="20"/>
      <c r="L88" s="18" t="s">
        <v>181</v>
      </c>
      <c r="M88" s="18" t="s">
        <v>68</v>
      </c>
      <c r="N88" s="18" t="s">
        <v>330</v>
      </c>
      <c r="O88" s="15"/>
      <c r="P88" s="8"/>
      <c r="Q88" s="8"/>
    </row>
    <row r="89" spans="1:17" ht="69.75" customHeight="1" x14ac:dyDescent="0.2">
      <c r="A89" s="17">
        <v>46052.376851018518</v>
      </c>
      <c r="B89" s="18">
        <v>28208002019</v>
      </c>
      <c r="C89" s="18" t="s">
        <v>331</v>
      </c>
      <c r="D89" s="19" t="s">
        <v>332</v>
      </c>
      <c r="E89" s="18" t="s">
        <v>100</v>
      </c>
      <c r="F89" s="18" t="s">
        <v>26</v>
      </c>
      <c r="G89" s="18" t="s">
        <v>27</v>
      </c>
      <c r="H89" s="18" t="s">
        <v>70</v>
      </c>
      <c r="I89" s="20" t="s">
        <v>805</v>
      </c>
      <c r="J89" s="20" t="s">
        <v>22</v>
      </c>
      <c r="K89" s="20"/>
      <c r="L89" s="18" t="s">
        <v>112</v>
      </c>
      <c r="M89" s="18" t="s">
        <v>68</v>
      </c>
      <c r="N89" s="18" t="s">
        <v>333</v>
      </c>
      <c r="O89" s="15"/>
      <c r="P89" s="8"/>
      <c r="Q89" s="8"/>
    </row>
    <row r="90" spans="1:17" ht="69.75" customHeight="1" x14ac:dyDescent="0.2">
      <c r="A90" s="17">
        <v>46052.38009042824</v>
      </c>
      <c r="B90" s="18">
        <v>28204646208</v>
      </c>
      <c r="C90" s="18" t="s">
        <v>334</v>
      </c>
      <c r="D90" s="19" t="s">
        <v>24</v>
      </c>
      <c r="E90" s="18" t="s">
        <v>123</v>
      </c>
      <c r="F90" s="18" t="s">
        <v>26</v>
      </c>
      <c r="G90" s="18" t="s">
        <v>27</v>
      </c>
      <c r="H90" s="18" t="s">
        <v>70</v>
      </c>
      <c r="I90" s="20" t="s">
        <v>805</v>
      </c>
      <c r="J90" s="20" t="s">
        <v>161</v>
      </c>
      <c r="K90" s="18" t="s">
        <v>766</v>
      </c>
      <c r="L90" s="18" t="s">
        <v>112</v>
      </c>
      <c r="M90" s="18" t="s">
        <v>68</v>
      </c>
      <c r="N90" s="18" t="s">
        <v>766</v>
      </c>
      <c r="O90" s="15"/>
      <c r="P90" s="8"/>
      <c r="Q90" s="8"/>
    </row>
    <row r="91" spans="1:17" ht="69.75" customHeight="1" x14ac:dyDescent="0.2">
      <c r="A91" s="17">
        <v>46052.605266979168</v>
      </c>
      <c r="B91" s="18">
        <v>28208034773</v>
      </c>
      <c r="C91" s="18" t="s">
        <v>335</v>
      </c>
      <c r="D91" s="18" t="s">
        <v>336</v>
      </c>
      <c r="E91" s="18" t="s">
        <v>337</v>
      </c>
      <c r="F91" s="18" t="s">
        <v>26</v>
      </c>
      <c r="G91" s="18" t="s">
        <v>27</v>
      </c>
      <c r="H91" s="18" t="s">
        <v>70</v>
      </c>
      <c r="I91" s="20" t="s">
        <v>805</v>
      </c>
      <c r="J91" s="20" t="s">
        <v>22</v>
      </c>
      <c r="K91" s="20"/>
      <c r="L91" s="18" t="s">
        <v>313</v>
      </c>
      <c r="M91" s="18" t="s">
        <v>68</v>
      </c>
      <c r="N91" s="18" t="s">
        <v>338</v>
      </c>
      <c r="O91" s="15"/>
      <c r="P91" s="8"/>
      <c r="Q91" s="8"/>
    </row>
    <row r="92" spans="1:17" ht="69.75" customHeight="1" x14ac:dyDescent="0.2">
      <c r="A92" s="17">
        <v>46052.385850185186</v>
      </c>
      <c r="B92" s="18">
        <v>28208038493</v>
      </c>
      <c r="C92" s="18" t="s">
        <v>339</v>
      </c>
      <c r="D92" s="18" t="s">
        <v>33</v>
      </c>
      <c r="E92" s="18" t="s">
        <v>299</v>
      </c>
      <c r="F92" s="18" t="s">
        <v>26</v>
      </c>
      <c r="G92" s="18" t="s">
        <v>27</v>
      </c>
      <c r="H92" s="18" t="s">
        <v>70</v>
      </c>
      <c r="I92" s="20" t="s">
        <v>805</v>
      </c>
      <c r="J92" s="20" t="s">
        <v>22</v>
      </c>
      <c r="K92" s="20"/>
      <c r="L92" s="18" t="s">
        <v>112</v>
      </c>
      <c r="M92" s="18" t="s">
        <v>68</v>
      </c>
      <c r="N92" s="18" t="s">
        <v>340</v>
      </c>
      <c r="O92" s="15"/>
      <c r="P92" s="8"/>
      <c r="Q92" s="8"/>
    </row>
    <row r="93" spans="1:17" ht="69.75" customHeight="1" x14ac:dyDescent="0.2">
      <c r="A93" s="17">
        <v>46052.38720636574</v>
      </c>
      <c r="B93" s="18">
        <v>28208003995</v>
      </c>
      <c r="C93" s="18" t="s">
        <v>341</v>
      </c>
      <c r="D93" s="18" t="s">
        <v>342</v>
      </c>
      <c r="E93" s="18" t="s">
        <v>343</v>
      </c>
      <c r="F93" s="18" t="s">
        <v>26</v>
      </c>
      <c r="G93" s="18" t="s">
        <v>27</v>
      </c>
      <c r="H93" s="18" t="s">
        <v>70</v>
      </c>
      <c r="I93" s="20" t="s">
        <v>805</v>
      </c>
      <c r="J93" s="20" t="s">
        <v>22</v>
      </c>
      <c r="K93" s="20"/>
      <c r="L93" s="18" t="s">
        <v>344</v>
      </c>
      <c r="M93" s="18" t="s">
        <v>68</v>
      </c>
      <c r="N93" s="18" t="s">
        <v>345</v>
      </c>
      <c r="O93" s="15"/>
      <c r="P93" s="8"/>
      <c r="Q93" s="8"/>
    </row>
    <row r="94" spans="1:17" ht="69.75" customHeight="1" x14ac:dyDescent="0.2">
      <c r="A94" s="17">
        <v>46052.407075972224</v>
      </c>
      <c r="B94" s="18">
        <v>28208000880</v>
      </c>
      <c r="C94" s="18" t="s">
        <v>346</v>
      </c>
      <c r="D94" s="19" t="s">
        <v>347</v>
      </c>
      <c r="E94" s="18" t="s">
        <v>34</v>
      </c>
      <c r="F94" s="18" t="s">
        <v>26</v>
      </c>
      <c r="G94" s="18" t="s">
        <v>27</v>
      </c>
      <c r="H94" s="18" t="s">
        <v>47</v>
      </c>
      <c r="I94" s="20" t="s">
        <v>805</v>
      </c>
      <c r="J94" s="20" t="s">
        <v>22</v>
      </c>
      <c r="K94" s="20"/>
      <c r="L94" s="18" t="s">
        <v>348</v>
      </c>
      <c r="M94" s="18" t="s">
        <v>19</v>
      </c>
      <c r="N94" s="18" t="s">
        <v>349</v>
      </c>
      <c r="O94" s="15"/>
      <c r="P94" s="8"/>
      <c r="Q94" s="8"/>
    </row>
    <row r="95" spans="1:17" ht="69.75" customHeight="1" x14ac:dyDescent="0.2">
      <c r="A95" s="17">
        <v>46052.421400254629</v>
      </c>
      <c r="B95" s="18">
        <v>27207130900</v>
      </c>
      <c r="C95" s="18" t="s">
        <v>350</v>
      </c>
      <c r="D95" s="18" t="s">
        <v>351</v>
      </c>
      <c r="E95" s="18" t="s">
        <v>165</v>
      </c>
      <c r="F95" s="18" t="s">
        <v>26</v>
      </c>
      <c r="G95" s="18" t="s">
        <v>27</v>
      </c>
      <c r="H95" s="18" t="s">
        <v>47</v>
      </c>
      <c r="I95" s="20" t="s">
        <v>805</v>
      </c>
      <c r="J95" s="20" t="s">
        <v>22</v>
      </c>
      <c r="K95" s="20"/>
      <c r="L95" s="18" t="s">
        <v>352</v>
      </c>
      <c r="M95" s="18" t="s">
        <v>19</v>
      </c>
      <c r="N95" s="18" t="s">
        <v>353</v>
      </c>
      <c r="O95" s="15"/>
      <c r="P95" s="8"/>
      <c r="Q95" s="8"/>
    </row>
    <row r="96" spans="1:17" ht="69.75" customHeight="1" x14ac:dyDescent="0.2">
      <c r="A96" s="17">
        <v>46052.422253576384</v>
      </c>
      <c r="B96" s="18">
        <v>28206132737</v>
      </c>
      <c r="C96" s="18" t="s">
        <v>354</v>
      </c>
      <c r="D96" s="19" t="s">
        <v>355</v>
      </c>
      <c r="E96" s="18" t="s">
        <v>34</v>
      </c>
      <c r="F96" s="18" t="s">
        <v>26</v>
      </c>
      <c r="G96" s="18" t="s">
        <v>27</v>
      </c>
      <c r="H96" s="18" t="s">
        <v>47</v>
      </c>
      <c r="I96" s="20" t="s">
        <v>805</v>
      </c>
      <c r="J96" s="20" t="s">
        <v>161</v>
      </c>
      <c r="K96" s="18" t="s">
        <v>356</v>
      </c>
      <c r="L96" s="18" t="s">
        <v>774</v>
      </c>
      <c r="M96" s="18" t="s">
        <v>19</v>
      </c>
      <c r="N96" s="18" t="s">
        <v>356</v>
      </c>
      <c r="O96" s="15"/>
      <c r="P96" s="8"/>
      <c r="Q96" s="8"/>
    </row>
    <row r="97" spans="1:17" ht="69.75" customHeight="1" x14ac:dyDescent="0.2">
      <c r="A97" s="17">
        <v>46052.422748877318</v>
      </c>
      <c r="B97" s="18">
        <v>28208006609</v>
      </c>
      <c r="C97" s="18" t="s">
        <v>357</v>
      </c>
      <c r="D97" s="18" t="s">
        <v>358</v>
      </c>
      <c r="E97" s="18" t="s">
        <v>359</v>
      </c>
      <c r="F97" s="18" t="s">
        <v>26</v>
      </c>
      <c r="G97" s="18" t="s">
        <v>27</v>
      </c>
      <c r="H97" s="18" t="s">
        <v>47</v>
      </c>
      <c r="I97" s="20" t="s">
        <v>805</v>
      </c>
      <c r="J97" s="20" t="s">
        <v>161</v>
      </c>
      <c r="K97" s="18" t="s">
        <v>361</v>
      </c>
      <c r="L97" s="18" t="s">
        <v>776</v>
      </c>
      <c r="M97" s="18" t="s">
        <v>19</v>
      </c>
      <c r="N97" s="18" t="s">
        <v>361</v>
      </c>
      <c r="O97" s="15"/>
      <c r="P97" s="8"/>
      <c r="Q97" s="8"/>
    </row>
    <row r="98" spans="1:17" ht="69.75" customHeight="1" x14ac:dyDescent="0.2">
      <c r="A98" s="17">
        <v>46052.424449710648</v>
      </c>
      <c r="B98" s="18">
        <v>28218002858</v>
      </c>
      <c r="C98" s="18" t="s">
        <v>362</v>
      </c>
      <c r="D98" s="19" t="s">
        <v>156</v>
      </c>
      <c r="E98" s="18" t="s">
        <v>73</v>
      </c>
      <c r="F98" s="18" t="s">
        <v>26</v>
      </c>
      <c r="G98" s="18" t="s">
        <v>27</v>
      </c>
      <c r="H98" s="18" t="s">
        <v>106</v>
      </c>
      <c r="I98" s="20" t="s">
        <v>805</v>
      </c>
      <c r="J98" s="20" t="s">
        <v>768</v>
      </c>
      <c r="K98" s="18" t="s">
        <v>791</v>
      </c>
      <c r="L98" s="18" t="s">
        <v>35</v>
      </c>
      <c r="M98" s="18" t="s">
        <v>19</v>
      </c>
      <c r="N98" s="18" t="s">
        <v>791</v>
      </c>
      <c r="O98" s="15"/>
      <c r="P98" s="8"/>
      <c r="Q98" s="8"/>
    </row>
    <row r="99" spans="1:17" ht="69.75" customHeight="1" x14ac:dyDescent="0.2">
      <c r="A99" s="17">
        <v>46052.424621550927</v>
      </c>
      <c r="B99" s="18">
        <v>25217203161</v>
      </c>
      <c r="C99" s="18" t="s">
        <v>363</v>
      </c>
      <c r="D99" s="18" t="s">
        <v>364</v>
      </c>
      <c r="E99" s="18" t="s">
        <v>365</v>
      </c>
      <c r="F99" s="18" t="s">
        <v>26</v>
      </c>
      <c r="G99" s="18" t="s">
        <v>17</v>
      </c>
      <c r="H99" s="18" t="s">
        <v>47</v>
      </c>
      <c r="I99" s="20" t="s">
        <v>805</v>
      </c>
      <c r="J99" s="20" t="s">
        <v>22</v>
      </c>
      <c r="K99" s="20"/>
      <c r="L99" s="18" t="s">
        <v>366</v>
      </c>
      <c r="M99" s="18" t="s">
        <v>19</v>
      </c>
      <c r="N99" s="18" t="s">
        <v>367</v>
      </c>
      <c r="O99" s="15"/>
      <c r="P99" s="8"/>
      <c r="Q99" s="8"/>
    </row>
    <row r="100" spans="1:17" ht="69.75" customHeight="1" x14ac:dyDescent="0.2">
      <c r="A100" s="17">
        <v>46052.457548749997</v>
      </c>
      <c r="B100" s="18">
        <v>28218000754</v>
      </c>
      <c r="C100" s="18" t="s">
        <v>368</v>
      </c>
      <c r="D100" s="18" t="s">
        <v>369</v>
      </c>
      <c r="E100" s="18" t="s">
        <v>370</v>
      </c>
      <c r="F100" s="18" t="s">
        <v>16</v>
      </c>
      <c r="G100" s="18" t="s">
        <v>27</v>
      </c>
      <c r="H100" s="18" t="s">
        <v>47</v>
      </c>
      <c r="I100" s="20" t="s">
        <v>805</v>
      </c>
      <c r="J100" s="20" t="s">
        <v>22</v>
      </c>
      <c r="K100" s="20"/>
      <c r="L100" s="18" t="s">
        <v>137</v>
      </c>
      <c r="M100" s="18" t="s">
        <v>19</v>
      </c>
      <c r="N100" s="18" t="s">
        <v>371</v>
      </c>
      <c r="O100" s="15"/>
      <c r="P100" s="8"/>
      <c r="Q100" s="8"/>
    </row>
    <row r="101" spans="1:17" ht="69.75" customHeight="1" x14ac:dyDescent="0.2">
      <c r="A101" s="17">
        <v>46052.433021400459</v>
      </c>
      <c r="B101" s="18">
        <v>28208052843</v>
      </c>
      <c r="C101" s="18" t="s">
        <v>372</v>
      </c>
      <c r="D101" s="18" t="s">
        <v>373</v>
      </c>
      <c r="E101" s="18" t="s">
        <v>50</v>
      </c>
      <c r="F101" s="18" t="s">
        <v>26</v>
      </c>
      <c r="G101" s="18" t="s">
        <v>27</v>
      </c>
      <c r="H101" s="18" t="s">
        <v>21</v>
      </c>
      <c r="I101" s="20" t="s">
        <v>805</v>
      </c>
      <c r="J101" s="20" t="s">
        <v>22</v>
      </c>
      <c r="K101" s="20"/>
      <c r="L101" s="18" t="s">
        <v>374</v>
      </c>
      <c r="M101" s="18" t="s">
        <v>29</v>
      </c>
      <c r="N101" s="18" t="s">
        <v>375</v>
      </c>
      <c r="O101" s="15"/>
      <c r="P101" s="8"/>
      <c r="Q101" s="8"/>
    </row>
    <row r="102" spans="1:17" ht="69.75" customHeight="1" x14ac:dyDescent="0.2">
      <c r="A102" s="17">
        <v>46052.439419201386</v>
      </c>
      <c r="B102" s="18">
        <v>28210301285</v>
      </c>
      <c r="C102" s="18" t="s">
        <v>376</v>
      </c>
      <c r="D102" s="18" t="s">
        <v>377</v>
      </c>
      <c r="E102" s="18" t="s">
        <v>378</v>
      </c>
      <c r="F102" s="18" t="s">
        <v>16</v>
      </c>
      <c r="G102" s="18" t="s">
        <v>27</v>
      </c>
      <c r="H102" s="18" t="s">
        <v>47</v>
      </c>
      <c r="I102" s="20" t="s">
        <v>805</v>
      </c>
      <c r="J102" s="20" t="s">
        <v>22</v>
      </c>
      <c r="K102" s="20"/>
      <c r="L102" s="18" t="s">
        <v>379</v>
      </c>
      <c r="M102" s="18" t="s">
        <v>19</v>
      </c>
      <c r="N102" s="18" t="s">
        <v>380</v>
      </c>
      <c r="O102" s="15"/>
      <c r="P102" s="8"/>
      <c r="Q102" s="8"/>
    </row>
    <row r="103" spans="1:17" ht="69.75" customHeight="1" x14ac:dyDescent="0.2">
      <c r="A103" s="17">
        <v>46055.694341539347</v>
      </c>
      <c r="B103" s="18">
        <v>28208027313</v>
      </c>
      <c r="C103" s="18" t="s">
        <v>381</v>
      </c>
      <c r="D103" s="18" t="s">
        <v>144</v>
      </c>
      <c r="E103" s="18" t="s">
        <v>34</v>
      </c>
      <c r="F103" s="18" t="s">
        <v>26</v>
      </c>
      <c r="G103" s="18" t="s">
        <v>27</v>
      </c>
      <c r="H103" s="18" t="s">
        <v>70</v>
      </c>
      <c r="I103" s="20" t="s">
        <v>805</v>
      </c>
      <c r="J103" s="20" t="s">
        <v>22</v>
      </c>
      <c r="K103" s="20"/>
      <c r="L103" s="18" t="s">
        <v>127</v>
      </c>
      <c r="M103" s="18" t="s">
        <v>68</v>
      </c>
      <c r="N103" s="18" t="s">
        <v>382</v>
      </c>
      <c r="O103" s="15"/>
      <c r="P103" s="8"/>
      <c r="Q103" s="8"/>
    </row>
    <row r="104" spans="1:17" ht="69.75" customHeight="1" x14ac:dyDescent="0.2">
      <c r="A104" s="17">
        <v>46052.780991458334</v>
      </c>
      <c r="B104" s="18">
        <v>28208031328</v>
      </c>
      <c r="C104" s="18" t="s">
        <v>383</v>
      </c>
      <c r="D104" s="18" t="s">
        <v>384</v>
      </c>
      <c r="E104" s="18" t="s">
        <v>299</v>
      </c>
      <c r="F104" s="18" t="s">
        <v>26</v>
      </c>
      <c r="G104" s="18" t="s">
        <v>27</v>
      </c>
      <c r="H104" s="18" t="s">
        <v>70</v>
      </c>
      <c r="I104" s="20" t="s">
        <v>805</v>
      </c>
      <c r="J104" s="20" t="s">
        <v>22</v>
      </c>
      <c r="K104" s="20"/>
      <c r="L104" s="18" t="s">
        <v>127</v>
      </c>
      <c r="M104" s="18" t="s">
        <v>68</v>
      </c>
      <c r="N104" s="18" t="s">
        <v>385</v>
      </c>
      <c r="O104" s="15"/>
      <c r="P104" s="8"/>
      <c r="Q104" s="8"/>
    </row>
    <row r="105" spans="1:17" ht="69.75" customHeight="1" x14ac:dyDescent="0.2">
      <c r="A105" s="17">
        <v>46052.450486759262</v>
      </c>
      <c r="B105" s="18">
        <v>28208029072</v>
      </c>
      <c r="C105" s="18" t="s">
        <v>386</v>
      </c>
      <c r="D105" s="18" t="s">
        <v>387</v>
      </c>
      <c r="E105" s="18" t="s">
        <v>40</v>
      </c>
      <c r="F105" s="18" t="s">
        <v>26</v>
      </c>
      <c r="G105" s="18" t="s">
        <v>27</v>
      </c>
      <c r="H105" s="18" t="s">
        <v>21</v>
      </c>
      <c r="I105" s="20" t="s">
        <v>805</v>
      </c>
      <c r="J105" s="20" t="s">
        <v>22</v>
      </c>
      <c r="K105" s="20"/>
      <c r="L105" s="18" t="s">
        <v>56</v>
      </c>
      <c r="M105" s="18" t="s">
        <v>29</v>
      </c>
      <c r="N105" s="18" t="s">
        <v>777</v>
      </c>
      <c r="O105" s="15"/>
      <c r="P105" s="8"/>
      <c r="Q105" s="8"/>
    </row>
    <row r="106" spans="1:17" ht="69.75" customHeight="1" x14ac:dyDescent="0.2">
      <c r="A106" s="17">
        <v>46055.732535613424</v>
      </c>
      <c r="B106" s="18">
        <v>28208054729</v>
      </c>
      <c r="C106" s="18" t="s">
        <v>388</v>
      </c>
      <c r="D106" s="19" t="s">
        <v>389</v>
      </c>
      <c r="E106" s="18" t="s">
        <v>359</v>
      </c>
      <c r="F106" s="18" t="s">
        <v>26</v>
      </c>
      <c r="G106" s="18" t="s">
        <v>27</v>
      </c>
      <c r="H106" s="18" t="s">
        <v>139</v>
      </c>
      <c r="I106" s="20" t="s">
        <v>805</v>
      </c>
      <c r="J106" s="20" t="s">
        <v>22</v>
      </c>
      <c r="K106" s="20"/>
      <c r="L106" s="18" t="s">
        <v>390</v>
      </c>
      <c r="M106" s="18" t="s">
        <v>29</v>
      </c>
      <c r="N106" s="18" t="s">
        <v>391</v>
      </c>
      <c r="O106" s="15"/>
      <c r="P106" s="8"/>
      <c r="Q106" s="8"/>
    </row>
    <row r="107" spans="1:17" ht="69.75" customHeight="1" x14ac:dyDescent="0.2">
      <c r="A107" s="17">
        <v>46052.457095844904</v>
      </c>
      <c r="B107" s="18">
        <v>27207146419</v>
      </c>
      <c r="C107" s="18" t="s">
        <v>392</v>
      </c>
      <c r="D107" s="19" t="s">
        <v>393</v>
      </c>
      <c r="E107" s="18" t="s">
        <v>176</v>
      </c>
      <c r="F107" s="18" t="s">
        <v>26</v>
      </c>
      <c r="G107" s="18" t="s">
        <v>27</v>
      </c>
      <c r="H107" s="18" t="s">
        <v>139</v>
      </c>
      <c r="I107" s="20" t="s">
        <v>805</v>
      </c>
      <c r="J107" s="20" t="s">
        <v>22</v>
      </c>
      <c r="K107" s="20"/>
      <c r="L107" s="18" t="s">
        <v>218</v>
      </c>
      <c r="M107" s="18" t="s">
        <v>29</v>
      </c>
      <c r="N107" s="18" t="s">
        <v>394</v>
      </c>
      <c r="O107" s="15"/>
      <c r="P107" s="8"/>
      <c r="Q107" s="8"/>
    </row>
    <row r="108" spans="1:17" ht="69.75" customHeight="1" x14ac:dyDescent="0.2">
      <c r="A108" s="17">
        <v>46052.461596412038</v>
      </c>
      <c r="B108" s="18">
        <v>28208001290</v>
      </c>
      <c r="C108" s="18" t="s">
        <v>395</v>
      </c>
      <c r="D108" s="18" t="s">
        <v>396</v>
      </c>
      <c r="E108" s="18" t="s">
        <v>397</v>
      </c>
      <c r="F108" s="18" t="s">
        <v>16</v>
      </c>
      <c r="G108" s="18" t="s">
        <v>27</v>
      </c>
      <c r="H108" s="18" t="s">
        <v>75</v>
      </c>
      <c r="I108" s="20" t="s">
        <v>805</v>
      </c>
      <c r="J108" s="20" t="s">
        <v>22</v>
      </c>
      <c r="K108" s="20"/>
      <c r="L108" s="18" t="s">
        <v>207</v>
      </c>
      <c r="M108" s="18" t="s">
        <v>68</v>
      </c>
      <c r="N108" s="18" t="s">
        <v>398</v>
      </c>
      <c r="O108" s="15"/>
      <c r="P108" s="8"/>
      <c r="Q108" s="8"/>
    </row>
    <row r="109" spans="1:17" ht="69.75" customHeight="1" x14ac:dyDescent="0.2">
      <c r="A109" s="17">
        <v>46052.939737523149</v>
      </c>
      <c r="B109" s="18">
        <v>27207127979</v>
      </c>
      <c r="C109" s="18" t="s">
        <v>399</v>
      </c>
      <c r="D109" s="18" t="s">
        <v>400</v>
      </c>
      <c r="E109" s="18" t="s">
        <v>296</v>
      </c>
      <c r="F109" s="18" t="s">
        <v>26</v>
      </c>
      <c r="G109" s="18" t="s">
        <v>132</v>
      </c>
      <c r="H109" s="18" t="s">
        <v>53</v>
      </c>
      <c r="I109" s="20" t="s">
        <v>805</v>
      </c>
      <c r="J109" s="20" t="s">
        <v>22</v>
      </c>
      <c r="K109" s="20"/>
      <c r="L109" s="18" t="s">
        <v>127</v>
      </c>
      <c r="M109" s="18" t="s">
        <v>29</v>
      </c>
      <c r="N109" s="18" t="s">
        <v>401</v>
      </c>
      <c r="O109" s="15"/>
      <c r="P109" s="8"/>
      <c r="Q109" s="8"/>
    </row>
    <row r="110" spans="1:17" ht="69.75" customHeight="1" x14ac:dyDescent="0.2">
      <c r="A110" s="21">
        <v>46052.464161909724</v>
      </c>
      <c r="B110" s="22">
        <v>26217131923</v>
      </c>
      <c r="C110" s="22" t="s">
        <v>402</v>
      </c>
      <c r="D110" s="22" t="s">
        <v>403</v>
      </c>
      <c r="E110" s="22" t="s">
        <v>404</v>
      </c>
      <c r="F110" s="22" t="s">
        <v>16</v>
      </c>
      <c r="G110" s="22" t="s">
        <v>132</v>
      </c>
      <c r="H110" s="22" t="s">
        <v>53</v>
      </c>
      <c r="I110" s="22" t="s">
        <v>805</v>
      </c>
      <c r="J110" s="20" t="s">
        <v>22</v>
      </c>
      <c r="K110" s="22"/>
      <c r="L110" s="22" t="s">
        <v>405</v>
      </c>
      <c r="M110" s="22" t="s">
        <v>29</v>
      </c>
      <c r="N110" s="22" t="s">
        <v>406</v>
      </c>
      <c r="O110" s="33"/>
      <c r="P110" s="24"/>
      <c r="Q110" s="24"/>
    </row>
    <row r="111" spans="1:17" ht="69.75" customHeight="1" x14ac:dyDescent="0.2">
      <c r="A111" s="17">
        <v>46052.475025868058</v>
      </c>
      <c r="B111" s="18">
        <v>28208052811</v>
      </c>
      <c r="C111" s="18" t="s">
        <v>407</v>
      </c>
      <c r="D111" s="18" t="s">
        <v>261</v>
      </c>
      <c r="E111" s="18" t="s">
        <v>359</v>
      </c>
      <c r="F111" s="18" t="s">
        <v>26</v>
      </c>
      <c r="G111" s="18" t="s">
        <v>27</v>
      </c>
      <c r="H111" s="18" t="s">
        <v>53</v>
      </c>
      <c r="I111" s="20" t="s">
        <v>805</v>
      </c>
      <c r="J111" s="20" t="s">
        <v>22</v>
      </c>
      <c r="K111" s="20"/>
      <c r="L111" s="18" t="s">
        <v>225</v>
      </c>
      <c r="M111" s="18" t="s">
        <v>19</v>
      </c>
      <c r="N111" s="18" t="s">
        <v>769</v>
      </c>
      <c r="O111" s="15"/>
      <c r="P111" s="8"/>
      <c r="Q111" s="8"/>
    </row>
    <row r="112" spans="1:17" ht="69.75" customHeight="1" x14ac:dyDescent="0.2">
      <c r="A112" s="17">
        <v>46052.476877777779</v>
      </c>
      <c r="B112" s="18">
        <v>27217128905</v>
      </c>
      <c r="C112" s="18" t="s">
        <v>408</v>
      </c>
      <c r="D112" s="18" t="s">
        <v>409</v>
      </c>
      <c r="E112" s="18" t="s">
        <v>410</v>
      </c>
      <c r="F112" s="18" t="s">
        <v>16</v>
      </c>
      <c r="G112" s="18" t="s">
        <v>132</v>
      </c>
      <c r="H112" s="18" t="s">
        <v>53</v>
      </c>
      <c r="I112" s="20" t="s">
        <v>805</v>
      </c>
      <c r="J112" s="20" t="s">
        <v>22</v>
      </c>
      <c r="K112" s="20"/>
      <c r="L112" s="18" t="s">
        <v>159</v>
      </c>
      <c r="M112" s="18" t="s">
        <v>29</v>
      </c>
      <c r="N112" s="18" t="s">
        <v>411</v>
      </c>
      <c r="O112" s="15"/>
      <c r="P112" s="8"/>
      <c r="Q112" s="8"/>
    </row>
    <row r="113" spans="1:17" ht="69.75" customHeight="1" x14ac:dyDescent="0.2">
      <c r="A113" s="17">
        <v>46052.479187719902</v>
      </c>
      <c r="B113" s="18">
        <v>28205141297</v>
      </c>
      <c r="C113" s="18" t="s">
        <v>412</v>
      </c>
      <c r="D113" s="18" t="s">
        <v>413</v>
      </c>
      <c r="E113" s="18" t="s">
        <v>73</v>
      </c>
      <c r="F113" s="18" t="s">
        <v>26</v>
      </c>
      <c r="G113" s="18" t="s">
        <v>27</v>
      </c>
      <c r="H113" s="18" t="s">
        <v>53</v>
      </c>
      <c r="I113" s="20" t="s">
        <v>805</v>
      </c>
      <c r="J113" s="20" t="s">
        <v>22</v>
      </c>
      <c r="K113" s="20"/>
      <c r="L113" s="18" t="s">
        <v>159</v>
      </c>
      <c r="M113" s="18" t="s">
        <v>29</v>
      </c>
      <c r="N113" s="18" t="s">
        <v>414</v>
      </c>
      <c r="O113" s="15"/>
      <c r="P113" s="8"/>
      <c r="Q113" s="8"/>
    </row>
    <row r="114" spans="1:17" ht="69.75" customHeight="1" x14ac:dyDescent="0.2">
      <c r="A114" s="17">
        <v>46055.779907835647</v>
      </c>
      <c r="B114" s="18">
        <v>27217142150</v>
      </c>
      <c r="C114" s="18" t="s">
        <v>415</v>
      </c>
      <c r="D114" s="19" t="s">
        <v>416</v>
      </c>
      <c r="E114" s="18" t="s">
        <v>417</v>
      </c>
      <c r="F114" s="18" t="s">
        <v>16</v>
      </c>
      <c r="G114" s="18" t="s">
        <v>132</v>
      </c>
      <c r="H114" s="18" t="s">
        <v>53</v>
      </c>
      <c r="I114" s="20" t="s">
        <v>805</v>
      </c>
      <c r="J114" s="20" t="s">
        <v>22</v>
      </c>
      <c r="K114" s="20"/>
      <c r="L114" s="18" t="s">
        <v>418</v>
      </c>
      <c r="M114" s="18" t="s">
        <v>19</v>
      </c>
      <c r="N114" s="18" t="s">
        <v>419</v>
      </c>
      <c r="O114" s="15"/>
      <c r="P114" s="8"/>
      <c r="Q114" s="8"/>
    </row>
    <row r="115" spans="1:17" ht="69.75" customHeight="1" x14ac:dyDescent="0.2">
      <c r="A115" s="17">
        <v>46052.484177546299</v>
      </c>
      <c r="B115" s="18">
        <v>28204905341</v>
      </c>
      <c r="C115" s="18" t="s">
        <v>420</v>
      </c>
      <c r="D115" s="18" t="s">
        <v>421</v>
      </c>
      <c r="E115" s="18" t="s">
        <v>165</v>
      </c>
      <c r="F115" s="18" t="s">
        <v>26</v>
      </c>
      <c r="G115" s="18" t="s">
        <v>27</v>
      </c>
      <c r="H115" s="18" t="s">
        <v>70</v>
      </c>
      <c r="I115" s="20" t="s">
        <v>805</v>
      </c>
      <c r="J115" s="20" t="s">
        <v>22</v>
      </c>
      <c r="K115" s="20"/>
      <c r="L115" s="18" t="s">
        <v>127</v>
      </c>
      <c r="M115" s="18" t="s">
        <v>68</v>
      </c>
      <c r="N115" s="18" t="s">
        <v>792</v>
      </c>
      <c r="O115" s="15"/>
      <c r="P115" s="8"/>
      <c r="Q115" s="8"/>
    </row>
    <row r="116" spans="1:17" ht="69.75" customHeight="1" x14ac:dyDescent="0.2">
      <c r="A116" s="17">
        <v>46053.429252789356</v>
      </c>
      <c r="B116" s="18">
        <v>28204526427</v>
      </c>
      <c r="C116" s="18" t="s">
        <v>422</v>
      </c>
      <c r="D116" s="18" t="s">
        <v>423</v>
      </c>
      <c r="E116" s="18" t="s">
        <v>73</v>
      </c>
      <c r="F116" s="18" t="s">
        <v>26</v>
      </c>
      <c r="G116" s="18" t="s">
        <v>27</v>
      </c>
      <c r="H116" s="18" t="s">
        <v>21</v>
      </c>
      <c r="I116" s="20" t="s">
        <v>805</v>
      </c>
      <c r="J116" s="20" t="s">
        <v>22</v>
      </c>
      <c r="K116" s="20"/>
      <c r="L116" s="18" t="s">
        <v>424</v>
      </c>
      <c r="M116" s="18" t="s">
        <v>29</v>
      </c>
      <c r="N116" s="18" t="s">
        <v>425</v>
      </c>
      <c r="O116" s="15"/>
      <c r="P116" s="8"/>
      <c r="Q116" s="8"/>
    </row>
    <row r="117" spans="1:17" ht="69.75" customHeight="1" x14ac:dyDescent="0.2">
      <c r="A117" s="17">
        <v>46052.484557141201</v>
      </c>
      <c r="B117" s="18">
        <v>28208004346</v>
      </c>
      <c r="C117" s="18" t="s">
        <v>426</v>
      </c>
      <c r="D117" s="18" t="s">
        <v>427</v>
      </c>
      <c r="E117" s="18" t="s">
        <v>428</v>
      </c>
      <c r="F117" s="18" t="s">
        <v>26</v>
      </c>
      <c r="G117" s="18" t="s">
        <v>27</v>
      </c>
      <c r="H117" s="18" t="s">
        <v>21</v>
      </c>
      <c r="I117" s="20" t="s">
        <v>805</v>
      </c>
      <c r="J117" s="20" t="s">
        <v>22</v>
      </c>
      <c r="K117" s="20"/>
      <c r="L117" s="18" t="s">
        <v>424</v>
      </c>
      <c r="M117" s="18" t="s">
        <v>29</v>
      </c>
      <c r="N117" s="18" t="s">
        <v>429</v>
      </c>
      <c r="O117" s="15"/>
      <c r="P117" s="8"/>
      <c r="Q117" s="8"/>
    </row>
    <row r="118" spans="1:17" ht="69.75" customHeight="1" x14ac:dyDescent="0.2">
      <c r="A118" s="17">
        <v>46055.541171180557</v>
      </c>
      <c r="B118" s="18">
        <v>28218006061</v>
      </c>
      <c r="C118" s="18" t="s">
        <v>430</v>
      </c>
      <c r="D118" s="18" t="s">
        <v>431</v>
      </c>
      <c r="E118" s="18" t="s">
        <v>299</v>
      </c>
      <c r="F118" s="18" t="s">
        <v>26</v>
      </c>
      <c r="G118" s="18" t="s">
        <v>27</v>
      </c>
      <c r="H118" s="18" t="s">
        <v>106</v>
      </c>
      <c r="I118" s="20" t="s">
        <v>805</v>
      </c>
      <c r="J118" s="20" t="s">
        <v>22</v>
      </c>
      <c r="K118" s="20"/>
      <c r="L118" s="18" t="s">
        <v>432</v>
      </c>
      <c r="M118" s="18" t="s">
        <v>29</v>
      </c>
      <c r="N118" s="18" t="s">
        <v>433</v>
      </c>
      <c r="O118" s="15"/>
      <c r="P118" s="8"/>
      <c r="Q118" s="8"/>
    </row>
    <row r="119" spans="1:17" ht="69.75" customHeight="1" x14ac:dyDescent="0.2">
      <c r="A119" s="17">
        <v>46052.588462523148</v>
      </c>
      <c r="B119" s="18">
        <v>28208031702</v>
      </c>
      <c r="C119" s="18" t="s">
        <v>434</v>
      </c>
      <c r="D119" s="19" t="s">
        <v>164</v>
      </c>
      <c r="E119" s="18" t="s">
        <v>78</v>
      </c>
      <c r="F119" s="18" t="s">
        <v>16</v>
      </c>
      <c r="G119" s="18" t="s">
        <v>27</v>
      </c>
      <c r="H119" s="18" t="s">
        <v>47</v>
      </c>
      <c r="I119" s="20" t="s">
        <v>805</v>
      </c>
      <c r="J119" s="20" t="s">
        <v>22</v>
      </c>
      <c r="K119" s="20"/>
      <c r="L119" s="18" t="s">
        <v>181</v>
      </c>
      <c r="M119" s="18" t="s">
        <v>19</v>
      </c>
      <c r="N119" s="18" t="s">
        <v>435</v>
      </c>
      <c r="O119" s="15"/>
      <c r="P119" s="8"/>
      <c r="Q119" s="8"/>
    </row>
    <row r="120" spans="1:17" ht="69.75" customHeight="1" x14ac:dyDescent="0.2">
      <c r="A120" s="17">
        <v>46052.589643009254</v>
      </c>
      <c r="B120" s="18">
        <v>28208038632</v>
      </c>
      <c r="C120" s="18" t="s">
        <v>436</v>
      </c>
      <c r="D120" s="19" t="s">
        <v>437</v>
      </c>
      <c r="E120" s="18" t="s">
        <v>305</v>
      </c>
      <c r="F120" s="18" t="s">
        <v>16</v>
      </c>
      <c r="G120" s="18" t="s">
        <v>27</v>
      </c>
      <c r="H120" s="18" t="s">
        <v>47</v>
      </c>
      <c r="I120" s="20" t="s">
        <v>805</v>
      </c>
      <c r="J120" s="20" t="s">
        <v>22</v>
      </c>
      <c r="K120" s="20"/>
      <c r="L120" s="18" t="s">
        <v>181</v>
      </c>
      <c r="M120" s="18" t="s">
        <v>19</v>
      </c>
      <c r="N120" s="18" t="s">
        <v>438</v>
      </c>
      <c r="O120" s="15"/>
      <c r="P120" s="8"/>
      <c r="Q120" s="8"/>
    </row>
    <row r="121" spans="1:17" ht="69.75" customHeight="1" x14ac:dyDescent="0.2">
      <c r="A121" s="17">
        <v>46052.85021123843</v>
      </c>
      <c r="B121" s="18">
        <v>28208052295</v>
      </c>
      <c r="C121" s="18" t="s">
        <v>439</v>
      </c>
      <c r="D121" s="19" t="s">
        <v>440</v>
      </c>
      <c r="E121" s="18" t="s">
        <v>83</v>
      </c>
      <c r="F121" s="18" t="s">
        <v>26</v>
      </c>
      <c r="G121" s="18" t="s">
        <v>27</v>
      </c>
      <c r="H121" s="18" t="s">
        <v>21</v>
      </c>
      <c r="I121" s="20" t="s">
        <v>805</v>
      </c>
      <c r="J121" s="20" t="s">
        <v>22</v>
      </c>
      <c r="K121" s="20"/>
      <c r="L121" s="18" t="s">
        <v>344</v>
      </c>
      <c r="M121" s="18" t="s">
        <v>29</v>
      </c>
      <c r="N121" s="18" t="s">
        <v>441</v>
      </c>
      <c r="O121" s="15"/>
      <c r="P121" s="8"/>
      <c r="Q121" s="8"/>
    </row>
    <row r="122" spans="1:17" ht="69.75" customHeight="1" x14ac:dyDescent="0.2">
      <c r="A122" s="17">
        <v>46052.615090555555</v>
      </c>
      <c r="B122" s="18">
        <v>28208002336</v>
      </c>
      <c r="C122" s="18" t="s">
        <v>442</v>
      </c>
      <c r="D122" s="19" t="s">
        <v>443</v>
      </c>
      <c r="E122" s="18" t="s">
        <v>169</v>
      </c>
      <c r="F122" s="18" t="s">
        <v>26</v>
      </c>
      <c r="G122" s="18" t="s">
        <v>27</v>
      </c>
      <c r="H122" s="18" t="s">
        <v>21</v>
      </c>
      <c r="I122" s="20" t="s">
        <v>805</v>
      </c>
      <c r="J122" s="20" t="s">
        <v>22</v>
      </c>
      <c r="K122" s="20"/>
      <c r="L122" s="18" t="s">
        <v>56</v>
      </c>
      <c r="M122" s="18" t="s">
        <v>29</v>
      </c>
      <c r="N122" s="18" t="s">
        <v>444</v>
      </c>
      <c r="O122" s="15"/>
      <c r="P122" s="8"/>
      <c r="Q122" s="8"/>
    </row>
    <row r="123" spans="1:17" ht="69.75" customHeight="1" x14ac:dyDescent="0.2">
      <c r="A123" s="17">
        <v>46052.92993810185</v>
      </c>
      <c r="B123" s="18">
        <v>28208004162</v>
      </c>
      <c r="C123" s="18" t="s">
        <v>445</v>
      </c>
      <c r="D123" s="18" t="s">
        <v>446</v>
      </c>
      <c r="E123" s="18" t="s">
        <v>25</v>
      </c>
      <c r="F123" s="18" t="s">
        <v>26</v>
      </c>
      <c r="G123" s="18" t="s">
        <v>27</v>
      </c>
      <c r="H123" s="18" t="s">
        <v>53</v>
      </c>
      <c r="I123" s="20" t="s">
        <v>805</v>
      </c>
      <c r="J123" s="20" t="s">
        <v>768</v>
      </c>
      <c r="K123" s="20" t="s">
        <v>771</v>
      </c>
      <c r="L123" s="18" t="s">
        <v>447</v>
      </c>
      <c r="M123" s="18" t="s">
        <v>29</v>
      </c>
      <c r="N123" s="18" t="s">
        <v>448</v>
      </c>
      <c r="O123" s="15"/>
      <c r="P123" s="8"/>
      <c r="Q123" s="8"/>
    </row>
    <row r="124" spans="1:17" ht="69.75" customHeight="1" x14ac:dyDescent="0.2">
      <c r="A124" s="17">
        <v>46052.647314155096</v>
      </c>
      <c r="B124" s="18">
        <v>28218049647</v>
      </c>
      <c r="C124" s="18" t="s">
        <v>449</v>
      </c>
      <c r="D124" s="18" t="s">
        <v>450</v>
      </c>
      <c r="E124" s="18" t="s">
        <v>451</v>
      </c>
      <c r="F124" s="18" t="s">
        <v>26</v>
      </c>
      <c r="G124" s="18" t="s">
        <v>27</v>
      </c>
      <c r="H124" s="18" t="s">
        <v>21</v>
      </c>
      <c r="I124" s="20" t="s">
        <v>805</v>
      </c>
      <c r="J124" s="20" t="s">
        <v>22</v>
      </c>
      <c r="K124" s="20"/>
      <c r="L124" s="18" t="s">
        <v>56</v>
      </c>
      <c r="M124" s="18" t="s">
        <v>29</v>
      </c>
      <c r="N124" s="18" t="s">
        <v>793</v>
      </c>
      <c r="O124" s="15"/>
      <c r="P124" s="8"/>
      <c r="Q124" s="8"/>
    </row>
    <row r="125" spans="1:17" ht="69.75" customHeight="1" x14ac:dyDescent="0.2">
      <c r="A125" s="17">
        <v>46052.785231759262</v>
      </c>
      <c r="B125" s="18">
        <v>28208051685</v>
      </c>
      <c r="C125" s="18" t="s">
        <v>452</v>
      </c>
      <c r="D125" s="18" t="s">
        <v>387</v>
      </c>
      <c r="E125" s="18" t="s">
        <v>25</v>
      </c>
      <c r="F125" s="18" t="s">
        <v>26</v>
      </c>
      <c r="G125" s="18" t="s">
        <v>27</v>
      </c>
      <c r="H125" s="18" t="s">
        <v>21</v>
      </c>
      <c r="I125" s="20" t="s">
        <v>805</v>
      </c>
      <c r="J125" s="20" t="s">
        <v>22</v>
      </c>
      <c r="K125" s="20"/>
      <c r="L125" s="18" t="s">
        <v>112</v>
      </c>
      <c r="M125" s="18" t="s">
        <v>29</v>
      </c>
      <c r="N125" s="18" t="s">
        <v>453</v>
      </c>
      <c r="O125" s="15"/>
      <c r="P125" s="8"/>
      <c r="Q125" s="8"/>
    </row>
    <row r="126" spans="1:17" ht="69.75" customHeight="1" x14ac:dyDescent="0.2">
      <c r="A126" s="17">
        <v>46052.666932037042</v>
      </c>
      <c r="B126" s="18">
        <v>28208151176</v>
      </c>
      <c r="C126" s="18" t="s">
        <v>454</v>
      </c>
      <c r="D126" s="18" t="s">
        <v>455</v>
      </c>
      <c r="E126" s="18" t="s">
        <v>40</v>
      </c>
      <c r="F126" s="18" t="s">
        <v>26</v>
      </c>
      <c r="G126" s="18" t="s">
        <v>27</v>
      </c>
      <c r="H126" s="18" t="s">
        <v>21</v>
      </c>
      <c r="I126" s="20" t="s">
        <v>805</v>
      </c>
      <c r="J126" s="20" t="s">
        <v>22</v>
      </c>
      <c r="K126" s="20"/>
      <c r="L126" s="18" t="s">
        <v>424</v>
      </c>
      <c r="M126" s="18" t="s">
        <v>29</v>
      </c>
      <c r="N126" s="18" t="s">
        <v>456</v>
      </c>
      <c r="O126" s="15"/>
      <c r="P126" s="8"/>
      <c r="Q126" s="8"/>
    </row>
    <row r="127" spans="1:17" ht="69.75" customHeight="1" x14ac:dyDescent="0.2">
      <c r="A127" s="17">
        <v>46052.672876608798</v>
      </c>
      <c r="B127" s="18">
        <v>28208004174</v>
      </c>
      <c r="C127" s="18" t="s">
        <v>457</v>
      </c>
      <c r="D127" s="18" t="s">
        <v>458</v>
      </c>
      <c r="E127" s="18" t="s">
        <v>189</v>
      </c>
      <c r="F127" s="18" t="s">
        <v>26</v>
      </c>
      <c r="G127" s="18" t="s">
        <v>27</v>
      </c>
      <c r="H127" s="18" t="s">
        <v>21</v>
      </c>
      <c r="I127" s="20" t="s">
        <v>805</v>
      </c>
      <c r="J127" s="20" t="s">
        <v>22</v>
      </c>
      <c r="K127" s="20"/>
      <c r="L127" s="18" t="s">
        <v>56</v>
      </c>
      <c r="M127" s="18" t="s">
        <v>29</v>
      </c>
      <c r="N127" s="18" t="s">
        <v>459</v>
      </c>
      <c r="O127" s="15"/>
      <c r="P127" s="8"/>
      <c r="Q127" s="8"/>
    </row>
    <row r="128" spans="1:17" ht="69.75" customHeight="1" x14ac:dyDescent="0.2">
      <c r="A128" s="17">
        <v>46055.74573461806</v>
      </c>
      <c r="B128" s="18">
        <v>28214843933</v>
      </c>
      <c r="C128" s="18" t="s">
        <v>460</v>
      </c>
      <c r="D128" s="18" t="s">
        <v>461</v>
      </c>
      <c r="E128" s="18" t="s">
        <v>34</v>
      </c>
      <c r="F128" s="18" t="s">
        <v>26</v>
      </c>
      <c r="G128" s="18" t="s">
        <v>27</v>
      </c>
      <c r="H128" s="18" t="s">
        <v>139</v>
      </c>
      <c r="I128" s="20" t="s">
        <v>805</v>
      </c>
      <c r="J128" s="20" t="s">
        <v>22</v>
      </c>
      <c r="K128" s="20"/>
      <c r="L128" s="18" t="s">
        <v>462</v>
      </c>
      <c r="M128" s="18" t="s">
        <v>29</v>
      </c>
      <c r="N128" s="18" t="s">
        <v>463</v>
      </c>
      <c r="O128" s="15"/>
      <c r="P128" s="8"/>
      <c r="Q128" s="8"/>
    </row>
    <row r="129" spans="1:17" ht="69.75" customHeight="1" x14ac:dyDescent="0.2">
      <c r="A129" s="17">
        <v>46052.742689583334</v>
      </c>
      <c r="B129" s="18">
        <v>28208005423</v>
      </c>
      <c r="C129" s="18" t="s">
        <v>464</v>
      </c>
      <c r="D129" s="18" t="s">
        <v>465</v>
      </c>
      <c r="E129" s="18" t="s">
        <v>123</v>
      </c>
      <c r="F129" s="18" t="s">
        <v>26</v>
      </c>
      <c r="G129" s="18" t="s">
        <v>27</v>
      </c>
      <c r="H129" s="18" t="s">
        <v>75</v>
      </c>
      <c r="I129" s="20" t="s">
        <v>805</v>
      </c>
      <c r="J129" s="20" t="s">
        <v>22</v>
      </c>
      <c r="K129" s="20"/>
      <c r="L129" s="18" t="s">
        <v>778</v>
      </c>
      <c r="M129" s="18" t="s">
        <v>68</v>
      </c>
      <c r="N129" s="18" t="s">
        <v>466</v>
      </c>
      <c r="O129" s="15"/>
      <c r="P129" s="8"/>
      <c r="Q129" s="8"/>
    </row>
    <row r="130" spans="1:17" ht="69.75" customHeight="1" x14ac:dyDescent="0.2">
      <c r="A130" s="17">
        <v>46055.430113101851</v>
      </c>
      <c r="B130" s="18">
        <v>28208103940</v>
      </c>
      <c r="C130" s="18" t="s">
        <v>467</v>
      </c>
      <c r="D130" s="19" t="s">
        <v>468</v>
      </c>
      <c r="E130" s="18" t="s">
        <v>299</v>
      </c>
      <c r="F130" s="18" t="s">
        <v>26</v>
      </c>
      <c r="G130" s="18" t="s">
        <v>27</v>
      </c>
      <c r="H130" s="18" t="s">
        <v>75</v>
      </c>
      <c r="I130" s="20" t="s">
        <v>805</v>
      </c>
      <c r="J130" s="20" t="s">
        <v>22</v>
      </c>
      <c r="K130" s="20"/>
      <c r="L130" s="18" t="s">
        <v>778</v>
      </c>
      <c r="M130" s="18" t="s">
        <v>68</v>
      </c>
      <c r="N130" s="18" t="s">
        <v>469</v>
      </c>
      <c r="O130" s="15"/>
      <c r="P130" s="8"/>
      <c r="Q130" s="8"/>
    </row>
    <row r="131" spans="1:17" ht="69.75" customHeight="1" x14ac:dyDescent="0.2">
      <c r="A131" s="17">
        <v>46055.521966018518</v>
      </c>
      <c r="B131" s="18">
        <v>28208025059</v>
      </c>
      <c r="C131" s="18" t="s">
        <v>470</v>
      </c>
      <c r="D131" s="18" t="s">
        <v>471</v>
      </c>
      <c r="E131" s="18" t="s">
        <v>176</v>
      </c>
      <c r="F131" s="18" t="s">
        <v>26</v>
      </c>
      <c r="G131" s="18" t="s">
        <v>27</v>
      </c>
      <c r="H131" s="18" t="s">
        <v>70</v>
      </c>
      <c r="I131" s="20" t="s">
        <v>805</v>
      </c>
      <c r="J131" s="20" t="s">
        <v>22</v>
      </c>
      <c r="K131" s="20"/>
      <c r="L131" s="18" t="s">
        <v>56</v>
      </c>
      <c r="M131" s="18" t="s">
        <v>68</v>
      </c>
      <c r="N131" s="18" t="s">
        <v>472</v>
      </c>
      <c r="O131" s="15"/>
      <c r="P131" s="8"/>
      <c r="Q131" s="8"/>
    </row>
    <row r="132" spans="1:17" ht="69.75" customHeight="1" x14ac:dyDescent="0.2">
      <c r="A132" s="17">
        <v>46055.523066400463</v>
      </c>
      <c r="B132" s="18">
        <v>28208054910</v>
      </c>
      <c r="C132" s="18" t="s">
        <v>473</v>
      </c>
      <c r="D132" s="19" t="s">
        <v>151</v>
      </c>
      <c r="E132" s="18" t="s">
        <v>176</v>
      </c>
      <c r="F132" s="18" t="s">
        <v>26</v>
      </c>
      <c r="G132" s="18" t="s">
        <v>27</v>
      </c>
      <c r="H132" s="18" t="s">
        <v>70</v>
      </c>
      <c r="I132" s="18" t="s">
        <v>805</v>
      </c>
      <c r="J132" s="20" t="s">
        <v>22</v>
      </c>
      <c r="K132" s="18"/>
      <c r="L132" s="18" t="s">
        <v>474</v>
      </c>
      <c r="M132" s="18" t="s">
        <v>68</v>
      </c>
      <c r="N132" s="18" t="s">
        <v>475</v>
      </c>
      <c r="O132" s="15"/>
      <c r="P132" s="8"/>
      <c r="Q132" s="8"/>
    </row>
    <row r="133" spans="1:17" ht="69.75" customHeight="1" x14ac:dyDescent="0.2">
      <c r="A133" s="17">
        <v>46052.78387373843</v>
      </c>
      <c r="B133" s="18">
        <v>28218006731</v>
      </c>
      <c r="C133" s="18" t="s">
        <v>476</v>
      </c>
      <c r="D133" s="19" t="s">
        <v>437</v>
      </c>
      <c r="E133" s="18" t="s">
        <v>305</v>
      </c>
      <c r="F133" s="18" t="s">
        <v>16</v>
      </c>
      <c r="G133" s="18" t="s">
        <v>27</v>
      </c>
      <c r="H133" s="18" t="s">
        <v>70</v>
      </c>
      <c r="I133" s="20" t="s">
        <v>805</v>
      </c>
      <c r="J133" s="20" t="s">
        <v>22</v>
      </c>
      <c r="K133" s="20"/>
      <c r="L133" s="18" t="s">
        <v>96</v>
      </c>
      <c r="M133" s="18" t="s">
        <v>68</v>
      </c>
      <c r="N133" s="18" t="s">
        <v>477</v>
      </c>
      <c r="O133" s="15"/>
      <c r="P133" s="8"/>
      <c r="Q133" s="8"/>
    </row>
    <row r="134" spans="1:17" ht="69.75" customHeight="1" x14ac:dyDescent="0.2">
      <c r="A134" s="17">
        <v>46052.814564421293</v>
      </c>
      <c r="B134" s="18">
        <v>28208004642</v>
      </c>
      <c r="C134" s="18" t="s">
        <v>478</v>
      </c>
      <c r="D134" s="18" t="s">
        <v>479</v>
      </c>
      <c r="E134" s="18" t="s">
        <v>123</v>
      </c>
      <c r="F134" s="18" t="s">
        <v>26</v>
      </c>
      <c r="G134" s="18" t="s">
        <v>27</v>
      </c>
      <c r="H134" s="18" t="s">
        <v>75</v>
      </c>
      <c r="I134" s="20" t="s">
        <v>805</v>
      </c>
      <c r="J134" s="20" t="s">
        <v>22</v>
      </c>
      <c r="K134" s="20"/>
      <c r="L134" s="18" t="s">
        <v>794</v>
      </c>
      <c r="M134" s="18" t="s">
        <v>68</v>
      </c>
      <c r="N134" s="18" t="s">
        <v>795</v>
      </c>
      <c r="O134" s="15"/>
      <c r="P134" s="8"/>
      <c r="Q134" s="8"/>
    </row>
    <row r="135" spans="1:17" ht="69.75" customHeight="1" x14ac:dyDescent="0.2">
      <c r="A135" s="17">
        <v>46052.845321354165</v>
      </c>
      <c r="B135" s="18">
        <v>28208002969</v>
      </c>
      <c r="C135" s="18" t="s">
        <v>480</v>
      </c>
      <c r="D135" s="18" t="s">
        <v>481</v>
      </c>
      <c r="E135" s="18" t="s">
        <v>25</v>
      </c>
      <c r="F135" s="18" t="s">
        <v>26</v>
      </c>
      <c r="G135" s="18" t="s">
        <v>27</v>
      </c>
      <c r="H135" s="18" t="s">
        <v>75</v>
      </c>
      <c r="I135" s="20" t="s">
        <v>805</v>
      </c>
      <c r="J135" s="20" t="s">
        <v>22</v>
      </c>
      <c r="K135" s="20"/>
      <c r="L135" s="18" t="s">
        <v>28</v>
      </c>
      <c r="M135" s="18" t="s">
        <v>68</v>
      </c>
      <c r="N135" s="18" t="s">
        <v>482</v>
      </c>
      <c r="O135" s="15"/>
      <c r="P135" s="8"/>
      <c r="Q135" s="8"/>
    </row>
    <row r="136" spans="1:17" ht="69.75" customHeight="1" x14ac:dyDescent="0.2">
      <c r="A136" s="17">
        <v>46052.862721319441</v>
      </c>
      <c r="B136" s="18">
        <v>28204650785</v>
      </c>
      <c r="C136" s="18" t="s">
        <v>483</v>
      </c>
      <c r="D136" s="19" t="s">
        <v>484</v>
      </c>
      <c r="E136" s="18" t="s">
        <v>40</v>
      </c>
      <c r="F136" s="18" t="s">
        <v>26</v>
      </c>
      <c r="G136" s="18" t="s">
        <v>27</v>
      </c>
      <c r="H136" s="18" t="s">
        <v>37</v>
      </c>
      <c r="I136" s="20" t="s">
        <v>805</v>
      </c>
      <c r="J136" s="20" t="s">
        <v>22</v>
      </c>
      <c r="K136" s="20"/>
      <c r="L136" s="18" t="s">
        <v>485</v>
      </c>
      <c r="M136" s="18" t="s">
        <v>29</v>
      </c>
      <c r="N136" s="18" t="s">
        <v>486</v>
      </c>
      <c r="O136" s="15"/>
      <c r="P136" s="8"/>
      <c r="Q136" s="8"/>
    </row>
    <row r="137" spans="1:17" ht="69.75" customHeight="1" x14ac:dyDescent="0.2">
      <c r="A137" s="17">
        <v>46052.870889375001</v>
      </c>
      <c r="B137" s="18">
        <v>28208003853</v>
      </c>
      <c r="C137" s="18" t="s">
        <v>487</v>
      </c>
      <c r="D137" s="19" t="s">
        <v>488</v>
      </c>
      <c r="E137" s="18" t="s">
        <v>165</v>
      </c>
      <c r="F137" s="18" t="s">
        <v>26</v>
      </c>
      <c r="G137" s="18" t="s">
        <v>27</v>
      </c>
      <c r="H137" s="18" t="s">
        <v>37</v>
      </c>
      <c r="I137" s="20" t="s">
        <v>805</v>
      </c>
      <c r="J137" s="20" t="s">
        <v>22</v>
      </c>
      <c r="K137" s="20"/>
      <c r="L137" s="18" t="s">
        <v>789</v>
      </c>
      <c r="M137" s="18" t="s">
        <v>29</v>
      </c>
      <c r="N137" s="18" t="s">
        <v>489</v>
      </c>
      <c r="O137" s="15"/>
      <c r="P137" s="8"/>
      <c r="Q137" s="8"/>
    </row>
    <row r="138" spans="1:17" ht="69.75" customHeight="1" x14ac:dyDescent="0.2">
      <c r="A138" s="17">
        <v>46053.832786828702</v>
      </c>
      <c r="B138" s="18">
        <v>28216228403</v>
      </c>
      <c r="C138" s="18" t="s">
        <v>490</v>
      </c>
      <c r="D138" s="18" t="s">
        <v>396</v>
      </c>
      <c r="E138" s="18" t="s">
        <v>40</v>
      </c>
      <c r="F138" s="18" t="s">
        <v>26</v>
      </c>
      <c r="G138" s="18" t="s">
        <v>27</v>
      </c>
      <c r="H138" s="18" t="s">
        <v>491</v>
      </c>
      <c r="I138" s="20" t="s">
        <v>805</v>
      </c>
      <c r="J138" s="20" t="s">
        <v>161</v>
      </c>
      <c r="K138" s="18" t="s">
        <v>767</v>
      </c>
      <c r="L138" s="18" t="s">
        <v>112</v>
      </c>
      <c r="M138" s="18" t="s">
        <v>19</v>
      </c>
      <c r="N138" s="18" t="s">
        <v>767</v>
      </c>
      <c r="O138" s="15"/>
      <c r="P138" s="8"/>
      <c r="Q138" s="8"/>
    </row>
    <row r="139" spans="1:17" ht="69.75" customHeight="1" x14ac:dyDescent="0.2">
      <c r="A139" s="17">
        <v>46052.928792372681</v>
      </c>
      <c r="B139" s="18">
        <v>28208003095</v>
      </c>
      <c r="C139" s="18" t="s">
        <v>492</v>
      </c>
      <c r="D139" s="19" t="s">
        <v>493</v>
      </c>
      <c r="E139" s="18" t="s">
        <v>176</v>
      </c>
      <c r="F139" s="18" t="s">
        <v>26</v>
      </c>
      <c r="G139" s="18" t="s">
        <v>27</v>
      </c>
      <c r="H139" s="18" t="s">
        <v>53</v>
      </c>
      <c r="I139" s="20" t="s">
        <v>805</v>
      </c>
      <c r="J139" s="20" t="s">
        <v>22</v>
      </c>
      <c r="K139" s="20"/>
      <c r="L139" s="18" t="s">
        <v>494</v>
      </c>
      <c r="M139" s="18" t="s">
        <v>29</v>
      </c>
      <c r="N139" s="18" t="s">
        <v>495</v>
      </c>
      <c r="O139" s="15"/>
      <c r="P139" s="8"/>
      <c r="Q139" s="8"/>
    </row>
    <row r="140" spans="1:17" ht="69.75" customHeight="1" x14ac:dyDescent="0.2">
      <c r="A140" s="17">
        <v>46052.933177824074</v>
      </c>
      <c r="B140" s="18">
        <v>27207142526</v>
      </c>
      <c r="C140" s="18" t="s">
        <v>496</v>
      </c>
      <c r="D140" s="19" t="s">
        <v>497</v>
      </c>
      <c r="E140" s="18" t="s">
        <v>256</v>
      </c>
      <c r="F140" s="18" t="s">
        <v>26</v>
      </c>
      <c r="G140" s="18" t="s">
        <v>132</v>
      </c>
      <c r="H140" s="18" t="s">
        <v>53</v>
      </c>
      <c r="I140" s="20" t="s">
        <v>805</v>
      </c>
      <c r="J140" s="20" t="s">
        <v>22</v>
      </c>
      <c r="K140" s="20"/>
      <c r="L140" s="18" t="s">
        <v>498</v>
      </c>
      <c r="M140" s="18" t="s">
        <v>68</v>
      </c>
      <c r="N140" s="18" t="s">
        <v>499</v>
      </c>
      <c r="O140" s="15"/>
      <c r="P140" s="8"/>
      <c r="Q140" s="8"/>
    </row>
    <row r="141" spans="1:17" ht="69.75" customHeight="1" x14ac:dyDescent="0.2">
      <c r="A141" s="17">
        <v>46052.933312638888</v>
      </c>
      <c r="B141" s="18">
        <v>28204651620</v>
      </c>
      <c r="C141" s="18" t="s">
        <v>500</v>
      </c>
      <c r="D141" s="18" t="s">
        <v>501</v>
      </c>
      <c r="E141" s="18" t="s">
        <v>176</v>
      </c>
      <c r="F141" s="18" t="s">
        <v>26</v>
      </c>
      <c r="G141" s="18" t="s">
        <v>27</v>
      </c>
      <c r="H141" s="18" t="s">
        <v>53</v>
      </c>
      <c r="I141" s="20" t="s">
        <v>805</v>
      </c>
      <c r="J141" s="20" t="s">
        <v>22</v>
      </c>
      <c r="K141" s="20"/>
      <c r="L141" s="18" t="s">
        <v>586</v>
      </c>
      <c r="M141" s="18" t="s">
        <v>29</v>
      </c>
      <c r="N141" s="18" t="s">
        <v>502</v>
      </c>
      <c r="O141" s="15"/>
      <c r="P141" s="8"/>
      <c r="Q141" s="8"/>
    </row>
    <row r="142" spans="1:17" ht="69.75" customHeight="1" x14ac:dyDescent="0.2">
      <c r="A142" s="17">
        <v>46052.934329247684</v>
      </c>
      <c r="B142" s="18">
        <v>28208306062</v>
      </c>
      <c r="C142" s="18" t="s">
        <v>503</v>
      </c>
      <c r="D142" s="19" t="s">
        <v>504</v>
      </c>
      <c r="E142" s="18" t="s">
        <v>180</v>
      </c>
      <c r="F142" s="18" t="s">
        <v>26</v>
      </c>
      <c r="G142" s="18" t="s">
        <v>27</v>
      </c>
      <c r="H142" s="18" t="s">
        <v>37</v>
      </c>
      <c r="I142" s="20" t="s">
        <v>805</v>
      </c>
      <c r="J142" s="20" t="s">
        <v>22</v>
      </c>
      <c r="K142" s="20"/>
      <c r="L142" s="18" t="s">
        <v>279</v>
      </c>
      <c r="M142" s="18" t="s">
        <v>29</v>
      </c>
      <c r="N142" s="18" t="s">
        <v>505</v>
      </c>
      <c r="O142" s="15"/>
      <c r="P142" s="8"/>
      <c r="Q142" s="8"/>
    </row>
    <row r="143" spans="1:17" ht="69.75" customHeight="1" x14ac:dyDescent="0.2">
      <c r="A143" s="17">
        <v>46055.462472129628</v>
      </c>
      <c r="B143" s="18">
        <v>28218003924</v>
      </c>
      <c r="C143" s="18" t="s">
        <v>506</v>
      </c>
      <c r="D143" s="19" t="s">
        <v>507</v>
      </c>
      <c r="E143" s="18" t="s">
        <v>100</v>
      </c>
      <c r="F143" s="18" t="s">
        <v>26</v>
      </c>
      <c r="G143" s="18" t="s">
        <v>27</v>
      </c>
      <c r="H143" s="18" t="s">
        <v>53</v>
      </c>
      <c r="I143" s="20" t="s">
        <v>805</v>
      </c>
      <c r="J143" s="20" t="s">
        <v>22</v>
      </c>
      <c r="K143" s="20"/>
      <c r="L143" s="18" t="s">
        <v>225</v>
      </c>
      <c r="M143" s="18" t="s">
        <v>19</v>
      </c>
      <c r="N143" s="18" t="s">
        <v>508</v>
      </c>
      <c r="O143" s="15"/>
      <c r="P143" s="8"/>
      <c r="Q143" s="8"/>
    </row>
    <row r="144" spans="1:17" ht="69.75" customHeight="1" x14ac:dyDescent="0.2">
      <c r="A144" s="17">
        <v>46054.820617708334</v>
      </c>
      <c r="B144" s="18">
        <v>28208048257</v>
      </c>
      <c r="C144" s="18" t="s">
        <v>509</v>
      </c>
      <c r="D144" s="19" t="s">
        <v>488</v>
      </c>
      <c r="E144" s="18" t="s">
        <v>176</v>
      </c>
      <c r="F144" s="18" t="s">
        <v>26</v>
      </c>
      <c r="G144" s="18" t="s">
        <v>27</v>
      </c>
      <c r="H144" s="18" t="s">
        <v>53</v>
      </c>
      <c r="I144" s="20" t="s">
        <v>805</v>
      </c>
      <c r="J144" s="20" t="s">
        <v>22</v>
      </c>
      <c r="K144" s="20"/>
      <c r="L144" s="18" t="s">
        <v>127</v>
      </c>
      <c r="M144" s="18" t="s">
        <v>29</v>
      </c>
      <c r="N144" s="18" t="s">
        <v>510</v>
      </c>
      <c r="O144" s="15"/>
      <c r="P144" s="8"/>
      <c r="Q144" s="8"/>
    </row>
    <row r="145" spans="1:17" ht="69.75" customHeight="1" x14ac:dyDescent="0.2">
      <c r="A145" s="17">
        <v>46052.943130902779</v>
      </c>
      <c r="B145" s="18">
        <v>28208001739</v>
      </c>
      <c r="C145" s="18" t="s">
        <v>511</v>
      </c>
      <c r="D145" s="18" t="s">
        <v>512</v>
      </c>
      <c r="E145" s="18" t="s">
        <v>100</v>
      </c>
      <c r="F145" s="18" t="s">
        <v>26</v>
      </c>
      <c r="G145" s="18" t="s">
        <v>27</v>
      </c>
      <c r="H145" s="18" t="s">
        <v>53</v>
      </c>
      <c r="I145" s="20" t="s">
        <v>805</v>
      </c>
      <c r="J145" s="20" t="s">
        <v>22</v>
      </c>
      <c r="K145" s="20"/>
      <c r="L145" s="18" t="s">
        <v>127</v>
      </c>
      <c r="M145" s="18" t="s">
        <v>29</v>
      </c>
      <c r="N145" s="18" t="s">
        <v>513</v>
      </c>
      <c r="O145" s="15"/>
      <c r="P145" s="8"/>
      <c r="Q145" s="8"/>
    </row>
    <row r="146" spans="1:17" ht="69.75" customHeight="1" x14ac:dyDescent="0.2">
      <c r="A146" s="17">
        <v>46053.367332094909</v>
      </c>
      <c r="B146" s="18">
        <v>27217146484</v>
      </c>
      <c r="C146" s="18" t="s">
        <v>514</v>
      </c>
      <c r="D146" s="18" t="s">
        <v>515</v>
      </c>
      <c r="E146" s="18" t="s">
        <v>131</v>
      </c>
      <c r="F146" s="18" t="s">
        <v>26</v>
      </c>
      <c r="G146" s="18" t="s">
        <v>132</v>
      </c>
      <c r="H146" s="18" t="s">
        <v>53</v>
      </c>
      <c r="I146" s="20" t="s">
        <v>805</v>
      </c>
      <c r="J146" s="20" t="s">
        <v>22</v>
      </c>
      <c r="K146" s="20"/>
      <c r="L146" s="18" t="s">
        <v>148</v>
      </c>
      <c r="M146" s="18" t="s">
        <v>68</v>
      </c>
      <c r="N146" s="18" t="s">
        <v>516</v>
      </c>
      <c r="O146" s="15"/>
      <c r="P146" s="8"/>
      <c r="Q146" s="8"/>
    </row>
    <row r="147" spans="1:17" ht="69.75" customHeight="1" x14ac:dyDescent="0.2">
      <c r="A147" s="17">
        <v>46053.782720069445</v>
      </c>
      <c r="B147" s="18">
        <v>26217220919</v>
      </c>
      <c r="C147" s="18" t="s">
        <v>517</v>
      </c>
      <c r="D147" s="18" t="s">
        <v>518</v>
      </c>
      <c r="E147" s="18" t="s">
        <v>519</v>
      </c>
      <c r="F147" s="18" t="s">
        <v>26</v>
      </c>
      <c r="G147" s="18" t="s">
        <v>520</v>
      </c>
      <c r="H147" s="18" t="s">
        <v>53</v>
      </c>
      <c r="I147" s="18" t="s">
        <v>805</v>
      </c>
      <c r="J147" s="18" t="s">
        <v>22</v>
      </c>
      <c r="K147" s="18"/>
      <c r="L147" s="18" t="s">
        <v>521</v>
      </c>
      <c r="M147" s="18" t="s">
        <v>29</v>
      </c>
      <c r="N147" s="18" t="s">
        <v>522</v>
      </c>
      <c r="O147" s="15"/>
      <c r="P147" s="8"/>
      <c r="Q147" s="8"/>
    </row>
    <row r="148" spans="1:17" ht="69.75" customHeight="1" x14ac:dyDescent="0.2">
      <c r="A148" s="17">
        <v>46052.956036226853</v>
      </c>
      <c r="B148" s="18">
        <v>28218005182</v>
      </c>
      <c r="C148" s="18" t="s">
        <v>523</v>
      </c>
      <c r="D148" s="18" t="s">
        <v>524</v>
      </c>
      <c r="E148" s="18" t="s">
        <v>525</v>
      </c>
      <c r="F148" s="18" t="s">
        <v>26</v>
      </c>
      <c r="G148" s="18" t="s">
        <v>27</v>
      </c>
      <c r="H148" s="18" t="s">
        <v>53</v>
      </c>
      <c r="I148" s="20" t="s">
        <v>805</v>
      </c>
      <c r="J148" s="20" t="s">
        <v>22</v>
      </c>
      <c r="K148" s="20"/>
      <c r="L148" s="18" t="s">
        <v>225</v>
      </c>
      <c r="M148" s="18" t="s">
        <v>19</v>
      </c>
      <c r="N148" s="18" t="s">
        <v>526</v>
      </c>
      <c r="O148" s="15"/>
      <c r="P148" s="8"/>
      <c r="Q148" s="8"/>
    </row>
    <row r="149" spans="1:17" ht="69.75" customHeight="1" x14ac:dyDescent="0.2">
      <c r="A149" s="17">
        <v>46052.970750115739</v>
      </c>
      <c r="B149" s="18">
        <v>25217216024</v>
      </c>
      <c r="C149" s="18" t="s">
        <v>527</v>
      </c>
      <c r="D149" s="18" t="s">
        <v>528</v>
      </c>
      <c r="E149" s="18" t="s">
        <v>529</v>
      </c>
      <c r="F149" s="18" t="s">
        <v>26</v>
      </c>
      <c r="G149" s="18" t="s">
        <v>17</v>
      </c>
      <c r="H149" s="18" t="s">
        <v>53</v>
      </c>
      <c r="I149" s="20" t="s">
        <v>805</v>
      </c>
      <c r="J149" s="20" t="s">
        <v>22</v>
      </c>
      <c r="K149" s="20"/>
      <c r="L149" s="18" t="s">
        <v>225</v>
      </c>
      <c r="M149" s="18" t="s">
        <v>29</v>
      </c>
      <c r="N149" s="18" t="s">
        <v>530</v>
      </c>
      <c r="O149" s="15"/>
      <c r="P149" s="8"/>
      <c r="Q149" s="8"/>
    </row>
    <row r="150" spans="1:17" ht="69.75" customHeight="1" x14ac:dyDescent="0.2">
      <c r="A150" s="17">
        <v>46052.974708148147</v>
      </c>
      <c r="B150" s="18">
        <v>27207124538</v>
      </c>
      <c r="C150" s="18" t="s">
        <v>531</v>
      </c>
      <c r="D150" s="19" t="s">
        <v>532</v>
      </c>
      <c r="E150" s="18" t="s">
        <v>533</v>
      </c>
      <c r="F150" s="18" t="s">
        <v>26</v>
      </c>
      <c r="G150" s="18" t="s">
        <v>132</v>
      </c>
      <c r="H150" s="18" t="s">
        <v>53</v>
      </c>
      <c r="I150" s="20" t="s">
        <v>805</v>
      </c>
      <c r="J150" s="20" t="s">
        <v>22</v>
      </c>
      <c r="K150" s="20"/>
      <c r="L150" s="18" t="s">
        <v>534</v>
      </c>
      <c r="M150" s="18" t="s">
        <v>68</v>
      </c>
      <c r="N150" s="18" t="s">
        <v>535</v>
      </c>
      <c r="O150" s="15"/>
      <c r="P150" s="8"/>
      <c r="Q150" s="8"/>
    </row>
    <row r="151" spans="1:17" ht="69.75" customHeight="1" x14ac:dyDescent="0.2">
      <c r="A151" s="17">
        <v>46053.473423564814</v>
      </c>
      <c r="B151" s="18">
        <v>28218054522</v>
      </c>
      <c r="C151" s="18" t="s">
        <v>536</v>
      </c>
      <c r="D151" s="18" t="s">
        <v>537</v>
      </c>
      <c r="E151" s="18" t="s">
        <v>538</v>
      </c>
      <c r="F151" s="18" t="s">
        <v>26</v>
      </c>
      <c r="G151" s="18" t="s">
        <v>27</v>
      </c>
      <c r="H151" s="18" t="s">
        <v>106</v>
      </c>
      <c r="I151" s="20" t="s">
        <v>805</v>
      </c>
      <c r="J151" s="20" t="s">
        <v>22</v>
      </c>
      <c r="K151" s="20"/>
      <c r="L151" s="18" t="s">
        <v>539</v>
      </c>
      <c r="M151" s="18" t="s">
        <v>29</v>
      </c>
      <c r="N151" s="18" t="s">
        <v>540</v>
      </c>
      <c r="O151" s="15"/>
      <c r="P151" s="8"/>
      <c r="Q151" s="8"/>
    </row>
    <row r="152" spans="1:17" ht="69.75" customHeight="1" x14ac:dyDescent="0.2">
      <c r="A152" s="17">
        <v>46055.68228793981</v>
      </c>
      <c r="B152" s="18">
        <v>28218032222</v>
      </c>
      <c r="C152" s="18" t="s">
        <v>541</v>
      </c>
      <c r="D152" s="18" t="s">
        <v>33</v>
      </c>
      <c r="E152" s="18" t="s">
        <v>34</v>
      </c>
      <c r="F152" s="18" t="s">
        <v>26</v>
      </c>
      <c r="G152" s="18" t="s">
        <v>27</v>
      </c>
      <c r="H152" s="18" t="s">
        <v>106</v>
      </c>
      <c r="I152" s="20" t="s">
        <v>805</v>
      </c>
      <c r="J152" s="20" t="s">
        <v>22</v>
      </c>
      <c r="K152" s="20"/>
      <c r="L152" s="18" t="s">
        <v>542</v>
      </c>
      <c r="M152" s="18" t="s">
        <v>29</v>
      </c>
      <c r="N152" s="18" t="s">
        <v>543</v>
      </c>
      <c r="O152" s="15"/>
      <c r="P152" s="8"/>
      <c r="Q152" s="8"/>
    </row>
    <row r="153" spans="1:17" ht="69.75" customHeight="1" x14ac:dyDescent="0.2">
      <c r="A153" s="17">
        <v>46055.870771168979</v>
      </c>
      <c r="B153" s="18">
        <v>27217133852</v>
      </c>
      <c r="C153" s="18" t="s">
        <v>544</v>
      </c>
      <c r="D153" s="18" t="s">
        <v>545</v>
      </c>
      <c r="E153" s="18" t="s">
        <v>34</v>
      </c>
      <c r="F153" s="18" t="s">
        <v>26</v>
      </c>
      <c r="G153" s="18" t="s">
        <v>27</v>
      </c>
      <c r="H153" s="18" t="s">
        <v>86</v>
      </c>
      <c r="I153" s="20" t="s">
        <v>805</v>
      </c>
      <c r="J153" s="20" t="s">
        <v>161</v>
      </c>
      <c r="K153" s="20" t="s">
        <v>763</v>
      </c>
      <c r="L153" s="18" t="s">
        <v>586</v>
      </c>
      <c r="M153" s="18" t="s">
        <v>19</v>
      </c>
      <c r="N153" s="20" t="s">
        <v>763</v>
      </c>
      <c r="O153" s="15"/>
      <c r="P153" s="8"/>
      <c r="Q153" s="8"/>
    </row>
    <row r="154" spans="1:17" ht="69.75" customHeight="1" x14ac:dyDescent="0.2">
      <c r="A154" s="17">
        <v>46053.936879525463</v>
      </c>
      <c r="B154" s="18">
        <v>28208005201</v>
      </c>
      <c r="C154" s="18" t="s">
        <v>546</v>
      </c>
      <c r="D154" s="18" t="s">
        <v>547</v>
      </c>
      <c r="E154" s="18" t="s">
        <v>83</v>
      </c>
      <c r="F154" s="18" t="s">
        <v>26</v>
      </c>
      <c r="G154" s="18" t="s">
        <v>27</v>
      </c>
      <c r="H154" s="18" t="s">
        <v>37</v>
      </c>
      <c r="I154" s="20" t="s">
        <v>805</v>
      </c>
      <c r="J154" s="20" t="s">
        <v>161</v>
      </c>
      <c r="K154" s="18" t="s">
        <v>779</v>
      </c>
      <c r="L154" s="18" t="s">
        <v>643</v>
      </c>
      <c r="M154" s="18" t="s">
        <v>29</v>
      </c>
      <c r="N154" s="18" t="s">
        <v>779</v>
      </c>
      <c r="O154" s="15"/>
      <c r="P154" s="8"/>
      <c r="Q154" s="8"/>
    </row>
    <row r="155" spans="1:17" ht="69.75" customHeight="1" x14ac:dyDescent="0.2">
      <c r="A155" s="17">
        <v>46053.933187245369</v>
      </c>
      <c r="B155" s="18">
        <v>28204337515</v>
      </c>
      <c r="C155" s="18" t="s">
        <v>548</v>
      </c>
      <c r="D155" s="18" t="s">
        <v>549</v>
      </c>
      <c r="E155" s="18" t="s">
        <v>50</v>
      </c>
      <c r="F155" s="18" t="s">
        <v>26</v>
      </c>
      <c r="G155" s="18" t="s">
        <v>27</v>
      </c>
      <c r="H155" s="18" t="s">
        <v>37</v>
      </c>
      <c r="I155" s="20" t="s">
        <v>805</v>
      </c>
      <c r="J155" s="20" t="s">
        <v>22</v>
      </c>
      <c r="K155" s="20"/>
      <c r="L155" s="18" t="s">
        <v>550</v>
      </c>
      <c r="M155" s="18" t="s">
        <v>29</v>
      </c>
      <c r="N155" s="18" t="s">
        <v>551</v>
      </c>
      <c r="O155" s="15"/>
      <c r="P155" s="8"/>
      <c r="Q155" s="8"/>
    </row>
    <row r="156" spans="1:17" ht="69.75" customHeight="1" x14ac:dyDescent="0.2">
      <c r="A156" s="17">
        <v>46053.442938935186</v>
      </c>
      <c r="B156" s="18">
        <v>28218305990</v>
      </c>
      <c r="C156" s="18" t="s">
        <v>552</v>
      </c>
      <c r="D156" s="19" t="s">
        <v>304</v>
      </c>
      <c r="E156" s="18" t="s">
        <v>553</v>
      </c>
      <c r="F156" s="18" t="s">
        <v>158</v>
      </c>
      <c r="G156" s="18" t="s">
        <v>27</v>
      </c>
      <c r="H156" s="18" t="s">
        <v>53</v>
      </c>
      <c r="I156" s="20" t="s">
        <v>806</v>
      </c>
      <c r="J156" s="20" t="s">
        <v>22</v>
      </c>
      <c r="K156" s="20"/>
      <c r="L156" s="18" t="s">
        <v>207</v>
      </c>
      <c r="M156" s="18" t="s">
        <v>153</v>
      </c>
      <c r="N156" s="18" t="s">
        <v>554</v>
      </c>
      <c r="O156" s="15"/>
      <c r="P156" s="8"/>
      <c r="Q156" s="8"/>
    </row>
    <row r="157" spans="1:17" ht="69.75" customHeight="1" x14ac:dyDescent="0.2">
      <c r="A157" s="17">
        <v>46054.574093668984</v>
      </c>
      <c r="B157" s="18">
        <v>28208035310</v>
      </c>
      <c r="C157" s="18" t="s">
        <v>555</v>
      </c>
      <c r="D157" s="18" t="s">
        <v>556</v>
      </c>
      <c r="E157" s="18" t="s">
        <v>25</v>
      </c>
      <c r="F157" s="18" t="s">
        <v>26</v>
      </c>
      <c r="G157" s="18" t="s">
        <v>27</v>
      </c>
      <c r="H157" s="18" t="s">
        <v>21</v>
      </c>
      <c r="I157" s="20" t="s">
        <v>805</v>
      </c>
      <c r="J157" s="20" t="s">
        <v>22</v>
      </c>
      <c r="K157" s="20"/>
      <c r="L157" s="18" t="s">
        <v>56</v>
      </c>
      <c r="M157" s="18" t="s">
        <v>29</v>
      </c>
      <c r="N157" s="18" t="s">
        <v>557</v>
      </c>
      <c r="O157" s="15"/>
      <c r="P157" s="8"/>
      <c r="Q157" s="8"/>
    </row>
    <row r="158" spans="1:17" ht="69.75" customHeight="1" x14ac:dyDescent="0.2">
      <c r="A158" s="17">
        <v>46055.344240115737</v>
      </c>
      <c r="B158" s="18">
        <v>28200350838</v>
      </c>
      <c r="C158" s="18" t="s">
        <v>558</v>
      </c>
      <c r="D158" s="18" t="s">
        <v>559</v>
      </c>
      <c r="E158" s="18" t="s">
        <v>560</v>
      </c>
      <c r="F158" s="18" t="s">
        <v>158</v>
      </c>
      <c r="G158" s="18" t="s">
        <v>27</v>
      </c>
      <c r="H158" s="18" t="s">
        <v>120</v>
      </c>
      <c r="I158" s="20" t="s">
        <v>806</v>
      </c>
      <c r="J158" s="20" t="s">
        <v>22</v>
      </c>
      <c r="K158" s="20"/>
      <c r="L158" s="18" t="s">
        <v>561</v>
      </c>
      <c r="M158" s="18" t="s">
        <v>29</v>
      </c>
      <c r="N158" s="18" t="s">
        <v>562</v>
      </c>
      <c r="O158" s="15"/>
      <c r="P158" s="8"/>
      <c r="Q158" s="8"/>
    </row>
    <row r="159" spans="1:17" ht="69.75" customHeight="1" x14ac:dyDescent="0.2">
      <c r="A159" s="17">
        <v>46053.473877222219</v>
      </c>
      <c r="B159" s="18">
        <v>28208005206</v>
      </c>
      <c r="C159" s="18" t="s">
        <v>563</v>
      </c>
      <c r="D159" s="19" t="s">
        <v>564</v>
      </c>
      <c r="E159" s="18" t="s">
        <v>73</v>
      </c>
      <c r="F159" s="18" t="s">
        <v>26</v>
      </c>
      <c r="G159" s="18" t="s">
        <v>27</v>
      </c>
      <c r="H159" s="18" t="s">
        <v>37</v>
      </c>
      <c r="I159" s="20" t="s">
        <v>805</v>
      </c>
      <c r="J159" s="20" t="s">
        <v>22</v>
      </c>
      <c r="K159" s="20"/>
      <c r="L159" s="18" t="s">
        <v>565</v>
      </c>
      <c r="M159" s="18" t="s">
        <v>29</v>
      </c>
      <c r="N159" s="18" t="s">
        <v>566</v>
      </c>
      <c r="O159" s="15"/>
      <c r="P159" s="8"/>
      <c r="Q159" s="8"/>
    </row>
    <row r="160" spans="1:17" ht="69.75" customHeight="1" x14ac:dyDescent="0.2">
      <c r="A160" s="17">
        <v>46055.417066678245</v>
      </c>
      <c r="B160" s="18">
        <v>28208003340</v>
      </c>
      <c r="C160" s="18" t="s">
        <v>567</v>
      </c>
      <c r="D160" s="19" t="s">
        <v>568</v>
      </c>
      <c r="E160" s="18" t="s">
        <v>123</v>
      </c>
      <c r="F160" s="18" t="s">
        <v>26</v>
      </c>
      <c r="G160" s="18" t="s">
        <v>27</v>
      </c>
      <c r="H160" s="18" t="s">
        <v>31</v>
      </c>
      <c r="I160" s="20" t="s">
        <v>805</v>
      </c>
      <c r="J160" s="20" t="s">
        <v>22</v>
      </c>
      <c r="K160" s="20"/>
      <c r="L160" s="18" t="s">
        <v>569</v>
      </c>
      <c r="M160" s="18" t="s">
        <v>29</v>
      </c>
      <c r="N160" s="18" t="s">
        <v>570</v>
      </c>
      <c r="O160" s="15"/>
      <c r="P160" s="8"/>
      <c r="Q160" s="8"/>
    </row>
    <row r="161" spans="1:17" ht="69.75" customHeight="1" x14ac:dyDescent="0.2">
      <c r="A161" s="17">
        <v>46053.485788287042</v>
      </c>
      <c r="B161" s="18">
        <v>28218003900</v>
      </c>
      <c r="C161" s="18" t="s">
        <v>571</v>
      </c>
      <c r="D161" s="19" t="s">
        <v>572</v>
      </c>
      <c r="E161" s="18" t="s">
        <v>573</v>
      </c>
      <c r="F161" s="18" t="s">
        <v>26</v>
      </c>
      <c r="G161" s="18" t="s">
        <v>132</v>
      </c>
      <c r="H161" s="18" t="s">
        <v>37</v>
      </c>
      <c r="I161" s="20" t="s">
        <v>805</v>
      </c>
      <c r="J161" s="20" t="s">
        <v>22</v>
      </c>
      <c r="K161" s="20"/>
      <c r="L161" s="18" t="s">
        <v>35</v>
      </c>
      <c r="M161" s="18" t="s">
        <v>29</v>
      </c>
      <c r="N161" s="18" t="s">
        <v>574</v>
      </c>
      <c r="O161" s="15"/>
      <c r="P161" s="8"/>
      <c r="Q161" s="8"/>
    </row>
    <row r="162" spans="1:17" ht="69.75" customHeight="1" x14ac:dyDescent="0.2">
      <c r="A162" s="17">
        <v>46055.780734270833</v>
      </c>
      <c r="B162" s="18">
        <v>28208034537</v>
      </c>
      <c r="C162" s="18" t="s">
        <v>575</v>
      </c>
      <c r="D162" s="18" t="s">
        <v>576</v>
      </c>
      <c r="E162" s="18" t="s">
        <v>165</v>
      </c>
      <c r="F162" s="18" t="s">
        <v>26</v>
      </c>
      <c r="G162" s="18" t="s">
        <v>27</v>
      </c>
      <c r="H162" s="18" t="s">
        <v>106</v>
      </c>
      <c r="I162" s="20" t="s">
        <v>805</v>
      </c>
      <c r="J162" s="20" t="s">
        <v>22</v>
      </c>
      <c r="K162" s="20"/>
      <c r="L162" s="18" t="s">
        <v>225</v>
      </c>
      <c r="M162" s="18" t="s">
        <v>29</v>
      </c>
      <c r="N162" s="18" t="s">
        <v>577</v>
      </c>
      <c r="O162" s="15"/>
      <c r="P162" s="8"/>
      <c r="Q162" s="8"/>
    </row>
    <row r="163" spans="1:17" ht="69.75" customHeight="1" x14ac:dyDescent="0.2">
      <c r="A163" s="17">
        <v>46053.515006435184</v>
      </c>
      <c r="B163" s="18">
        <v>28208036351</v>
      </c>
      <c r="C163" s="18" t="s">
        <v>578</v>
      </c>
      <c r="D163" s="19" t="s">
        <v>579</v>
      </c>
      <c r="E163" s="18" t="s">
        <v>100</v>
      </c>
      <c r="F163" s="18" t="s">
        <v>26</v>
      </c>
      <c r="G163" s="18" t="s">
        <v>27</v>
      </c>
      <c r="H163" s="18" t="s">
        <v>106</v>
      </c>
      <c r="I163" s="20" t="s">
        <v>805</v>
      </c>
      <c r="J163" s="20" t="s">
        <v>22</v>
      </c>
      <c r="K163" s="20"/>
      <c r="L163" s="18" t="s">
        <v>225</v>
      </c>
      <c r="M163" s="18" t="s">
        <v>29</v>
      </c>
      <c r="N163" s="18" t="s">
        <v>580</v>
      </c>
      <c r="O163" s="15"/>
      <c r="P163" s="8"/>
      <c r="Q163" s="8"/>
    </row>
    <row r="164" spans="1:17" ht="69.75" customHeight="1" x14ac:dyDescent="0.2">
      <c r="A164" s="17">
        <v>46053.539265023152</v>
      </c>
      <c r="B164" s="18">
        <v>28218048381</v>
      </c>
      <c r="C164" s="18" t="s">
        <v>581</v>
      </c>
      <c r="D164" s="19" t="s">
        <v>582</v>
      </c>
      <c r="E164" s="18" t="s">
        <v>40</v>
      </c>
      <c r="F164" s="18" t="s">
        <v>26</v>
      </c>
      <c r="G164" s="18" t="s">
        <v>27</v>
      </c>
      <c r="H164" s="18" t="s">
        <v>106</v>
      </c>
      <c r="I164" s="20" t="s">
        <v>805</v>
      </c>
      <c r="J164" s="20" t="s">
        <v>22</v>
      </c>
      <c r="K164" s="20"/>
      <c r="L164" s="18" t="s">
        <v>104</v>
      </c>
      <c r="M164" s="18" t="s">
        <v>29</v>
      </c>
      <c r="N164" s="18" t="s">
        <v>583</v>
      </c>
      <c r="O164" s="15"/>
      <c r="P164" s="8"/>
      <c r="Q164" s="8"/>
    </row>
    <row r="165" spans="1:17" ht="69.75" customHeight="1" x14ac:dyDescent="0.2">
      <c r="A165" s="17">
        <v>46055.994740601847</v>
      </c>
      <c r="B165" s="18">
        <v>28205205446</v>
      </c>
      <c r="C165" s="18" t="s">
        <v>584</v>
      </c>
      <c r="D165" s="19" t="s">
        <v>585</v>
      </c>
      <c r="E165" s="18" t="s">
        <v>359</v>
      </c>
      <c r="F165" s="18" t="s">
        <v>26</v>
      </c>
      <c r="G165" s="18" t="s">
        <v>27</v>
      </c>
      <c r="H165" s="18" t="s">
        <v>86</v>
      </c>
      <c r="I165" s="20" t="s">
        <v>805</v>
      </c>
      <c r="J165" s="20" t="s">
        <v>161</v>
      </c>
      <c r="K165" s="20" t="s">
        <v>764</v>
      </c>
      <c r="L165" s="18" t="s">
        <v>586</v>
      </c>
      <c r="M165" s="18" t="s">
        <v>19</v>
      </c>
      <c r="N165" s="20" t="s">
        <v>764</v>
      </c>
      <c r="O165" s="15"/>
      <c r="P165" s="8"/>
      <c r="Q165" s="8"/>
    </row>
    <row r="166" spans="1:17" ht="69.75" customHeight="1" x14ac:dyDescent="0.2">
      <c r="A166" s="17">
        <v>46053.625312210643</v>
      </c>
      <c r="B166" s="18">
        <v>28218002769</v>
      </c>
      <c r="C166" s="18" t="s">
        <v>587</v>
      </c>
      <c r="D166" s="19" t="s">
        <v>203</v>
      </c>
      <c r="E166" s="18" t="s">
        <v>83</v>
      </c>
      <c r="F166" s="18" t="s">
        <v>26</v>
      </c>
      <c r="G166" s="18" t="s">
        <v>27</v>
      </c>
      <c r="H166" s="18" t="s">
        <v>21</v>
      </c>
      <c r="I166" s="20" t="s">
        <v>805</v>
      </c>
      <c r="J166" s="20" t="s">
        <v>22</v>
      </c>
      <c r="K166" s="20"/>
      <c r="L166" s="18" t="s">
        <v>56</v>
      </c>
      <c r="M166" s="18" t="s">
        <v>29</v>
      </c>
      <c r="N166" s="18" t="s">
        <v>588</v>
      </c>
      <c r="O166" s="15"/>
      <c r="P166" s="8"/>
      <c r="Q166" s="8"/>
    </row>
    <row r="167" spans="1:17" ht="69.75" customHeight="1" x14ac:dyDescent="0.2">
      <c r="A167" s="17">
        <v>46053.635310173609</v>
      </c>
      <c r="B167" s="18">
        <v>28218002544</v>
      </c>
      <c r="C167" s="18" t="s">
        <v>589</v>
      </c>
      <c r="D167" s="18" t="s">
        <v>590</v>
      </c>
      <c r="E167" s="18" t="s">
        <v>165</v>
      </c>
      <c r="F167" s="18" t="s">
        <v>26</v>
      </c>
      <c r="G167" s="18" t="s">
        <v>27</v>
      </c>
      <c r="H167" s="18" t="s">
        <v>70</v>
      </c>
      <c r="I167" s="20" t="s">
        <v>805</v>
      </c>
      <c r="J167" s="20" t="s">
        <v>22</v>
      </c>
      <c r="K167" s="20"/>
      <c r="L167" s="18" t="s">
        <v>591</v>
      </c>
      <c r="M167" s="18" t="s">
        <v>68</v>
      </c>
      <c r="N167" s="18" t="s">
        <v>592</v>
      </c>
      <c r="O167" s="15"/>
      <c r="P167" s="8"/>
      <c r="Q167" s="8"/>
    </row>
    <row r="168" spans="1:17" ht="69.75" customHeight="1" x14ac:dyDescent="0.2">
      <c r="A168" s="17">
        <v>46053.6385915625</v>
      </c>
      <c r="B168" s="18">
        <v>28208004207</v>
      </c>
      <c r="C168" s="18" t="s">
        <v>593</v>
      </c>
      <c r="D168" s="18" t="s">
        <v>594</v>
      </c>
      <c r="E168" s="18" t="s">
        <v>100</v>
      </c>
      <c r="F168" s="18" t="s">
        <v>26</v>
      </c>
      <c r="G168" s="18" t="s">
        <v>27</v>
      </c>
      <c r="H168" s="18" t="s">
        <v>70</v>
      </c>
      <c r="I168" s="20" t="s">
        <v>805</v>
      </c>
      <c r="J168" s="20" t="s">
        <v>22</v>
      </c>
      <c r="K168" s="20"/>
      <c r="L168" s="18" t="s">
        <v>112</v>
      </c>
      <c r="M168" s="18" t="s">
        <v>68</v>
      </c>
      <c r="N168" s="18" t="s">
        <v>595</v>
      </c>
      <c r="O168" s="15"/>
      <c r="P168" s="8"/>
      <c r="Q168" s="8"/>
    </row>
    <row r="169" spans="1:17" ht="69.75" customHeight="1" x14ac:dyDescent="0.2">
      <c r="A169" s="17">
        <v>46053.657019432867</v>
      </c>
      <c r="B169" s="18">
        <v>28208002909</v>
      </c>
      <c r="C169" s="18" t="s">
        <v>596</v>
      </c>
      <c r="D169" s="18" t="s">
        <v>597</v>
      </c>
      <c r="E169" s="18" t="s">
        <v>25</v>
      </c>
      <c r="F169" s="18" t="s">
        <v>26</v>
      </c>
      <c r="G169" s="18" t="s">
        <v>27</v>
      </c>
      <c r="H169" s="18" t="s">
        <v>70</v>
      </c>
      <c r="I169" s="20" t="s">
        <v>805</v>
      </c>
      <c r="J169" s="20" t="s">
        <v>22</v>
      </c>
      <c r="K169" s="20"/>
      <c r="L169" s="18" t="s">
        <v>252</v>
      </c>
      <c r="M169" s="18" t="s">
        <v>68</v>
      </c>
      <c r="N169" s="18" t="s">
        <v>598</v>
      </c>
      <c r="O169" s="15"/>
      <c r="P169" s="8"/>
      <c r="Q169" s="8"/>
    </row>
    <row r="170" spans="1:17" ht="69.75" customHeight="1" x14ac:dyDescent="0.2">
      <c r="A170" s="17">
        <v>46055.40639621528</v>
      </c>
      <c r="B170" s="18">
        <v>28208402533</v>
      </c>
      <c r="C170" s="18" t="s">
        <v>599</v>
      </c>
      <c r="D170" s="18" t="s">
        <v>600</v>
      </c>
      <c r="E170" s="18" t="s">
        <v>40</v>
      </c>
      <c r="F170" s="18" t="s">
        <v>26</v>
      </c>
      <c r="G170" s="18" t="s">
        <v>27</v>
      </c>
      <c r="H170" s="18" t="s">
        <v>139</v>
      </c>
      <c r="I170" s="20" t="s">
        <v>805</v>
      </c>
      <c r="J170" s="20" t="s">
        <v>22</v>
      </c>
      <c r="K170" s="20"/>
      <c r="L170" s="18" t="s">
        <v>601</v>
      </c>
      <c r="M170" s="18" t="s">
        <v>29</v>
      </c>
      <c r="N170" s="18" t="s">
        <v>602</v>
      </c>
      <c r="O170" s="15"/>
      <c r="P170" s="8"/>
      <c r="Q170" s="8"/>
    </row>
    <row r="171" spans="1:17" ht="69.75" customHeight="1" x14ac:dyDescent="0.2">
      <c r="A171" s="17">
        <v>46053.660767685185</v>
      </c>
      <c r="B171" s="18">
        <v>26212932260</v>
      </c>
      <c r="C171" s="18" t="s">
        <v>603</v>
      </c>
      <c r="D171" s="18" t="s">
        <v>604</v>
      </c>
      <c r="E171" s="18" t="s">
        <v>605</v>
      </c>
      <c r="F171" s="18" t="s">
        <v>16</v>
      </c>
      <c r="G171" s="18" t="s">
        <v>520</v>
      </c>
      <c r="H171" s="18" t="s">
        <v>139</v>
      </c>
      <c r="I171" s="20" t="s">
        <v>805</v>
      </c>
      <c r="J171" s="20" t="s">
        <v>22</v>
      </c>
      <c r="K171" s="20"/>
      <c r="L171" s="18" t="s">
        <v>181</v>
      </c>
      <c r="M171" s="18" t="s">
        <v>29</v>
      </c>
      <c r="N171" s="18" t="s">
        <v>796</v>
      </c>
      <c r="O171" s="15"/>
      <c r="P171" s="8"/>
      <c r="Q171" s="8"/>
    </row>
    <row r="172" spans="1:17" ht="69.75" customHeight="1" x14ac:dyDescent="0.2">
      <c r="A172" s="17">
        <v>46054.31069810185</v>
      </c>
      <c r="B172" s="18">
        <v>28218001735</v>
      </c>
      <c r="C172" s="18" t="s">
        <v>606</v>
      </c>
      <c r="D172" s="18" t="s">
        <v>607</v>
      </c>
      <c r="E172" s="18" t="s">
        <v>78</v>
      </c>
      <c r="F172" s="18" t="s">
        <v>16</v>
      </c>
      <c r="G172" s="18" t="s">
        <v>27</v>
      </c>
      <c r="H172" s="18" t="s">
        <v>53</v>
      </c>
      <c r="I172" s="20" t="s">
        <v>806</v>
      </c>
      <c r="J172" s="20" t="s">
        <v>22</v>
      </c>
      <c r="K172" s="20"/>
      <c r="L172" s="18" t="s">
        <v>96</v>
      </c>
      <c r="M172" s="18" t="s">
        <v>68</v>
      </c>
      <c r="N172" s="18" t="s">
        <v>608</v>
      </c>
      <c r="O172" s="15"/>
      <c r="P172" s="8"/>
      <c r="Q172" s="8"/>
    </row>
    <row r="173" spans="1:17" ht="69.75" customHeight="1" x14ac:dyDescent="0.2">
      <c r="A173" s="17">
        <v>46053.689767256947</v>
      </c>
      <c r="B173" s="18">
        <v>28206535441</v>
      </c>
      <c r="C173" s="18" t="s">
        <v>609</v>
      </c>
      <c r="D173" s="18" t="s">
        <v>610</v>
      </c>
      <c r="E173" s="18" t="s">
        <v>299</v>
      </c>
      <c r="F173" s="18" t="s">
        <v>26</v>
      </c>
      <c r="G173" s="18" t="s">
        <v>27</v>
      </c>
      <c r="H173" s="18" t="s">
        <v>106</v>
      </c>
      <c r="I173" s="20" t="s">
        <v>805</v>
      </c>
      <c r="J173" s="20" t="s">
        <v>22</v>
      </c>
      <c r="K173" s="20"/>
      <c r="L173" s="18" t="s">
        <v>611</v>
      </c>
      <c r="M173" s="18" t="s">
        <v>29</v>
      </c>
      <c r="N173" s="18" t="s">
        <v>612</v>
      </c>
      <c r="O173" s="15"/>
      <c r="P173" s="8"/>
      <c r="Q173" s="8"/>
    </row>
    <row r="174" spans="1:17" ht="69.75" customHeight="1" x14ac:dyDescent="0.2">
      <c r="A174" s="17">
        <v>46053.735199351853</v>
      </c>
      <c r="B174" s="18">
        <v>28208000372</v>
      </c>
      <c r="C174" s="18" t="s">
        <v>613</v>
      </c>
      <c r="D174" s="19" t="s">
        <v>614</v>
      </c>
      <c r="E174" s="18" t="s">
        <v>100</v>
      </c>
      <c r="F174" s="18" t="s">
        <v>26</v>
      </c>
      <c r="G174" s="18" t="s">
        <v>27</v>
      </c>
      <c r="H174" s="18" t="s">
        <v>139</v>
      </c>
      <c r="I174" s="20" t="s">
        <v>805</v>
      </c>
      <c r="J174" s="20" t="s">
        <v>22</v>
      </c>
      <c r="K174" s="20"/>
      <c r="L174" s="18" t="s">
        <v>148</v>
      </c>
      <c r="M174" s="18" t="s">
        <v>29</v>
      </c>
      <c r="N174" s="18" t="s">
        <v>615</v>
      </c>
      <c r="O174" s="15"/>
      <c r="P174" s="8"/>
      <c r="Q174" s="8"/>
    </row>
    <row r="175" spans="1:17" ht="69.75" customHeight="1" x14ac:dyDescent="0.2">
      <c r="A175" s="17">
        <v>46055.401677847221</v>
      </c>
      <c r="B175" s="18">
        <v>28208321233</v>
      </c>
      <c r="C175" s="18" t="s">
        <v>616</v>
      </c>
      <c r="D175" s="19" t="s">
        <v>617</v>
      </c>
      <c r="E175" s="18" t="s">
        <v>618</v>
      </c>
      <c r="F175" s="18" t="s">
        <v>158</v>
      </c>
      <c r="G175" s="18" t="s">
        <v>27</v>
      </c>
      <c r="H175" s="18" t="s">
        <v>120</v>
      </c>
      <c r="I175" s="20" t="s">
        <v>806</v>
      </c>
      <c r="J175" s="20" t="s">
        <v>22</v>
      </c>
      <c r="K175" s="20"/>
      <c r="L175" s="18" t="s">
        <v>159</v>
      </c>
      <c r="M175" s="18" t="s">
        <v>29</v>
      </c>
      <c r="N175" s="18" t="s">
        <v>619</v>
      </c>
      <c r="O175" s="15"/>
      <c r="P175" s="8"/>
      <c r="Q175" s="8"/>
    </row>
    <row r="176" spans="1:17" ht="69.75" customHeight="1" x14ac:dyDescent="0.2">
      <c r="A176" s="17">
        <v>46053.737974641204</v>
      </c>
      <c r="B176" s="18">
        <v>28218045260</v>
      </c>
      <c r="C176" s="18" t="s">
        <v>620</v>
      </c>
      <c r="D176" s="18" t="s">
        <v>621</v>
      </c>
      <c r="E176" s="18" t="s">
        <v>40</v>
      </c>
      <c r="F176" s="18" t="s">
        <v>26</v>
      </c>
      <c r="G176" s="18" t="s">
        <v>27</v>
      </c>
      <c r="H176" s="18" t="s">
        <v>139</v>
      </c>
      <c r="I176" s="20" t="s">
        <v>805</v>
      </c>
      <c r="J176" s="20" t="s">
        <v>22</v>
      </c>
      <c r="K176" s="20"/>
      <c r="L176" s="18" t="s">
        <v>622</v>
      </c>
      <c r="M176" s="18" t="s">
        <v>153</v>
      </c>
      <c r="N176" s="18" t="s">
        <v>623</v>
      </c>
      <c r="O176" s="15"/>
      <c r="P176" s="8"/>
      <c r="Q176" s="8"/>
    </row>
    <row r="177" spans="1:17" ht="69.75" customHeight="1" x14ac:dyDescent="0.2">
      <c r="A177" s="17">
        <v>46053.754470034721</v>
      </c>
      <c r="B177" s="18">
        <v>28208020522</v>
      </c>
      <c r="C177" s="18" t="s">
        <v>624</v>
      </c>
      <c r="D177" s="18" t="s">
        <v>625</v>
      </c>
      <c r="E177" s="18" t="s">
        <v>25</v>
      </c>
      <c r="F177" s="18" t="s">
        <v>26</v>
      </c>
      <c r="G177" s="18" t="s">
        <v>27</v>
      </c>
      <c r="H177" s="18" t="s">
        <v>106</v>
      </c>
      <c r="I177" s="20" t="s">
        <v>805</v>
      </c>
      <c r="J177" s="20" t="s">
        <v>22</v>
      </c>
      <c r="K177" s="20"/>
      <c r="L177" s="18" t="s">
        <v>252</v>
      </c>
      <c r="M177" s="18" t="s">
        <v>29</v>
      </c>
      <c r="N177" s="18" t="s">
        <v>626</v>
      </c>
      <c r="O177" s="15"/>
      <c r="P177" s="8"/>
      <c r="Q177" s="8"/>
    </row>
    <row r="178" spans="1:17" s="25" customFormat="1" ht="69.75" customHeight="1" x14ac:dyDescent="0.2">
      <c r="A178" s="21">
        <v>46055.564484780094</v>
      </c>
      <c r="B178" s="22">
        <v>28208105595</v>
      </c>
      <c r="C178" s="22" t="s">
        <v>627</v>
      </c>
      <c r="D178" s="22" t="s">
        <v>628</v>
      </c>
      <c r="E178" s="22" t="s">
        <v>83</v>
      </c>
      <c r="F178" s="22" t="s">
        <v>26</v>
      </c>
      <c r="G178" s="22" t="s">
        <v>27</v>
      </c>
      <c r="H178" s="22" t="s">
        <v>37</v>
      </c>
      <c r="I178" s="22" t="s">
        <v>805</v>
      </c>
      <c r="J178" s="22" t="s">
        <v>174</v>
      </c>
      <c r="K178" s="22" t="s">
        <v>773</v>
      </c>
      <c r="L178" s="22" t="s">
        <v>279</v>
      </c>
      <c r="M178" s="22" t="s">
        <v>29</v>
      </c>
      <c r="N178" s="22"/>
      <c r="O178" s="33"/>
      <c r="P178" s="24"/>
      <c r="Q178" s="24"/>
    </row>
    <row r="179" spans="1:17" ht="69.75" customHeight="1" x14ac:dyDescent="0.2">
      <c r="A179" s="17">
        <v>46053.791353969908</v>
      </c>
      <c r="B179" s="18">
        <v>28206841890</v>
      </c>
      <c r="C179" s="18" t="s">
        <v>629</v>
      </c>
      <c r="D179" s="19" t="s">
        <v>630</v>
      </c>
      <c r="E179" s="18" t="s">
        <v>34</v>
      </c>
      <c r="F179" s="18" t="s">
        <v>26</v>
      </c>
      <c r="G179" s="18" t="s">
        <v>27</v>
      </c>
      <c r="H179" s="18" t="s">
        <v>37</v>
      </c>
      <c r="I179" s="20" t="s">
        <v>805</v>
      </c>
      <c r="J179" s="20" t="s">
        <v>22</v>
      </c>
      <c r="K179" s="20"/>
      <c r="L179" s="18" t="s">
        <v>550</v>
      </c>
      <c r="M179" s="18" t="s">
        <v>29</v>
      </c>
      <c r="N179" s="18" t="s">
        <v>631</v>
      </c>
      <c r="O179" s="15"/>
      <c r="P179" s="8"/>
      <c r="Q179" s="8"/>
    </row>
    <row r="180" spans="1:17" ht="69.75" customHeight="1" x14ac:dyDescent="0.2">
      <c r="A180" s="17">
        <v>46053.797405694444</v>
      </c>
      <c r="B180" s="18">
        <v>25217102936</v>
      </c>
      <c r="C180" s="18" t="s">
        <v>632</v>
      </c>
      <c r="D180" s="18" t="s">
        <v>633</v>
      </c>
      <c r="E180" s="18" t="s">
        <v>634</v>
      </c>
      <c r="F180" s="18" t="s">
        <v>26</v>
      </c>
      <c r="G180" s="18" t="s">
        <v>520</v>
      </c>
      <c r="H180" s="18" t="s">
        <v>37</v>
      </c>
      <c r="I180" s="20" t="s">
        <v>805</v>
      </c>
      <c r="J180" s="20" t="s">
        <v>22</v>
      </c>
      <c r="K180" s="20"/>
      <c r="L180" s="18" t="s">
        <v>635</v>
      </c>
      <c r="M180" s="18" t="s">
        <v>29</v>
      </c>
      <c r="N180" s="18" t="s">
        <v>636</v>
      </c>
      <c r="O180" s="15"/>
      <c r="P180" s="8"/>
      <c r="Q180" s="8"/>
    </row>
    <row r="181" spans="1:17" ht="69.75" customHeight="1" x14ac:dyDescent="0.2">
      <c r="A181" s="17">
        <v>46054.540719988421</v>
      </c>
      <c r="B181" s="18">
        <v>28208148475</v>
      </c>
      <c r="C181" s="18" t="s">
        <v>637</v>
      </c>
      <c r="D181" s="18" t="s">
        <v>236</v>
      </c>
      <c r="E181" s="18" t="s">
        <v>25</v>
      </c>
      <c r="F181" s="18" t="s">
        <v>26</v>
      </c>
      <c r="G181" s="18" t="s">
        <v>27</v>
      </c>
      <c r="H181" s="18" t="s">
        <v>53</v>
      </c>
      <c r="I181" s="20" t="s">
        <v>806</v>
      </c>
      <c r="J181" s="20" t="s">
        <v>22</v>
      </c>
      <c r="K181" s="20"/>
      <c r="L181" s="18" t="s">
        <v>638</v>
      </c>
      <c r="M181" s="18" t="s">
        <v>68</v>
      </c>
      <c r="N181" s="18" t="s">
        <v>639</v>
      </c>
      <c r="O181" s="15"/>
      <c r="P181" s="8"/>
      <c r="Q181" s="8"/>
    </row>
    <row r="182" spans="1:17" ht="69.75" customHeight="1" x14ac:dyDescent="0.2">
      <c r="A182" s="17">
        <v>46053.815939687498</v>
      </c>
      <c r="B182" s="18">
        <v>28206546317</v>
      </c>
      <c r="C182" s="18" t="s">
        <v>640</v>
      </c>
      <c r="D182" s="18" t="s">
        <v>641</v>
      </c>
      <c r="E182" s="18" t="s">
        <v>169</v>
      </c>
      <c r="F182" s="18" t="s">
        <v>26</v>
      </c>
      <c r="G182" s="18" t="s">
        <v>27</v>
      </c>
      <c r="H182" s="18" t="s">
        <v>106</v>
      </c>
      <c r="I182" s="20" t="s">
        <v>805</v>
      </c>
      <c r="J182" s="20" t="s">
        <v>768</v>
      </c>
      <c r="K182" s="18" t="s">
        <v>798</v>
      </c>
      <c r="L182" s="18" t="s">
        <v>35</v>
      </c>
      <c r="M182" s="18" t="s">
        <v>19</v>
      </c>
      <c r="N182" s="18" t="s">
        <v>798</v>
      </c>
      <c r="O182" s="15"/>
      <c r="P182" s="8"/>
      <c r="Q182" s="8"/>
    </row>
    <row r="183" spans="1:17" ht="69.75" customHeight="1" x14ac:dyDescent="0.2">
      <c r="A183" s="17">
        <v>46053.828485208331</v>
      </c>
      <c r="B183" s="18">
        <v>28218046280</v>
      </c>
      <c r="C183" s="18" t="s">
        <v>642</v>
      </c>
      <c r="D183" s="19" t="s">
        <v>111</v>
      </c>
      <c r="E183" s="18" t="s">
        <v>165</v>
      </c>
      <c r="F183" s="18" t="s">
        <v>26</v>
      </c>
      <c r="G183" s="18" t="s">
        <v>27</v>
      </c>
      <c r="H183" s="18" t="s">
        <v>37</v>
      </c>
      <c r="I183" s="20" t="s">
        <v>805</v>
      </c>
      <c r="J183" s="20" t="s">
        <v>22</v>
      </c>
      <c r="K183" s="20"/>
      <c r="L183" s="18" t="s">
        <v>643</v>
      </c>
      <c r="M183" s="18" t="s">
        <v>29</v>
      </c>
      <c r="N183" s="18" t="s">
        <v>644</v>
      </c>
      <c r="O183" s="15"/>
      <c r="P183" s="8"/>
      <c r="Q183" s="8"/>
    </row>
    <row r="184" spans="1:17" ht="69.75" customHeight="1" x14ac:dyDescent="0.2">
      <c r="A184" s="17">
        <v>46053.825928969905</v>
      </c>
      <c r="B184" s="18">
        <v>24217104921</v>
      </c>
      <c r="C184" s="18" t="s">
        <v>645</v>
      </c>
      <c r="D184" s="18" t="s">
        <v>646</v>
      </c>
      <c r="E184" s="18" t="s">
        <v>647</v>
      </c>
      <c r="F184" s="18" t="s">
        <v>26</v>
      </c>
      <c r="G184" s="18" t="s">
        <v>17</v>
      </c>
      <c r="H184" s="18" t="s">
        <v>37</v>
      </c>
      <c r="I184" s="20" t="s">
        <v>805</v>
      </c>
      <c r="J184" s="20" t="s">
        <v>22</v>
      </c>
      <c r="K184" s="20"/>
      <c r="L184" s="18" t="s">
        <v>643</v>
      </c>
      <c r="M184" s="18" t="s">
        <v>29</v>
      </c>
      <c r="N184" s="18" t="s">
        <v>648</v>
      </c>
      <c r="O184" s="15"/>
      <c r="P184" s="8"/>
      <c r="Q184" s="8"/>
    </row>
    <row r="185" spans="1:17" ht="69.75" customHeight="1" x14ac:dyDescent="0.2">
      <c r="A185" s="17">
        <v>46053.82828238426</v>
      </c>
      <c r="B185" s="18">
        <v>28208052913</v>
      </c>
      <c r="C185" s="18" t="s">
        <v>649</v>
      </c>
      <c r="D185" s="18" t="s">
        <v>650</v>
      </c>
      <c r="E185" s="18" t="s">
        <v>34</v>
      </c>
      <c r="F185" s="18" t="s">
        <v>26</v>
      </c>
      <c r="G185" s="18" t="s">
        <v>27</v>
      </c>
      <c r="H185" s="18" t="s">
        <v>37</v>
      </c>
      <c r="I185" s="20" t="s">
        <v>805</v>
      </c>
      <c r="J185" s="20" t="s">
        <v>22</v>
      </c>
      <c r="K185" s="20"/>
      <c r="L185" s="18" t="s">
        <v>279</v>
      </c>
      <c r="M185" s="18" t="s">
        <v>29</v>
      </c>
      <c r="N185" s="18" t="s">
        <v>651</v>
      </c>
      <c r="O185" s="15"/>
      <c r="P185" s="8"/>
      <c r="Q185" s="8"/>
    </row>
    <row r="186" spans="1:17" ht="69.75" customHeight="1" x14ac:dyDescent="0.2">
      <c r="A186" s="17">
        <v>46053.839033587967</v>
      </c>
      <c r="B186" s="18">
        <v>28208005640</v>
      </c>
      <c r="C186" s="18" t="s">
        <v>652</v>
      </c>
      <c r="D186" s="18" t="s">
        <v>653</v>
      </c>
      <c r="E186" s="18" t="s">
        <v>165</v>
      </c>
      <c r="F186" s="18" t="s">
        <v>26</v>
      </c>
      <c r="G186" s="18" t="s">
        <v>27</v>
      </c>
      <c r="H186" s="18" t="s">
        <v>37</v>
      </c>
      <c r="I186" s="20" t="s">
        <v>805</v>
      </c>
      <c r="J186" s="20" t="s">
        <v>22</v>
      </c>
      <c r="K186" s="20"/>
      <c r="L186" s="18" t="s">
        <v>643</v>
      </c>
      <c r="M186" s="18" t="s">
        <v>29</v>
      </c>
      <c r="N186" s="18" t="s">
        <v>654</v>
      </c>
      <c r="O186" s="15"/>
      <c r="P186" s="8"/>
      <c r="Q186" s="8"/>
    </row>
    <row r="187" spans="1:17" ht="69.75" customHeight="1" x14ac:dyDescent="0.2">
      <c r="A187" s="17">
        <v>46053.884457222222</v>
      </c>
      <c r="B187" s="18">
        <v>28208004373</v>
      </c>
      <c r="C187" s="18" t="s">
        <v>655</v>
      </c>
      <c r="D187" s="18" t="s">
        <v>656</v>
      </c>
      <c r="E187" s="18" t="s">
        <v>40</v>
      </c>
      <c r="F187" s="18" t="s">
        <v>26</v>
      </c>
      <c r="G187" s="18" t="s">
        <v>27</v>
      </c>
      <c r="H187" s="18" t="s">
        <v>31</v>
      </c>
      <c r="I187" s="20" t="s">
        <v>805</v>
      </c>
      <c r="J187" s="20" t="s">
        <v>22</v>
      </c>
      <c r="K187" s="20"/>
      <c r="L187" s="18" t="s">
        <v>657</v>
      </c>
      <c r="M187" s="18" t="s">
        <v>29</v>
      </c>
      <c r="N187" s="18" t="s">
        <v>658</v>
      </c>
      <c r="O187" s="15"/>
      <c r="P187" s="8"/>
      <c r="Q187" s="8"/>
    </row>
    <row r="188" spans="1:17" ht="69.75" customHeight="1" x14ac:dyDescent="0.2">
      <c r="A188" s="17">
        <v>46055.709863530094</v>
      </c>
      <c r="B188" s="18">
        <v>26217134132</v>
      </c>
      <c r="C188" s="18" t="s">
        <v>659</v>
      </c>
      <c r="D188" s="18" t="s">
        <v>660</v>
      </c>
      <c r="E188" s="18" t="s">
        <v>661</v>
      </c>
      <c r="F188" s="18" t="s">
        <v>26</v>
      </c>
      <c r="G188" s="18" t="s">
        <v>520</v>
      </c>
      <c r="H188" s="18" t="s">
        <v>139</v>
      </c>
      <c r="I188" s="20" t="s">
        <v>805</v>
      </c>
      <c r="J188" s="20" t="s">
        <v>22</v>
      </c>
      <c r="K188" s="20"/>
      <c r="L188" s="18" t="s">
        <v>601</v>
      </c>
      <c r="M188" s="18" t="s">
        <v>29</v>
      </c>
      <c r="N188" s="18" t="s">
        <v>780</v>
      </c>
      <c r="O188" s="15"/>
      <c r="P188" s="8"/>
      <c r="Q188" s="8"/>
    </row>
    <row r="189" spans="1:17" ht="69.75" customHeight="1" x14ac:dyDescent="0.2">
      <c r="A189" s="17">
        <v>46053.974863842595</v>
      </c>
      <c r="B189" s="18">
        <v>28208303439</v>
      </c>
      <c r="C189" s="18" t="s">
        <v>662</v>
      </c>
      <c r="D189" s="18" t="s">
        <v>663</v>
      </c>
      <c r="E189" s="18" t="s">
        <v>157</v>
      </c>
      <c r="F189" s="18" t="s">
        <v>158</v>
      </c>
      <c r="G189" s="18" t="s">
        <v>27</v>
      </c>
      <c r="H189" s="18" t="s">
        <v>160</v>
      </c>
      <c r="I189" s="20" t="s">
        <v>806</v>
      </c>
      <c r="J189" s="20" t="s">
        <v>22</v>
      </c>
      <c r="K189" s="20"/>
      <c r="L189" s="18" t="s">
        <v>181</v>
      </c>
      <c r="M189" s="18" t="s">
        <v>29</v>
      </c>
      <c r="N189" s="18" t="s">
        <v>664</v>
      </c>
      <c r="O189" s="15"/>
      <c r="P189" s="8"/>
      <c r="Q189" s="8"/>
    </row>
    <row r="190" spans="1:17" ht="69.75" customHeight="1" x14ac:dyDescent="0.2">
      <c r="A190" s="17">
        <v>46055.64782726852</v>
      </c>
      <c r="B190" s="18">
        <v>26217130366</v>
      </c>
      <c r="C190" s="18" t="s">
        <v>665</v>
      </c>
      <c r="D190" s="18" t="s">
        <v>666</v>
      </c>
      <c r="E190" s="18" t="s">
        <v>667</v>
      </c>
      <c r="F190" s="18" t="s">
        <v>16</v>
      </c>
      <c r="G190" s="18" t="s">
        <v>520</v>
      </c>
      <c r="H190" s="18" t="s">
        <v>31</v>
      </c>
      <c r="I190" s="20" t="s">
        <v>805</v>
      </c>
      <c r="J190" s="20" t="s">
        <v>22</v>
      </c>
      <c r="K190" s="20"/>
      <c r="L190" s="18" t="s">
        <v>96</v>
      </c>
      <c r="M190" s="18" t="s">
        <v>29</v>
      </c>
      <c r="N190" s="18" t="s">
        <v>668</v>
      </c>
      <c r="O190" s="15"/>
      <c r="P190" s="8"/>
      <c r="Q190" s="8"/>
    </row>
    <row r="191" spans="1:17" ht="69.75" customHeight="1" x14ac:dyDescent="0.2">
      <c r="A191" s="17">
        <v>46054.380846608794</v>
      </c>
      <c r="B191" s="18">
        <v>28208006569</v>
      </c>
      <c r="C191" s="18" t="s">
        <v>669</v>
      </c>
      <c r="D191" s="18" t="s">
        <v>621</v>
      </c>
      <c r="E191" s="18" t="s">
        <v>123</v>
      </c>
      <c r="F191" s="18" t="s">
        <v>26</v>
      </c>
      <c r="G191" s="18" t="s">
        <v>27</v>
      </c>
      <c r="H191" s="18" t="s">
        <v>75</v>
      </c>
      <c r="I191" s="20" t="s">
        <v>805</v>
      </c>
      <c r="J191" s="20" t="s">
        <v>22</v>
      </c>
      <c r="K191" s="20"/>
      <c r="L191" s="18" t="s">
        <v>41</v>
      </c>
      <c r="M191" s="18" t="s">
        <v>68</v>
      </c>
      <c r="N191" s="18" t="s">
        <v>670</v>
      </c>
      <c r="O191" s="15"/>
      <c r="P191" s="8"/>
      <c r="Q191" s="8"/>
    </row>
    <row r="192" spans="1:17" ht="69.75" customHeight="1" x14ac:dyDescent="0.2">
      <c r="A192" s="17">
        <v>46054.481552372687</v>
      </c>
      <c r="B192" s="18">
        <v>28208000084</v>
      </c>
      <c r="C192" s="18" t="s">
        <v>671</v>
      </c>
      <c r="D192" s="18" t="s">
        <v>481</v>
      </c>
      <c r="E192" s="18" t="s">
        <v>180</v>
      </c>
      <c r="F192" s="18" t="s">
        <v>26</v>
      </c>
      <c r="G192" s="18" t="s">
        <v>27</v>
      </c>
      <c r="H192" s="18" t="s">
        <v>37</v>
      </c>
      <c r="I192" s="20" t="s">
        <v>805</v>
      </c>
      <c r="J192" s="20" t="s">
        <v>22</v>
      </c>
      <c r="K192" s="20"/>
      <c r="L192" s="18" t="s">
        <v>360</v>
      </c>
      <c r="M192" s="18" t="s">
        <v>29</v>
      </c>
      <c r="N192" s="18" t="s">
        <v>672</v>
      </c>
      <c r="O192" s="15"/>
      <c r="P192" s="8"/>
      <c r="Q192" s="8"/>
    </row>
    <row r="193" spans="1:17" ht="69.75" customHeight="1" x14ac:dyDescent="0.2">
      <c r="A193" s="17">
        <v>46054.482471192125</v>
      </c>
      <c r="B193" s="18">
        <v>28208140048</v>
      </c>
      <c r="C193" s="18" t="s">
        <v>673</v>
      </c>
      <c r="D193" s="18" t="s">
        <v>674</v>
      </c>
      <c r="E193" s="18" t="s">
        <v>189</v>
      </c>
      <c r="F193" s="18" t="s">
        <v>26</v>
      </c>
      <c r="G193" s="18" t="s">
        <v>27</v>
      </c>
      <c r="H193" s="18" t="s">
        <v>37</v>
      </c>
      <c r="I193" s="20" t="s">
        <v>805</v>
      </c>
      <c r="J193" s="20" t="s">
        <v>22</v>
      </c>
      <c r="K193" s="20"/>
      <c r="L193" s="18" t="s">
        <v>360</v>
      </c>
      <c r="M193" s="18" t="s">
        <v>29</v>
      </c>
      <c r="N193" s="18" t="s">
        <v>675</v>
      </c>
      <c r="O193" s="15"/>
      <c r="P193" s="8"/>
      <c r="Q193" s="8"/>
    </row>
    <row r="194" spans="1:17" ht="69.75" customHeight="1" x14ac:dyDescent="0.2">
      <c r="A194" s="17">
        <v>46054.494077870375</v>
      </c>
      <c r="B194" s="18">
        <v>28208100741</v>
      </c>
      <c r="C194" s="18" t="s">
        <v>676</v>
      </c>
      <c r="D194" s="18" t="s">
        <v>677</v>
      </c>
      <c r="E194" s="18" t="s">
        <v>34</v>
      </c>
      <c r="F194" s="18" t="s">
        <v>26</v>
      </c>
      <c r="G194" s="18" t="s">
        <v>27</v>
      </c>
      <c r="H194" s="18" t="s">
        <v>37</v>
      </c>
      <c r="I194" s="20" t="s">
        <v>805</v>
      </c>
      <c r="J194" s="20" t="s">
        <v>22</v>
      </c>
      <c r="K194" s="20"/>
      <c r="L194" s="18" t="s">
        <v>360</v>
      </c>
      <c r="M194" s="18" t="s">
        <v>29</v>
      </c>
      <c r="N194" s="18" t="s">
        <v>678</v>
      </c>
      <c r="O194" s="15"/>
      <c r="P194" s="8"/>
      <c r="Q194" s="8"/>
    </row>
    <row r="195" spans="1:17" ht="69.75" customHeight="1" x14ac:dyDescent="0.2">
      <c r="A195" s="17">
        <v>46054.558175439815</v>
      </c>
      <c r="B195" s="18">
        <v>28218054700</v>
      </c>
      <c r="C195" s="18" t="s">
        <v>679</v>
      </c>
      <c r="D195" s="18" t="s">
        <v>680</v>
      </c>
      <c r="E195" s="18" t="s">
        <v>681</v>
      </c>
      <c r="F195" s="18" t="s">
        <v>26</v>
      </c>
      <c r="G195" s="18" t="s">
        <v>27</v>
      </c>
      <c r="H195" s="18" t="s">
        <v>21</v>
      </c>
      <c r="I195" s="20" t="s">
        <v>805</v>
      </c>
      <c r="J195" s="20" t="s">
        <v>22</v>
      </c>
      <c r="K195" s="20"/>
      <c r="L195" s="18" t="s">
        <v>56</v>
      </c>
      <c r="M195" s="18" t="s">
        <v>29</v>
      </c>
      <c r="N195" s="18" t="s">
        <v>682</v>
      </c>
      <c r="O195" s="15"/>
      <c r="P195" s="8"/>
      <c r="Q195" s="8"/>
    </row>
    <row r="196" spans="1:17" ht="69.75" customHeight="1" x14ac:dyDescent="0.2">
      <c r="A196" s="17">
        <v>46054.564196354171</v>
      </c>
      <c r="B196" s="18">
        <v>28218003890</v>
      </c>
      <c r="C196" s="18" t="s">
        <v>683</v>
      </c>
      <c r="D196" s="18" t="s">
        <v>684</v>
      </c>
      <c r="E196" s="18" t="s">
        <v>83</v>
      </c>
      <c r="F196" s="18" t="s">
        <v>26</v>
      </c>
      <c r="G196" s="18" t="s">
        <v>27</v>
      </c>
      <c r="H196" s="18" t="s">
        <v>21</v>
      </c>
      <c r="I196" s="20" t="s">
        <v>805</v>
      </c>
      <c r="J196" s="20" t="s">
        <v>22</v>
      </c>
      <c r="K196" s="20"/>
      <c r="L196" s="18" t="s">
        <v>56</v>
      </c>
      <c r="M196" s="18" t="s">
        <v>29</v>
      </c>
      <c r="N196" s="18" t="s">
        <v>685</v>
      </c>
      <c r="O196" s="15"/>
      <c r="P196" s="8"/>
      <c r="Q196" s="8"/>
    </row>
    <row r="197" spans="1:17" ht="69.75" customHeight="1" x14ac:dyDescent="0.2">
      <c r="A197" s="17">
        <v>46054.614438761579</v>
      </c>
      <c r="B197" s="18">
        <v>28204604095</v>
      </c>
      <c r="C197" s="18" t="s">
        <v>686</v>
      </c>
      <c r="D197" s="19" t="s">
        <v>687</v>
      </c>
      <c r="E197" s="18" t="s">
        <v>189</v>
      </c>
      <c r="F197" s="18" t="s">
        <v>26</v>
      </c>
      <c r="G197" s="18" t="s">
        <v>27</v>
      </c>
      <c r="H197" s="18" t="s">
        <v>21</v>
      </c>
      <c r="I197" s="20" t="s">
        <v>805</v>
      </c>
      <c r="J197" s="20" t="s">
        <v>22</v>
      </c>
      <c r="K197" s="20"/>
      <c r="L197" s="18" t="s">
        <v>424</v>
      </c>
      <c r="M197" s="18" t="s">
        <v>29</v>
      </c>
      <c r="N197" s="18" t="s">
        <v>688</v>
      </c>
      <c r="O197" s="15"/>
      <c r="P197" s="8"/>
      <c r="Q197" s="8"/>
    </row>
    <row r="198" spans="1:17" ht="69.75" customHeight="1" x14ac:dyDescent="0.2">
      <c r="A198" s="17">
        <v>46054.676956030089</v>
      </c>
      <c r="B198" s="18">
        <v>28206254569</v>
      </c>
      <c r="C198" s="18" t="s">
        <v>689</v>
      </c>
      <c r="D198" s="18" t="s">
        <v>690</v>
      </c>
      <c r="E198" s="18" t="s">
        <v>78</v>
      </c>
      <c r="F198" s="18" t="s">
        <v>16</v>
      </c>
      <c r="G198" s="18" t="s">
        <v>27</v>
      </c>
      <c r="H198" s="18" t="s">
        <v>75</v>
      </c>
      <c r="I198" s="20" t="s">
        <v>805</v>
      </c>
      <c r="J198" s="20" t="s">
        <v>22</v>
      </c>
      <c r="K198" s="20"/>
      <c r="L198" s="18" t="s">
        <v>207</v>
      </c>
      <c r="M198" s="18" t="s">
        <v>68</v>
      </c>
      <c r="N198" s="18" t="s">
        <v>691</v>
      </c>
      <c r="O198" s="15"/>
      <c r="P198" s="8"/>
      <c r="Q198" s="8"/>
    </row>
    <row r="199" spans="1:17" ht="69.75" customHeight="1" x14ac:dyDescent="0.2">
      <c r="A199" s="17">
        <v>46054.687073611116</v>
      </c>
      <c r="B199" s="18">
        <v>27207139637</v>
      </c>
      <c r="C199" s="18" t="s">
        <v>692</v>
      </c>
      <c r="D199" s="18" t="s">
        <v>693</v>
      </c>
      <c r="E199" s="18" t="s">
        <v>40</v>
      </c>
      <c r="F199" s="18" t="s">
        <v>26</v>
      </c>
      <c r="G199" s="18" t="s">
        <v>27</v>
      </c>
      <c r="H199" s="18" t="s">
        <v>31</v>
      </c>
      <c r="I199" s="20" t="s">
        <v>805</v>
      </c>
      <c r="J199" s="20" t="s">
        <v>22</v>
      </c>
      <c r="K199" s="20"/>
      <c r="L199" s="18" t="s">
        <v>781</v>
      </c>
      <c r="M199" s="18" t="s">
        <v>29</v>
      </c>
      <c r="N199" s="18" t="s">
        <v>694</v>
      </c>
      <c r="O199" s="15"/>
      <c r="P199" s="8"/>
      <c r="Q199" s="8"/>
    </row>
    <row r="200" spans="1:17" ht="69.75" customHeight="1" x14ac:dyDescent="0.2">
      <c r="A200" s="17">
        <v>46054.734475532408</v>
      </c>
      <c r="B200" s="18">
        <v>28208004114</v>
      </c>
      <c r="C200" s="18" t="s">
        <v>695</v>
      </c>
      <c r="D200" s="18" t="s">
        <v>696</v>
      </c>
      <c r="E200" s="18" t="s">
        <v>180</v>
      </c>
      <c r="F200" s="18" t="s">
        <v>26</v>
      </c>
      <c r="G200" s="18" t="s">
        <v>27</v>
      </c>
      <c r="H200" s="18" t="s">
        <v>37</v>
      </c>
      <c r="I200" s="20" t="s">
        <v>805</v>
      </c>
      <c r="J200" s="20" t="s">
        <v>22</v>
      </c>
      <c r="K200" s="20"/>
      <c r="L200" s="18" t="s">
        <v>360</v>
      </c>
      <c r="M200" s="18" t="s">
        <v>29</v>
      </c>
      <c r="N200" s="18" t="s">
        <v>697</v>
      </c>
      <c r="O200" s="15"/>
      <c r="P200" s="8"/>
      <c r="Q200" s="8"/>
    </row>
    <row r="201" spans="1:17" ht="69.75" customHeight="1" x14ac:dyDescent="0.2">
      <c r="A201" s="17">
        <v>46054.998539247681</v>
      </c>
      <c r="B201" s="18">
        <v>28218004763</v>
      </c>
      <c r="C201" s="18" t="s">
        <v>698</v>
      </c>
      <c r="D201" s="18" t="s">
        <v>699</v>
      </c>
      <c r="E201" s="18" t="s">
        <v>700</v>
      </c>
      <c r="F201" s="18" t="s">
        <v>26</v>
      </c>
      <c r="G201" s="18" t="s">
        <v>27</v>
      </c>
      <c r="H201" s="18" t="s">
        <v>491</v>
      </c>
      <c r="I201" s="20" t="s">
        <v>805</v>
      </c>
      <c r="J201" s="20" t="s">
        <v>22</v>
      </c>
      <c r="K201" s="20"/>
      <c r="L201" s="18" t="s">
        <v>701</v>
      </c>
      <c r="M201" s="18" t="s">
        <v>702</v>
      </c>
      <c r="N201" s="18" t="s">
        <v>797</v>
      </c>
      <c r="O201" s="15"/>
      <c r="P201" s="8"/>
      <c r="Q201" s="8"/>
    </row>
    <row r="202" spans="1:17" ht="69.75" customHeight="1" x14ac:dyDescent="0.2">
      <c r="A202" s="17">
        <v>46054.874451354168</v>
      </c>
      <c r="B202" s="18">
        <v>28208053626</v>
      </c>
      <c r="C202" s="18" t="s">
        <v>703</v>
      </c>
      <c r="D202" s="19" t="s">
        <v>213</v>
      </c>
      <c r="E202" s="18" t="s">
        <v>123</v>
      </c>
      <c r="F202" s="18" t="s">
        <v>26</v>
      </c>
      <c r="G202" s="18" t="s">
        <v>27</v>
      </c>
      <c r="H202" s="18" t="s">
        <v>75</v>
      </c>
      <c r="I202" s="20" t="s">
        <v>805</v>
      </c>
      <c r="J202" s="20" t="s">
        <v>22</v>
      </c>
      <c r="K202" s="20"/>
      <c r="L202" s="18" t="s">
        <v>63</v>
      </c>
      <c r="M202" s="18" t="s">
        <v>68</v>
      </c>
      <c r="N202" s="18" t="s">
        <v>782</v>
      </c>
      <c r="O202" s="15"/>
      <c r="P202" s="8"/>
      <c r="Q202" s="8"/>
    </row>
    <row r="203" spans="1:17" ht="69.75" customHeight="1" x14ac:dyDescent="0.2">
      <c r="A203" s="17">
        <v>46054.906963113426</v>
      </c>
      <c r="B203" s="18">
        <v>28218004225</v>
      </c>
      <c r="C203" s="18" t="s">
        <v>704</v>
      </c>
      <c r="D203" s="18" t="s">
        <v>705</v>
      </c>
      <c r="E203" s="18" t="s">
        <v>706</v>
      </c>
      <c r="F203" s="18" t="s">
        <v>16</v>
      </c>
      <c r="G203" s="18" t="s">
        <v>27</v>
      </c>
      <c r="H203" s="18" t="s">
        <v>75</v>
      </c>
      <c r="I203" s="20" t="s">
        <v>805</v>
      </c>
      <c r="J203" s="20" t="s">
        <v>22</v>
      </c>
      <c r="K203" s="20"/>
      <c r="L203" s="18" t="s">
        <v>207</v>
      </c>
      <c r="M203" s="18" t="s">
        <v>68</v>
      </c>
      <c r="N203" s="18" t="s">
        <v>707</v>
      </c>
      <c r="O203" s="15"/>
      <c r="P203" s="8"/>
      <c r="Q203" s="8"/>
    </row>
    <row r="204" spans="1:17" ht="69.75" customHeight="1" x14ac:dyDescent="0.2">
      <c r="A204" s="17">
        <v>46054.909167662037</v>
      </c>
      <c r="B204" s="18">
        <v>28218025488</v>
      </c>
      <c r="C204" s="18" t="s">
        <v>708</v>
      </c>
      <c r="D204" s="18" t="s">
        <v>450</v>
      </c>
      <c r="E204" s="18" t="s">
        <v>397</v>
      </c>
      <c r="F204" s="18" t="s">
        <v>16</v>
      </c>
      <c r="G204" s="18" t="s">
        <v>27</v>
      </c>
      <c r="H204" s="18" t="s">
        <v>75</v>
      </c>
      <c r="I204" s="20" t="s">
        <v>805</v>
      </c>
      <c r="J204" s="20" t="s">
        <v>22</v>
      </c>
      <c r="K204" s="20"/>
      <c r="L204" s="18" t="s">
        <v>207</v>
      </c>
      <c r="M204" s="18" t="s">
        <v>68</v>
      </c>
      <c r="N204" s="18" t="s">
        <v>398</v>
      </c>
      <c r="O204" s="15"/>
      <c r="P204" s="8"/>
      <c r="Q204" s="8"/>
    </row>
    <row r="205" spans="1:17" s="25" customFormat="1" ht="69.75" customHeight="1" x14ac:dyDescent="0.2">
      <c r="A205" s="21">
        <v>46055.732389143523</v>
      </c>
      <c r="B205" s="22">
        <v>28208006659</v>
      </c>
      <c r="C205" s="22" t="s">
        <v>709</v>
      </c>
      <c r="D205" s="23" t="s">
        <v>710</v>
      </c>
      <c r="E205" s="22" t="s">
        <v>34</v>
      </c>
      <c r="F205" s="22" t="s">
        <v>26</v>
      </c>
      <c r="G205" s="22" t="s">
        <v>27</v>
      </c>
      <c r="H205" s="22" t="s">
        <v>21</v>
      </c>
      <c r="I205" s="22" t="s">
        <v>805</v>
      </c>
      <c r="J205" s="22" t="s">
        <v>174</v>
      </c>
      <c r="K205" s="22" t="s">
        <v>761</v>
      </c>
      <c r="L205" s="22" t="s">
        <v>657</v>
      </c>
      <c r="M205" s="22" t="s">
        <v>29</v>
      </c>
      <c r="N205" s="22"/>
      <c r="O205" s="33"/>
      <c r="P205" s="24"/>
      <c r="Q205" s="24"/>
    </row>
    <row r="206" spans="1:17" ht="69.75" customHeight="1" x14ac:dyDescent="0.2">
      <c r="A206" s="17">
        <v>46055.433068634258</v>
      </c>
      <c r="B206" s="18">
        <v>28207237757</v>
      </c>
      <c r="C206" s="18" t="s">
        <v>711</v>
      </c>
      <c r="D206" s="19" t="s">
        <v>440</v>
      </c>
      <c r="E206" s="18" t="s">
        <v>553</v>
      </c>
      <c r="F206" s="18" t="s">
        <v>158</v>
      </c>
      <c r="G206" s="18" t="s">
        <v>27</v>
      </c>
      <c r="H206" s="18" t="s">
        <v>713</v>
      </c>
      <c r="I206" s="20" t="s">
        <v>806</v>
      </c>
      <c r="J206" s="20" t="s">
        <v>22</v>
      </c>
      <c r="K206" s="20"/>
      <c r="L206" s="18" t="s">
        <v>207</v>
      </c>
      <c r="M206" s="18" t="s">
        <v>29</v>
      </c>
      <c r="N206" s="18" t="s">
        <v>712</v>
      </c>
      <c r="O206" s="15"/>
      <c r="P206" s="8"/>
      <c r="Q206" s="8"/>
    </row>
    <row r="207" spans="1:17" ht="69.75" customHeight="1" x14ac:dyDescent="0.2">
      <c r="A207" s="17">
        <v>46055.41548221065</v>
      </c>
      <c r="B207" s="18">
        <v>28203502896</v>
      </c>
      <c r="C207" s="18" t="s">
        <v>714</v>
      </c>
      <c r="D207" s="18" t="s">
        <v>715</v>
      </c>
      <c r="E207" s="18" t="s">
        <v>157</v>
      </c>
      <c r="F207" s="18" t="s">
        <v>158</v>
      </c>
      <c r="G207" s="18" t="s">
        <v>27</v>
      </c>
      <c r="H207" s="18" t="s">
        <v>713</v>
      </c>
      <c r="I207" s="20" t="s">
        <v>806</v>
      </c>
      <c r="J207" s="20" t="s">
        <v>174</v>
      </c>
      <c r="K207" s="20" t="s">
        <v>770</v>
      </c>
      <c r="L207" s="18" t="s">
        <v>207</v>
      </c>
      <c r="M207" s="18" t="s">
        <v>153</v>
      </c>
      <c r="N207" s="20" t="s">
        <v>770</v>
      </c>
      <c r="O207" s="15"/>
      <c r="P207" s="8"/>
      <c r="Q207" s="8"/>
    </row>
    <row r="208" spans="1:17" ht="69.75" customHeight="1" x14ac:dyDescent="0.2">
      <c r="A208" s="17">
        <v>46055.033688784722</v>
      </c>
      <c r="B208" s="18">
        <v>28208047873</v>
      </c>
      <c r="C208" s="18" t="s">
        <v>716</v>
      </c>
      <c r="D208" s="18" t="s">
        <v>717</v>
      </c>
      <c r="E208" s="18" t="s">
        <v>34</v>
      </c>
      <c r="F208" s="18" t="s">
        <v>26</v>
      </c>
      <c r="G208" s="18" t="s">
        <v>27</v>
      </c>
      <c r="H208" s="18" t="s">
        <v>106</v>
      </c>
      <c r="I208" s="20" t="s">
        <v>805</v>
      </c>
      <c r="J208" s="20" t="s">
        <v>22</v>
      </c>
      <c r="K208" s="20"/>
      <c r="L208" s="18" t="s">
        <v>252</v>
      </c>
      <c r="M208" s="18" t="s">
        <v>29</v>
      </c>
      <c r="N208" s="18" t="s">
        <v>718</v>
      </c>
      <c r="O208" s="15"/>
      <c r="P208" s="8"/>
      <c r="Q208" s="8"/>
    </row>
    <row r="209" spans="1:17" ht="69.75" customHeight="1" x14ac:dyDescent="0.2">
      <c r="A209" s="17">
        <v>46055.918025034727</v>
      </c>
      <c r="B209" s="18">
        <v>28208306063</v>
      </c>
      <c r="C209" s="18" t="s">
        <v>719</v>
      </c>
      <c r="D209" s="18" t="s">
        <v>173</v>
      </c>
      <c r="E209" s="18" t="s">
        <v>157</v>
      </c>
      <c r="F209" s="18" t="s">
        <v>158</v>
      </c>
      <c r="G209" s="18" t="s">
        <v>27</v>
      </c>
      <c r="H209" s="18" t="s">
        <v>713</v>
      </c>
      <c r="I209" s="20" t="s">
        <v>806</v>
      </c>
      <c r="J209" s="20" t="s">
        <v>161</v>
      </c>
      <c r="K209" s="20" t="s">
        <v>758</v>
      </c>
      <c r="L209" s="18" t="s">
        <v>720</v>
      </c>
      <c r="M209" s="18" t="s">
        <v>29</v>
      </c>
      <c r="N209" s="20" t="s">
        <v>758</v>
      </c>
      <c r="O209" s="15"/>
      <c r="P209" s="8"/>
      <c r="Q209" s="8"/>
    </row>
    <row r="210" spans="1:17" ht="69.75" customHeight="1" x14ac:dyDescent="0.2">
      <c r="A210" s="17">
        <v>46055.206731886574</v>
      </c>
      <c r="B210" s="18">
        <v>28208151401</v>
      </c>
      <c r="C210" s="18" t="s">
        <v>721</v>
      </c>
      <c r="D210" s="18" t="s">
        <v>722</v>
      </c>
      <c r="E210" s="18" t="s">
        <v>157</v>
      </c>
      <c r="F210" s="18" t="s">
        <v>158</v>
      </c>
      <c r="G210" s="18" t="s">
        <v>27</v>
      </c>
      <c r="H210" s="18" t="s">
        <v>713</v>
      </c>
      <c r="I210" s="20" t="s">
        <v>806</v>
      </c>
      <c r="J210" s="20" t="s">
        <v>22</v>
      </c>
      <c r="K210" s="20"/>
      <c r="L210" s="18" t="s">
        <v>207</v>
      </c>
      <c r="M210" s="18" t="s">
        <v>29</v>
      </c>
      <c r="N210" s="18" t="s">
        <v>723</v>
      </c>
      <c r="O210" s="15"/>
      <c r="P210" s="8"/>
      <c r="Q210" s="8"/>
    </row>
    <row r="211" spans="1:17" ht="69.75" customHeight="1" x14ac:dyDescent="0.2">
      <c r="A211" s="17">
        <v>46055.40558496528</v>
      </c>
      <c r="B211" s="18">
        <v>28218304766</v>
      </c>
      <c r="C211" s="18" t="s">
        <v>724</v>
      </c>
      <c r="D211" s="18" t="s">
        <v>725</v>
      </c>
      <c r="E211" s="18" t="s">
        <v>553</v>
      </c>
      <c r="F211" s="18" t="s">
        <v>158</v>
      </c>
      <c r="G211" s="18" t="s">
        <v>27</v>
      </c>
      <c r="H211" s="18" t="s">
        <v>160</v>
      </c>
      <c r="I211" s="20" t="s">
        <v>806</v>
      </c>
      <c r="J211" s="20" t="s">
        <v>161</v>
      </c>
      <c r="K211" s="20" t="s">
        <v>726</v>
      </c>
      <c r="L211" s="18" t="s">
        <v>79</v>
      </c>
      <c r="M211" s="18" t="s">
        <v>29</v>
      </c>
      <c r="N211" s="20" t="s">
        <v>726</v>
      </c>
      <c r="O211" s="15"/>
      <c r="P211" s="8"/>
      <c r="Q211" s="8"/>
    </row>
    <row r="212" spans="1:17" ht="69.75" customHeight="1" x14ac:dyDescent="0.2">
      <c r="A212" s="17">
        <v>46055.415918865736</v>
      </c>
      <c r="B212" s="18">
        <v>28206929749</v>
      </c>
      <c r="C212" s="18" t="s">
        <v>727</v>
      </c>
      <c r="D212" s="18" t="s">
        <v>728</v>
      </c>
      <c r="E212" s="18" t="s">
        <v>25</v>
      </c>
      <c r="F212" s="18" t="s">
        <v>26</v>
      </c>
      <c r="G212" s="18" t="s">
        <v>27</v>
      </c>
      <c r="H212" s="18" t="s">
        <v>106</v>
      </c>
      <c r="I212" s="20" t="s">
        <v>805</v>
      </c>
      <c r="J212" s="20" t="s">
        <v>22</v>
      </c>
      <c r="K212" s="20"/>
      <c r="L212" s="18" t="s">
        <v>225</v>
      </c>
      <c r="M212" s="18" t="s">
        <v>29</v>
      </c>
      <c r="N212" s="18" t="s">
        <v>729</v>
      </c>
      <c r="O212" s="15"/>
      <c r="P212" s="8"/>
      <c r="Q212" s="8"/>
    </row>
    <row r="213" spans="1:17" ht="69.75" customHeight="1" x14ac:dyDescent="0.2">
      <c r="A213" s="17">
        <v>46055.437649398147</v>
      </c>
      <c r="B213" s="18">
        <v>26207141604</v>
      </c>
      <c r="C213" s="18" t="s">
        <v>730</v>
      </c>
      <c r="D213" s="18" t="s">
        <v>731</v>
      </c>
      <c r="E213" s="18" t="s">
        <v>305</v>
      </c>
      <c r="F213" s="18" t="s">
        <v>16</v>
      </c>
      <c r="G213" s="18" t="s">
        <v>520</v>
      </c>
      <c r="H213" s="18" t="s">
        <v>491</v>
      </c>
      <c r="I213" s="20" t="s">
        <v>805</v>
      </c>
      <c r="J213" s="20" t="s">
        <v>22</v>
      </c>
      <c r="K213" s="20"/>
      <c r="L213" s="18" t="s">
        <v>732</v>
      </c>
      <c r="M213" s="18" t="s">
        <v>19</v>
      </c>
      <c r="N213" s="18" t="s">
        <v>733</v>
      </c>
      <c r="O213" s="15"/>
      <c r="P213" s="8"/>
      <c r="Q213" s="8"/>
    </row>
    <row r="214" spans="1:17" ht="69.75" customHeight="1" x14ac:dyDescent="0.2">
      <c r="A214" s="17">
        <v>46055.731582789347</v>
      </c>
      <c r="B214" s="18">
        <v>28208023818</v>
      </c>
      <c r="C214" s="18" t="s">
        <v>734</v>
      </c>
      <c r="D214" s="18" t="s">
        <v>465</v>
      </c>
      <c r="E214" s="18" t="s">
        <v>735</v>
      </c>
      <c r="F214" s="18" t="s">
        <v>16</v>
      </c>
      <c r="G214" s="18" t="s">
        <v>27</v>
      </c>
      <c r="H214" s="18" t="s">
        <v>75</v>
      </c>
      <c r="I214" s="20" t="s">
        <v>805</v>
      </c>
      <c r="J214" s="20" t="s">
        <v>22</v>
      </c>
      <c r="K214" s="20"/>
      <c r="L214" s="18" t="s">
        <v>783</v>
      </c>
      <c r="M214" s="18" t="s">
        <v>68</v>
      </c>
      <c r="N214" s="18" t="s">
        <v>736</v>
      </c>
      <c r="O214" s="15"/>
      <c r="P214" s="8"/>
      <c r="Q214" s="8"/>
    </row>
    <row r="215" spans="1:17" ht="69.75" customHeight="1" x14ac:dyDescent="0.2">
      <c r="A215" s="17">
        <v>46055.517039108796</v>
      </c>
      <c r="B215" s="18">
        <v>28208032409</v>
      </c>
      <c r="C215" s="18" t="s">
        <v>737</v>
      </c>
      <c r="D215" s="18" t="s">
        <v>738</v>
      </c>
      <c r="E215" s="18" t="s">
        <v>83</v>
      </c>
      <c r="F215" s="18" t="s">
        <v>26</v>
      </c>
      <c r="G215" s="18" t="s">
        <v>27</v>
      </c>
      <c r="H215" s="18" t="s">
        <v>21</v>
      </c>
      <c r="I215" s="20" t="s">
        <v>805</v>
      </c>
      <c r="J215" s="20" t="s">
        <v>22</v>
      </c>
      <c r="K215" s="20"/>
      <c r="L215" s="20" t="s">
        <v>424</v>
      </c>
      <c r="M215" s="18" t="s">
        <v>29</v>
      </c>
      <c r="N215" s="18" t="s">
        <v>765</v>
      </c>
      <c r="O215" s="15"/>
      <c r="P215" s="8"/>
      <c r="Q215" s="8"/>
    </row>
    <row r="216" spans="1:17" ht="69.75" customHeight="1" x14ac:dyDescent="0.2">
      <c r="A216" s="17">
        <v>46055.592845405088</v>
      </c>
      <c r="B216" s="18">
        <v>27217145651</v>
      </c>
      <c r="C216" s="18" t="s">
        <v>739</v>
      </c>
      <c r="D216" s="18" t="s">
        <v>740</v>
      </c>
      <c r="E216" s="18" t="s">
        <v>706</v>
      </c>
      <c r="F216" s="18" t="s">
        <v>16</v>
      </c>
      <c r="G216" s="18" t="s">
        <v>132</v>
      </c>
      <c r="H216" s="18" t="s">
        <v>491</v>
      </c>
      <c r="I216" s="20" t="s">
        <v>805</v>
      </c>
      <c r="J216" s="20" t="s">
        <v>22</v>
      </c>
      <c r="K216" s="20"/>
      <c r="L216" s="18" t="s">
        <v>741</v>
      </c>
      <c r="M216" s="18" t="s">
        <v>19</v>
      </c>
      <c r="N216" s="18" t="s">
        <v>742</v>
      </c>
      <c r="O216" s="15"/>
      <c r="P216" s="8"/>
      <c r="Q216" s="8"/>
    </row>
    <row r="217" spans="1:17" ht="69.75" customHeight="1" x14ac:dyDescent="0.2">
      <c r="A217" s="17">
        <v>46055.577065370366</v>
      </c>
      <c r="B217" s="18">
        <v>28208053246</v>
      </c>
      <c r="C217" s="18" t="s">
        <v>743</v>
      </c>
      <c r="D217" s="18" t="s">
        <v>744</v>
      </c>
      <c r="E217" s="18" t="s">
        <v>40</v>
      </c>
      <c r="F217" s="18" t="s">
        <v>26</v>
      </c>
      <c r="G217" s="18" t="s">
        <v>27</v>
      </c>
      <c r="H217" s="18" t="s">
        <v>21</v>
      </c>
      <c r="I217" s="20" t="s">
        <v>805</v>
      </c>
      <c r="J217" s="20" t="s">
        <v>22</v>
      </c>
      <c r="K217" s="20"/>
      <c r="L217" s="18" t="s">
        <v>112</v>
      </c>
      <c r="M217" s="18" t="s">
        <v>29</v>
      </c>
      <c r="N217" s="18" t="s">
        <v>745</v>
      </c>
      <c r="O217" s="15"/>
      <c r="P217" s="8"/>
      <c r="Q217" s="8"/>
    </row>
    <row r="218" spans="1:17" ht="69.75" customHeight="1" x14ac:dyDescent="0.2">
      <c r="A218" s="17">
        <v>46055.815110625001</v>
      </c>
      <c r="B218" s="18">
        <v>28208053243</v>
      </c>
      <c r="C218" s="18" t="s">
        <v>746</v>
      </c>
      <c r="D218" s="19" t="s">
        <v>747</v>
      </c>
      <c r="E218" s="18" t="s">
        <v>748</v>
      </c>
      <c r="F218" s="18" t="s">
        <v>26</v>
      </c>
      <c r="G218" s="18" t="s">
        <v>27</v>
      </c>
      <c r="H218" s="18" t="s">
        <v>106</v>
      </c>
      <c r="I218" s="20" t="s">
        <v>805</v>
      </c>
      <c r="J218" s="20" t="s">
        <v>22</v>
      </c>
      <c r="K218" s="20"/>
      <c r="L218" s="18" t="s">
        <v>252</v>
      </c>
      <c r="M218" s="18" t="s">
        <v>29</v>
      </c>
      <c r="N218" s="18" t="s">
        <v>749</v>
      </c>
      <c r="O218" s="15"/>
      <c r="P218" s="8"/>
      <c r="Q218" s="8"/>
    </row>
    <row r="219" spans="1:17" ht="69.75" customHeight="1" x14ac:dyDescent="0.2">
      <c r="A219" s="17">
        <v>46055.699670254631</v>
      </c>
      <c r="B219" s="18">
        <v>27217142131</v>
      </c>
      <c r="C219" s="18" t="s">
        <v>750</v>
      </c>
      <c r="D219" s="19" t="s">
        <v>751</v>
      </c>
      <c r="E219" s="18" t="s">
        <v>78</v>
      </c>
      <c r="F219" s="18" t="s">
        <v>16</v>
      </c>
      <c r="G219" s="18" t="s">
        <v>27</v>
      </c>
      <c r="H219" s="18" t="s">
        <v>120</v>
      </c>
      <c r="I219" s="20" t="s">
        <v>806</v>
      </c>
      <c r="J219" s="20" t="s">
        <v>161</v>
      </c>
      <c r="K219" s="20" t="s">
        <v>757</v>
      </c>
      <c r="L219" s="18" t="s">
        <v>79</v>
      </c>
      <c r="M219" s="18" t="s">
        <v>29</v>
      </c>
      <c r="N219" s="20" t="s">
        <v>757</v>
      </c>
      <c r="O219" s="15"/>
      <c r="P219" s="8"/>
      <c r="Q219" s="8"/>
    </row>
    <row r="220" spans="1:17" ht="69.75" customHeight="1" x14ac:dyDescent="0.2">
      <c r="A220" s="17">
        <v>46055.718180868054</v>
      </c>
      <c r="B220" s="18">
        <v>28216846313</v>
      </c>
      <c r="C220" s="18" t="s">
        <v>752</v>
      </c>
      <c r="D220" s="18" t="s">
        <v>501</v>
      </c>
      <c r="E220" s="18" t="s">
        <v>359</v>
      </c>
      <c r="F220" s="18" t="s">
        <v>26</v>
      </c>
      <c r="G220" s="18" t="s">
        <v>27</v>
      </c>
      <c r="H220" s="18" t="s">
        <v>139</v>
      </c>
      <c r="I220" s="20" t="s">
        <v>805</v>
      </c>
      <c r="J220" s="20" t="s">
        <v>22</v>
      </c>
      <c r="K220" s="20"/>
      <c r="L220" s="18" t="s">
        <v>79</v>
      </c>
      <c r="M220" s="18" t="s">
        <v>29</v>
      </c>
      <c r="N220" s="18" t="s">
        <v>753</v>
      </c>
      <c r="O220" s="15"/>
      <c r="P220" s="8"/>
      <c r="Q220" s="8"/>
    </row>
    <row r="221" spans="1:17" ht="69.75" customHeight="1" x14ac:dyDescent="0.2">
      <c r="A221" s="17">
        <v>46055.8009321875</v>
      </c>
      <c r="B221" s="18">
        <v>28210334081</v>
      </c>
      <c r="C221" s="18" t="s">
        <v>754</v>
      </c>
      <c r="D221" s="18" t="s">
        <v>465</v>
      </c>
      <c r="E221" s="18" t="s">
        <v>185</v>
      </c>
      <c r="F221" s="18" t="s">
        <v>26</v>
      </c>
      <c r="G221" s="18" t="s">
        <v>27</v>
      </c>
      <c r="H221" s="18" t="s">
        <v>86</v>
      </c>
      <c r="I221" s="20" t="s">
        <v>805</v>
      </c>
      <c r="J221" s="20" t="s">
        <v>161</v>
      </c>
      <c r="K221" s="20" t="s">
        <v>755</v>
      </c>
      <c r="L221" s="18" t="s">
        <v>96</v>
      </c>
      <c r="M221" s="18" t="s">
        <v>85</v>
      </c>
      <c r="N221" s="20" t="s">
        <v>755</v>
      </c>
      <c r="O221" s="15"/>
      <c r="P221" s="8"/>
      <c r="Q221" s="8"/>
    </row>
    <row r="222" spans="1:17" x14ac:dyDescent="0.2">
      <c r="L222" s="8"/>
    </row>
    <row r="223" spans="1:17" x14ac:dyDescent="0.2">
      <c r="L223" s="8"/>
    </row>
    <row r="224" spans="1:17" x14ac:dyDescent="0.2">
      <c r="L224" s="8"/>
    </row>
    <row r="225" spans="12:12" x14ac:dyDescent="0.2">
      <c r="L225" s="8"/>
    </row>
    <row r="226" spans="12:12" x14ac:dyDescent="0.2">
      <c r="L226" s="8"/>
    </row>
    <row r="227" spans="12:12" x14ac:dyDescent="0.2">
      <c r="L227" s="8"/>
    </row>
    <row r="228" spans="12:12" x14ac:dyDescent="0.2">
      <c r="L228" s="8"/>
    </row>
    <row r="229" spans="12:12" x14ac:dyDescent="0.2">
      <c r="L229" s="8"/>
    </row>
    <row r="230" spans="12:12" x14ac:dyDescent="0.2">
      <c r="L230" s="8"/>
    </row>
    <row r="231" spans="12:12" x14ac:dyDescent="0.2">
      <c r="L231" s="8"/>
    </row>
    <row r="232" spans="12:12" x14ac:dyDescent="0.2">
      <c r="L232" s="8"/>
    </row>
    <row r="233" spans="12:12" x14ac:dyDescent="0.2">
      <c r="L233" s="8"/>
    </row>
    <row r="234" spans="12:12" x14ac:dyDescent="0.2">
      <c r="L234" s="8"/>
    </row>
    <row r="235" spans="12:12" x14ac:dyDescent="0.2">
      <c r="L235" s="8"/>
    </row>
    <row r="236" spans="12:12" x14ac:dyDescent="0.2">
      <c r="L236" s="8"/>
    </row>
    <row r="237" spans="12:12" x14ac:dyDescent="0.2">
      <c r="L237" s="8"/>
    </row>
    <row r="238" spans="12:12" x14ac:dyDescent="0.2">
      <c r="L238" s="8"/>
    </row>
    <row r="239" spans="12:12" x14ac:dyDescent="0.2">
      <c r="L239" s="8"/>
    </row>
    <row r="240" spans="12:12" x14ac:dyDescent="0.2">
      <c r="L240" s="8"/>
    </row>
    <row r="241" spans="12:12" x14ac:dyDescent="0.2">
      <c r="L241" s="8"/>
    </row>
    <row r="242" spans="12:12" x14ac:dyDescent="0.2">
      <c r="L242" s="8"/>
    </row>
    <row r="243" spans="12:12" x14ac:dyDescent="0.2">
      <c r="L243" s="8"/>
    </row>
    <row r="244" spans="12:12" x14ac:dyDescent="0.2">
      <c r="L244" s="8"/>
    </row>
    <row r="245" spans="12:12" x14ac:dyDescent="0.2">
      <c r="L245" s="8"/>
    </row>
    <row r="246" spans="12:12" x14ac:dyDescent="0.2">
      <c r="L246" s="8"/>
    </row>
    <row r="247" spans="12:12" x14ac:dyDescent="0.2">
      <c r="L247" s="8"/>
    </row>
    <row r="248" spans="12:12" x14ac:dyDescent="0.2">
      <c r="L248" s="8"/>
    </row>
    <row r="249" spans="12:12" x14ac:dyDescent="0.2">
      <c r="L249" s="8"/>
    </row>
    <row r="250" spans="12:12" x14ac:dyDescent="0.2">
      <c r="L250" s="8"/>
    </row>
    <row r="251" spans="12:12" x14ac:dyDescent="0.2">
      <c r="L251" s="8"/>
    </row>
    <row r="252" spans="12:12" x14ac:dyDescent="0.2">
      <c r="L252" s="8"/>
    </row>
    <row r="253" spans="12:12" x14ac:dyDescent="0.2">
      <c r="L253" s="8"/>
    </row>
    <row r="254" spans="12:12" x14ac:dyDescent="0.2">
      <c r="L254" s="8"/>
    </row>
    <row r="255" spans="12:12" x14ac:dyDescent="0.2">
      <c r="L255" s="8"/>
    </row>
  </sheetData>
  <dataValidations count="1">
    <dataValidation type="list" allowBlank="1" sqref="J11:J221" xr:uid="{6ABD380E-A4FD-4818-B340-82003EE77FD8}">
      <formula1>"DUYỆT,KHÔNG DUYỆT,DUYỆT, CẦN CHỈNH SỬA"</formula1>
    </dataValidation>
  </dataValidations>
  <hyperlinks>
    <hyperlink ref="A6" r:id="rId1" xr:uid="{EDA54D0F-1500-4474-8FF2-8533D86D1B9B}"/>
  </hyperlinks>
  <pageMargins left="0.7" right="0.7" top="0.75" bottom="0.75" header="0.3" footer="0.3"/>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B05D-75CA-46B7-99FC-584709F33F4C}">
  <dimension ref="A1:M235"/>
  <sheetViews>
    <sheetView tabSelected="1" workbookViewId="0">
      <pane ySplit="8" topLeftCell="A9" activePane="bottomLeft" state="frozen"/>
      <selection pane="bottomLeft" activeCell="I13" sqref="I13"/>
    </sheetView>
  </sheetViews>
  <sheetFormatPr defaultRowHeight="15.75" x14ac:dyDescent="0.2"/>
  <cols>
    <col min="1" max="1" width="19" style="35" customWidth="1"/>
    <col min="2" max="2" width="16" style="35" customWidth="1"/>
    <col min="3" max="3" width="24.28515625" style="35" customWidth="1"/>
    <col min="4" max="4" width="9.140625" style="35"/>
    <col min="5" max="5" width="21.5703125" style="36" customWidth="1"/>
    <col min="6" max="6" width="19" style="35" customWidth="1"/>
    <col min="7" max="7" width="20" style="36" customWidth="1"/>
    <col min="8" max="8" width="18.140625" style="35" customWidth="1"/>
    <col min="9" max="9" width="20.5703125" style="35" customWidth="1"/>
    <col min="10" max="10" width="24.28515625" style="36" customWidth="1"/>
    <col min="11" max="11" width="13.85546875" style="36" customWidth="1"/>
    <col min="12" max="12" width="55.85546875" style="36" customWidth="1"/>
    <col min="13" max="13" width="50.7109375" style="35" customWidth="1"/>
    <col min="14" max="16384" width="9.140625" style="35"/>
  </cols>
  <sheetData>
    <row r="1" spans="1:13" ht="18.75" x14ac:dyDescent="0.2">
      <c r="E1" s="42" t="s">
        <v>0</v>
      </c>
    </row>
    <row r="2" spans="1:13" ht="18.75" x14ac:dyDescent="0.2">
      <c r="E2" s="42" t="s">
        <v>1</v>
      </c>
    </row>
    <row r="3" spans="1:13" x14ac:dyDescent="0.2">
      <c r="A3" s="35" t="s">
        <v>811</v>
      </c>
    </row>
    <row r="4" spans="1:13" x14ac:dyDescent="0.2">
      <c r="A4" s="35" t="s">
        <v>840</v>
      </c>
    </row>
    <row r="5" spans="1:13" x14ac:dyDescent="0.2">
      <c r="A5" s="43" t="s">
        <v>812</v>
      </c>
    </row>
    <row r="6" spans="1:13" x14ac:dyDescent="0.2">
      <c r="A6" s="35" t="s">
        <v>813</v>
      </c>
    </row>
    <row r="8" spans="1:13" s="38" customFormat="1" ht="83.25" customHeight="1" x14ac:dyDescent="0.2">
      <c r="A8" s="37" t="s">
        <v>800</v>
      </c>
      <c r="B8" s="37" t="s">
        <v>3</v>
      </c>
      <c r="C8" s="37" t="s">
        <v>4</v>
      </c>
      <c r="D8" s="37" t="s">
        <v>6</v>
      </c>
      <c r="E8" s="37" t="s">
        <v>7</v>
      </c>
      <c r="F8" s="37" t="s">
        <v>10</v>
      </c>
      <c r="G8" s="37" t="s">
        <v>11</v>
      </c>
      <c r="H8" s="37" t="s">
        <v>12</v>
      </c>
      <c r="I8" s="37" t="s">
        <v>759</v>
      </c>
      <c r="J8" s="37" t="s">
        <v>801</v>
      </c>
      <c r="K8" s="37" t="s">
        <v>9</v>
      </c>
      <c r="L8" s="37" t="s">
        <v>799</v>
      </c>
      <c r="M8" s="37" t="s">
        <v>804</v>
      </c>
    </row>
    <row r="9" spans="1:13" ht="47.25" x14ac:dyDescent="0.2">
      <c r="A9" s="39">
        <v>46052.58908362269</v>
      </c>
      <c r="B9" s="40">
        <v>25217107474</v>
      </c>
      <c r="C9" s="40" t="s">
        <v>13</v>
      </c>
      <c r="D9" s="40" t="s">
        <v>15</v>
      </c>
      <c r="E9" s="41" t="s">
        <v>16</v>
      </c>
      <c r="F9" s="40" t="s">
        <v>21</v>
      </c>
      <c r="G9" s="41" t="s">
        <v>805</v>
      </c>
      <c r="H9" s="40" t="s">
        <v>22</v>
      </c>
      <c r="I9" s="40"/>
      <c r="J9" s="41" t="s">
        <v>18</v>
      </c>
      <c r="K9" s="41" t="s">
        <v>19</v>
      </c>
      <c r="L9" s="41" t="s">
        <v>20</v>
      </c>
      <c r="M9" s="41" t="s">
        <v>809</v>
      </c>
    </row>
    <row r="10" spans="1:13" ht="47.25" x14ac:dyDescent="0.2">
      <c r="A10" s="39">
        <v>46051.798784398146</v>
      </c>
      <c r="B10" s="40">
        <v>28209305565</v>
      </c>
      <c r="C10" s="40" t="s">
        <v>23</v>
      </c>
      <c r="D10" s="40" t="s">
        <v>25</v>
      </c>
      <c r="E10" s="41" t="s">
        <v>26</v>
      </c>
      <c r="F10" s="40" t="s">
        <v>31</v>
      </c>
      <c r="G10" s="41" t="s">
        <v>805</v>
      </c>
      <c r="H10" s="40" t="s">
        <v>22</v>
      </c>
      <c r="I10" s="40"/>
      <c r="J10" s="41" t="s">
        <v>28</v>
      </c>
      <c r="K10" s="41" t="s">
        <v>29</v>
      </c>
      <c r="L10" s="41" t="s">
        <v>30</v>
      </c>
      <c r="M10" s="41" t="s">
        <v>809</v>
      </c>
    </row>
    <row r="11" spans="1:13" ht="47.25" x14ac:dyDescent="0.2">
      <c r="A11" s="39">
        <v>46053.805599953703</v>
      </c>
      <c r="B11" s="40">
        <v>28204706232</v>
      </c>
      <c r="C11" s="40" t="s">
        <v>32</v>
      </c>
      <c r="D11" s="40" t="s">
        <v>34</v>
      </c>
      <c r="E11" s="41" t="s">
        <v>26</v>
      </c>
      <c r="F11" s="40" t="s">
        <v>37</v>
      </c>
      <c r="G11" s="41" t="s">
        <v>805</v>
      </c>
      <c r="H11" s="40" t="s">
        <v>22</v>
      </c>
      <c r="I11" s="40"/>
      <c r="J11" s="41" t="s">
        <v>35</v>
      </c>
      <c r="K11" s="41" t="s">
        <v>29</v>
      </c>
      <c r="L11" s="41" t="s">
        <v>36</v>
      </c>
      <c r="M11" s="41" t="s">
        <v>809</v>
      </c>
    </row>
    <row r="12" spans="1:13" ht="47.25" x14ac:dyDescent="0.2">
      <c r="A12" s="39">
        <v>46055.5121134375</v>
      </c>
      <c r="B12" s="40">
        <v>28208027850</v>
      </c>
      <c r="C12" s="40" t="s">
        <v>38</v>
      </c>
      <c r="D12" s="40" t="s">
        <v>40</v>
      </c>
      <c r="E12" s="41" t="s">
        <v>26</v>
      </c>
      <c r="F12" s="40" t="s">
        <v>31</v>
      </c>
      <c r="G12" s="41" t="s">
        <v>805</v>
      </c>
      <c r="H12" s="40" t="s">
        <v>22</v>
      </c>
      <c r="I12" s="40"/>
      <c r="J12" s="41" t="s">
        <v>41</v>
      </c>
      <c r="K12" s="41" t="s">
        <v>29</v>
      </c>
      <c r="L12" s="41" t="s">
        <v>42</v>
      </c>
      <c r="M12" s="41" t="s">
        <v>809</v>
      </c>
    </row>
    <row r="13" spans="1:13" ht="47.25" x14ac:dyDescent="0.2">
      <c r="A13" s="39">
        <v>46052.392837962965</v>
      </c>
      <c r="B13" s="40">
        <v>28208037364</v>
      </c>
      <c r="C13" s="40" t="s">
        <v>43</v>
      </c>
      <c r="D13" s="40" t="s">
        <v>25</v>
      </c>
      <c r="E13" s="41" t="s">
        <v>26</v>
      </c>
      <c r="F13" s="40" t="s">
        <v>47</v>
      </c>
      <c r="G13" s="41" t="s">
        <v>805</v>
      </c>
      <c r="H13" s="40" t="s">
        <v>22</v>
      </c>
      <c r="I13" s="40"/>
      <c r="J13" s="41" t="s">
        <v>45</v>
      </c>
      <c r="K13" s="41" t="s">
        <v>19</v>
      </c>
      <c r="L13" s="41" t="s">
        <v>46</v>
      </c>
      <c r="M13" s="41" t="s">
        <v>809</v>
      </c>
    </row>
    <row r="14" spans="1:13" ht="47.25" x14ac:dyDescent="0.2">
      <c r="A14" s="39">
        <v>46052.939517129635</v>
      </c>
      <c r="B14" s="40">
        <v>28208001005</v>
      </c>
      <c r="C14" s="40" t="s">
        <v>48</v>
      </c>
      <c r="D14" s="40" t="s">
        <v>50</v>
      </c>
      <c r="E14" s="41" t="s">
        <v>26</v>
      </c>
      <c r="F14" s="40" t="s">
        <v>53</v>
      </c>
      <c r="G14" s="41" t="s">
        <v>805</v>
      </c>
      <c r="H14" s="40" t="s">
        <v>22</v>
      </c>
      <c r="I14" s="40"/>
      <c r="J14" s="41" t="s">
        <v>51</v>
      </c>
      <c r="K14" s="41" t="s">
        <v>29</v>
      </c>
      <c r="L14" s="41" t="s">
        <v>52</v>
      </c>
      <c r="M14" s="41" t="s">
        <v>809</v>
      </c>
    </row>
    <row r="15" spans="1:13" ht="47.25" x14ac:dyDescent="0.2">
      <c r="A15" s="39">
        <v>46055.479539942127</v>
      </c>
      <c r="B15" s="40">
        <v>28208053169</v>
      </c>
      <c r="C15" s="40" t="s">
        <v>54</v>
      </c>
      <c r="D15" s="40" t="s">
        <v>50</v>
      </c>
      <c r="E15" s="41" t="s">
        <v>26</v>
      </c>
      <c r="F15" s="40" t="s">
        <v>21</v>
      </c>
      <c r="G15" s="41" t="s">
        <v>805</v>
      </c>
      <c r="H15" s="40" t="s">
        <v>22</v>
      </c>
      <c r="I15" s="40"/>
      <c r="J15" s="41" t="s">
        <v>56</v>
      </c>
      <c r="K15" s="41" t="s">
        <v>29</v>
      </c>
      <c r="L15" s="41" t="s">
        <v>775</v>
      </c>
      <c r="M15" s="41" t="s">
        <v>809</v>
      </c>
    </row>
    <row r="16" spans="1:13" ht="47.25" x14ac:dyDescent="0.2">
      <c r="A16" s="39">
        <v>46053.924635740739</v>
      </c>
      <c r="B16" s="40">
        <v>28208001590</v>
      </c>
      <c r="C16" s="40" t="s">
        <v>57</v>
      </c>
      <c r="D16" s="40" t="s">
        <v>25</v>
      </c>
      <c r="E16" s="41" t="s">
        <v>26</v>
      </c>
      <c r="F16" s="40" t="s">
        <v>31</v>
      </c>
      <c r="G16" s="41" t="s">
        <v>805</v>
      </c>
      <c r="H16" s="40" t="s">
        <v>22</v>
      </c>
      <c r="I16" s="40"/>
      <c r="J16" s="41" t="s">
        <v>59</v>
      </c>
      <c r="K16" s="41" t="s">
        <v>29</v>
      </c>
      <c r="L16" s="41" t="s">
        <v>60</v>
      </c>
      <c r="M16" s="41" t="s">
        <v>809</v>
      </c>
    </row>
    <row r="17" spans="1:13" ht="47.25" x14ac:dyDescent="0.2">
      <c r="A17" s="39">
        <v>46054.940125497684</v>
      </c>
      <c r="B17" s="40">
        <v>28208036094</v>
      </c>
      <c r="C17" s="40" t="s">
        <v>61</v>
      </c>
      <c r="D17" s="40" t="s">
        <v>25</v>
      </c>
      <c r="E17" s="41" t="s">
        <v>26</v>
      </c>
      <c r="F17" s="40" t="s">
        <v>31</v>
      </c>
      <c r="G17" s="41" t="s">
        <v>805</v>
      </c>
      <c r="H17" s="40" t="s">
        <v>22</v>
      </c>
      <c r="I17" s="40"/>
      <c r="J17" s="41" t="s">
        <v>63</v>
      </c>
      <c r="K17" s="41" t="s">
        <v>29</v>
      </c>
      <c r="L17" s="41" t="s">
        <v>64</v>
      </c>
      <c r="M17" s="41" t="s">
        <v>809</v>
      </c>
    </row>
    <row r="18" spans="1:13" ht="47.25" x14ac:dyDescent="0.2">
      <c r="A18" s="39">
        <v>46055.461059618057</v>
      </c>
      <c r="B18" s="40">
        <v>28218001585</v>
      </c>
      <c r="C18" s="40" t="s">
        <v>65</v>
      </c>
      <c r="D18" s="40" t="s">
        <v>25</v>
      </c>
      <c r="E18" s="41" t="s">
        <v>26</v>
      </c>
      <c r="F18" s="40" t="s">
        <v>70</v>
      </c>
      <c r="G18" s="41" t="s">
        <v>805</v>
      </c>
      <c r="H18" s="40" t="s">
        <v>22</v>
      </c>
      <c r="I18" s="40"/>
      <c r="J18" s="41" t="s">
        <v>67</v>
      </c>
      <c r="K18" s="41" t="s">
        <v>68</v>
      </c>
      <c r="L18" s="41" t="s">
        <v>69</v>
      </c>
      <c r="M18" s="41" t="s">
        <v>809</v>
      </c>
    </row>
    <row r="19" spans="1:13" ht="47.25" x14ac:dyDescent="0.2">
      <c r="A19" s="39">
        <v>46052.828984918982</v>
      </c>
      <c r="B19" s="40">
        <v>28208004370</v>
      </c>
      <c r="C19" s="40" t="s">
        <v>71</v>
      </c>
      <c r="D19" s="40" t="s">
        <v>73</v>
      </c>
      <c r="E19" s="41" t="s">
        <v>26</v>
      </c>
      <c r="F19" s="40" t="s">
        <v>75</v>
      </c>
      <c r="G19" s="41" t="s">
        <v>805</v>
      </c>
      <c r="H19" s="40" t="s">
        <v>22</v>
      </c>
      <c r="I19" s="40"/>
      <c r="J19" s="41" t="s">
        <v>28</v>
      </c>
      <c r="K19" s="41" t="s">
        <v>68</v>
      </c>
      <c r="L19" s="41" t="s">
        <v>74</v>
      </c>
      <c r="M19" s="41" t="s">
        <v>809</v>
      </c>
    </row>
    <row r="20" spans="1:13" ht="47.25" x14ac:dyDescent="0.2">
      <c r="A20" s="39">
        <v>46052.47876917824</v>
      </c>
      <c r="B20" s="40">
        <v>24207214504</v>
      </c>
      <c r="C20" s="40" t="s">
        <v>76</v>
      </c>
      <c r="D20" s="40" t="s">
        <v>78</v>
      </c>
      <c r="E20" s="41" t="s">
        <v>16</v>
      </c>
      <c r="F20" s="40" t="s">
        <v>53</v>
      </c>
      <c r="G20" s="41" t="s">
        <v>805</v>
      </c>
      <c r="H20" s="40" t="s">
        <v>22</v>
      </c>
      <c r="I20" s="40"/>
      <c r="J20" s="41" t="s">
        <v>79</v>
      </c>
      <c r="K20" s="41" t="s">
        <v>29</v>
      </c>
      <c r="L20" s="41" t="s">
        <v>80</v>
      </c>
      <c r="M20" s="41" t="s">
        <v>809</v>
      </c>
    </row>
    <row r="21" spans="1:13" ht="60" x14ac:dyDescent="0.2">
      <c r="A21" s="39">
        <v>46055.908626203702</v>
      </c>
      <c r="B21" s="40">
        <v>28207702170</v>
      </c>
      <c r="C21" s="40" t="s">
        <v>81</v>
      </c>
      <c r="D21" s="40" t="s">
        <v>83</v>
      </c>
      <c r="E21" s="41" t="s">
        <v>26</v>
      </c>
      <c r="F21" s="40" t="s">
        <v>86</v>
      </c>
      <c r="G21" s="41" t="s">
        <v>805</v>
      </c>
      <c r="H21" s="40" t="s">
        <v>161</v>
      </c>
      <c r="I21" s="40" t="s">
        <v>762</v>
      </c>
      <c r="J21" s="41" t="s">
        <v>84</v>
      </c>
      <c r="K21" s="41" t="s">
        <v>85</v>
      </c>
      <c r="L21" s="41" t="s">
        <v>762</v>
      </c>
      <c r="M21" s="41" t="s">
        <v>808</v>
      </c>
    </row>
    <row r="22" spans="1:13" ht="47.25" x14ac:dyDescent="0.2">
      <c r="A22" s="39">
        <v>46053.47209476852</v>
      </c>
      <c r="B22" s="40">
        <v>28218041821</v>
      </c>
      <c r="C22" s="40" t="s">
        <v>87</v>
      </c>
      <c r="D22" s="40" t="s">
        <v>34</v>
      </c>
      <c r="E22" s="41" t="s">
        <v>26</v>
      </c>
      <c r="F22" s="40" t="s">
        <v>37</v>
      </c>
      <c r="G22" s="41" t="s">
        <v>805</v>
      </c>
      <c r="H22" s="40" t="s">
        <v>22</v>
      </c>
      <c r="I22" s="40"/>
      <c r="J22" s="41" t="s">
        <v>35</v>
      </c>
      <c r="K22" s="41" t="s">
        <v>29</v>
      </c>
      <c r="L22" s="41" t="s">
        <v>89</v>
      </c>
      <c r="M22" s="41" t="s">
        <v>809</v>
      </c>
    </row>
    <row r="23" spans="1:13" ht="47.25" x14ac:dyDescent="0.2">
      <c r="A23" s="39">
        <v>46051.477737511574</v>
      </c>
      <c r="B23" s="40">
        <v>28208020589</v>
      </c>
      <c r="C23" s="40" t="s">
        <v>90</v>
      </c>
      <c r="D23" s="40" t="s">
        <v>25</v>
      </c>
      <c r="E23" s="41" t="s">
        <v>26</v>
      </c>
      <c r="F23" s="40" t="s">
        <v>31</v>
      </c>
      <c r="G23" s="41" t="s">
        <v>805</v>
      </c>
      <c r="H23" s="40" t="s">
        <v>22</v>
      </c>
      <c r="I23" s="40"/>
      <c r="J23" s="41" t="s">
        <v>92</v>
      </c>
      <c r="K23" s="41" t="s">
        <v>29</v>
      </c>
      <c r="L23" s="41" t="s">
        <v>93</v>
      </c>
      <c r="M23" s="41" t="s">
        <v>809</v>
      </c>
    </row>
    <row r="24" spans="1:13" ht="47.25" x14ac:dyDescent="0.2">
      <c r="A24" s="39">
        <v>46054.25890458333</v>
      </c>
      <c r="B24" s="40">
        <v>28208004382</v>
      </c>
      <c r="C24" s="40" t="s">
        <v>94</v>
      </c>
      <c r="D24" s="40" t="s">
        <v>34</v>
      </c>
      <c r="E24" s="41" t="s">
        <v>26</v>
      </c>
      <c r="F24" s="40" t="s">
        <v>31</v>
      </c>
      <c r="G24" s="41" t="s">
        <v>805</v>
      </c>
      <c r="H24" s="40" t="s">
        <v>22</v>
      </c>
      <c r="I24" s="40"/>
      <c r="J24" s="41" t="s">
        <v>96</v>
      </c>
      <c r="K24" s="41" t="s">
        <v>29</v>
      </c>
      <c r="L24" s="41" t="s">
        <v>97</v>
      </c>
      <c r="M24" s="41" t="s">
        <v>809</v>
      </c>
    </row>
    <row r="25" spans="1:13" ht="47.25" x14ac:dyDescent="0.2">
      <c r="A25" s="39">
        <v>46051.490244768516</v>
      </c>
      <c r="B25" s="40">
        <v>27207101004</v>
      </c>
      <c r="C25" s="40" t="s">
        <v>98</v>
      </c>
      <c r="D25" s="40" t="s">
        <v>100</v>
      </c>
      <c r="E25" s="41" t="s">
        <v>26</v>
      </c>
      <c r="F25" s="40" t="s">
        <v>31</v>
      </c>
      <c r="G25" s="41" t="s">
        <v>805</v>
      </c>
      <c r="H25" s="40" t="s">
        <v>22</v>
      </c>
      <c r="I25" s="40"/>
      <c r="J25" s="41" t="s">
        <v>96</v>
      </c>
      <c r="K25" s="41" t="s">
        <v>29</v>
      </c>
      <c r="L25" s="41" t="s">
        <v>101</v>
      </c>
      <c r="M25" s="41" t="s">
        <v>809</v>
      </c>
    </row>
    <row r="26" spans="1:13" ht="47.25" x14ac:dyDescent="0.2">
      <c r="A26" s="39">
        <v>46055.931233750001</v>
      </c>
      <c r="B26" s="40">
        <v>28208002509</v>
      </c>
      <c r="C26" s="40" t="s">
        <v>102</v>
      </c>
      <c r="D26" s="40" t="s">
        <v>34</v>
      </c>
      <c r="E26" s="41" t="s">
        <v>26</v>
      </c>
      <c r="F26" s="40" t="s">
        <v>106</v>
      </c>
      <c r="G26" s="41" t="s">
        <v>805</v>
      </c>
      <c r="H26" s="40" t="s">
        <v>22</v>
      </c>
      <c r="I26" s="40"/>
      <c r="J26" s="41" t="s">
        <v>104</v>
      </c>
      <c r="K26" s="41" t="s">
        <v>29</v>
      </c>
      <c r="L26" s="41" t="s">
        <v>105</v>
      </c>
      <c r="M26" s="41" t="s">
        <v>809</v>
      </c>
    </row>
    <row r="27" spans="1:13" ht="47.25" x14ac:dyDescent="0.2">
      <c r="A27" s="39">
        <v>46052.969950474537</v>
      </c>
      <c r="B27" s="40">
        <v>28218052773</v>
      </c>
      <c r="C27" s="40" t="s">
        <v>107</v>
      </c>
      <c r="D27" s="40" t="s">
        <v>83</v>
      </c>
      <c r="E27" s="41" t="s">
        <v>26</v>
      </c>
      <c r="F27" s="40" t="s">
        <v>53</v>
      </c>
      <c r="G27" s="41" t="s">
        <v>805</v>
      </c>
      <c r="H27" s="40" t="s">
        <v>22</v>
      </c>
      <c r="I27" s="40"/>
      <c r="J27" s="41" t="s">
        <v>51</v>
      </c>
      <c r="K27" s="41" t="s">
        <v>29</v>
      </c>
      <c r="L27" s="41" t="s">
        <v>109</v>
      </c>
      <c r="M27" s="41" t="s">
        <v>809</v>
      </c>
    </row>
    <row r="28" spans="1:13" ht="47.25" x14ac:dyDescent="0.2">
      <c r="A28" s="39">
        <v>46055.704187337964</v>
      </c>
      <c r="B28" s="40">
        <v>28218034958</v>
      </c>
      <c r="C28" s="40" t="s">
        <v>110</v>
      </c>
      <c r="D28" s="40" t="s">
        <v>40</v>
      </c>
      <c r="E28" s="41" t="s">
        <v>26</v>
      </c>
      <c r="F28" s="40" t="s">
        <v>21</v>
      </c>
      <c r="G28" s="41" t="s">
        <v>805</v>
      </c>
      <c r="H28" s="40" t="s">
        <v>22</v>
      </c>
      <c r="I28" s="40"/>
      <c r="J28" s="41" t="s">
        <v>112</v>
      </c>
      <c r="K28" s="41" t="s">
        <v>29</v>
      </c>
      <c r="L28" s="41" t="s">
        <v>113</v>
      </c>
      <c r="M28" s="41" t="s">
        <v>809</v>
      </c>
    </row>
    <row r="29" spans="1:13" ht="47.25" x14ac:dyDescent="0.2">
      <c r="A29" s="39">
        <v>46051.638612222217</v>
      </c>
      <c r="B29" s="40">
        <v>29218038702</v>
      </c>
      <c r="C29" s="40" t="s">
        <v>114</v>
      </c>
      <c r="D29" s="40" t="s">
        <v>116</v>
      </c>
      <c r="E29" s="41" t="s">
        <v>26</v>
      </c>
      <c r="F29" s="40" t="s">
        <v>120</v>
      </c>
      <c r="G29" s="41" t="s">
        <v>805</v>
      </c>
      <c r="H29" s="40" t="s">
        <v>22</v>
      </c>
      <c r="I29" s="40"/>
      <c r="J29" s="41" t="s">
        <v>118</v>
      </c>
      <c r="K29" s="41" t="s">
        <v>68</v>
      </c>
      <c r="L29" s="41" t="s">
        <v>119</v>
      </c>
      <c r="M29" s="41" t="s">
        <v>809</v>
      </c>
    </row>
    <row r="30" spans="1:13" ht="47.25" x14ac:dyDescent="0.2">
      <c r="A30" s="39">
        <v>46051.663185590282</v>
      </c>
      <c r="B30" s="40">
        <v>28212405074</v>
      </c>
      <c r="C30" s="40" t="s">
        <v>121</v>
      </c>
      <c r="D30" s="40" t="s">
        <v>123</v>
      </c>
      <c r="E30" s="41" t="s">
        <v>26</v>
      </c>
      <c r="F30" s="40" t="s">
        <v>53</v>
      </c>
      <c r="G30" s="41" t="s">
        <v>805</v>
      </c>
      <c r="H30" s="40" t="s">
        <v>22</v>
      </c>
      <c r="I30" s="40"/>
      <c r="J30" s="41" t="s">
        <v>51</v>
      </c>
      <c r="K30" s="41" t="s">
        <v>29</v>
      </c>
      <c r="L30" s="41" t="s">
        <v>124</v>
      </c>
      <c r="M30" s="41" t="s">
        <v>809</v>
      </c>
    </row>
    <row r="31" spans="1:13" ht="47.25" x14ac:dyDescent="0.2">
      <c r="A31" s="39">
        <v>46055.698781851854</v>
      </c>
      <c r="B31" s="40">
        <v>28208045207</v>
      </c>
      <c r="C31" s="40" t="s">
        <v>125</v>
      </c>
      <c r="D31" s="40" t="s">
        <v>83</v>
      </c>
      <c r="E31" s="41" t="s">
        <v>26</v>
      </c>
      <c r="F31" s="40" t="s">
        <v>70</v>
      </c>
      <c r="G31" s="41" t="s">
        <v>805</v>
      </c>
      <c r="H31" s="40" t="s">
        <v>22</v>
      </c>
      <c r="I31" s="40"/>
      <c r="J31" s="41" t="s">
        <v>127</v>
      </c>
      <c r="K31" s="41" t="s">
        <v>68</v>
      </c>
      <c r="L31" s="41" t="s">
        <v>128</v>
      </c>
      <c r="M31" s="41" t="s">
        <v>809</v>
      </c>
    </row>
    <row r="32" spans="1:13" ht="47.25" x14ac:dyDescent="0.2">
      <c r="A32" s="39">
        <v>46053.489521782409</v>
      </c>
      <c r="B32" s="40">
        <v>27207143817</v>
      </c>
      <c r="C32" s="40" t="s">
        <v>129</v>
      </c>
      <c r="D32" s="40" t="s">
        <v>131</v>
      </c>
      <c r="E32" s="41" t="s">
        <v>26</v>
      </c>
      <c r="F32" s="40" t="s">
        <v>31</v>
      </c>
      <c r="G32" s="41" t="s">
        <v>805</v>
      </c>
      <c r="H32" s="40" t="s">
        <v>22</v>
      </c>
      <c r="I32" s="40"/>
      <c r="J32" s="41" t="s">
        <v>96</v>
      </c>
      <c r="K32" s="41" t="s">
        <v>29</v>
      </c>
      <c r="L32" s="41" t="s">
        <v>133</v>
      </c>
      <c r="M32" s="41" t="s">
        <v>809</v>
      </c>
    </row>
    <row r="33" spans="1:13" ht="47.25" x14ac:dyDescent="0.2">
      <c r="A33" s="39">
        <v>46052.654281331023</v>
      </c>
      <c r="B33" s="40">
        <v>27217153816</v>
      </c>
      <c r="C33" s="40" t="s">
        <v>134</v>
      </c>
      <c r="D33" s="40" t="s">
        <v>136</v>
      </c>
      <c r="E33" s="41" t="s">
        <v>26</v>
      </c>
      <c r="F33" s="40" t="s">
        <v>139</v>
      </c>
      <c r="G33" s="41" t="s">
        <v>805</v>
      </c>
      <c r="H33" s="40" t="s">
        <v>22</v>
      </c>
      <c r="I33" s="40"/>
      <c r="J33" s="41" t="s">
        <v>137</v>
      </c>
      <c r="K33" s="41" t="s">
        <v>29</v>
      </c>
      <c r="L33" s="41" t="s">
        <v>138</v>
      </c>
      <c r="M33" s="41" t="s">
        <v>809</v>
      </c>
    </row>
    <row r="34" spans="1:13" ht="47.25" x14ac:dyDescent="0.2">
      <c r="A34" s="39">
        <v>46055.682397708333</v>
      </c>
      <c r="B34" s="40">
        <v>27207131320</v>
      </c>
      <c r="C34" s="40" t="s">
        <v>140</v>
      </c>
      <c r="D34" s="40" t="s">
        <v>40</v>
      </c>
      <c r="E34" s="41" t="s">
        <v>26</v>
      </c>
      <c r="F34" s="40" t="s">
        <v>31</v>
      </c>
      <c r="G34" s="41" t="s">
        <v>805</v>
      </c>
      <c r="H34" s="40" t="s">
        <v>22</v>
      </c>
      <c r="I34" s="40"/>
      <c r="J34" s="41" t="s">
        <v>352</v>
      </c>
      <c r="K34" s="41" t="s">
        <v>29</v>
      </c>
      <c r="L34" s="41" t="s">
        <v>142</v>
      </c>
      <c r="M34" s="41" t="s">
        <v>809</v>
      </c>
    </row>
    <row r="35" spans="1:13" ht="47.25" x14ac:dyDescent="0.2">
      <c r="A35" s="39">
        <v>46052.768566342595</v>
      </c>
      <c r="B35" s="40">
        <v>28218050044</v>
      </c>
      <c r="C35" s="40" t="s">
        <v>143</v>
      </c>
      <c r="D35" s="40" t="s">
        <v>40</v>
      </c>
      <c r="E35" s="41" t="s">
        <v>26</v>
      </c>
      <c r="F35" s="40" t="s">
        <v>31</v>
      </c>
      <c r="G35" s="41" t="s">
        <v>805</v>
      </c>
      <c r="H35" s="40" t="s">
        <v>22</v>
      </c>
      <c r="I35" s="40"/>
      <c r="J35" s="41" t="s">
        <v>28</v>
      </c>
      <c r="K35" s="41" t="s">
        <v>29</v>
      </c>
      <c r="L35" s="41" t="s">
        <v>145</v>
      </c>
      <c r="M35" s="41" t="s">
        <v>809</v>
      </c>
    </row>
    <row r="36" spans="1:13" ht="47.25" x14ac:dyDescent="0.2">
      <c r="A36" s="39">
        <v>46055.710483194445</v>
      </c>
      <c r="B36" s="40">
        <v>28200402882</v>
      </c>
      <c r="C36" s="40" t="s">
        <v>146</v>
      </c>
      <c r="D36" s="40" t="s">
        <v>34</v>
      </c>
      <c r="E36" s="41" t="s">
        <v>26</v>
      </c>
      <c r="F36" s="40" t="s">
        <v>139</v>
      </c>
      <c r="G36" s="41" t="s">
        <v>805</v>
      </c>
      <c r="H36" s="40" t="s">
        <v>22</v>
      </c>
      <c r="I36" s="40"/>
      <c r="J36" s="41" t="s">
        <v>148</v>
      </c>
      <c r="K36" s="41" t="s">
        <v>29</v>
      </c>
      <c r="L36" s="41" t="s">
        <v>149</v>
      </c>
      <c r="M36" s="41" t="s">
        <v>809</v>
      </c>
    </row>
    <row r="37" spans="1:13" ht="47.25" x14ac:dyDescent="0.2">
      <c r="A37" s="39">
        <v>46055.346058946758</v>
      </c>
      <c r="B37" s="40">
        <v>28208039850</v>
      </c>
      <c r="C37" s="40" t="s">
        <v>150</v>
      </c>
      <c r="D37" s="40" t="s">
        <v>25</v>
      </c>
      <c r="E37" s="41" t="s">
        <v>26</v>
      </c>
      <c r="F37" s="40" t="s">
        <v>120</v>
      </c>
      <c r="G37" s="41" t="s">
        <v>805</v>
      </c>
      <c r="H37" s="40" t="s">
        <v>22</v>
      </c>
      <c r="I37" s="40"/>
      <c r="J37" s="41" t="s">
        <v>152</v>
      </c>
      <c r="K37" s="41" t="s">
        <v>153</v>
      </c>
      <c r="L37" s="41" t="s">
        <v>154</v>
      </c>
      <c r="M37" s="41" t="s">
        <v>809</v>
      </c>
    </row>
    <row r="38" spans="1:13" ht="60" x14ac:dyDescent="0.2">
      <c r="A38" s="39">
        <v>46051.6694565625</v>
      </c>
      <c r="B38" s="40">
        <v>28208300036</v>
      </c>
      <c r="C38" s="40" t="s">
        <v>155</v>
      </c>
      <c r="D38" s="40" t="s">
        <v>157</v>
      </c>
      <c r="E38" s="41" t="s">
        <v>158</v>
      </c>
      <c r="F38" s="40" t="s">
        <v>160</v>
      </c>
      <c r="G38" s="41" t="s">
        <v>806</v>
      </c>
      <c r="H38" s="40" t="s">
        <v>161</v>
      </c>
      <c r="I38" s="40" t="s">
        <v>162</v>
      </c>
      <c r="J38" s="41" t="s">
        <v>159</v>
      </c>
      <c r="K38" s="41" t="s">
        <v>29</v>
      </c>
      <c r="L38" s="41" t="s">
        <v>784</v>
      </c>
      <c r="M38" s="41" t="s">
        <v>808</v>
      </c>
    </row>
    <row r="39" spans="1:13" ht="47.25" x14ac:dyDescent="0.2">
      <c r="A39" s="39">
        <v>46055.57762434028</v>
      </c>
      <c r="B39" s="40">
        <v>28206105368</v>
      </c>
      <c r="C39" s="40" t="s">
        <v>163</v>
      </c>
      <c r="D39" s="40" t="s">
        <v>165</v>
      </c>
      <c r="E39" s="41" t="s">
        <v>26</v>
      </c>
      <c r="F39" s="40" t="s">
        <v>21</v>
      </c>
      <c r="G39" s="41" t="s">
        <v>805</v>
      </c>
      <c r="H39" s="40" t="s">
        <v>22</v>
      </c>
      <c r="I39" s="40"/>
      <c r="J39" s="41" t="s">
        <v>112</v>
      </c>
      <c r="K39" s="41" t="s">
        <v>29</v>
      </c>
      <c r="L39" s="41" t="s">
        <v>166</v>
      </c>
      <c r="M39" s="41" t="s">
        <v>809</v>
      </c>
    </row>
    <row r="40" spans="1:13" ht="47.25" x14ac:dyDescent="0.2">
      <c r="A40" s="39">
        <v>46053.673284710647</v>
      </c>
      <c r="B40" s="40">
        <v>28209238485</v>
      </c>
      <c r="C40" s="40" t="s">
        <v>167</v>
      </c>
      <c r="D40" s="40" t="s">
        <v>169</v>
      </c>
      <c r="E40" s="41" t="s">
        <v>26</v>
      </c>
      <c r="F40" s="40" t="s">
        <v>106</v>
      </c>
      <c r="G40" s="41" t="s">
        <v>805</v>
      </c>
      <c r="H40" s="40" t="s">
        <v>22</v>
      </c>
      <c r="I40" s="40"/>
      <c r="J40" s="41" t="s">
        <v>170</v>
      </c>
      <c r="K40" s="41" t="s">
        <v>29</v>
      </c>
      <c r="L40" s="41" t="s">
        <v>171</v>
      </c>
      <c r="M40" s="41" t="s">
        <v>809</v>
      </c>
    </row>
    <row r="41" spans="1:13" ht="76.5" x14ac:dyDescent="0.2">
      <c r="A41" s="39">
        <v>46052.650467453699</v>
      </c>
      <c r="B41" s="40">
        <v>28208138339</v>
      </c>
      <c r="C41" s="40" t="s">
        <v>172</v>
      </c>
      <c r="D41" s="40" t="s">
        <v>40</v>
      </c>
      <c r="E41" s="41" t="s">
        <v>26</v>
      </c>
      <c r="F41" s="40" t="s">
        <v>21</v>
      </c>
      <c r="G41" s="41" t="s">
        <v>805</v>
      </c>
      <c r="H41" s="40" t="s">
        <v>174</v>
      </c>
      <c r="I41" s="40"/>
      <c r="J41" s="41" t="s">
        <v>112</v>
      </c>
      <c r="K41" s="41" t="s">
        <v>29</v>
      </c>
      <c r="L41" s="41"/>
      <c r="M41" s="34" t="s">
        <v>807</v>
      </c>
    </row>
    <row r="42" spans="1:13" ht="47.25" x14ac:dyDescent="0.2">
      <c r="A42" s="39">
        <v>46051.692187430555</v>
      </c>
      <c r="B42" s="40">
        <v>28208142242</v>
      </c>
      <c r="C42" s="40" t="s">
        <v>175</v>
      </c>
      <c r="D42" s="40" t="s">
        <v>176</v>
      </c>
      <c r="E42" s="41" t="s">
        <v>26</v>
      </c>
      <c r="F42" s="40" t="s">
        <v>31</v>
      </c>
      <c r="G42" s="41" t="s">
        <v>805</v>
      </c>
      <c r="H42" s="40" t="s">
        <v>22</v>
      </c>
      <c r="I42" s="40"/>
      <c r="J42" s="41" t="s">
        <v>28</v>
      </c>
      <c r="K42" s="41" t="s">
        <v>29</v>
      </c>
      <c r="L42" s="41" t="s">
        <v>177</v>
      </c>
      <c r="M42" s="41" t="s">
        <v>809</v>
      </c>
    </row>
    <row r="43" spans="1:13" ht="47.25" x14ac:dyDescent="0.2">
      <c r="A43" s="39">
        <v>46053.756711909722</v>
      </c>
      <c r="B43" s="40">
        <v>28208054653</v>
      </c>
      <c r="C43" s="40" t="s">
        <v>178</v>
      </c>
      <c r="D43" s="40" t="s">
        <v>180</v>
      </c>
      <c r="E43" s="41" t="s">
        <v>26</v>
      </c>
      <c r="F43" s="40" t="s">
        <v>139</v>
      </c>
      <c r="G43" s="41" t="s">
        <v>805</v>
      </c>
      <c r="H43" s="40" t="s">
        <v>22</v>
      </c>
      <c r="I43" s="40"/>
      <c r="J43" s="41" t="s">
        <v>181</v>
      </c>
      <c r="K43" s="41" t="s">
        <v>29</v>
      </c>
      <c r="L43" s="41" t="s">
        <v>182</v>
      </c>
      <c r="M43" s="41" t="s">
        <v>809</v>
      </c>
    </row>
    <row r="44" spans="1:13" ht="47.25" x14ac:dyDescent="0.2">
      <c r="A44" s="39">
        <v>46051.700996041662</v>
      </c>
      <c r="B44" s="40">
        <v>28208005404</v>
      </c>
      <c r="C44" s="40" t="s">
        <v>183</v>
      </c>
      <c r="D44" s="40" t="s">
        <v>185</v>
      </c>
      <c r="E44" s="41" t="s">
        <v>26</v>
      </c>
      <c r="F44" s="40" t="s">
        <v>31</v>
      </c>
      <c r="G44" s="41" t="s">
        <v>805</v>
      </c>
      <c r="H44" s="40" t="s">
        <v>22</v>
      </c>
      <c r="I44" s="40"/>
      <c r="J44" s="41" t="s">
        <v>41</v>
      </c>
      <c r="K44" s="41" t="s">
        <v>29</v>
      </c>
      <c r="L44" s="41" t="s">
        <v>186</v>
      </c>
      <c r="M44" s="41" t="s">
        <v>809</v>
      </c>
    </row>
    <row r="45" spans="1:13" ht="47.25" x14ac:dyDescent="0.2">
      <c r="A45" s="39">
        <v>46051.710733402782</v>
      </c>
      <c r="B45" s="40">
        <v>28208036232</v>
      </c>
      <c r="C45" s="40" t="s">
        <v>187</v>
      </c>
      <c r="D45" s="40" t="s">
        <v>189</v>
      </c>
      <c r="E45" s="41" t="s">
        <v>26</v>
      </c>
      <c r="F45" s="40" t="s">
        <v>31</v>
      </c>
      <c r="G45" s="41" t="s">
        <v>805</v>
      </c>
      <c r="H45" s="40" t="s">
        <v>22</v>
      </c>
      <c r="I45" s="40"/>
      <c r="J45" s="41" t="s">
        <v>28</v>
      </c>
      <c r="K45" s="41" t="s">
        <v>29</v>
      </c>
      <c r="L45" s="41" t="s">
        <v>190</v>
      </c>
      <c r="M45" s="41" t="s">
        <v>809</v>
      </c>
    </row>
    <row r="46" spans="1:13" ht="47.25" x14ac:dyDescent="0.2">
      <c r="A46" s="39">
        <v>46051.711567361112</v>
      </c>
      <c r="B46" s="40">
        <v>28208034626</v>
      </c>
      <c r="C46" s="40" t="s">
        <v>191</v>
      </c>
      <c r="D46" s="40" t="s">
        <v>40</v>
      </c>
      <c r="E46" s="41" t="s">
        <v>26</v>
      </c>
      <c r="F46" s="40" t="s">
        <v>31</v>
      </c>
      <c r="G46" s="41" t="s">
        <v>805</v>
      </c>
      <c r="H46" s="40" t="s">
        <v>22</v>
      </c>
      <c r="I46" s="40"/>
      <c r="J46" s="41" t="s">
        <v>41</v>
      </c>
      <c r="K46" s="41" t="s">
        <v>29</v>
      </c>
      <c r="L46" s="41" t="s">
        <v>193</v>
      </c>
      <c r="M46" s="41" t="s">
        <v>809</v>
      </c>
    </row>
    <row r="47" spans="1:13" ht="47.25" x14ac:dyDescent="0.2">
      <c r="A47" s="39">
        <v>46055.405889479167</v>
      </c>
      <c r="B47" s="40">
        <v>27207124663</v>
      </c>
      <c r="C47" s="40" t="s">
        <v>194</v>
      </c>
      <c r="D47" s="40" t="s">
        <v>176</v>
      </c>
      <c r="E47" s="41" t="s">
        <v>26</v>
      </c>
      <c r="F47" s="40" t="s">
        <v>106</v>
      </c>
      <c r="G47" s="41" t="s">
        <v>805</v>
      </c>
      <c r="H47" s="40" t="s">
        <v>22</v>
      </c>
      <c r="I47" s="40"/>
      <c r="J47" s="41" t="s">
        <v>196</v>
      </c>
      <c r="K47" s="41" t="s">
        <v>29</v>
      </c>
      <c r="L47" s="41" t="s">
        <v>197</v>
      </c>
      <c r="M47" s="41" t="s">
        <v>809</v>
      </c>
    </row>
    <row r="48" spans="1:13" ht="47.25" x14ac:dyDescent="0.2">
      <c r="A48" s="39">
        <v>46051.839020798609</v>
      </c>
      <c r="B48" s="40">
        <v>27207121752</v>
      </c>
      <c r="C48" s="40" t="s">
        <v>198</v>
      </c>
      <c r="D48" s="40" t="s">
        <v>200</v>
      </c>
      <c r="E48" s="41" t="s">
        <v>26</v>
      </c>
      <c r="F48" s="40" t="s">
        <v>75</v>
      </c>
      <c r="G48" s="41" t="s">
        <v>805</v>
      </c>
      <c r="H48" s="40" t="s">
        <v>22</v>
      </c>
      <c r="I48" s="40"/>
      <c r="J48" s="41" t="s">
        <v>51</v>
      </c>
      <c r="K48" s="41" t="s">
        <v>68</v>
      </c>
      <c r="L48" s="41" t="s">
        <v>201</v>
      </c>
      <c r="M48" s="41" t="s">
        <v>809</v>
      </c>
    </row>
    <row r="49" spans="1:13" ht="47.25" x14ac:dyDescent="0.2">
      <c r="A49" s="39">
        <v>46051.821530879628</v>
      </c>
      <c r="B49" s="40">
        <v>28208151980</v>
      </c>
      <c r="C49" s="40" t="s">
        <v>202</v>
      </c>
      <c r="D49" s="40" t="s">
        <v>83</v>
      </c>
      <c r="E49" s="41" t="s">
        <v>26</v>
      </c>
      <c r="F49" s="40" t="s">
        <v>75</v>
      </c>
      <c r="G49" s="41" t="s">
        <v>805</v>
      </c>
      <c r="H49" s="40" t="s">
        <v>22</v>
      </c>
      <c r="I49" s="40"/>
      <c r="J49" s="41" t="s">
        <v>41</v>
      </c>
      <c r="K49" s="41" t="s">
        <v>68</v>
      </c>
      <c r="L49" s="41" t="s">
        <v>204</v>
      </c>
      <c r="M49" s="41" t="s">
        <v>809</v>
      </c>
    </row>
    <row r="50" spans="1:13" ht="47.25" x14ac:dyDescent="0.2">
      <c r="A50" s="39">
        <v>46051.756713356481</v>
      </c>
      <c r="B50" s="40">
        <v>28208001228</v>
      </c>
      <c r="C50" s="40" t="s">
        <v>205</v>
      </c>
      <c r="D50" s="40" t="s">
        <v>78</v>
      </c>
      <c r="E50" s="41" t="s">
        <v>16</v>
      </c>
      <c r="F50" s="40" t="s">
        <v>31</v>
      </c>
      <c r="G50" s="41" t="s">
        <v>805</v>
      </c>
      <c r="H50" s="40" t="s">
        <v>22</v>
      </c>
      <c r="I50" s="40"/>
      <c r="J50" s="41" t="s">
        <v>207</v>
      </c>
      <c r="K50" s="41" t="s">
        <v>29</v>
      </c>
      <c r="L50" s="41" t="s">
        <v>208</v>
      </c>
      <c r="M50" s="41" t="s">
        <v>810</v>
      </c>
    </row>
    <row r="51" spans="1:13" ht="47.25" x14ac:dyDescent="0.2">
      <c r="A51" s="39">
        <v>46052.522252222218</v>
      </c>
      <c r="B51" s="40">
        <v>28214545352</v>
      </c>
      <c r="C51" s="40" t="s">
        <v>209</v>
      </c>
      <c r="D51" s="40" t="s">
        <v>180</v>
      </c>
      <c r="E51" s="41" t="s">
        <v>26</v>
      </c>
      <c r="F51" s="40" t="s">
        <v>139</v>
      </c>
      <c r="G51" s="41" t="s">
        <v>805</v>
      </c>
      <c r="H51" s="40" t="s">
        <v>22</v>
      </c>
      <c r="I51" s="40"/>
      <c r="J51" s="41" t="s">
        <v>181</v>
      </c>
      <c r="K51" s="41" t="s">
        <v>29</v>
      </c>
      <c r="L51" s="41" t="s">
        <v>211</v>
      </c>
      <c r="M51" s="41" t="s">
        <v>809</v>
      </c>
    </row>
    <row r="52" spans="1:13" ht="47.25" x14ac:dyDescent="0.2">
      <c r="A52" s="39">
        <v>46055.806187210648</v>
      </c>
      <c r="B52" s="40">
        <v>28208000472</v>
      </c>
      <c r="C52" s="40" t="s">
        <v>212</v>
      </c>
      <c r="D52" s="40" t="s">
        <v>40</v>
      </c>
      <c r="E52" s="41" t="s">
        <v>26</v>
      </c>
      <c r="F52" s="40" t="s">
        <v>75</v>
      </c>
      <c r="G52" s="41" t="s">
        <v>805</v>
      </c>
      <c r="H52" s="40" t="s">
        <v>22</v>
      </c>
      <c r="I52" s="40"/>
      <c r="J52" s="41" t="s">
        <v>214</v>
      </c>
      <c r="K52" s="41" t="s">
        <v>68</v>
      </c>
      <c r="L52" s="41" t="s">
        <v>215</v>
      </c>
      <c r="M52" s="41" t="s">
        <v>809</v>
      </c>
    </row>
    <row r="53" spans="1:13" ht="47.25" x14ac:dyDescent="0.2">
      <c r="A53" s="39">
        <v>46053.467933263892</v>
      </c>
      <c r="B53" s="40">
        <v>28201143043</v>
      </c>
      <c r="C53" s="40" t="s">
        <v>216</v>
      </c>
      <c r="D53" s="40" t="s">
        <v>176</v>
      </c>
      <c r="E53" s="41" t="s">
        <v>26</v>
      </c>
      <c r="F53" s="40" t="s">
        <v>139</v>
      </c>
      <c r="G53" s="41" t="s">
        <v>805</v>
      </c>
      <c r="H53" s="40" t="s">
        <v>22</v>
      </c>
      <c r="I53" s="40"/>
      <c r="J53" s="41" t="s">
        <v>218</v>
      </c>
      <c r="K53" s="41" t="s">
        <v>153</v>
      </c>
      <c r="L53" s="41" t="s">
        <v>785</v>
      </c>
      <c r="M53" s="41" t="s">
        <v>809</v>
      </c>
    </row>
    <row r="54" spans="1:13" ht="47.25" x14ac:dyDescent="0.2">
      <c r="A54" s="39">
        <v>46051.778215925922</v>
      </c>
      <c r="B54" s="40">
        <v>28216204311</v>
      </c>
      <c r="C54" s="40" t="s">
        <v>219</v>
      </c>
      <c r="D54" s="40" t="s">
        <v>189</v>
      </c>
      <c r="E54" s="41" t="s">
        <v>26</v>
      </c>
      <c r="F54" s="40" t="s">
        <v>31</v>
      </c>
      <c r="G54" s="41" t="s">
        <v>805</v>
      </c>
      <c r="H54" s="40" t="s">
        <v>22</v>
      </c>
      <c r="I54" s="40"/>
      <c r="J54" s="41" t="s">
        <v>221</v>
      </c>
      <c r="K54" s="41" t="s">
        <v>29</v>
      </c>
      <c r="L54" s="41" t="s">
        <v>222</v>
      </c>
      <c r="M54" s="41" t="s">
        <v>809</v>
      </c>
    </row>
    <row r="55" spans="1:13" ht="47.25" x14ac:dyDescent="0.2">
      <c r="A55" s="39">
        <v>46053.483022523149</v>
      </c>
      <c r="B55" s="40">
        <v>28208002374</v>
      </c>
      <c r="C55" s="40" t="s">
        <v>223</v>
      </c>
      <c r="D55" s="40" t="s">
        <v>25</v>
      </c>
      <c r="E55" s="41" t="s">
        <v>26</v>
      </c>
      <c r="F55" s="40" t="s">
        <v>106</v>
      </c>
      <c r="G55" s="41" t="s">
        <v>805</v>
      </c>
      <c r="H55" s="40" t="s">
        <v>22</v>
      </c>
      <c r="I55" s="40"/>
      <c r="J55" s="41" t="s">
        <v>225</v>
      </c>
      <c r="K55" s="41" t="s">
        <v>29</v>
      </c>
      <c r="L55" s="41" t="s">
        <v>226</v>
      </c>
      <c r="M55" s="41" t="s">
        <v>809</v>
      </c>
    </row>
    <row r="56" spans="1:13" ht="47.25" x14ac:dyDescent="0.2">
      <c r="A56" s="39">
        <v>46056.269552673606</v>
      </c>
      <c r="B56" s="40">
        <v>28208002425</v>
      </c>
      <c r="C56" s="40" t="s">
        <v>227</v>
      </c>
      <c r="D56" s="40" t="s">
        <v>34</v>
      </c>
      <c r="E56" s="41" t="s">
        <v>26</v>
      </c>
      <c r="F56" s="40" t="s">
        <v>106</v>
      </c>
      <c r="G56" s="41" t="s">
        <v>805</v>
      </c>
      <c r="H56" s="40" t="s">
        <v>22</v>
      </c>
      <c r="I56" s="40"/>
      <c r="J56" s="41" t="s">
        <v>225</v>
      </c>
      <c r="K56" s="41" t="s">
        <v>29</v>
      </c>
      <c r="L56" s="41" t="s">
        <v>229</v>
      </c>
      <c r="M56" s="41" t="s">
        <v>809</v>
      </c>
    </row>
    <row r="57" spans="1:13" ht="47.25" x14ac:dyDescent="0.2">
      <c r="A57" s="39">
        <v>46051.822045416666</v>
      </c>
      <c r="B57" s="40">
        <v>28218050646</v>
      </c>
      <c r="C57" s="40" t="s">
        <v>230</v>
      </c>
      <c r="D57" s="40" t="s">
        <v>189</v>
      </c>
      <c r="E57" s="41" t="s">
        <v>26</v>
      </c>
      <c r="F57" s="40" t="s">
        <v>75</v>
      </c>
      <c r="G57" s="41" t="s">
        <v>805</v>
      </c>
      <c r="H57" s="40" t="s">
        <v>22</v>
      </c>
      <c r="I57" s="40"/>
      <c r="J57" s="41" t="s">
        <v>232</v>
      </c>
      <c r="K57" s="41" t="s">
        <v>68</v>
      </c>
      <c r="L57" s="41" t="s">
        <v>786</v>
      </c>
      <c r="M57" s="41" t="s">
        <v>809</v>
      </c>
    </row>
    <row r="58" spans="1:13" ht="47.25" x14ac:dyDescent="0.2">
      <c r="A58" s="39">
        <v>46051.800152638883</v>
      </c>
      <c r="B58" s="40">
        <v>28208227611</v>
      </c>
      <c r="C58" s="40" t="s">
        <v>233</v>
      </c>
      <c r="D58" s="40" t="s">
        <v>189</v>
      </c>
      <c r="E58" s="41" t="s">
        <v>26</v>
      </c>
      <c r="F58" s="40" t="s">
        <v>106</v>
      </c>
      <c r="G58" s="41" t="s">
        <v>805</v>
      </c>
      <c r="H58" s="40" t="s">
        <v>22</v>
      </c>
      <c r="I58" s="40"/>
      <c r="J58" s="41" t="s">
        <v>104</v>
      </c>
      <c r="K58" s="41" t="s">
        <v>29</v>
      </c>
      <c r="L58" s="41" t="s">
        <v>787</v>
      </c>
      <c r="M58" s="41" t="s">
        <v>809</v>
      </c>
    </row>
    <row r="59" spans="1:13" ht="47.25" x14ac:dyDescent="0.2">
      <c r="A59" s="39">
        <v>46051.82204353009</v>
      </c>
      <c r="B59" s="40">
        <v>28208001232</v>
      </c>
      <c r="C59" s="40" t="s">
        <v>235</v>
      </c>
      <c r="D59" s="40" t="s">
        <v>169</v>
      </c>
      <c r="E59" s="41" t="s">
        <v>26</v>
      </c>
      <c r="F59" s="40" t="s">
        <v>139</v>
      </c>
      <c r="G59" s="41" t="s">
        <v>805</v>
      </c>
      <c r="H59" s="40" t="s">
        <v>22</v>
      </c>
      <c r="I59" s="40"/>
      <c r="J59" s="41" t="s">
        <v>79</v>
      </c>
      <c r="K59" s="41" t="s">
        <v>29</v>
      </c>
      <c r="L59" s="41" t="s">
        <v>237</v>
      </c>
      <c r="M59" s="41" t="s">
        <v>809</v>
      </c>
    </row>
    <row r="60" spans="1:13" ht="47.25" x14ac:dyDescent="0.2">
      <c r="A60" s="39">
        <v>46051.824139398144</v>
      </c>
      <c r="B60" s="40">
        <v>28208020230</v>
      </c>
      <c r="C60" s="40" t="s">
        <v>238</v>
      </c>
      <c r="D60" s="40" t="s">
        <v>34</v>
      </c>
      <c r="E60" s="41" t="s">
        <v>26</v>
      </c>
      <c r="F60" s="40" t="s">
        <v>75</v>
      </c>
      <c r="G60" s="41" t="s">
        <v>805</v>
      </c>
      <c r="H60" s="40" t="s">
        <v>22</v>
      </c>
      <c r="I60" s="40"/>
      <c r="J60" s="41" t="s">
        <v>240</v>
      </c>
      <c r="K60" s="41" t="s">
        <v>68</v>
      </c>
      <c r="L60" s="41" t="s">
        <v>241</v>
      </c>
      <c r="M60" s="41" t="s">
        <v>810</v>
      </c>
    </row>
    <row r="61" spans="1:13" ht="60" x14ac:dyDescent="0.2">
      <c r="A61" s="39">
        <v>46055.674842465276</v>
      </c>
      <c r="B61" s="40">
        <v>27202141732</v>
      </c>
      <c r="C61" s="40" t="s">
        <v>242</v>
      </c>
      <c r="D61" s="40" t="s">
        <v>136</v>
      </c>
      <c r="E61" s="41" t="s">
        <v>26</v>
      </c>
      <c r="F61" s="40" t="s">
        <v>75</v>
      </c>
      <c r="G61" s="41" t="s">
        <v>805</v>
      </c>
      <c r="H61" s="40" t="s">
        <v>161</v>
      </c>
      <c r="I61" s="40" t="s">
        <v>245</v>
      </c>
      <c r="J61" s="41" t="s">
        <v>244</v>
      </c>
      <c r="K61" s="41" t="s">
        <v>68</v>
      </c>
      <c r="L61" s="41" t="s">
        <v>245</v>
      </c>
      <c r="M61" s="41" t="s">
        <v>808</v>
      </c>
    </row>
    <row r="62" spans="1:13" ht="47.25" x14ac:dyDescent="0.2">
      <c r="A62" s="39">
        <v>46053.531106249997</v>
      </c>
      <c r="B62" s="40">
        <v>28208254001</v>
      </c>
      <c r="C62" s="40" t="s">
        <v>246</v>
      </c>
      <c r="D62" s="40" t="s">
        <v>165</v>
      </c>
      <c r="E62" s="41" t="s">
        <v>26</v>
      </c>
      <c r="F62" s="40" t="s">
        <v>106</v>
      </c>
      <c r="G62" s="41" t="s">
        <v>805</v>
      </c>
      <c r="H62" s="40" t="s">
        <v>22</v>
      </c>
      <c r="I62" s="40"/>
      <c r="J62" s="41" t="s">
        <v>248</v>
      </c>
      <c r="K62" s="41" t="s">
        <v>29</v>
      </c>
      <c r="L62" s="41" t="s">
        <v>249</v>
      </c>
      <c r="M62" s="41" t="s">
        <v>809</v>
      </c>
    </row>
    <row r="63" spans="1:13" ht="47.25" x14ac:dyDescent="0.2">
      <c r="A63" s="39">
        <v>46052.576665081018</v>
      </c>
      <c r="B63" s="40">
        <v>28208053568</v>
      </c>
      <c r="C63" s="40" t="s">
        <v>250</v>
      </c>
      <c r="D63" s="40" t="s">
        <v>83</v>
      </c>
      <c r="E63" s="41" t="s">
        <v>26</v>
      </c>
      <c r="F63" s="40" t="s">
        <v>106</v>
      </c>
      <c r="G63" s="41" t="s">
        <v>805</v>
      </c>
      <c r="H63" s="40" t="s">
        <v>22</v>
      </c>
      <c r="I63" s="40"/>
      <c r="J63" s="41" t="s">
        <v>252</v>
      </c>
      <c r="K63" s="41" t="s">
        <v>29</v>
      </c>
      <c r="L63" s="41" t="s">
        <v>253</v>
      </c>
      <c r="M63" s="41" t="s">
        <v>809</v>
      </c>
    </row>
    <row r="64" spans="1:13" ht="47.25" x14ac:dyDescent="0.2">
      <c r="A64" s="39">
        <v>46051.86890976852</v>
      </c>
      <c r="B64" s="40">
        <v>27207134401</v>
      </c>
      <c r="C64" s="40" t="s">
        <v>254</v>
      </c>
      <c r="D64" s="40" t="s">
        <v>256</v>
      </c>
      <c r="E64" s="41" t="s">
        <v>26</v>
      </c>
      <c r="F64" s="40" t="s">
        <v>75</v>
      </c>
      <c r="G64" s="41" t="s">
        <v>805</v>
      </c>
      <c r="H64" s="40" t="s">
        <v>22</v>
      </c>
      <c r="I64" s="40"/>
      <c r="J64" s="41" t="s">
        <v>51</v>
      </c>
      <c r="K64" s="41" t="s">
        <v>68</v>
      </c>
      <c r="L64" s="41" t="s">
        <v>257</v>
      </c>
      <c r="M64" s="41" t="s">
        <v>809</v>
      </c>
    </row>
    <row r="65" spans="1:13" ht="47.25" x14ac:dyDescent="0.2">
      <c r="A65" s="39">
        <v>46053.619966342594</v>
      </c>
      <c r="B65" s="40">
        <v>28208004094</v>
      </c>
      <c r="C65" s="40" t="s">
        <v>258</v>
      </c>
      <c r="D65" s="40" t="s">
        <v>165</v>
      </c>
      <c r="E65" s="41" t="s">
        <v>26</v>
      </c>
      <c r="F65" s="40" t="s">
        <v>106</v>
      </c>
      <c r="G65" s="41" t="s">
        <v>805</v>
      </c>
      <c r="H65" s="40" t="s">
        <v>22</v>
      </c>
      <c r="I65" s="40"/>
      <c r="J65" s="41" t="s">
        <v>248</v>
      </c>
      <c r="K65" s="41" t="s">
        <v>29</v>
      </c>
      <c r="L65" s="41" t="s">
        <v>259</v>
      </c>
      <c r="M65" s="41" t="s">
        <v>809</v>
      </c>
    </row>
    <row r="66" spans="1:13" ht="60" x14ac:dyDescent="0.2">
      <c r="A66" s="39">
        <v>46055.676014421297</v>
      </c>
      <c r="B66" s="40">
        <v>28208005673</v>
      </c>
      <c r="C66" s="40" t="s">
        <v>260</v>
      </c>
      <c r="D66" s="40" t="s">
        <v>169</v>
      </c>
      <c r="E66" s="41" t="s">
        <v>26</v>
      </c>
      <c r="F66" s="40" t="s">
        <v>75</v>
      </c>
      <c r="G66" s="41" t="s">
        <v>805</v>
      </c>
      <c r="H66" s="40" t="s">
        <v>161</v>
      </c>
      <c r="I66" s="40" t="s">
        <v>262</v>
      </c>
      <c r="J66" s="41" t="s">
        <v>63</v>
      </c>
      <c r="K66" s="41" t="s">
        <v>68</v>
      </c>
      <c r="L66" s="41" t="s">
        <v>788</v>
      </c>
      <c r="M66" s="41" t="s">
        <v>808</v>
      </c>
    </row>
    <row r="67" spans="1:13" ht="47.25" x14ac:dyDescent="0.2">
      <c r="A67" s="39">
        <v>46051.915721550926</v>
      </c>
      <c r="B67" s="40">
        <v>28218021742</v>
      </c>
      <c r="C67" s="40" t="s">
        <v>263</v>
      </c>
      <c r="D67" s="40" t="s">
        <v>34</v>
      </c>
      <c r="E67" s="41" t="s">
        <v>26</v>
      </c>
      <c r="F67" s="40" t="s">
        <v>106</v>
      </c>
      <c r="G67" s="41" t="s">
        <v>805</v>
      </c>
      <c r="H67" s="40" t="s">
        <v>22</v>
      </c>
      <c r="I67" s="40"/>
      <c r="J67" s="41" t="s">
        <v>265</v>
      </c>
      <c r="K67" s="41" t="s">
        <v>29</v>
      </c>
      <c r="L67" s="41" t="s">
        <v>266</v>
      </c>
      <c r="M67" s="41" t="s">
        <v>809</v>
      </c>
    </row>
    <row r="68" spans="1:13" ht="60" x14ac:dyDescent="0.2">
      <c r="A68" s="39">
        <v>46055.667341805558</v>
      </c>
      <c r="B68" s="40">
        <v>25217110364</v>
      </c>
      <c r="C68" s="40" t="s">
        <v>267</v>
      </c>
      <c r="D68" s="40" t="s">
        <v>269</v>
      </c>
      <c r="E68" s="41" t="s">
        <v>26</v>
      </c>
      <c r="F68" s="40" t="s">
        <v>75</v>
      </c>
      <c r="G68" s="41" t="s">
        <v>805</v>
      </c>
      <c r="H68" s="40" t="s">
        <v>161</v>
      </c>
      <c r="I68" s="40" t="s">
        <v>271</v>
      </c>
      <c r="J68" s="41" t="s">
        <v>789</v>
      </c>
      <c r="K68" s="41" t="s">
        <v>68</v>
      </c>
      <c r="L68" s="41" t="s">
        <v>271</v>
      </c>
      <c r="M68" s="41" t="s">
        <v>808</v>
      </c>
    </row>
    <row r="69" spans="1:13" ht="47.25" x14ac:dyDescent="0.2">
      <c r="A69" s="39">
        <v>46055.494183055554</v>
      </c>
      <c r="B69" s="40">
        <v>28208238804</v>
      </c>
      <c r="C69" s="40" t="s">
        <v>272</v>
      </c>
      <c r="D69" s="40" t="s">
        <v>25</v>
      </c>
      <c r="E69" s="41" t="s">
        <v>26</v>
      </c>
      <c r="F69" s="40" t="s">
        <v>37</v>
      </c>
      <c r="G69" s="41" t="s">
        <v>805</v>
      </c>
      <c r="H69" s="40" t="s">
        <v>22</v>
      </c>
      <c r="I69" s="40"/>
      <c r="J69" s="41" t="s">
        <v>35</v>
      </c>
      <c r="K69" s="41" t="s">
        <v>29</v>
      </c>
      <c r="L69" s="41" t="s">
        <v>274</v>
      </c>
      <c r="M69" s="41" t="s">
        <v>809</v>
      </c>
    </row>
    <row r="70" spans="1:13" ht="47.25" x14ac:dyDescent="0.2">
      <c r="A70" s="39">
        <v>46055.404236574075</v>
      </c>
      <c r="B70" s="40">
        <v>28218001578</v>
      </c>
      <c r="C70" s="40" t="s">
        <v>275</v>
      </c>
      <c r="D70" s="40" t="s">
        <v>40</v>
      </c>
      <c r="E70" s="41" t="s">
        <v>26</v>
      </c>
      <c r="F70" s="40" t="s">
        <v>106</v>
      </c>
      <c r="G70" s="41" t="s">
        <v>805</v>
      </c>
      <c r="H70" s="40" t="s">
        <v>22</v>
      </c>
      <c r="I70" s="40"/>
      <c r="J70" s="41" t="s">
        <v>104</v>
      </c>
      <c r="K70" s="41" t="s">
        <v>29</v>
      </c>
      <c r="L70" s="41" t="s">
        <v>277</v>
      </c>
      <c r="M70" s="41" t="s">
        <v>809</v>
      </c>
    </row>
    <row r="71" spans="1:13" ht="47.25" x14ac:dyDescent="0.2">
      <c r="A71" s="39">
        <v>46053.827719016204</v>
      </c>
      <c r="B71" s="40">
        <v>28208000844</v>
      </c>
      <c r="C71" s="40" t="s">
        <v>278</v>
      </c>
      <c r="D71" s="40" t="s">
        <v>25</v>
      </c>
      <c r="E71" s="41" t="s">
        <v>26</v>
      </c>
      <c r="F71" s="40" t="s">
        <v>75</v>
      </c>
      <c r="G71" s="41" t="s">
        <v>805</v>
      </c>
      <c r="H71" s="40" t="s">
        <v>22</v>
      </c>
      <c r="I71" s="40"/>
      <c r="J71" s="41" t="s">
        <v>279</v>
      </c>
      <c r="K71" s="41" t="s">
        <v>68</v>
      </c>
      <c r="L71" s="41" t="s">
        <v>280</v>
      </c>
      <c r="M71" s="41" t="s">
        <v>809</v>
      </c>
    </row>
    <row r="72" spans="1:13" ht="47.25" x14ac:dyDescent="0.2">
      <c r="A72" s="39">
        <v>46051.988000682875</v>
      </c>
      <c r="B72" s="40">
        <v>28208003815</v>
      </c>
      <c r="C72" s="40" t="s">
        <v>281</v>
      </c>
      <c r="D72" s="40" t="s">
        <v>283</v>
      </c>
      <c r="E72" s="41" t="s">
        <v>16</v>
      </c>
      <c r="F72" s="40" t="s">
        <v>139</v>
      </c>
      <c r="G72" s="41" t="s">
        <v>805</v>
      </c>
      <c r="H72" s="40" t="s">
        <v>22</v>
      </c>
      <c r="I72" s="40"/>
      <c r="J72" s="41" t="s">
        <v>79</v>
      </c>
      <c r="K72" s="41" t="s">
        <v>29</v>
      </c>
      <c r="L72" s="41" t="s">
        <v>284</v>
      </c>
      <c r="M72" s="41" t="s">
        <v>809</v>
      </c>
    </row>
    <row r="73" spans="1:13" ht="47.25" x14ac:dyDescent="0.2">
      <c r="A73" s="39">
        <v>46052.442549236112</v>
      </c>
      <c r="B73" s="40">
        <v>28208027475</v>
      </c>
      <c r="C73" s="40" t="s">
        <v>285</v>
      </c>
      <c r="D73" s="40" t="s">
        <v>176</v>
      </c>
      <c r="E73" s="41" t="s">
        <v>26</v>
      </c>
      <c r="F73" s="40" t="s">
        <v>31</v>
      </c>
      <c r="G73" s="41" t="s">
        <v>805</v>
      </c>
      <c r="H73" s="40" t="s">
        <v>22</v>
      </c>
      <c r="I73" s="40"/>
      <c r="J73" s="41" t="s">
        <v>28</v>
      </c>
      <c r="K73" s="41" t="s">
        <v>29</v>
      </c>
      <c r="L73" s="41" t="s">
        <v>287</v>
      </c>
      <c r="M73" s="41" t="s">
        <v>809</v>
      </c>
    </row>
    <row r="74" spans="1:13" ht="47.25" x14ac:dyDescent="0.2">
      <c r="A74" s="39">
        <v>46052.01529502315</v>
      </c>
      <c r="B74" s="40">
        <v>28204502696</v>
      </c>
      <c r="C74" s="40" t="s">
        <v>288</v>
      </c>
      <c r="D74" s="40" t="s">
        <v>40</v>
      </c>
      <c r="E74" s="41" t="s">
        <v>26</v>
      </c>
      <c r="F74" s="40" t="s">
        <v>106</v>
      </c>
      <c r="G74" s="41" t="s">
        <v>805</v>
      </c>
      <c r="H74" s="40" t="s">
        <v>22</v>
      </c>
      <c r="I74" s="40"/>
      <c r="J74" s="41" t="s">
        <v>252</v>
      </c>
      <c r="K74" s="41" t="s">
        <v>29</v>
      </c>
      <c r="L74" s="41" t="s">
        <v>290</v>
      </c>
      <c r="M74" s="41" t="s">
        <v>809</v>
      </c>
    </row>
    <row r="75" spans="1:13" ht="60" x14ac:dyDescent="0.2">
      <c r="A75" s="39">
        <v>46052.748247986106</v>
      </c>
      <c r="B75" s="40">
        <v>28208004696</v>
      </c>
      <c r="C75" s="40" t="s">
        <v>291</v>
      </c>
      <c r="D75" s="40" t="s">
        <v>293</v>
      </c>
      <c r="E75" s="41" t="s">
        <v>26</v>
      </c>
      <c r="F75" s="40" t="s">
        <v>139</v>
      </c>
      <c r="G75" s="41" t="s">
        <v>805</v>
      </c>
      <c r="H75" s="40" t="s">
        <v>161</v>
      </c>
      <c r="I75" s="40" t="s">
        <v>772</v>
      </c>
      <c r="J75" s="41" t="s">
        <v>720</v>
      </c>
      <c r="K75" s="41" t="s">
        <v>29</v>
      </c>
      <c r="L75" s="41" t="s">
        <v>790</v>
      </c>
      <c r="M75" s="41" t="s">
        <v>808</v>
      </c>
    </row>
    <row r="76" spans="1:13" ht="47.25" x14ac:dyDescent="0.2">
      <c r="A76" s="39">
        <v>46052.356572685181</v>
      </c>
      <c r="B76" s="40">
        <v>27212228929</v>
      </c>
      <c r="C76" s="40" t="s">
        <v>294</v>
      </c>
      <c r="D76" s="40" t="s">
        <v>296</v>
      </c>
      <c r="E76" s="41" t="s">
        <v>26</v>
      </c>
      <c r="F76" s="40" t="s">
        <v>139</v>
      </c>
      <c r="G76" s="41" t="s">
        <v>805</v>
      </c>
      <c r="H76" s="40" t="s">
        <v>22</v>
      </c>
      <c r="I76" s="40"/>
      <c r="J76" s="41" t="s">
        <v>79</v>
      </c>
      <c r="K76" s="41" t="s">
        <v>29</v>
      </c>
      <c r="L76" s="41" t="s">
        <v>297</v>
      </c>
      <c r="M76" s="41" t="s">
        <v>809</v>
      </c>
    </row>
    <row r="77" spans="1:13" ht="47.25" x14ac:dyDescent="0.2">
      <c r="A77" s="39">
        <v>46052.360039884261</v>
      </c>
      <c r="B77" s="40">
        <v>28208025228</v>
      </c>
      <c r="C77" s="40" t="s">
        <v>298</v>
      </c>
      <c r="D77" s="40" t="s">
        <v>299</v>
      </c>
      <c r="E77" s="41" t="s">
        <v>26</v>
      </c>
      <c r="F77" s="40" t="s">
        <v>31</v>
      </c>
      <c r="G77" s="41" t="s">
        <v>805</v>
      </c>
      <c r="H77" s="40" t="s">
        <v>22</v>
      </c>
      <c r="I77" s="40"/>
      <c r="J77" s="41" t="s">
        <v>28</v>
      </c>
      <c r="K77" s="41" t="s">
        <v>29</v>
      </c>
      <c r="L77" s="41" t="s">
        <v>300</v>
      </c>
      <c r="M77" s="41" t="s">
        <v>809</v>
      </c>
    </row>
    <row r="78" spans="1:13" ht="76.5" x14ac:dyDescent="0.2">
      <c r="A78" s="39">
        <v>46055.486004930557</v>
      </c>
      <c r="B78" s="40">
        <v>28204600357</v>
      </c>
      <c r="C78" s="40" t="s">
        <v>301</v>
      </c>
      <c r="D78" s="40" t="s">
        <v>40</v>
      </c>
      <c r="E78" s="41" t="s">
        <v>26</v>
      </c>
      <c r="F78" s="40" t="s">
        <v>70</v>
      </c>
      <c r="G78" s="41" t="s">
        <v>805</v>
      </c>
      <c r="H78" s="40" t="s">
        <v>174</v>
      </c>
      <c r="I78" s="40" t="s">
        <v>760</v>
      </c>
      <c r="J78" s="41" t="s">
        <v>657</v>
      </c>
      <c r="K78" s="41" t="s">
        <v>68</v>
      </c>
      <c r="L78" s="41"/>
      <c r="M78" s="41" t="s">
        <v>807</v>
      </c>
    </row>
    <row r="79" spans="1:13" ht="47.25" x14ac:dyDescent="0.2">
      <c r="A79" s="39">
        <v>46053.352189479163</v>
      </c>
      <c r="B79" s="40">
        <v>28208000460</v>
      </c>
      <c r="C79" s="40" t="s">
        <v>303</v>
      </c>
      <c r="D79" s="40" t="s">
        <v>305</v>
      </c>
      <c r="E79" s="41" t="s">
        <v>16</v>
      </c>
      <c r="F79" s="40" t="s">
        <v>70</v>
      </c>
      <c r="G79" s="41" t="s">
        <v>805</v>
      </c>
      <c r="H79" s="40" t="s">
        <v>22</v>
      </c>
      <c r="I79" s="40"/>
      <c r="J79" s="41" t="s">
        <v>306</v>
      </c>
      <c r="K79" s="41" t="s">
        <v>68</v>
      </c>
      <c r="L79" s="41" t="s">
        <v>307</v>
      </c>
      <c r="M79" s="41" t="s">
        <v>809</v>
      </c>
    </row>
    <row r="80" spans="1:13" ht="47.25" x14ac:dyDescent="0.2">
      <c r="A80" s="39">
        <v>46055.766800405094</v>
      </c>
      <c r="B80" s="40">
        <v>27207102890</v>
      </c>
      <c r="C80" s="40" t="s">
        <v>308</v>
      </c>
      <c r="D80" s="40" t="s">
        <v>296</v>
      </c>
      <c r="E80" s="41" t="s">
        <v>26</v>
      </c>
      <c r="F80" s="40" t="s">
        <v>70</v>
      </c>
      <c r="G80" s="41" t="s">
        <v>805</v>
      </c>
      <c r="H80" s="40" t="s">
        <v>22</v>
      </c>
      <c r="I80" s="40"/>
      <c r="J80" s="41" t="s">
        <v>127</v>
      </c>
      <c r="K80" s="41" t="s">
        <v>68</v>
      </c>
      <c r="L80" s="41" t="s">
        <v>310</v>
      </c>
      <c r="M80" s="41" t="s">
        <v>809</v>
      </c>
    </row>
    <row r="81" spans="1:13" ht="47.25" x14ac:dyDescent="0.2">
      <c r="A81" s="39">
        <v>46052.368709050927</v>
      </c>
      <c r="B81" s="40">
        <v>28208000506</v>
      </c>
      <c r="C81" s="40" t="s">
        <v>311</v>
      </c>
      <c r="D81" s="40" t="s">
        <v>83</v>
      </c>
      <c r="E81" s="41" t="s">
        <v>26</v>
      </c>
      <c r="F81" s="40" t="s">
        <v>70</v>
      </c>
      <c r="G81" s="41" t="s">
        <v>805</v>
      </c>
      <c r="H81" s="40" t="s">
        <v>22</v>
      </c>
      <c r="I81" s="40"/>
      <c r="J81" s="41" t="s">
        <v>313</v>
      </c>
      <c r="K81" s="41" t="s">
        <v>68</v>
      </c>
      <c r="L81" s="41" t="s">
        <v>314</v>
      </c>
      <c r="M81" s="41" t="s">
        <v>809</v>
      </c>
    </row>
    <row r="82" spans="1:13" ht="47.25" x14ac:dyDescent="0.2">
      <c r="A82" s="39">
        <v>46052.370730011578</v>
      </c>
      <c r="B82" s="40">
        <v>28208006728</v>
      </c>
      <c r="C82" s="40" t="s">
        <v>315</v>
      </c>
      <c r="D82" s="40" t="s">
        <v>25</v>
      </c>
      <c r="E82" s="41" t="s">
        <v>26</v>
      </c>
      <c r="F82" s="40" t="s">
        <v>31</v>
      </c>
      <c r="G82" s="41" t="s">
        <v>805</v>
      </c>
      <c r="H82" s="40" t="s">
        <v>22</v>
      </c>
      <c r="I82" s="40"/>
      <c r="J82" s="41" t="s">
        <v>28</v>
      </c>
      <c r="K82" s="41" t="s">
        <v>29</v>
      </c>
      <c r="L82" s="41" t="s">
        <v>317</v>
      </c>
      <c r="M82" s="41" t="s">
        <v>809</v>
      </c>
    </row>
    <row r="83" spans="1:13" ht="47.25" x14ac:dyDescent="0.2">
      <c r="A83" s="39">
        <v>46055.619865601853</v>
      </c>
      <c r="B83" s="40">
        <v>28208048776</v>
      </c>
      <c r="C83" s="40" t="s">
        <v>318</v>
      </c>
      <c r="D83" s="40" t="s">
        <v>40</v>
      </c>
      <c r="E83" s="41" t="s">
        <v>26</v>
      </c>
      <c r="F83" s="40" t="s">
        <v>70</v>
      </c>
      <c r="G83" s="41" t="s">
        <v>805</v>
      </c>
      <c r="H83" s="40" t="s">
        <v>22</v>
      </c>
      <c r="I83" s="40"/>
      <c r="J83" s="41" t="s">
        <v>320</v>
      </c>
      <c r="K83" s="41" t="s">
        <v>68</v>
      </c>
      <c r="L83" s="41" t="s">
        <v>321</v>
      </c>
      <c r="M83" s="41" t="s">
        <v>809</v>
      </c>
    </row>
    <row r="84" spans="1:13" ht="47.25" x14ac:dyDescent="0.2">
      <c r="A84" s="39">
        <v>46052.373575069447</v>
      </c>
      <c r="B84" s="40">
        <v>28208040700</v>
      </c>
      <c r="C84" s="40" t="s">
        <v>322</v>
      </c>
      <c r="D84" s="40" t="s">
        <v>189</v>
      </c>
      <c r="E84" s="41" t="s">
        <v>26</v>
      </c>
      <c r="F84" s="40" t="s">
        <v>70</v>
      </c>
      <c r="G84" s="41" t="s">
        <v>805</v>
      </c>
      <c r="H84" s="40" t="s">
        <v>22</v>
      </c>
      <c r="I84" s="40"/>
      <c r="J84" s="41" t="s">
        <v>79</v>
      </c>
      <c r="K84" s="41" t="s">
        <v>68</v>
      </c>
      <c r="L84" s="41" t="s">
        <v>324</v>
      </c>
      <c r="M84" s="41" t="s">
        <v>809</v>
      </c>
    </row>
    <row r="85" spans="1:13" ht="47.25" x14ac:dyDescent="0.2">
      <c r="A85" s="39">
        <v>46052.374524143517</v>
      </c>
      <c r="B85" s="40">
        <v>28208001082</v>
      </c>
      <c r="C85" s="40" t="s">
        <v>325</v>
      </c>
      <c r="D85" s="40" t="s">
        <v>83</v>
      </c>
      <c r="E85" s="41" t="s">
        <v>26</v>
      </c>
      <c r="F85" s="40" t="s">
        <v>70</v>
      </c>
      <c r="G85" s="41" t="s">
        <v>805</v>
      </c>
      <c r="H85" s="40" t="s">
        <v>22</v>
      </c>
      <c r="I85" s="40"/>
      <c r="J85" s="41" t="s">
        <v>252</v>
      </c>
      <c r="K85" s="41" t="s">
        <v>68</v>
      </c>
      <c r="L85" s="41" t="s">
        <v>327</v>
      </c>
      <c r="M85" s="41" t="s">
        <v>809</v>
      </c>
    </row>
    <row r="86" spans="1:13" ht="47.25" x14ac:dyDescent="0.2">
      <c r="A86" s="39">
        <v>46052.375888194445</v>
      </c>
      <c r="B86" s="40">
        <v>28208049424</v>
      </c>
      <c r="C86" s="40" t="s">
        <v>328</v>
      </c>
      <c r="D86" s="40" t="s">
        <v>305</v>
      </c>
      <c r="E86" s="41" t="s">
        <v>16</v>
      </c>
      <c r="F86" s="40" t="s">
        <v>70</v>
      </c>
      <c r="G86" s="41" t="s">
        <v>805</v>
      </c>
      <c r="H86" s="40" t="s">
        <v>22</v>
      </c>
      <c r="I86" s="40"/>
      <c r="J86" s="41" t="s">
        <v>181</v>
      </c>
      <c r="K86" s="41" t="s">
        <v>68</v>
      </c>
      <c r="L86" s="41" t="s">
        <v>330</v>
      </c>
      <c r="M86" s="41" t="s">
        <v>809</v>
      </c>
    </row>
    <row r="87" spans="1:13" ht="47.25" x14ac:dyDescent="0.2">
      <c r="A87" s="39">
        <v>46052.376851018518</v>
      </c>
      <c r="B87" s="40">
        <v>28208002019</v>
      </c>
      <c r="C87" s="40" t="s">
        <v>331</v>
      </c>
      <c r="D87" s="40" t="s">
        <v>100</v>
      </c>
      <c r="E87" s="41" t="s">
        <v>26</v>
      </c>
      <c r="F87" s="40" t="s">
        <v>70</v>
      </c>
      <c r="G87" s="41" t="s">
        <v>805</v>
      </c>
      <c r="H87" s="40" t="s">
        <v>22</v>
      </c>
      <c r="I87" s="40"/>
      <c r="J87" s="41" t="s">
        <v>112</v>
      </c>
      <c r="K87" s="41" t="s">
        <v>68</v>
      </c>
      <c r="L87" s="41" t="s">
        <v>333</v>
      </c>
      <c r="M87" s="41" t="s">
        <v>809</v>
      </c>
    </row>
    <row r="88" spans="1:13" ht="60" x14ac:dyDescent="0.2">
      <c r="A88" s="39">
        <v>46052.38009042824</v>
      </c>
      <c r="B88" s="40">
        <v>28204646208</v>
      </c>
      <c r="C88" s="40" t="s">
        <v>334</v>
      </c>
      <c r="D88" s="40" t="s">
        <v>123</v>
      </c>
      <c r="E88" s="41" t="s">
        <v>26</v>
      </c>
      <c r="F88" s="40" t="s">
        <v>70</v>
      </c>
      <c r="G88" s="41" t="s">
        <v>805</v>
      </c>
      <c r="H88" s="40" t="s">
        <v>161</v>
      </c>
      <c r="I88" s="40" t="s">
        <v>766</v>
      </c>
      <c r="J88" s="41" t="s">
        <v>112</v>
      </c>
      <c r="K88" s="41" t="s">
        <v>68</v>
      </c>
      <c r="L88" s="41" t="s">
        <v>766</v>
      </c>
      <c r="M88" s="41" t="s">
        <v>808</v>
      </c>
    </row>
    <row r="89" spans="1:13" ht="47.25" x14ac:dyDescent="0.2">
      <c r="A89" s="39">
        <v>46052.605266979168</v>
      </c>
      <c r="B89" s="40">
        <v>28208034773</v>
      </c>
      <c r="C89" s="40" t="s">
        <v>335</v>
      </c>
      <c r="D89" s="40" t="s">
        <v>337</v>
      </c>
      <c r="E89" s="41" t="s">
        <v>26</v>
      </c>
      <c r="F89" s="40" t="s">
        <v>70</v>
      </c>
      <c r="G89" s="41" t="s">
        <v>805</v>
      </c>
      <c r="H89" s="40" t="s">
        <v>22</v>
      </c>
      <c r="I89" s="40"/>
      <c r="J89" s="41" t="s">
        <v>313</v>
      </c>
      <c r="K89" s="41" t="s">
        <v>68</v>
      </c>
      <c r="L89" s="41" t="s">
        <v>338</v>
      </c>
      <c r="M89" s="41" t="s">
        <v>809</v>
      </c>
    </row>
    <row r="90" spans="1:13" ht="47.25" x14ac:dyDescent="0.2">
      <c r="A90" s="39">
        <v>46052.385850185186</v>
      </c>
      <c r="B90" s="40">
        <v>28208038493</v>
      </c>
      <c r="C90" s="40" t="s">
        <v>339</v>
      </c>
      <c r="D90" s="40" t="s">
        <v>299</v>
      </c>
      <c r="E90" s="41" t="s">
        <v>26</v>
      </c>
      <c r="F90" s="40" t="s">
        <v>70</v>
      </c>
      <c r="G90" s="41" t="s">
        <v>805</v>
      </c>
      <c r="H90" s="40" t="s">
        <v>22</v>
      </c>
      <c r="I90" s="40"/>
      <c r="J90" s="41" t="s">
        <v>112</v>
      </c>
      <c r="K90" s="41" t="s">
        <v>68</v>
      </c>
      <c r="L90" s="41" t="s">
        <v>340</v>
      </c>
      <c r="M90" s="41" t="s">
        <v>809</v>
      </c>
    </row>
    <row r="91" spans="1:13" ht="47.25" x14ac:dyDescent="0.2">
      <c r="A91" s="39">
        <v>46052.38720636574</v>
      </c>
      <c r="B91" s="40">
        <v>28208003995</v>
      </c>
      <c r="C91" s="40" t="s">
        <v>341</v>
      </c>
      <c r="D91" s="40" t="s">
        <v>343</v>
      </c>
      <c r="E91" s="41" t="s">
        <v>26</v>
      </c>
      <c r="F91" s="40" t="s">
        <v>70</v>
      </c>
      <c r="G91" s="41" t="s">
        <v>805</v>
      </c>
      <c r="H91" s="40" t="s">
        <v>22</v>
      </c>
      <c r="I91" s="40"/>
      <c r="J91" s="41" t="s">
        <v>344</v>
      </c>
      <c r="K91" s="41" t="s">
        <v>68</v>
      </c>
      <c r="L91" s="41" t="s">
        <v>345</v>
      </c>
      <c r="M91" s="41" t="s">
        <v>809</v>
      </c>
    </row>
    <row r="92" spans="1:13" ht="47.25" x14ac:dyDescent="0.2">
      <c r="A92" s="39">
        <v>46052.407075972224</v>
      </c>
      <c r="B92" s="40">
        <v>28208000880</v>
      </c>
      <c r="C92" s="40" t="s">
        <v>346</v>
      </c>
      <c r="D92" s="40" t="s">
        <v>34</v>
      </c>
      <c r="E92" s="41" t="s">
        <v>26</v>
      </c>
      <c r="F92" s="40" t="s">
        <v>47</v>
      </c>
      <c r="G92" s="41" t="s">
        <v>805</v>
      </c>
      <c r="H92" s="40" t="s">
        <v>22</v>
      </c>
      <c r="I92" s="40"/>
      <c r="J92" s="41" t="s">
        <v>348</v>
      </c>
      <c r="K92" s="41" t="s">
        <v>19</v>
      </c>
      <c r="L92" s="41" t="s">
        <v>349</v>
      </c>
      <c r="M92" s="41" t="s">
        <v>809</v>
      </c>
    </row>
    <row r="93" spans="1:13" ht="47.25" x14ac:dyDescent="0.2">
      <c r="A93" s="39">
        <v>46052.421400254629</v>
      </c>
      <c r="B93" s="40">
        <v>27207130900</v>
      </c>
      <c r="C93" s="40" t="s">
        <v>350</v>
      </c>
      <c r="D93" s="40" t="s">
        <v>165</v>
      </c>
      <c r="E93" s="41" t="s">
        <v>26</v>
      </c>
      <c r="F93" s="40" t="s">
        <v>47</v>
      </c>
      <c r="G93" s="41" t="s">
        <v>805</v>
      </c>
      <c r="H93" s="40" t="s">
        <v>22</v>
      </c>
      <c r="I93" s="40"/>
      <c r="J93" s="41" t="s">
        <v>352</v>
      </c>
      <c r="K93" s="41" t="s">
        <v>19</v>
      </c>
      <c r="L93" s="41" t="s">
        <v>353</v>
      </c>
      <c r="M93" s="41" t="s">
        <v>809</v>
      </c>
    </row>
    <row r="94" spans="1:13" ht="60" x14ac:dyDescent="0.2">
      <c r="A94" s="39">
        <v>46052.422253576384</v>
      </c>
      <c r="B94" s="40">
        <v>28206132737</v>
      </c>
      <c r="C94" s="40" t="s">
        <v>354</v>
      </c>
      <c r="D94" s="40" t="s">
        <v>34</v>
      </c>
      <c r="E94" s="41" t="s">
        <v>26</v>
      </c>
      <c r="F94" s="40" t="s">
        <v>47</v>
      </c>
      <c r="G94" s="41" t="s">
        <v>805</v>
      </c>
      <c r="H94" s="40" t="s">
        <v>161</v>
      </c>
      <c r="I94" s="40" t="s">
        <v>356</v>
      </c>
      <c r="J94" s="41" t="s">
        <v>774</v>
      </c>
      <c r="K94" s="41" t="s">
        <v>19</v>
      </c>
      <c r="L94" s="41" t="s">
        <v>356</v>
      </c>
      <c r="M94" s="41" t="s">
        <v>808</v>
      </c>
    </row>
    <row r="95" spans="1:13" ht="60" x14ac:dyDescent="0.2">
      <c r="A95" s="39">
        <v>46052.422748877318</v>
      </c>
      <c r="B95" s="40">
        <v>28208006609</v>
      </c>
      <c r="C95" s="40" t="s">
        <v>357</v>
      </c>
      <c r="D95" s="40" t="s">
        <v>359</v>
      </c>
      <c r="E95" s="41" t="s">
        <v>26</v>
      </c>
      <c r="F95" s="40" t="s">
        <v>47</v>
      </c>
      <c r="G95" s="41" t="s">
        <v>805</v>
      </c>
      <c r="H95" s="40" t="s">
        <v>161</v>
      </c>
      <c r="I95" s="40" t="s">
        <v>361</v>
      </c>
      <c r="J95" s="41" t="s">
        <v>776</v>
      </c>
      <c r="K95" s="41" t="s">
        <v>19</v>
      </c>
      <c r="L95" s="41" t="s">
        <v>361</v>
      </c>
      <c r="M95" s="41" t="s">
        <v>808</v>
      </c>
    </row>
    <row r="96" spans="1:13" ht="60" x14ac:dyDescent="0.2">
      <c r="A96" s="39">
        <v>46052.424449710648</v>
      </c>
      <c r="B96" s="40">
        <v>28218002858</v>
      </c>
      <c r="C96" s="40" t="s">
        <v>362</v>
      </c>
      <c r="D96" s="40" t="s">
        <v>73</v>
      </c>
      <c r="E96" s="41" t="s">
        <v>26</v>
      </c>
      <c r="F96" s="40" t="s">
        <v>106</v>
      </c>
      <c r="G96" s="41" t="s">
        <v>805</v>
      </c>
      <c r="H96" s="40" t="s">
        <v>768</v>
      </c>
      <c r="I96" s="40" t="s">
        <v>791</v>
      </c>
      <c r="J96" s="41" t="s">
        <v>35</v>
      </c>
      <c r="K96" s="41" t="s">
        <v>19</v>
      </c>
      <c r="L96" s="41" t="s">
        <v>791</v>
      </c>
      <c r="M96" s="41" t="s">
        <v>808</v>
      </c>
    </row>
    <row r="97" spans="1:13" ht="47.25" x14ac:dyDescent="0.2">
      <c r="A97" s="39">
        <v>46052.424621550927</v>
      </c>
      <c r="B97" s="40">
        <v>25217203161</v>
      </c>
      <c r="C97" s="40" t="s">
        <v>363</v>
      </c>
      <c r="D97" s="40" t="s">
        <v>365</v>
      </c>
      <c r="E97" s="41" t="s">
        <v>26</v>
      </c>
      <c r="F97" s="40" t="s">
        <v>47</v>
      </c>
      <c r="G97" s="41" t="s">
        <v>805</v>
      </c>
      <c r="H97" s="40" t="s">
        <v>22</v>
      </c>
      <c r="I97" s="40"/>
      <c r="J97" s="41" t="s">
        <v>366</v>
      </c>
      <c r="K97" s="41" t="s">
        <v>19</v>
      </c>
      <c r="L97" s="41" t="s">
        <v>367</v>
      </c>
      <c r="M97" s="41" t="s">
        <v>809</v>
      </c>
    </row>
    <row r="98" spans="1:13" ht="47.25" x14ac:dyDescent="0.2">
      <c r="A98" s="39">
        <v>46052.457548749997</v>
      </c>
      <c r="B98" s="40">
        <v>28218000754</v>
      </c>
      <c r="C98" s="40" t="s">
        <v>368</v>
      </c>
      <c r="D98" s="40" t="s">
        <v>370</v>
      </c>
      <c r="E98" s="41" t="s">
        <v>16</v>
      </c>
      <c r="F98" s="40" t="s">
        <v>47</v>
      </c>
      <c r="G98" s="41" t="s">
        <v>805</v>
      </c>
      <c r="H98" s="40" t="s">
        <v>22</v>
      </c>
      <c r="I98" s="40"/>
      <c r="J98" s="41" t="s">
        <v>137</v>
      </c>
      <c r="K98" s="41" t="s">
        <v>19</v>
      </c>
      <c r="L98" s="41" t="s">
        <v>371</v>
      </c>
      <c r="M98" s="41" t="s">
        <v>809</v>
      </c>
    </row>
    <row r="99" spans="1:13" ht="47.25" x14ac:dyDescent="0.2">
      <c r="A99" s="39">
        <v>46052.433021400459</v>
      </c>
      <c r="B99" s="40">
        <v>28208052843</v>
      </c>
      <c r="C99" s="40" t="s">
        <v>372</v>
      </c>
      <c r="D99" s="40" t="s">
        <v>50</v>
      </c>
      <c r="E99" s="41" t="s">
        <v>26</v>
      </c>
      <c r="F99" s="40" t="s">
        <v>21</v>
      </c>
      <c r="G99" s="41" t="s">
        <v>805</v>
      </c>
      <c r="H99" s="40" t="s">
        <v>22</v>
      </c>
      <c r="I99" s="40"/>
      <c r="J99" s="41" t="s">
        <v>374</v>
      </c>
      <c r="K99" s="41" t="s">
        <v>29</v>
      </c>
      <c r="L99" s="41" t="s">
        <v>375</v>
      </c>
      <c r="M99" s="41" t="s">
        <v>809</v>
      </c>
    </row>
    <row r="100" spans="1:13" ht="47.25" x14ac:dyDescent="0.2">
      <c r="A100" s="39">
        <v>46052.439419201386</v>
      </c>
      <c r="B100" s="40">
        <v>28210301285</v>
      </c>
      <c r="C100" s="40" t="s">
        <v>376</v>
      </c>
      <c r="D100" s="40" t="s">
        <v>378</v>
      </c>
      <c r="E100" s="41" t="s">
        <v>16</v>
      </c>
      <c r="F100" s="40" t="s">
        <v>47</v>
      </c>
      <c r="G100" s="41" t="s">
        <v>805</v>
      </c>
      <c r="H100" s="40" t="s">
        <v>22</v>
      </c>
      <c r="I100" s="40"/>
      <c r="J100" s="41" t="s">
        <v>379</v>
      </c>
      <c r="K100" s="41" t="s">
        <v>19</v>
      </c>
      <c r="L100" s="41" t="s">
        <v>380</v>
      </c>
      <c r="M100" s="41" t="s">
        <v>809</v>
      </c>
    </row>
    <row r="101" spans="1:13" ht="47.25" x14ac:dyDescent="0.2">
      <c r="A101" s="39">
        <v>46055.694341539347</v>
      </c>
      <c r="B101" s="40">
        <v>28208027313</v>
      </c>
      <c r="C101" s="40" t="s">
        <v>381</v>
      </c>
      <c r="D101" s="40" t="s">
        <v>34</v>
      </c>
      <c r="E101" s="41" t="s">
        <v>26</v>
      </c>
      <c r="F101" s="40" t="s">
        <v>70</v>
      </c>
      <c r="G101" s="41" t="s">
        <v>805</v>
      </c>
      <c r="H101" s="40" t="s">
        <v>22</v>
      </c>
      <c r="I101" s="40"/>
      <c r="J101" s="41" t="s">
        <v>127</v>
      </c>
      <c r="K101" s="41" t="s">
        <v>68</v>
      </c>
      <c r="L101" s="41" t="s">
        <v>382</v>
      </c>
      <c r="M101" s="41" t="s">
        <v>809</v>
      </c>
    </row>
    <row r="102" spans="1:13" ht="47.25" x14ac:dyDescent="0.2">
      <c r="A102" s="39">
        <v>46052.780991458334</v>
      </c>
      <c r="B102" s="40">
        <v>28208031328</v>
      </c>
      <c r="C102" s="40" t="s">
        <v>383</v>
      </c>
      <c r="D102" s="40" t="s">
        <v>299</v>
      </c>
      <c r="E102" s="41" t="s">
        <v>26</v>
      </c>
      <c r="F102" s="40" t="s">
        <v>70</v>
      </c>
      <c r="G102" s="41" t="s">
        <v>805</v>
      </c>
      <c r="H102" s="40" t="s">
        <v>22</v>
      </c>
      <c r="I102" s="40"/>
      <c r="J102" s="41" t="s">
        <v>127</v>
      </c>
      <c r="K102" s="41" t="s">
        <v>68</v>
      </c>
      <c r="L102" s="41" t="s">
        <v>385</v>
      </c>
      <c r="M102" s="41" t="s">
        <v>809</v>
      </c>
    </row>
    <row r="103" spans="1:13" ht="47.25" x14ac:dyDescent="0.2">
      <c r="A103" s="39">
        <v>46052.450486759262</v>
      </c>
      <c r="B103" s="40">
        <v>28208029072</v>
      </c>
      <c r="C103" s="40" t="s">
        <v>386</v>
      </c>
      <c r="D103" s="40" t="s">
        <v>40</v>
      </c>
      <c r="E103" s="41" t="s">
        <v>26</v>
      </c>
      <c r="F103" s="40" t="s">
        <v>21</v>
      </c>
      <c r="G103" s="41" t="s">
        <v>805</v>
      </c>
      <c r="H103" s="40" t="s">
        <v>22</v>
      </c>
      <c r="I103" s="40"/>
      <c r="J103" s="41" t="s">
        <v>56</v>
      </c>
      <c r="K103" s="41" t="s">
        <v>29</v>
      </c>
      <c r="L103" s="41" t="s">
        <v>777</v>
      </c>
      <c r="M103" s="41" t="s">
        <v>809</v>
      </c>
    </row>
    <row r="104" spans="1:13" ht="47.25" x14ac:dyDescent="0.2">
      <c r="A104" s="39">
        <v>46055.732535613424</v>
      </c>
      <c r="B104" s="40">
        <v>28208054729</v>
      </c>
      <c r="C104" s="40" t="s">
        <v>388</v>
      </c>
      <c r="D104" s="40" t="s">
        <v>359</v>
      </c>
      <c r="E104" s="41" t="s">
        <v>26</v>
      </c>
      <c r="F104" s="40" t="s">
        <v>139</v>
      </c>
      <c r="G104" s="41" t="s">
        <v>805</v>
      </c>
      <c r="H104" s="40" t="s">
        <v>22</v>
      </c>
      <c r="I104" s="40"/>
      <c r="J104" s="41" t="s">
        <v>390</v>
      </c>
      <c r="K104" s="41" t="s">
        <v>29</v>
      </c>
      <c r="L104" s="41" t="s">
        <v>391</v>
      </c>
      <c r="M104" s="41" t="s">
        <v>809</v>
      </c>
    </row>
    <row r="105" spans="1:13" ht="47.25" x14ac:dyDescent="0.2">
      <c r="A105" s="39">
        <v>46052.457095844904</v>
      </c>
      <c r="B105" s="40">
        <v>27207146419</v>
      </c>
      <c r="C105" s="40" t="s">
        <v>392</v>
      </c>
      <c r="D105" s="40" t="s">
        <v>176</v>
      </c>
      <c r="E105" s="41" t="s">
        <v>26</v>
      </c>
      <c r="F105" s="40" t="s">
        <v>139</v>
      </c>
      <c r="G105" s="41" t="s">
        <v>805</v>
      </c>
      <c r="H105" s="40" t="s">
        <v>22</v>
      </c>
      <c r="I105" s="40"/>
      <c r="J105" s="41" t="s">
        <v>218</v>
      </c>
      <c r="K105" s="41" t="s">
        <v>29</v>
      </c>
      <c r="L105" s="41" t="s">
        <v>394</v>
      </c>
      <c r="M105" s="41" t="s">
        <v>809</v>
      </c>
    </row>
    <row r="106" spans="1:13" ht="47.25" x14ac:dyDescent="0.2">
      <c r="A106" s="39">
        <v>46052.461596412038</v>
      </c>
      <c r="B106" s="40">
        <v>28208001290</v>
      </c>
      <c r="C106" s="40" t="s">
        <v>395</v>
      </c>
      <c r="D106" s="40" t="s">
        <v>397</v>
      </c>
      <c r="E106" s="41" t="s">
        <v>16</v>
      </c>
      <c r="F106" s="40" t="s">
        <v>75</v>
      </c>
      <c r="G106" s="41" t="s">
        <v>805</v>
      </c>
      <c r="H106" s="40" t="s">
        <v>22</v>
      </c>
      <c r="I106" s="40"/>
      <c r="J106" s="41" t="s">
        <v>207</v>
      </c>
      <c r="K106" s="41" t="s">
        <v>68</v>
      </c>
      <c r="L106" s="41" t="s">
        <v>398</v>
      </c>
      <c r="M106" s="41" t="s">
        <v>810</v>
      </c>
    </row>
    <row r="107" spans="1:13" ht="47.25" x14ac:dyDescent="0.2">
      <c r="A107" s="39">
        <v>46052.939737523149</v>
      </c>
      <c r="B107" s="40">
        <v>27207127979</v>
      </c>
      <c r="C107" s="40" t="s">
        <v>399</v>
      </c>
      <c r="D107" s="40" t="s">
        <v>296</v>
      </c>
      <c r="E107" s="41" t="s">
        <v>26</v>
      </c>
      <c r="F107" s="40" t="s">
        <v>53</v>
      </c>
      <c r="G107" s="41" t="s">
        <v>805</v>
      </c>
      <c r="H107" s="40" t="s">
        <v>22</v>
      </c>
      <c r="I107" s="40"/>
      <c r="J107" s="41" t="s">
        <v>127</v>
      </c>
      <c r="K107" s="41" t="s">
        <v>29</v>
      </c>
      <c r="L107" s="41" t="s">
        <v>401</v>
      </c>
      <c r="M107" s="41" t="s">
        <v>809</v>
      </c>
    </row>
    <row r="108" spans="1:13" ht="47.25" x14ac:dyDescent="0.2">
      <c r="A108" s="39">
        <v>46052.464161909724</v>
      </c>
      <c r="B108" s="40">
        <v>26217131923</v>
      </c>
      <c r="C108" s="40" t="s">
        <v>402</v>
      </c>
      <c r="D108" s="40" t="s">
        <v>404</v>
      </c>
      <c r="E108" s="41" t="s">
        <v>16</v>
      </c>
      <c r="F108" s="40" t="s">
        <v>53</v>
      </c>
      <c r="G108" s="41" t="s">
        <v>805</v>
      </c>
      <c r="H108" s="40" t="s">
        <v>22</v>
      </c>
      <c r="I108" s="40"/>
      <c r="J108" s="41" t="s">
        <v>405</v>
      </c>
      <c r="K108" s="41" t="s">
        <v>29</v>
      </c>
      <c r="L108" s="41" t="s">
        <v>406</v>
      </c>
      <c r="M108" s="41" t="s">
        <v>809</v>
      </c>
    </row>
    <row r="109" spans="1:13" ht="47.25" x14ac:dyDescent="0.2">
      <c r="A109" s="39">
        <v>46052.475025868058</v>
      </c>
      <c r="B109" s="40">
        <v>28208052811</v>
      </c>
      <c r="C109" s="40" t="s">
        <v>407</v>
      </c>
      <c r="D109" s="40" t="s">
        <v>359</v>
      </c>
      <c r="E109" s="41" t="s">
        <v>26</v>
      </c>
      <c r="F109" s="40" t="s">
        <v>53</v>
      </c>
      <c r="G109" s="41" t="s">
        <v>805</v>
      </c>
      <c r="H109" s="40" t="s">
        <v>22</v>
      </c>
      <c r="I109" s="40"/>
      <c r="J109" s="41" t="s">
        <v>225</v>
      </c>
      <c r="K109" s="41" t="s">
        <v>19</v>
      </c>
      <c r="L109" s="41" t="s">
        <v>769</v>
      </c>
      <c r="M109" s="41" t="s">
        <v>809</v>
      </c>
    </row>
    <row r="110" spans="1:13" ht="47.25" x14ac:dyDescent="0.2">
      <c r="A110" s="39">
        <v>46052.476877777779</v>
      </c>
      <c r="B110" s="40">
        <v>27217128905</v>
      </c>
      <c r="C110" s="40" t="s">
        <v>408</v>
      </c>
      <c r="D110" s="40" t="s">
        <v>410</v>
      </c>
      <c r="E110" s="41" t="s">
        <v>16</v>
      </c>
      <c r="F110" s="40" t="s">
        <v>53</v>
      </c>
      <c r="G110" s="41" t="s">
        <v>805</v>
      </c>
      <c r="H110" s="40" t="s">
        <v>22</v>
      </c>
      <c r="I110" s="40"/>
      <c r="J110" s="41" t="s">
        <v>159</v>
      </c>
      <c r="K110" s="41" t="s">
        <v>29</v>
      </c>
      <c r="L110" s="41" t="s">
        <v>411</v>
      </c>
      <c r="M110" s="41" t="s">
        <v>809</v>
      </c>
    </row>
    <row r="111" spans="1:13" ht="47.25" x14ac:dyDescent="0.2">
      <c r="A111" s="39">
        <v>46052.479187719902</v>
      </c>
      <c r="B111" s="40">
        <v>28205141297</v>
      </c>
      <c r="C111" s="40" t="s">
        <v>412</v>
      </c>
      <c r="D111" s="40" t="s">
        <v>73</v>
      </c>
      <c r="E111" s="41" t="s">
        <v>26</v>
      </c>
      <c r="F111" s="40" t="s">
        <v>53</v>
      </c>
      <c r="G111" s="41" t="s">
        <v>805</v>
      </c>
      <c r="H111" s="40" t="s">
        <v>22</v>
      </c>
      <c r="I111" s="40"/>
      <c r="J111" s="41" t="s">
        <v>159</v>
      </c>
      <c r="K111" s="41" t="s">
        <v>29</v>
      </c>
      <c r="L111" s="41" t="s">
        <v>414</v>
      </c>
      <c r="M111" s="41" t="s">
        <v>809</v>
      </c>
    </row>
    <row r="112" spans="1:13" ht="47.25" x14ac:dyDescent="0.2">
      <c r="A112" s="39">
        <v>46055.779907835647</v>
      </c>
      <c r="B112" s="40">
        <v>27217142150</v>
      </c>
      <c r="C112" s="40" t="s">
        <v>415</v>
      </c>
      <c r="D112" s="40" t="s">
        <v>417</v>
      </c>
      <c r="E112" s="41" t="s">
        <v>16</v>
      </c>
      <c r="F112" s="40" t="s">
        <v>53</v>
      </c>
      <c r="G112" s="41" t="s">
        <v>805</v>
      </c>
      <c r="H112" s="40" t="s">
        <v>22</v>
      </c>
      <c r="I112" s="40"/>
      <c r="J112" s="41" t="s">
        <v>418</v>
      </c>
      <c r="K112" s="41" t="s">
        <v>19</v>
      </c>
      <c r="L112" s="41" t="s">
        <v>419</v>
      </c>
      <c r="M112" s="41" t="s">
        <v>809</v>
      </c>
    </row>
    <row r="113" spans="1:13" ht="47.25" x14ac:dyDescent="0.2">
      <c r="A113" s="39">
        <v>46052.484177546299</v>
      </c>
      <c r="B113" s="40">
        <v>28204905341</v>
      </c>
      <c r="C113" s="40" t="s">
        <v>420</v>
      </c>
      <c r="D113" s="40" t="s">
        <v>165</v>
      </c>
      <c r="E113" s="41" t="s">
        <v>26</v>
      </c>
      <c r="F113" s="40" t="s">
        <v>70</v>
      </c>
      <c r="G113" s="41" t="s">
        <v>805</v>
      </c>
      <c r="H113" s="40" t="s">
        <v>22</v>
      </c>
      <c r="I113" s="40"/>
      <c r="J113" s="41" t="s">
        <v>127</v>
      </c>
      <c r="K113" s="41" t="s">
        <v>68</v>
      </c>
      <c r="L113" s="41" t="s">
        <v>792</v>
      </c>
      <c r="M113" s="41" t="s">
        <v>809</v>
      </c>
    </row>
    <row r="114" spans="1:13" ht="47.25" x14ac:dyDescent="0.2">
      <c r="A114" s="39">
        <v>46053.429252789356</v>
      </c>
      <c r="B114" s="40">
        <v>28204526427</v>
      </c>
      <c r="C114" s="40" t="s">
        <v>422</v>
      </c>
      <c r="D114" s="40" t="s">
        <v>73</v>
      </c>
      <c r="E114" s="41" t="s">
        <v>26</v>
      </c>
      <c r="F114" s="40" t="s">
        <v>21</v>
      </c>
      <c r="G114" s="41" t="s">
        <v>805</v>
      </c>
      <c r="H114" s="40" t="s">
        <v>22</v>
      </c>
      <c r="I114" s="40"/>
      <c r="J114" s="41" t="s">
        <v>424</v>
      </c>
      <c r="K114" s="41" t="s">
        <v>29</v>
      </c>
      <c r="L114" s="41" t="s">
        <v>425</v>
      </c>
      <c r="M114" s="41" t="s">
        <v>809</v>
      </c>
    </row>
    <row r="115" spans="1:13" ht="47.25" x14ac:dyDescent="0.2">
      <c r="A115" s="39">
        <v>46052.484557141201</v>
      </c>
      <c r="B115" s="40">
        <v>28208004346</v>
      </c>
      <c r="C115" s="40" t="s">
        <v>426</v>
      </c>
      <c r="D115" s="40" t="s">
        <v>428</v>
      </c>
      <c r="E115" s="41" t="s">
        <v>26</v>
      </c>
      <c r="F115" s="40" t="s">
        <v>21</v>
      </c>
      <c r="G115" s="41" t="s">
        <v>805</v>
      </c>
      <c r="H115" s="40" t="s">
        <v>22</v>
      </c>
      <c r="I115" s="40"/>
      <c r="J115" s="41" t="s">
        <v>424</v>
      </c>
      <c r="K115" s="41" t="s">
        <v>29</v>
      </c>
      <c r="L115" s="41" t="s">
        <v>429</v>
      </c>
      <c r="M115" s="41" t="s">
        <v>809</v>
      </c>
    </row>
    <row r="116" spans="1:13" ht="47.25" x14ac:dyDescent="0.2">
      <c r="A116" s="39">
        <v>46055.541171180557</v>
      </c>
      <c r="B116" s="40">
        <v>28218006061</v>
      </c>
      <c r="C116" s="40" t="s">
        <v>430</v>
      </c>
      <c r="D116" s="40" t="s">
        <v>299</v>
      </c>
      <c r="E116" s="41" t="s">
        <v>26</v>
      </c>
      <c r="F116" s="40" t="s">
        <v>106</v>
      </c>
      <c r="G116" s="41" t="s">
        <v>805</v>
      </c>
      <c r="H116" s="40" t="s">
        <v>22</v>
      </c>
      <c r="I116" s="40"/>
      <c r="J116" s="41" t="s">
        <v>432</v>
      </c>
      <c r="K116" s="41" t="s">
        <v>29</v>
      </c>
      <c r="L116" s="41" t="s">
        <v>433</v>
      </c>
      <c r="M116" s="41" t="s">
        <v>809</v>
      </c>
    </row>
    <row r="117" spans="1:13" ht="47.25" x14ac:dyDescent="0.2">
      <c r="A117" s="39">
        <v>46052.588462523148</v>
      </c>
      <c r="B117" s="40">
        <v>28208031702</v>
      </c>
      <c r="C117" s="40" t="s">
        <v>434</v>
      </c>
      <c r="D117" s="40" t="s">
        <v>78</v>
      </c>
      <c r="E117" s="41" t="s">
        <v>16</v>
      </c>
      <c r="F117" s="40" t="s">
        <v>47</v>
      </c>
      <c r="G117" s="41" t="s">
        <v>805</v>
      </c>
      <c r="H117" s="40" t="s">
        <v>22</v>
      </c>
      <c r="I117" s="40"/>
      <c r="J117" s="41" t="s">
        <v>181</v>
      </c>
      <c r="K117" s="41" t="s">
        <v>19</v>
      </c>
      <c r="L117" s="41" t="s">
        <v>435</v>
      </c>
      <c r="M117" s="41" t="s">
        <v>809</v>
      </c>
    </row>
    <row r="118" spans="1:13" ht="47.25" x14ac:dyDescent="0.2">
      <c r="A118" s="39">
        <v>46052.589643009254</v>
      </c>
      <c r="B118" s="40">
        <v>28208038632</v>
      </c>
      <c r="C118" s="40" t="s">
        <v>436</v>
      </c>
      <c r="D118" s="40" t="s">
        <v>305</v>
      </c>
      <c r="E118" s="41" t="s">
        <v>16</v>
      </c>
      <c r="F118" s="40" t="s">
        <v>47</v>
      </c>
      <c r="G118" s="41" t="s">
        <v>805</v>
      </c>
      <c r="H118" s="40" t="s">
        <v>22</v>
      </c>
      <c r="I118" s="40"/>
      <c r="J118" s="41" t="s">
        <v>181</v>
      </c>
      <c r="K118" s="41" t="s">
        <v>19</v>
      </c>
      <c r="L118" s="41" t="s">
        <v>438</v>
      </c>
      <c r="M118" s="41" t="s">
        <v>809</v>
      </c>
    </row>
    <row r="119" spans="1:13" ht="47.25" x14ac:dyDescent="0.2">
      <c r="A119" s="39">
        <v>46052.85021123843</v>
      </c>
      <c r="B119" s="40">
        <v>28208052295</v>
      </c>
      <c r="C119" s="40" t="s">
        <v>439</v>
      </c>
      <c r="D119" s="40" t="s">
        <v>83</v>
      </c>
      <c r="E119" s="41" t="s">
        <v>26</v>
      </c>
      <c r="F119" s="40" t="s">
        <v>21</v>
      </c>
      <c r="G119" s="41" t="s">
        <v>805</v>
      </c>
      <c r="H119" s="40" t="s">
        <v>22</v>
      </c>
      <c r="I119" s="40"/>
      <c r="J119" s="41" t="s">
        <v>344</v>
      </c>
      <c r="K119" s="41" t="s">
        <v>29</v>
      </c>
      <c r="L119" s="41" t="s">
        <v>441</v>
      </c>
      <c r="M119" s="41" t="s">
        <v>809</v>
      </c>
    </row>
    <row r="120" spans="1:13" ht="47.25" x14ac:dyDescent="0.2">
      <c r="A120" s="39">
        <v>46052.615090555555</v>
      </c>
      <c r="B120" s="40">
        <v>28208002336</v>
      </c>
      <c r="C120" s="40" t="s">
        <v>442</v>
      </c>
      <c r="D120" s="40" t="s">
        <v>169</v>
      </c>
      <c r="E120" s="41" t="s">
        <v>26</v>
      </c>
      <c r="F120" s="40" t="s">
        <v>21</v>
      </c>
      <c r="G120" s="41" t="s">
        <v>805</v>
      </c>
      <c r="H120" s="40" t="s">
        <v>22</v>
      </c>
      <c r="I120" s="40"/>
      <c r="J120" s="41" t="s">
        <v>56</v>
      </c>
      <c r="K120" s="41" t="s">
        <v>29</v>
      </c>
      <c r="L120" s="41" t="s">
        <v>444</v>
      </c>
      <c r="M120" s="41" t="s">
        <v>809</v>
      </c>
    </row>
    <row r="121" spans="1:13" ht="60" x14ac:dyDescent="0.2">
      <c r="A121" s="39">
        <v>46052.92993810185</v>
      </c>
      <c r="B121" s="40">
        <v>28208004162</v>
      </c>
      <c r="C121" s="40" t="s">
        <v>445</v>
      </c>
      <c r="D121" s="40" t="s">
        <v>25</v>
      </c>
      <c r="E121" s="41" t="s">
        <v>26</v>
      </c>
      <c r="F121" s="40" t="s">
        <v>53</v>
      </c>
      <c r="G121" s="41" t="s">
        <v>805</v>
      </c>
      <c r="H121" s="40" t="s">
        <v>768</v>
      </c>
      <c r="I121" s="40" t="s">
        <v>771</v>
      </c>
      <c r="J121" s="41" t="s">
        <v>447</v>
      </c>
      <c r="K121" s="41" t="s">
        <v>29</v>
      </c>
      <c r="L121" s="41" t="s">
        <v>448</v>
      </c>
      <c r="M121" s="41" t="s">
        <v>808</v>
      </c>
    </row>
    <row r="122" spans="1:13" ht="47.25" x14ac:dyDescent="0.2">
      <c r="A122" s="39">
        <v>46052.647314155096</v>
      </c>
      <c r="B122" s="40">
        <v>28218049647</v>
      </c>
      <c r="C122" s="40" t="s">
        <v>449</v>
      </c>
      <c r="D122" s="40" t="s">
        <v>451</v>
      </c>
      <c r="E122" s="41" t="s">
        <v>26</v>
      </c>
      <c r="F122" s="40" t="s">
        <v>21</v>
      </c>
      <c r="G122" s="41" t="s">
        <v>805</v>
      </c>
      <c r="H122" s="40" t="s">
        <v>22</v>
      </c>
      <c r="I122" s="40"/>
      <c r="J122" s="41" t="s">
        <v>56</v>
      </c>
      <c r="K122" s="41" t="s">
        <v>29</v>
      </c>
      <c r="L122" s="41" t="s">
        <v>793</v>
      </c>
      <c r="M122" s="41" t="s">
        <v>809</v>
      </c>
    </row>
    <row r="123" spans="1:13" ht="47.25" x14ac:dyDescent="0.2">
      <c r="A123" s="39">
        <v>46052.785231759262</v>
      </c>
      <c r="B123" s="40">
        <v>28208051685</v>
      </c>
      <c r="C123" s="40" t="s">
        <v>452</v>
      </c>
      <c r="D123" s="40" t="s">
        <v>25</v>
      </c>
      <c r="E123" s="41" t="s">
        <v>26</v>
      </c>
      <c r="F123" s="40" t="s">
        <v>21</v>
      </c>
      <c r="G123" s="41" t="s">
        <v>805</v>
      </c>
      <c r="H123" s="40" t="s">
        <v>22</v>
      </c>
      <c r="I123" s="40"/>
      <c r="J123" s="41" t="s">
        <v>112</v>
      </c>
      <c r="K123" s="41" t="s">
        <v>29</v>
      </c>
      <c r="L123" s="41" t="s">
        <v>453</v>
      </c>
      <c r="M123" s="41" t="s">
        <v>809</v>
      </c>
    </row>
    <row r="124" spans="1:13" ht="47.25" x14ac:dyDescent="0.2">
      <c r="A124" s="39">
        <v>46052.666932037042</v>
      </c>
      <c r="B124" s="40">
        <v>28208151176</v>
      </c>
      <c r="C124" s="40" t="s">
        <v>454</v>
      </c>
      <c r="D124" s="40" t="s">
        <v>40</v>
      </c>
      <c r="E124" s="41" t="s">
        <v>26</v>
      </c>
      <c r="F124" s="40" t="s">
        <v>21</v>
      </c>
      <c r="G124" s="41" t="s">
        <v>805</v>
      </c>
      <c r="H124" s="40" t="s">
        <v>22</v>
      </c>
      <c r="I124" s="40"/>
      <c r="J124" s="41" t="s">
        <v>424</v>
      </c>
      <c r="K124" s="41" t="s">
        <v>29</v>
      </c>
      <c r="L124" s="41" t="s">
        <v>456</v>
      </c>
      <c r="M124" s="41" t="s">
        <v>809</v>
      </c>
    </row>
    <row r="125" spans="1:13" ht="47.25" x14ac:dyDescent="0.2">
      <c r="A125" s="39">
        <v>46052.672876608798</v>
      </c>
      <c r="B125" s="40">
        <v>28208004174</v>
      </c>
      <c r="C125" s="40" t="s">
        <v>457</v>
      </c>
      <c r="D125" s="40" t="s">
        <v>189</v>
      </c>
      <c r="E125" s="41" t="s">
        <v>26</v>
      </c>
      <c r="F125" s="40" t="s">
        <v>21</v>
      </c>
      <c r="G125" s="41" t="s">
        <v>805</v>
      </c>
      <c r="H125" s="40" t="s">
        <v>22</v>
      </c>
      <c r="I125" s="40"/>
      <c r="J125" s="41" t="s">
        <v>56</v>
      </c>
      <c r="K125" s="41" t="s">
        <v>29</v>
      </c>
      <c r="L125" s="41" t="s">
        <v>459</v>
      </c>
      <c r="M125" s="41" t="s">
        <v>809</v>
      </c>
    </row>
    <row r="126" spans="1:13" ht="47.25" x14ac:dyDescent="0.2">
      <c r="A126" s="39">
        <v>46055.74573461806</v>
      </c>
      <c r="B126" s="40">
        <v>28214843933</v>
      </c>
      <c r="C126" s="40" t="s">
        <v>460</v>
      </c>
      <c r="D126" s="40" t="s">
        <v>34</v>
      </c>
      <c r="E126" s="41" t="s">
        <v>26</v>
      </c>
      <c r="F126" s="40" t="s">
        <v>139</v>
      </c>
      <c r="G126" s="41" t="s">
        <v>805</v>
      </c>
      <c r="H126" s="40" t="s">
        <v>22</v>
      </c>
      <c r="I126" s="40"/>
      <c r="J126" s="41" t="s">
        <v>462</v>
      </c>
      <c r="K126" s="41" t="s">
        <v>29</v>
      </c>
      <c r="L126" s="41" t="s">
        <v>463</v>
      </c>
      <c r="M126" s="41" t="s">
        <v>809</v>
      </c>
    </row>
    <row r="127" spans="1:13" ht="47.25" x14ac:dyDescent="0.2">
      <c r="A127" s="39">
        <v>46052.742689583334</v>
      </c>
      <c r="B127" s="40">
        <v>28208005423</v>
      </c>
      <c r="C127" s="40" t="s">
        <v>464</v>
      </c>
      <c r="D127" s="40" t="s">
        <v>123</v>
      </c>
      <c r="E127" s="41" t="s">
        <v>26</v>
      </c>
      <c r="F127" s="40" t="s">
        <v>75</v>
      </c>
      <c r="G127" s="41" t="s">
        <v>805</v>
      </c>
      <c r="H127" s="40" t="s">
        <v>22</v>
      </c>
      <c r="I127" s="40"/>
      <c r="J127" s="41" t="s">
        <v>778</v>
      </c>
      <c r="K127" s="41" t="s">
        <v>68</v>
      </c>
      <c r="L127" s="41" t="s">
        <v>466</v>
      </c>
      <c r="M127" s="41" t="s">
        <v>809</v>
      </c>
    </row>
    <row r="128" spans="1:13" ht="47.25" x14ac:dyDescent="0.2">
      <c r="A128" s="39">
        <v>46055.430113101851</v>
      </c>
      <c r="B128" s="40">
        <v>28208103940</v>
      </c>
      <c r="C128" s="40" t="s">
        <v>467</v>
      </c>
      <c r="D128" s="40" t="s">
        <v>299</v>
      </c>
      <c r="E128" s="41" t="s">
        <v>26</v>
      </c>
      <c r="F128" s="40" t="s">
        <v>75</v>
      </c>
      <c r="G128" s="41" t="s">
        <v>805</v>
      </c>
      <c r="H128" s="40" t="s">
        <v>22</v>
      </c>
      <c r="I128" s="40"/>
      <c r="J128" s="41" t="s">
        <v>778</v>
      </c>
      <c r="K128" s="41" t="s">
        <v>68</v>
      </c>
      <c r="L128" s="41" t="s">
        <v>469</v>
      </c>
      <c r="M128" s="41" t="s">
        <v>809</v>
      </c>
    </row>
    <row r="129" spans="1:13" ht="47.25" x14ac:dyDescent="0.2">
      <c r="A129" s="39">
        <v>46055.521966018518</v>
      </c>
      <c r="B129" s="40">
        <v>28208025059</v>
      </c>
      <c r="C129" s="40" t="s">
        <v>470</v>
      </c>
      <c r="D129" s="40" t="s">
        <v>176</v>
      </c>
      <c r="E129" s="41" t="s">
        <v>26</v>
      </c>
      <c r="F129" s="40" t="s">
        <v>70</v>
      </c>
      <c r="G129" s="41" t="s">
        <v>805</v>
      </c>
      <c r="H129" s="40" t="s">
        <v>22</v>
      </c>
      <c r="I129" s="40"/>
      <c r="J129" s="41" t="s">
        <v>56</v>
      </c>
      <c r="K129" s="41" t="s">
        <v>68</v>
      </c>
      <c r="L129" s="41" t="s">
        <v>472</v>
      </c>
      <c r="M129" s="41" t="s">
        <v>809</v>
      </c>
    </row>
    <row r="130" spans="1:13" ht="47.25" x14ac:dyDescent="0.2">
      <c r="A130" s="39">
        <v>46055.523066400463</v>
      </c>
      <c r="B130" s="40">
        <v>28208054910</v>
      </c>
      <c r="C130" s="40" t="s">
        <v>473</v>
      </c>
      <c r="D130" s="40" t="s">
        <v>176</v>
      </c>
      <c r="E130" s="41" t="s">
        <v>26</v>
      </c>
      <c r="F130" s="40" t="s">
        <v>70</v>
      </c>
      <c r="G130" s="41" t="s">
        <v>805</v>
      </c>
      <c r="H130" s="40" t="s">
        <v>22</v>
      </c>
      <c r="I130" s="40"/>
      <c r="J130" s="41" t="s">
        <v>474</v>
      </c>
      <c r="K130" s="41" t="s">
        <v>68</v>
      </c>
      <c r="L130" s="41" t="s">
        <v>475</v>
      </c>
      <c r="M130" s="41" t="s">
        <v>809</v>
      </c>
    </row>
    <row r="131" spans="1:13" ht="47.25" x14ac:dyDescent="0.2">
      <c r="A131" s="39">
        <v>46052.78387373843</v>
      </c>
      <c r="B131" s="40">
        <v>28218006731</v>
      </c>
      <c r="C131" s="40" t="s">
        <v>476</v>
      </c>
      <c r="D131" s="40" t="s">
        <v>305</v>
      </c>
      <c r="E131" s="41" t="s">
        <v>16</v>
      </c>
      <c r="F131" s="40" t="s">
        <v>70</v>
      </c>
      <c r="G131" s="41" t="s">
        <v>805</v>
      </c>
      <c r="H131" s="40" t="s">
        <v>22</v>
      </c>
      <c r="I131" s="40"/>
      <c r="J131" s="41" t="s">
        <v>96</v>
      </c>
      <c r="K131" s="41" t="s">
        <v>68</v>
      </c>
      <c r="L131" s="41" t="s">
        <v>477</v>
      </c>
      <c r="M131" s="41" t="s">
        <v>809</v>
      </c>
    </row>
    <row r="132" spans="1:13" ht="47.25" x14ac:dyDescent="0.2">
      <c r="A132" s="39">
        <v>46052.814564421293</v>
      </c>
      <c r="B132" s="40">
        <v>28208004642</v>
      </c>
      <c r="C132" s="40" t="s">
        <v>478</v>
      </c>
      <c r="D132" s="40" t="s">
        <v>123</v>
      </c>
      <c r="E132" s="41" t="s">
        <v>26</v>
      </c>
      <c r="F132" s="40" t="s">
        <v>75</v>
      </c>
      <c r="G132" s="41" t="s">
        <v>805</v>
      </c>
      <c r="H132" s="40" t="s">
        <v>22</v>
      </c>
      <c r="I132" s="40"/>
      <c r="J132" s="41" t="s">
        <v>794</v>
      </c>
      <c r="K132" s="41" t="s">
        <v>68</v>
      </c>
      <c r="L132" s="41" t="s">
        <v>795</v>
      </c>
      <c r="M132" s="41" t="s">
        <v>809</v>
      </c>
    </row>
    <row r="133" spans="1:13" ht="47.25" x14ac:dyDescent="0.2">
      <c r="A133" s="39">
        <v>46052.845321354165</v>
      </c>
      <c r="B133" s="40">
        <v>28208002969</v>
      </c>
      <c r="C133" s="40" t="s">
        <v>480</v>
      </c>
      <c r="D133" s="40" t="s">
        <v>25</v>
      </c>
      <c r="E133" s="41" t="s">
        <v>26</v>
      </c>
      <c r="F133" s="40" t="s">
        <v>75</v>
      </c>
      <c r="G133" s="41" t="s">
        <v>805</v>
      </c>
      <c r="H133" s="40" t="s">
        <v>22</v>
      </c>
      <c r="I133" s="40"/>
      <c r="J133" s="41" t="s">
        <v>28</v>
      </c>
      <c r="K133" s="41" t="s">
        <v>68</v>
      </c>
      <c r="L133" s="41" t="s">
        <v>482</v>
      </c>
      <c r="M133" s="41" t="s">
        <v>809</v>
      </c>
    </row>
    <row r="134" spans="1:13" ht="47.25" x14ac:dyDescent="0.2">
      <c r="A134" s="39">
        <v>46052.862721319441</v>
      </c>
      <c r="B134" s="40">
        <v>28204650785</v>
      </c>
      <c r="C134" s="40" t="s">
        <v>483</v>
      </c>
      <c r="D134" s="40" t="s">
        <v>40</v>
      </c>
      <c r="E134" s="41" t="s">
        <v>26</v>
      </c>
      <c r="F134" s="40" t="s">
        <v>37</v>
      </c>
      <c r="G134" s="41" t="s">
        <v>805</v>
      </c>
      <c r="H134" s="40" t="s">
        <v>22</v>
      </c>
      <c r="I134" s="40"/>
      <c r="J134" s="41" t="s">
        <v>485</v>
      </c>
      <c r="K134" s="41" t="s">
        <v>29</v>
      </c>
      <c r="L134" s="41" t="s">
        <v>486</v>
      </c>
      <c r="M134" s="41" t="s">
        <v>809</v>
      </c>
    </row>
    <row r="135" spans="1:13" ht="47.25" x14ac:dyDescent="0.2">
      <c r="A135" s="39">
        <v>46052.870889375001</v>
      </c>
      <c r="B135" s="40">
        <v>28208003853</v>
      </c>
      <c r="C135" s="40" t="s">
        <v>487</v>
      </c>
      <c r="D135" s="40" t="s">
        <v>165</v>
      </c>
      <c r="E135" s="41" t="s">
        <v>26</v>
      </c>
      <c r="F135" s="40" t="s">
        <v>37</v>
      </c>
      <c r="G135" s="41" t="s">
        <v>805</v>
      </c>
      <c r="H135" s="40" t="s">
        <v>22</v>
      </c>
      <c r="I135" s="40"/>
      <c r="J135" s="41" t="s">
        <v>789</v>
      </c>
      <c r="K135" s="41" t="s">
        <v>29</v>
      </c>
      <c r="L135" s="41" t="s">
        <v>489</v>
      </c>
      <c r="M135" s="41" t="s">
        <v>809</v>
      </c>
    </row>
    <row r="136" spans="1:13" ht="60" x14ac:dyDescent="0.2">
      <c r="A136" s="39">
        <v>46053.832786828702</v>
      </c>
      <c r="B136" s="40">
        <v>28216228403</v>
      </c>
      <c r="C136" s="40" t="s">
        <v>490</v>
      </c>
      <c r="D136" s="40" t="s">
        <v>40</v>
      </c>
      <c r="E136" s="41" t="s">
        <v>26</v>
      </c>
      <c r="F136" s="40" t="s">
        <v>491</v>
      </c>
      <c r="G136" s="41" t="s">
        <v>805</v>
      </c>
      <c r="H136" s="40" t="s">
        <v>161</v>
      </c>
      <c r="I136" s="40" t="s">
        <v>767</v>
      </c>
      <c r="J136" s="41" t="s">
        <v>112</v>
      </c>
      <c r="K136" s="41" t="s">
        <v>19</v>
      </c>
      <c r="L136" s="41" t="s">
        <v>767</v>
      </c>
      <c r="M136" s="41" t="s">
        <v>808</v>
      </c>
    </row>
    <row r="137" spans="1:13" ht="47.25" x14ac:dyDescent="0.2">
      <c r="A137" s="39">
        <v>46052.928792372681</v>
      </c>
      <c r="B137" s="40">
        <v>28208003095</v>
      </c>
      <c r="C137" s="40" t="s">
        <v>492</v>
      </c>
      <c r="D137" s="40" t="s">
        <v>176</v>
      </c>
      <c r="E137" s="41" t="s">
        <v>26</v>
      </c>
      <c r="F137" s="40" t="s">
        <v>53</v>
      </c>
      <c r="G137" s="41" t="s">
        <v>805</v>
      </c>
      <c r="H137" s="40" t="s">
        <v>22</v>
      </c>
      <c r="I137" s="40"/>
      <c r="J137" s="41" t="s">
        <v>494</v>
      </c>
      <c r="K137" s="41" t="s">
        <v>29</v>
      </c>
      <c r="L137" s="41" t="s">
        <v>495</v>
      </c>
      <c r="M137" s="41" t="s">
        <v>809</v>
      </c>
    </row>
    <row r="138" spans="1:13" ht="47.25" x14ac:dyDescent="0.2">
      <c r="A138" s="39">
        <v>46052.933177824074</v>
      </c>
      <c r="B138" s="40">
        <v>27207142526</v>
      </c>
      <c r="C138" s="40" t="s">
        <v>496</v>
      </c>
      <c r="D138" s="40" t="s">
        <v>256</v>
      </c>
      <c r="E138" s="41" t="s">
        <v>26</v>
      </c>
      <c r="F138" s="40" t="s">
        <v>53</v>
      </c>
      <c r="G138" s="41" t="s">
        <v>805</v>
      </c>
      <c r="H138" s="40" t="s">
        <v>22</v>
      </c>
      <c r="I138" s="40"/>
      <c r="J138" s="41" t="s">
        <v>498</v>
      </c>
      <c r="K138" s="41" t="s">
        <v>68</v>
      </c>
      <c r="L138" s="41" t="s">
        <v>499</v>
      </c>
      <c r="M138" s="41" t="s">
        <v>809</v>
      </c>
    </row>
    <row r="139" spans="1:13" ht="47.25" x14ac:dyDescent="0.2">
      <c r="A139" s="39">
        <v>46052.933312638888</v>
      </c>
      <c r="B139" s="40">
        <v>28204651620</v>
      </c>
      <c r="C139" s="40" t="s">
        <v>500</v>
      </c>
      <c r="D139" s="40" t="s">
        <v>176</v>
      </c>
      <c r="E139" s="41" t="s">
        <v>26</v>
      </c>
      <c r="F139" s="40" t="s">
        <v>53</v>
      </c>
      <c r="G139" s="41" t="s">
        <v>805</v>
      </c>
      <c r="H139" s="40" t="s">
        <v>22</v>
      </c>
      <c r="I139" s="40"/>
      <c r="J139" s="41" t="s">
        <v>586</v>
      </c>
      <c r="K139" s="41" t="s">
        <v>29</v>
      </c>
      <c r="L139" s="41" t="s">
        <v>502</v>
      </c>
      <c r="M139" s="41" t="s">
        <v>809</v>
      </c>
    </row>
    <row r="140" spans="1:13" ht="47.25" x14ac:dyDescent="0.2">
      <c r="A140" s="39">
        <v>46052.934329247684</v>
      </c>
      <c r="B140" s="40">
        <v>28208306062</v>
      </c>
      <c r="C140" s="40" t="s">
        <v>503</v>
      </c>
      <c r="D140" s="40" t="s">
        <v>180</v>
      </c>
      <c r="E140" s="41" t="s">
        <v>26</v>
      </c>
      <c r="F140" s="40" t="s">
        <v>37</v>
      </c>
      <c r="G140" s="41" t="s">
        <v>805</v>
      </c>
      <c r="H140" s="40" t="s">
        <v>22</v>
      </c>
      <c r="I140" s="40"/>
      <c r="J140" s="41" t="s">
        <v>279</v>
      </c>
      <c r="K140" s="41" t="s">
        <v>29</v>
      </c>
      <c r="L140" s="41" t="s">
        <v>505</v>
      </c>
      <c r="M140" s="41" t="s">
        <v>809</v>
      </c>
    </row>
    <row r="141" spans="1:13" ht="47.25" x14ac:dyDescent="0.2">
      <c r="A141" s="39">
        <v>46055.462472129628</v>
      </c>
      <c r="B141" s="40">
        <v>28218003924</v>
      </c>
      <c r="C141" s="40" t="s">
        <v>506</v>
      </c>
      <c r="D141" s="40" t="s">
        <v>100</v>
      </c>
      <c r="E141" s="41" t="s">
        <v>26</v>
      </c>
      <c r="F141" s="40" t="s">
        <v>53</v>
      </c>
      <c r="G141" s="41" t="s">
        <v>805</v>
      </c>
      <c r="H141" s="40" t="s">
        <v>22</v>
      </c>
      <c r="I141" s="40"/>
      <c r="J141" s="41" t="s">
        <v>225</v>
      </c>
      <c r="K141" s="41" t="s">
        <v>19</v>
      </c>
      <c r="L141" s="41" t="s">
        <v>508</v>
      </c>
      <c r="M141" s="41" t="s">
        <v>809</v>
      </c>
    </row>
    <row r="142" spans="1:13" ht="47.25" x14ac:dyDescent="0.2">
      <c r="A142" s="39">
        <v>46054.820617708334</v>
      </c>
      <c r="B142" s="40">
        <v>28208048257</v>
      </c>
      <c r="C142" s="40" t="s">
        <v>509</v>
      </c>
      <c r="D142" s="40" t="s">
        <v>176</v>
      </c>
      <c r="E142" s="41" t="s">
        <v>26</v>
      </c>
      <c r="F142" s="40" t="s">
        <v>53</v>
      </c>
      <c r="G142" s="41" t="s">
        <v>805</v>
      </c>
      <c r="H142" s="40" t="s">
        <v>22</v>
      </c>
      <c r="I142" s="40"/>
      <c r="J142" s="41" t="s">
        <v>127</v>
      </c>
      <c r="K142" s="41" t="s">
        <v>29</v>
      </c>
      <c r="L142" s="41" t="s">
        <v>510</v>
      </c>
      <c r="M142" s="41" t="s">
        <v>809</v>
      </c>
    </row>
    <row r="143" spans="1:13" ht="47.25" x14ac:dyDescent="0.2">
      <c r="A143" s="39">
        <v>46052.943130902779</v>
      </c>
      <c r="B143" s="40">
        <v>28208001739</v>
      </c>
      <c r="C143" s="40" t="s">
        <v>511</v>
      </c>
      <c r="D143" s="40" t="s">
        <v>100</v>
      </c>
      <c r="E143" s="41" t="s">
        <v>26</v>
      </c>
      <c r="F143" s="40" t="s">
        <v>53</v>
      </c>
      <c r="G143" s="41" t="s">
        <v>805</v>
      </c>
      <c r="H143" s="40" t="s">
        <v>22</v>
      </c>
      <c r="I143" s="40"/>
      <c r="J143" s="41" t="s">
        <v>127</v>
      </c>
      <c r="K143" s="41" t="s">
        <v>29</v>
      </c>
      <c r="L143" s="41" t="s">
        <v>513</v>
      </c>
      <c r="M143" s="41" t="s">
        <v>809</v>
      </c>
    </row>
    <row r="144" spans="1:13" ht="47.25" x14ac:dyDescent="0.2">
      <c r="A144" s="39">
        <v>46053.367332094909</v>
      </c>
      <c r="B144" s="40">
        <v>27217146484</v>
      </c>
      <c r="C144" s="40" t="s">
        <v>514</v>
      </c>
      <c r="D144" s="40" t="s">
        <v>131</v>
      </c>
      <c r="E144" s="41" t="s">
        <v>26</v>
      </c>
      <c r="F144" s="40" t="s">
        <v>53</v>
      </c>
      <c r="G144" s="41" t="s">
        <v>805</v>
      </c>
      <c r="H144" s="40" t="s">
        <v>22</v>
      </c>
      <c r="I144" s="40"/>
      <c r="J144" s="41" t="s">
        <v>148</v>
      </c>
      <c r="K144" s="41" t="s">
        <v>68</v>
      </c>
      <c r="L144" s="41" t="s">
        <v>516</v>
      </c>
      <c r="M144" s="41" t="s">
        <v>809</v>
      </c>
    </row>
    <row r="145" spans="1:13" ht="47.25" x14ac:dyDescent="0.2">
      <c r="A145" s="39">
        <v>46053.782720069445</v>
      </c>
      <c r="B145" s="40">
        <v>26217220919</v>
      </c>
      <c r="C145" s="40" t="s">
        <v>517</v>
      </c>
      <c r="D145" s="40" t="s">
        <v>519</v>
      </c>
      <c r="E145" s="41" t="s">
        <v>26</v>
      </c>
      <c r="F145" s="40" t="s">
        <v>53</v>
      </c>
      <c r="G145" s="41" t="s">
        <v>805</v>
      </c>
      <c r="H145" s="40" t="s">
        <v>22</v>
      </c>
      <c r="I145" s="40"/>
      <c r="J145" s="41" t="s">
        <v>521</v>
      </c>
      <c r="K145" s="41" t="s">
        <v>29</v>
      </c>
      <c r="L145" s="41" t="s">
        <v>522</v>
      </c>
      <c r="M145" s="41" t="s">
        <v>809</v>
      </c>
    </row>
    <row r="146" spans="1:13" ht="47.25" x14ac:dyDescent="0.2">
      <c r="A146" s="39">
        <v>46052.956036226853</v>
      </c>
      <c r="B146" s="40">
        <v>28218005182</v>
      </c>
      <c r="C146" s="40" t="s">
        <v>523</v>
      </c>
      <c r="D146" s="40" t="s">
        <v>525</v>
      </c>
      <c r="E146" s="41" t="s">
        <v>26</v>
      </c>
      <c r="F146" s="40" t="s">
        <v>53</v>
      </c>
      <c r="G146" s="41" t="s">
        <v>805</v>
      </c>
      <c r="H146" s="40" t="s">
        <v>22</v>
      </c>
      <c r="I146" s="40"/>
      <c r="J146" s="41" t="s">
        <v>225</v>
      </c>
      <c r="K146" s="41" t="s">
        <v>19</v>
      </c>
      <c r="L146" s="41" t="s">
        <v>526</v>
      </c>
      <c r="M146" s="41" t="s">
        <v>809</v>
      </c>
    </row>
    <row r="147" spans="1:13" ht="47.25" x14ac:dyDescent="0.2">
      <c r="A147" s="39">
        <v>46052.970750115739</v>
      </c>
      <c r="B147" s="40">
        <v>25217216024</v>
      </c>
      <c r="C147" s="40" t="s">
        <v>527</v>
      </c>
      <c r="D147" s="40" t="s">
        <v>529</v>
      </c>
      <c r="E147" s="41" t="s">
        <v>26</v>
      </c>
      <c r="F147" s="40" t="s">
        <v>53</v>
      </c>
      <c r="G147" s="41" t="s">
        <v>805</v>
      </c>
      <c r="H147" s="40" t="s">
        <v>22</v>
      </c>
      <c r="I147" s="40"/>
      <c r="J147" s="41" t="s">
        <v>225</v>
      </c>
      <c r="K147" s="41" t="s">
        <v>29</v>
      </c>
      <c r="L147" s="41" t="s">
        <v>530</v>
      </c>
      <c r="M147" s="41" t="s">
        <v>809</v>
      </c>
    </row>
    <row r="148" spans="1:13" ht="47.25" x14ac:dyDescent="0.2">
      <c r="A148" s="39">
        <v>46052.974708148147</v>
      </c>
      <c r="B148" s="40">
        <v>27207124538</v>
      </c>
      <c r="C148" s="40" t="s">
        <v>531</v>
      </c>
      <c r="D148" s="40" t="s">
        <v>533</v>
      </c>
      <c r="E148" s="41" t="s">
        <v>26</v>
      </c>
      <c r="F148" s="40" t="s">
        <v>53</v>
      </c>
      <c r="G148" s="41" t="s">
        <v>805</v>
      </c>
      <c r="H148" s="40" t="s">
        <v>22</v>
      </c>
      <c r="I148" s="40"/>
      <c r="J148" s="41" t="s">
        <v>534</v>
      </c>
      <c r="K148" s="41" t="s">
        <v>68</v>
      </c>
      <c r="L148" s="41" t="s">
        <v>535</v>
      </c>
      <c r="M148" s="41" t="s">
        <v>809</v>
      </c>
    </row>
    <row r="149" spans="1:13" ht="47.25" x14ac:dyDescent="0.2">
      <c r="A149" s="39">
        <v>46053.473423564814</v>
      </c>
      <c r="B149" s="40">
        <v>28218054522</v>
      </c>
      <c r="C149" s="40" t="s">
        <v>536</v>
      </c>
      <c r="D149" s="40" t="s">
        <v>538</v>
      </c>
      <c r="E149" s="41" t="s">
        <v>26</v>
      </c>
      <c r="F149" s="40" t="s">
        <v>106</v>
      </c>
      <c r="G149" s="41" t="s">
        <v>805</v>
      </c>
      <c r="H149" s="40" t="s">
        <v>22</v>
      </c>
      <c r="I149" s="40"/>
      <c r="J149" s="41" t="s">
        <v>539</v>
      </c>
      <c r="K149" s="41" t="s">
        <v>29</v>
      </c>
      <c r="L149" s="41" t="s">
        <v>540</v>
      </c>
      <c r="M149" s="41" t="s">
        <v>809</v>
      </c>
    </row>
    <row r="150" spans="1:13" ht="47.25" x14ac:dyDescent="0.2">
      <c r="A150" s="39">
        <v>46055.68228793981</v>
      </c>
      <c r="B150" s="40">
        <v>28218032222</v>
      </c>
      <c r="C150" s="40" t="s">
        <v>541</v>
      </c>
      <c r="D150" s="40" t="s">
        <v>34</v>
      </c>
      <c r="E150" s="41" t="s">
        <v>26</v>
      </c>
      <c r="F150" s="40" t="s">
        <v>106</v>
      </c>
      <c r="G150" s="41" t="s">
        <v>805</v>
      </c>
      <c r="H150" s="40" t="s">
        <v>22</v>
      </c>
      <c r="I150" s="40"/>
      <c r="J150" s="41" t="s">
        <v>542</v>
      </c>
      <c r="K150" s="41" t="s">
        <v>29</v>
      </c>
      <c r="L150" s="41" t="s">
        <v>543</v>
      </c>
      <c r="M150" s="41" t="s">
        <v>809</v>
      </c>
    </row>
    <row r="151" spans="1:13" ht="60" x14ac:dyDescent="0.2">
      <c r="A151" s="39">
        <v>46055.870771168979</v>
      </c>
      <c r="B151" s="40">
        <v>27217133852</v>
      </c>
      <c r="C151" s="40" t="s">
        <v>544</v>
      </c>
      <c r="D151" s="40" t="s">
        <v>34</v>
      </c>
      <c r="E151" s="41" t="s">
        <v>26</v>
      </c>
      <c r="F151" s="40" t="s">
        <v>86</v>
      </c>
      <c r="G151" s="41" t="s">
        <v>805</v>
      </c>
      <c r="H151" s="40" t="s">
        <v>161</v>
      </c>
      <c r="I151" s="40" t="s">
        <v>763</v>
      </c>
      <c r="J151" s="41" t="s">
        <v>586</v>
      </c>
      <c r="K151" s="41" t="s">
        <v>19</v>
      </c>
      <c r="L151" s="41" t="s">
        <v>763</v>
      </c>
      <c r="M151" s="41" t="s">
        <v>808</v>
      </c>
    </row>
    <row r="152" spans="1:13" ht="60" x14ac:dyDescent="0.2">
      <c r="A152" s="39">
        <v>46053.936879525463</v>
      </c>
      <c r="B152" s="40">
        <v>28208005201</v>
      </c>
      <c r="C152" s="40" t="s">
        <v>546</v>
      </c>
      <c r="D152" s="40" t="s">
        <v>83</v>
      </c>
      <c r="E152" s="41" t="s">
        <v>26</v>
      </c>
      <c r="F152" s="40" t="s">
        <v>37</v>
      </c>
      <c r="G152" s="41" t="s">
        <v>805</v>
      </c>
      <c r="H152" s="40" t="s">
        <v>161</v>
      </c>
      <c r="I152" s="40" t="s">
        <v>779</v>
      </c>
      <c r="J152" s="41" t="s">
        <v>643</v>
      </c>
      <c r="K152" s="41" t="s">
        <v>29</v>
      </c>
      <c r="L152" s="41" t="s">
        <v>779</v>
      </c>
      <c r="M152" s="41" t="s">
        <v>808</v>
      </c>
    </row>
    <row r="153" spans="1:13" ht="47.25" x14ac:dyDescent="0.2">
      <c r="A153" s="39">
        <v>46053.933187245369</v>
      </c>
      <c r="B153" s="40">
        <v>28204337515</v>
      </c>
      <c r="C153" s="40" t="s">
        <v>548</v>
      </c>
      <c r="D153" s="40" t="s">
        <v>50</v>
      </c>
      <c r="E153" s="41" t="s">
        <v>26</v>
      </c>
      <c r="F153" s="40" t="s">
        <v>37</v>
      </c>
      <c r="G153" s="41" t="s">
        <v>805</v>
      </c>
      <c r="H153" s="40" t="s">
        <v>22</v>
      </c>
      <c r="I153" s="40"/>
      <c r="J153" s="41" t="s">
        <v>550</v>
      </c>
      <c r="K153" s="41" t="s">
        <v>29</v>
      </c>
      <c r="L153" s="41" t="s">
        <v>551</v>
      </c>
      <c r="M153" s="41" t="s">
        <v>809</v>
      </c>
    </row>
    <row r="154" spans="1:13" ht="47.25" x14ac:dyDescent="0.2">
      <c r="A154" s="39">
        <v>46053.442938935186</v>
      </c>
      <c r="B154" s="40">
        <v>28218305990</v>
      </c>
      <c r="C154" s="40" t="s">
        <v>552</v>
      </c>
      <c r="D154" s="40" t="s">
        <v>553</v>
      </c>
      <c r="E154" s="41" t="s">
        <v>158</v>
      </c>
      <c r="F154" s="40" t="s">
        <v>53</v>
      </c>
      <c r="G154" s="41" t="s">
        <v>806</v>
      </c>
      <c r="H154" s="40" t="s">
        <v>22</v>
      </c>
      <c r="I154" s="40"/>
      <c r="J154" s="41" t="s">
        <v>207</v>
      </c>
      <c r="K154" s="41" t="s">
        <v>153</v>
      </c>
      <c r="L154" s="41" t="s">
        <v>554</v>
      </c>
      <c r="M154" s="41" t="s">
        <v>810</v>
      </c>
    </row>
    <row r="155" spans="1:13" ht="47.25" x14ac:dyDescent="0.2">
      <c r="A155" s="39">
        <v>46054.574093668984</v>
      </c>
      <c r="B155" s="40">
        <v>28208035310</v>
      </c>
      <c r="C155" s="40" t="s">
        <v>555</v>
      </c>
      <c r="D155" s="40" t="s">
        <v>25</v>
      </c>
      <c r="E155" s="41" t="s">
        <v>26</v>
      </c>
      <c r="F155" s="40" t="s">
        <v>21</v>
      </c>
      <c r="G155" s="41" t="s">
        <v>805</v>
      </c>
      <c r="H155" s="40" t="s">
        <v>22</v>
      </c>
      <c r="I155" s="40"/>
      <c r="J155" s="41" t="s">
        <v>56</v>
      </c>
      <c r="K155" s="41" t="s">
        <v>29</v>
      </c>
      <c r="L155" s="41" t="s">
        <v>557</v>
      </c>
      <c r="M155" s="41" t="s">
        <v>809</v>
      </c>
    </row>
    <row r="156" spans="1:13" ht="47.25" x14ac:dyDescent="0.2">
      <c r="A156" s="39">
        <v>46055.344240115737</v>
      </c>
      <c r="B156" s="40">
        <v>28200350838</v>
      </c>
      <c r="C156" s="40" t="s">
        <v>558</v>
      </c>
      <c r="D156" s="40" t="s">
        <v>560</v>
      </c>
      <c r="E156" s="41" t="s">
        <v>158</v>
      </c>
      <c r="F156" s="40" t="s">
        <v>120</v>
      </c>
      <c r="G156" s="41" t="s">
        <v>806</v>
      </c>
      <c r="H156" s="40" t="s">
        <v>22</v>
      </c>
      <c r="I156" s="40"/>
      <c r="J156" s="41" t="s">
        <v>561</v>
      </c>
      <c r="K156" s="41" t="s">
        <v>29</v>
      </c>
      <c r="L156" s="41" t="s">
        <v>562</v>
      </c>
      <c r="M156" s="41" t="s">
        <v>809</v>
      </c>
    </row>
    <row r="157" spans="1:13" ht="47.25" x14ac:dyDescent="0.2">
      <c r="A157" s="39">
        <v>46053.473877222219</v>
      </c>
      <c r="B157" s="40">
        <v>28208005206</v>
      </c>
      <c r="C157" s="40" t="s">
        <v>563</v>
      </c>
      <c r="D157" s="40" t="s">
        <v>73</v>
      </c>
      <c r="E157" s="41" t="s">
        <v>26</v>
      </c>
      <c r="F157" s="40" t="s">
        <v>37</v>
      </c>
      <c r="G157" s="41" t="s">
        <v>805</v>
      </c>
      <c r="H157" s="40" t="s">
        <v>22</v>
      </c>
      <c r="I157" s="40"/>
      <c r="J157" s="41" t="s">
        <v>565</v>
      </c>
      <c r="K157" s="41" t="s">
        <v>29</v>
      </c>
      <c r="L157" s="41" t="s">
        <v>566</v>
      </c>
      <c r="M157" s="41" t="s">
        <v>809</v>
      </c>
    </row>
    <row r="158" spans="1:13" ht="47.25" x14ac:dyDescent="0.2">
      <c r="A158" s="39">
        <v>46055.417066678245</v>
      </c>
      <c r="B158" s="40">
        <v>28208003340</v>
      </c>
      <c r="C158" s="40" t="s">
        <v>567</v>
      </c>
      <c r="D158" s="40" t="s">
        <v>123</v>
      </c>
      <c r="E158" s="41" t="s">
        <v>26</v>
      </c>
      <c r="F158" s="40" t="s">
        <v>31</v>
      </c>
      <c r="G158" s="41" t="s">
        <v>805</v>
      </c>
      <c r="H158" s="40" t="s">
        <v>22</v>
      </c>
      <c r="I158" s="40"/>
      <c r="J158" s="41" t="s">
        <v>569</v>
      </c>
      <c r="K158" s="41" t="s">
        <v>29</v>
      </c>
      <c r="L158" s="41" t="s">
        <v>570</v>
      </c>
      <c r="M158" s="41" t="s">
        <v>809</v>
      </c>
    </row>
    <row r="159" spans="1:13" ht="47.25" x14ac:dyDescent="0.2">
      <c r="A159" s="39">
        <v>46053.485788287042</v>
      </c>
      <c r="B159" s="40">
        <v>28218003900</v>
      </c>
      <c r="C159" s="40" t="s">
        <v>571</v>
      </c>
      <c r="D159" s="40" t="s">
        <v>573</v>
      </c>
      <c r="E159" s="41" t="s">
        <v>26</v>
      </c>
      <c r="F159" s="40" t="s">
        <v>37</v>
      </c>
      <c r="G159" s="41" t="s">
        <v>805</v>
      </c>
      <c r="H159" s="40" t="s">
        <v>22</v>
      </c>
      <c r="I159" s="40"/>
      <c r="J159" s="41" t="s">
        <v>35</v>
      </c>
      <c r="K159" s="41" t="s">
        <v>29</v>
      </c>
      <c r="L159" s="41" t="s">
        <v>574</v>
      </c>
      <c r="M159" s="41" t="s">
        <v>809</v>
      </c>
    </row>
    <row r="160" spans="1:13" ht="47.25" x14ac:dyDescent="0.2">
      <c r="A160" s="39">
        <v>46055.780734270833</v>
      </c>
      <c r="B160" s="40">
        <v>28208034537</v>
      </c>
      <c r="C160" s="40" t="s">
        <v>575</v>
      </c>
      <c r="D160" s="40" t="s">
        <v>165</v>
      </c>
      <c r="E160" s="41" t="s">
        <v>26</v>
      </c>
      <c r="F160" s="40" t="s">
        <v>106</v>
      </c>
      <c r="G160" s="41" t="s">
        <v>805</v>
      </c>
      <c r="H160" s="40" t="s">
        <v>22</v>
      </c>
      <c r="I160" s="40"/>
      <c r="J160" s="41" t="s">
        <v>225</v>
      </c>
      <c r="K160" s="41" t="s">
        <v>29</v>
      </c>
      <c r="L160" s="41" t="s">
        <v>577</v>
      </c>
      <c r="M160" s="41" t="s">
        <v>809</v>
      </c>
    </row>
    <row r="161" spans="1:13" ht="47.25" x14ac:dyDescent="0.2">
      <c r="A161" s="39">
        <v>46053.515006435184</v>
      </c>
      <c r="B161" s="40">
        <v>28208036351</v>
      </c>
      <c r="C161" s="40" t="s">
        <v>578</v>
      </c>
      <c r="D161" s="40" t="s">
        <v>100</v>
      </c>
      <c r="E161" s="41" t="s">
        <v>26</v>
      </c>
      <c r="F161" s="40" t="s">
        <v>106</v>
      </c>
      <c r="G161" s="41" t="s">
        <v>805</v>
      </c>
      <c r="H161" s="40" t="s">
        <v>22</v>
      </c>
      <c r="I161" s="40"/>
      <c r="J161" s="41" t="s">
        <v>225</v>
      </c>
      <c r="K161" s="41" t="s">
        <v>29</v>
      </c>
      <c r="L161" s="41" t="s">
        <v>580</v>
      </c>
      <c r="M161" s="41" t="s">
        <v>809</v>
      </c>
    </row>
    <row r="162" spans="1:13" ht="47.25" x14ac:dyDescent="0.2">
      <c r="A162" s="39">
        <v>46053.539265023152</v>
      </c>
      <c r="B162" s="40">
        <v>28218048381</v>
      </c>
      <c r="C162" s="40" t="s">
        <v>581</v>
      </c>
      <c r="D162" s="40" t="s">
        <v>40</v>
      </c>
      <c r="E162" s="41" t="s">
        <v>26</v>
      </c>
      <c r="F162" s="40" t="s">
        <v>106</v>
      </c>
      <c r="G162" s="41" t="s">
        <v>805</v>
      </c>
      <c r="H162" s="40" t="s">
        <v>22</v>
      </c>
      <c r="I162" s="40"/>
      <c r="J162" s="41" t="s">
        <v>104</v>
      </c>
      <c r="K162" s="41" t="s">
        <v>29</v>
      </c>
      <c r="L162" s="41" t="s">
        <v>583</v>
      </c>
      <c r="M162" s="41" t="s">
        <v>809</v>
      </c>
    </row>
    <row r="163" spans="1:13" ht="60" x14ac:dyDescent="0.2">
      <c r="A163" s="39">
        <v>46055.994740601847</v>
      </c>
      <c r="B163" s="40">
        <v>28205205446</v>
      </c>
      <c r="C163" s="40" t="s">
        <v>584</v>
      </c>
      <c r="D163" s="40" t="s">
        <v>359</v>
      </c>
      <c r="E163" s="41" t="s">
        <v>26</v>
      </c>
      <c r="F163" s="40" t="s">
        <v>86</v>
      </c>
      <c r="G163" s="41" t="s">
        <v>805</v>
      </c>
      <c r="H163" s="40" t="s">
        <v>161</v>
      </c>
      <c r="I163" s="40" t="s">
        <v>764</v>
      </c>
      <c r="J163" s="41" t="s">
        <v>586</v>
      </c>
      <c r="K163" s="41" t="s">
        <v>19</v>
      </c>
      <c r="L163" s="41" t="s">
        <v>764</v>
      </c>
      <c r="M163" s="41" t="s">
        <v>808</v>
      </c>
    </row>
    <row r="164" spans="1:13" ht="47.25" x14ac:dyDescent="0.2">
      <c r="A164" s="39">
        <v>46053.625312210643</v>
      </c>
      <c r="B164" s="40">
        <v>28218002769</v>
      </c>
      <c r="C164" s="40" t="s">
        <v>587</v>
      </c>
      <c r="D164" s="40" t="s">
        <v>83</v>
      </c>
      <c r="E164" s="41" t="s">
        <v>26</v>
      </c>
      <c r="F164" s="40" t="s">
        <v>21</v>
      </c>
      <c r="G164" s="41" t="s">
        <v>805</v>
      </c>
      <c r="H164" s="40" t="s">
        <v>22</v>
      </c>
      <c r="I164" s="40"/>
      <c r="J164" s="41" t="s">
        <v>56</v>
      </c>
      <c r="K164" s="41" t="s">
        <v>29</v>
      </c>
      <c r="L164" s="41" t="s">
        <v>588</v>
      </c>
      <c r="M164" s="41" t="s">
        <v>809</v>
      </c>
    </row>
    <row r="165" spans="1:13" ht="47.25" x14ac:dyDescent="0.2">
      <c r="A165" s="39">
        <v>46053.635310173609</v>
      </c>
      <c r="B165" s="40">
        <v>28218002544</v>
      </c>
      <c r="C165" s="40" t="s">
        <v>589</v>
      </c>
      <c r="D165" s="40" t="s">
        <v>165</v>
      </c>
      <c r="E165" s="41" t="s">
        <v>26</v>
      </c>
      <c r="F165" s="40" t="s">
        <v>70</v>
      </c>
      <c r="G165" s="41" t="s">
        <v>805</v>
      </c>
      <c r="H165" s="40" t="s">
        <v>22</v>
      </c>
      <c r="I165" s="40"/>
      <c r="J165" s="41" t="s">
        <v>591</v>
      </c>
      <c r="K165" s="41" t="s">
        <v>68</v>
      </c>
      <c r="L165" s="41" t="s">
        <v>592</v>
      </c>
      <c r="M165" s="41" t="s">
        <v>809</v>
      </c>
    </row>
    <row r="166" spans="1:13" ht="47.25" x14ac:dyDescent="0.2">
      <c r="A166" s="39">
        <v>46053.6385915625</v>
      </c>
      <c r="B166" s="40">
        <v>28208004207</v>
      </c>
      <c r="C166" s="40" t="s">
        <v>593</v>
      </c>
      <c r="D166" s="40" t="s">
        <v>100</v>
      </c>
      <c r="E166" s="41" t="s">
        <v>26</v>
      </c>
      <c r="F166" s="40" t="s">
        <v>70</v>
      </c>
      <c r="G166" s="41" t="s">
        <v>805</v>
      </c>
      <c r="H166" s="40" t="s">
        <v>22</v>
      </c>
      <c r="I166" s="40"/>
      <c r="J166" s="41" t="s">
        <v>112</v>
      </c>
      <c r="K166" s="41" t="s">
        <v>68</v>
      </c>
      <c r="L166" s="41" t="s">
        <v>595</v>
      </c>
      <c r="M166" s="41" t="s">
        <v>809</v>
      </c>
    </row>
    <row r="167" spans="1:13" ht="47.25" x14ac:dyDescent="0.2">
      <c r="A167" s="39">
        <v>46053.657019432867</v>
      </c>
      <c r="B167" s="40">
        <v>28208002909</v>
      </c>
      <c r="C167" s="40" t="s">
        <v>596</v>
      </c>
      <c r="D167" s="40" t="s">
        <v>25</v>
      </c>
      <c r="E167" s="41" t="s">
        <v>26</v>
      </c>
      <c r="F167" s="40" t="s">
        <v>70</v>
      </c>
      <c r="G167" s="41" t="s">
        <v>805</v>
      </c>
      <c r="H167" s="40" t="s">
        <v>22</v>
      </c>
      <c r="I167" s="40"/>
      <c r="J167" s="41" t="s">
        <v>252</v>
      </c>
      <c r="K167" s="41" t="s">
        <v>68</v>
      </c>
      <c r="L167" s="41" t="s">
        <v>598</v>
      </c>
      <c r="M167" s="41" t="s">
        <v>809</v>
      </c>
    </row>
    <row r="168" spans="1:13" ht="47.25" x14ac:dyDescent="0.2">
      <c r="A168" s="39">
        <v>46055.40639621528</v>
      </c>
      <c r="B168" s="40">
        <v>28208402533</v>
      </c>
      <c r="C168" s="40" t="s">
        <v>599</v>
      </c>
      <c r="D168" s="40" t="s">
        <v>40</v>
      </c>
      <c r="E168" s="41" t="s">
        <v>26</v>
      </c>
      <c r="F168" s="40" t="s">
        <v>139</v>
      </c>
      <c r="G168" s="41" t="s">
        <v>805</v>
      </c>
      <c r="H168" s="40" t="s">
        <v>22</v>
      </c>
      <c r="I168" s="40"/>
      <c r="J168" s="41" t="s">
        <v>601</v>
      </c>
      <c r="K168" s="41" t="s">
        <v>29</v>
      </c>
      <c r="L168" s="41" t="s">
        <v>602</v>
      </c>
      <c r="M168" s="41" t="s">
        <v>809</v>
      </c>
    </row>
    <row r="169" spans="1:13" ht="47.25" x14ac:dyDescent="0.2">
      <c r="A169" s="39">
        <v>46053.660767685185</v>
      </c>
      <c r="B169" s="40">
        <v>26212932260</v>
      </c>
      <c r="C169" s="40" t="s">
        <v>603</v>
      </c>
      <c r="D169" s="40" t="s">
        <v>605</v>
      </c>
      <c r="E169" s="41" t="s">
        <v>16</v>
      </c>
      <c r="F169" s="40" t="s">
        <v>139</v>
      </c>
      <c r="G169" s="41" t="s">
        <v>805</v>
      </c>
      <c r="H169" s="40" t="s">
        <v>22</v>
      </c>
      <c r="I169" s="40"/>
      <c r="J169" s="41" t="s">
        <v>181</v>
      </c>
      <c r="K169" s="41" t="s">
        <v>29</v>
      </c>
      <c r="L169" s="41" t="s">
        <v>796</v>
      </c>
      <c r="M169" s="41" t="s">
        <v>809</v>
      </c>
    </row>
    <row r="170" spans="1:13" ht="47.25" x14ac:dyDescent="0.2">
      <c r="A170" s="39">
        <v>46054.31069810185</v>
      </c>
      <c r="B170" s="40">
        <v>28218001735</v>
      </c>
      <c r="C170" s="40" t="s">
        <v>606</v>
      </c>
      <c r="D170" s="40" t="s">
        <v>78</v>
      </c>
      <c r="E170" s="41" t="s">
        <v>16</v>
      </c>
      <c r="F170" s="40" t="s">
        <v>53</v>
      </c>
      <c r="G170" s="41" t="s">
        <v>806</v>
      </c>
      <c r="H170" s="40" t="s">
        <v>22</v>
      </c>
      <c r="I170" s="40"/>
      <c r="J170" s="41" t="s">
        <v>96</v>
      </c>
      <c r="K170" s="41" t="s">
        <v>68</v>
      </c>
      <c r="L170" s="41" t="s">
        <v>608</v>
      </c>
      <c r="M170" s="41" t="s">
        <v>809</v>
      </c>
    </row>
    <row r="171" spans="1:13" ht="47.25" x14ac:dyDescent="0.2">
      <c r="A171" s="39">
        <v>46053.689767256947</v>
      </c>
      <c r="B171" s="40">
        <v>28206535441</v>
      </c>
      <c r="C171" s="40" t="s">
        <v>609</v>
      </c>
      <c r="D171" s="40" t="s">
        <v>299</v>
      </c>
      <c r="E171" s="41" t="s">
        <v>26</v>
      </c>
      <c r="F171" s="40" t="s">
        <v>106</v>
      </c>
      <c r="G171" s="41" t="s">
        <v>805</v>
      </c>
      <c r="H171" s="40" t="s">
        <v>22</v>
      </c>
      <c r="I171" s="40"/>
      <c r="J171" s="41" t="s">
        <v>611</v>
      </c>
      <c r="K171" s="41" t="s">
        <v>29</v>
      </c>
      <c r="L171" s="41" t="s">
        <v>612</v>
      </c>
      <c r="M171" s="41" t="s">
        <v>809</v>
      </c>
    </row>
    <row r="172" spans="1:13" ht="47.25" x14ac:dyDescent="0.2">
      <c r="A172" s="39">
        <v>46053.735199351853</v>
      </c>
      <c r="B172" s="40">
        <v>28208000372</v>
      </c>
      <c r="C172" s="40" t="s">
        <v>613</v>
      </c>
      <c r="D172" s="40" t="s">
        <v>100</v>
      </c>
      <c r="E172" s="41" t="s">
        <v>26</v>
      </c>
      <c r="F172" s="40" t="s">
        <v>139</v>
      </c>
      <c r="G172" s="41" t="s">
        <v>805</v>
      </c>
      <c r="H172" s="40" t="s">
        <v>22</v>
      </c>
      <c r="I172" s="40"/>
      <c r="J172" s="41" t="s">
        <v>148</v>
      </c>
      <c r="K172" s="41" t="s">
        <v>29</v>
      </c>
      <c r="L172" s="41" t="s">
        <v>615</v>
      </c>
      <c r="M172" s="41" t="s">
        <v>809</v>
      </c>
    </row>
    <row r="173" spans="1:13" ht="47.25" x14ac:dyDescent="0.2">
      <c r="A173" s="39">
        <v>46055.401677847221</v>
      </c>
      <c r="B173" s="40">
        <v>28208321233</v>
      </c>
      <c r="C173" s="40" t="s">
        <v>616</v>
      </c>
      <c r="D173" s="40" t="s">
        <v>618</v>
      </c>
      <c r="E173" s="41" t="s">
        <v>158</v>
      </c>
      <c r="F173" s="40" t="s">
        <v>120</v>
      </c>
      <c r="G173" s="41" t="s">
        <v>806</v>
      </c>
      <c r="H173" s="40" t="s">
        <v>22</v>
      </c>
      <c r="I173" s="40"/>
      <c r="J173" s="41" t="s">
        <v>159</v>
      </c>
      <c r="K173" s="41" t="s">
        <v>29</v>
      </c>
      <c r="L173" s="41" t="s">
        <v>619</v>
      </c>
      <c r="M173" s="41" t="s">
        <v>809</v>
      </c>
    </row>
    <row r="174" spans="1:13" ht="47.25" x14ac:dyDescent="0.2">
      <c r="A174" s="39">
        <v>46053.737974641204</v>
      </c>
      <c r="B174" s="40">
        <v>28218045260</v>
      </c>
      <c r="C174" s="40" t="s">
        <v>620</v>
      </c>
      <c r="D174" s="40" t="s">
        <v>40</v>
      </c>
      <c r="E174" s="41" t="s">
        <v>26</v>
      </c>
      <c r="F174" s="40" t="s">
        <v>139</v>
      </c>
      <c r="G174" s="41" t="s">
        <v>805</v>
      </c>
      <c r="H174" s="40" t="s">
        <v>22</v>
      </c>
      <c r="I174" s="40"/>
      <c r="J174" s="41" t="s">
        <v>622</v>
      </c>
      <c r="K174" s="41" t="s">
        <v>153</v>
      </c>
      <c r="L174" s="41" t="s">
        <v>623</v>
      </c>
      <c r="M174" s="41" t="s">
        <v>809</v>
      </c>
    </row>
    <row r="175" spans="1:13" ht="47.25" x14ac:dyDescent="0.2">
      <c r="A175" s="39">
        <v>46053.754470034721</v>
      </c>
      <c r="B175" s="40">
        <v>28208020522</v>
      </c>
      <c r="C175" s="40" t="s">
        <v>624</v>
      </c>
      <c r="D175" s="40" t="s">
        <v>25</v>
      </c>
      <c r="E175" s="41" t="s">
        <v>26</v>
      </c>
      <c r="F175" s="40" t="s">
        <v>106</v>
      </c>
      <c r="G175" s="41" t="s">
        <v>805</v>
      </c>
      <c r="H175" s="40" t="s">
        <v>22</v>
      </c>
      <c r="I175" s="40"/>
      <c r="J175" s="41" t="s">
        <v>252</v>
      </c>
      <c r="K175" s="41" t="s">
        <v>29</v>
      </c>
      <c r="L175" s="41" t="s">
        <v>626</v>
      </c>
      <c r="M175" s="41" t="s">
        <v>809</v>
      </c>
    </row>
    <row r="176" spans="1:13" ht="76.5" x14ac:dyDescent="0.2">
      <c r="A176" s="39">
        <v>46055.564484780094</v>
      </c>
      <c r="B176" s="40">
        <v>28208105595</v>
      </c>
      <c r="C176" s="40" t="s">
        <v>627</v>
      </c>
      <c r="D176" s="40" t="s">
        <v>83</v>
      </c>
      <c r="E176" s="41" t="s">
        <v>26</v>
      </c>
      <c r="F176" s="40" t="s">
        <v>37</v>
      </c>
      <c r="G176" s="41" t="s">
        <v>805</v>
      </c>
      <c r="H176" s="40" t="s">
        <v>174</v>
      </c>
      <c r="I176" s="40" t="s">
        <v>773</v>
      </c>
      <c r="J176" s="41" t="s">
        <v>279</v>
      </c>
      <c r="K176" s="41" t="s">
        <v>29</v>
      </c>
      <c r="L176" s="41"/>
      <c r="M176" s="41" t="s">
        <v>807</v>
      </c>
    </row>
    <row r="177" spans="1:13" ht="47.25" x14ac:dyDescent="0.2">
      <c r="A177" s="39">
        <v>46053.791353969908</v>
      </c>
      <c r="B177" s="40">
        <v>28206841890</v>
      </c>
      <c r="C177" s="40" t="s">
        <v>629</v>
      </c>
      <c r="D177" s="40" t="s">
        <v>34</v>
      </c>
      <c r="E177" s="41" t="s">
        <v>26</v>
      </c>
      <c r="F177" s="40" t="s">
        <v>37</v>
      </c>
      <c r="G177" s="41" t="s">
        <v>805</v>
      </c>
      <c r="H177" s="40" t="s">
        <v>22</v>
      </c>
      <c r="I177" s="40"/>
      <c r="J177" s="41" t="s">
        <v>550</v>
      </c>
      <c r="K177" s="41" t="s">
        <v>29</v>
      </c>
      <c r="L177" s="41" t="s">
        <v>631</v>
      </c>
      <c r="M177" s="41" t="s">
        <v>809</v>
      </c>
    </row>
    <row r="178" spans="1:13" ht="47.25" x14ac:dyDescent="0.2">
      <c r="A178" s="39">
        <v>46053.797405694444</v>
      </c>
      <c r="B178" s="40">
        <v>25217102936</v>
      </c>
      <c r="C178" s="40" t="s">
        <v>632</v>
      </c>
      <c r="D178" s="40" t="s">
        <v>634</v>
      </c>
      <c r="E178" s="41" t="s">
        <v>26</v>
      </c>
      <c r="F178" s="40" t="s">
        <v>37</v>
      </c>
      <c r="G178" s="41" t="s">
        <v>805</v>
      </c>
      <c r="H178" s="40" t="s">
        <v>22</v>
      </c>
      <c r="I178" s="40"/>
      <c r="J178" s="41" t="s">
        <v>635</v>
      </c>
      <c r="K178" s="41" t="s">
        <v>29</v>
      </c>
      <c r="L178" s="41" t="s">
        <v>636</v>
      </c>
      <c r="M178" s="41" t="s">
        <v>809</v>
      </c>
    </row>
    <row r="179" spans="1:13" ht="47.25" x14ac:dyDescent="0.2">
      <c r="A179" s="39">
        <v>46054.540719988421</v>
      </c>
      <c r="B179" s="40">
        <v>28208148475</v>
      </c>
      <c r="C179" s="40" t="s">
        <v>637</v>
      </c>
      <c r="D179" s="40" t="s">
        <v>25</v>
      </c>
      <c r="E179" s="41" t="s">
        <v>26</v>
      </c>
      <c r="F179" s="40" t="s">
        <v>53</v>
      </c>
      <c r="G179" s="41" t="s">
        <v>806</v>
      </c>
      <c r="H179" s="40" t="s">
        <v>22</v>
      </c>
      <c r="I179" s="40"/>
      <c r="J179" s="41" t="s">
        <v>638</v>
      </c>
      <c r="K179" s="41" t="s">
        <v>68</v>
      </c>
      <c r="L179" s="41" t="s">
        <v>639</v>
      </c>
      <c r="M179" s="41" t="s">
        <v>809</v>
      </c>
    </row>
    <row r="180" spans="1:13" ht="60" x14ac:dyDescent="0.2">
      <c r="A180" s="39">
        <v>46053.815939687498</v>
      </c>
      <c r="B180" s="40">
        <v>28206546317</v>
      </c>
      <c r="C180" s="40" t="s">
        <v>640</v>
      </c>
      <c r="D180" s="40" t="s">
        <v>169</v>
      </c>
      <c r="E180" s="41" t="s">
        <v>26</v>
      </c>
      <c r="F180" s="40" t="s">
        <v>106</v>
      </c>
      <c r="G180" s="41" t="s">
        <v>805</v>
      </c>
      <c r="H180" s="40" t="s">
        <v>768</v>
      </c>
      <c r="I180" s="40" t="s">
        <v>798</v>
      </c>
      <c r="J180" s="41" t="s">
        <v>35</v>
      </c>
      <c r="K180" s="41" t="s">
        <v>19</v>
      </c>
      <c r="L180" s="41" t="s">
        <v>798</v>
      </c>
      <c r="M180" s="41" t="s">
        <v>808</v>
      </c>
    </row>
    <row r="181" spans="1:13" ht="47.25" x14ac:dyDescent="0.2">
      <c r="A181" s="39">
        <v>46053.828485208331</v>
      </c>
      <c r="B181" s="40">
        <v>28218046280</v>
      </c>
      <c r="C181" s="40" t="s">
        <v>642</v>
      </c>
      <c r="D181" s="40" t="s">
        <v>165</v>
      </c>
      <c r="E181" s="41" t="s">
        <v>26</v>
      </c>
      <c r="F181" s="40" t="s">
        <v>37</v>
      </c>
      <c r="G181" s="41" t="s">
        <v>805</v>
      </c>
      <c r="H181" s="40" t="s">
        <v>22</v>
      </c>
      <c r="I181" s="40"/>
      <c r="J181" s="41" t="s">
        <v>643</v>
      </c>
      <c r="K181" s="41" t="s">
        <v>29</v>
      </c>
      <c r="L181" s="41" t="s">
        <v>644</v>
      </c>
      <c r="M181" s="41" t="s">
        <v>809</v>
      </c>
    </row>
    <row r="182" spans="1:13" ht="47.25" x14ac:dyDescent="0.2">
      <c r="A182" s="39">
        <v>46053.825928969905</v>
      </c>
      <c r="B182" s="40">
        <v>24217104921</v>
      </c>
      <c r="C182" s="40" t="s">
        <v>645</v>
      </c>
      <c r="D182" s="40" t="s">
        <v>647</v>
      </c>
      <c r="E182" s="41" t="s">
        <v>26</v>
      </c>
      <c r="F182" s="40" t="s">
        <v>37</v>
      </c>
      <c r="G182" s="41" t="s">
        <v>805</v>
      </c>
      <c r="H182" s="40" t="s">
        <v>22</v>
      </c>
      <c r="I182" s="40"/>
      <c r="J182" s="41" t="s">
        <v>643</v>
      </c>
      <c r="K182" s="41" t="s">
        <v>29</v>
      </c>
      <c r="L182" s="41" t="s">
        <v>648</v>
      </c>
      <c r="M182" s="41" t="s">
        <v>809</v>
      </c>
    </row>
    <row r="183" spans="1:13" ht="47.25" x14ac:dyDescent="0.2">
      <c r="A183" s="39">
        <v>46053.82828238426</v>
      </c>
      <c r="B183" s="40">
        <v>28208052913</v>
      </c>
      <c r="C183" s="40" t="s">
        <v>649</v>
      </c>
      <c r="D183" s="40" t="s">
        <v>34</v>
      </c>
      <c r="E183" s="41" t="s">
        <v>26</v>
      </c>
      <c r="F183" s="40" t="s">
        <v>37</v>
      </c>
      <c r="G183" s="41" t="s">
        <v>805</v>
      </c>
      <c r="H183" s="40" t="s">
        <v>22</v>
      </c>
      <c r="I183" s="40"/>
      <c r="J183" s="41" t="s">
        <v>279</v>
      </c>
      <c r="K183" s="41" t="s">
        <v>29</v>
      </c>
      <c r="L183" s="41" t="s">
        <v>651</v>
      </c>
      <c r="M183" s="41" t="s">
        <v>809</v>
      </c>
    </row>
    <row r="184" spans="1:13" ht="47.25" x14ac:dyDescent="0.2">
      <c r="A184" s="39">
        <v>46053.839033587967</v>
      </c>
      <c r="B184" s="40">
        <v>28208005640</v>
      </c>
      <c r="C184" s="40" t="s">
        <v>652</v>
      </c>
      <c r="D184" s="40" t="s">
        <v>165</v>
      </c>
      <c r="E184" s="41" t="s">
        <v>26</v>
      </c>
      <c r="F184" s="40" t="s">
        <v>37</v>
      </c>
      <c r="G184" s="41" t="s">
        <v>805</v>
      </c>
      <c r="H184" s="40" t="s">
        <v>22</v>
      </c>
      <c r="I184" s="40"/>
      <c r="J184" s="41" t="s">
        <v>643</v>
      </c>
      <c r="K184" s="41" t="s">
        <v>29</v>
      </c>
      <c r="L184" s="41" t="s">
        <v>654</v>
      </c>
      <c r="M184" s="41" t="s">
        <v>809</v>
      </c>
    </row>
    <row r="185" spans="1:13" ht="47.25" x14ac:dyDescent="0.2">
      <c r="A185" s="39">
        <v>46053.884457222222</v>
      </c>
      <c r="B185" s="40">
        <v>28208004373</v>
      </c>
      <c r="C185" s="40" t="s">
        <v>655</v>
      </c>
      <c r="D185" s="40" t="s">
        <v>40</v>
      </c>
      <c r="E185" s="41" t="s">
        <v>26</v>
      </c>
      <c r="F185" s="40" t="s">
        <v>31</v>
      </c>
      <c r="G185" s="41" t="s">
        <v>805</v>
      </c>
      <c r="H185" s="40" t="s">
        <v>22</v>
      </c>
      <c r="I185" s="40"/>
      <c r="J185" s="41" t="s">
        <v>657</v>
      </c>
      <c r="K185" s="41" t="s">
        <v>29</v>
      </c>
      <c r="L185" s="41" t="s">
        <v>658</v>
      </c>
      <c r="M185" s="41" t="s">
        <v>809</v>
      </c>
    </row>
    <row r="186" spans="1:13" ht="47.25" x14ac:dyDescent="0.2">
      <c r="A186" s="39">
        <v>46055.709863530094</v>
      </c>
      <c r="B186" s="40">
        <v>26217134132</v>
      </c>
      <c r="C186" s="40" t="s">
        <v>659</v>
      </c>
      <c r="D186" s="40" t="s">
        <v>661</v>
      </c>
      <c r="E186" s="41" t="s">
        <v>26</v>
      </c>
      <c r="F186" s="40" t="s">
        <v>139</v>
      </c>
      <c r="G186" s="41" t="s">
        <v>805</v>
      </c>
      <c r="H186" s="40" t="s">
        <v>22</v>
      </c>
      <c r="I186" s="40"/>
      <c r="J186" s="41" t="s">
        <v>601</v>
      </c>
      <c r="K186" s="41" t="s">
        <v>29</v>
      </c>
      <c r="L186" s="41" t="s">
        <v>780</v>
      </c>
      <c r="M186" s="41" t="s">
        <v>809</v>
      </c>
    </row>
    <row r="187" spans="1:13" ht="47.25" x14ac:dyDescent="0.2">
      <c r="A187" s="39">
        <v>46053.974863842595</v>
      </c>
      <c r="B187" s="40">
        <v>28208303439</v>
      </c>
      <c r="C187" s="40" t="s">
        <v>662</v>
      </c>
      <c r="D187" s="40" t="s">
        <v>157</v>
      </c>
      <c r="E187" s="41" t="s">
        <v>158</v>
      </c>
      <c r="F187" s="40" t="s">
        <v>160</v>
      </c>
      <c r="G187" s="41" t="s">
        <v>806</v>
      </c>
      <c r="H187" s="40" t="s">
        <v>22</v>
      </c>
      <c r="I187" s="40"/>
      <c r="J187" s="41" t="s">
        <v>181</v>
      </c>
      <c r="K187" s="41" t="s">
        <v>29</v>
      </c>
      <c r="L187" s="41" t="s">
        <v>664</v>
      </c>
      <c r="M187" s="41" t="s">
        <v>809</v>
      </c>
    </row>
    <row r="188" spans="1:13" ht="47.25" x14ac:dyDescent="0.2">
      <c r="A188" s="39">
        <v>46055.64782726852</v>
      </c>
      <c r="B188" s="40">
        <v>26217130366</v>
      </c>
      <c r="C188" s="40" t="s">
        <v>665</v>
      </c>
      <c r="D188" s="40" t="s">
        <v>667</v>
      </c>
      <c r="E188" s="41" t="s">
        <v>16</v>
      </c>
      <c r="F188" s="40" t="s">
        <v>31</v>
      </c>
      <c r="G188" s="41" t="s">
        <v>805</v>
      </c>
      <c r="H188" s="40" t="s">
        <v>22</v>
      </c>
      <c r="I188" s="40"/>
      <c r="J188" s="41" t="s">
        <v>96</v>
      </c>
      <c r="K188" s="41" t="s">
        <v>29</v>
      </c>
      <c r="L188" s="41" t="s">
        <v>668</v>
      </c>
      <c r="M188" s="41" t="s">
        <v>809</v>
      </c>
    </row>
    <row r="189" spans="1:13" ht="47.25" x14ac:dyDescent="0.2">
      <c r="A189" s="39">
        <v>46054.380846608794</v>
      </c>
      <c r="B189" s="40">
        <v>28208006569</v>
      </c>
      <c r="C189" s="40" t="s">
        <v>669</v>
      </c>
      <c r="D189" s="40" t="s">
        <v>123</v>
      </c>
      <c r="E189" s="41" t="s">
        <v>26</v>
      </c>
      <c r="F189" s="40" t="s">
        <v>75</v>
      </c>
      <c r="G189" s="41" t="s">
        <v>805</v>
      </c>
      <c r="H189" s="40" t="s">
        <v>22</v>
      </c>
      <c r="I189" s="40"/>
      <c r="J189" s="41" t="s">
        <v>41</v>
      </c>
      <c r="K189" s="41" t="s">
        <v>68</v>
      </c>
      <c r="L189" s="41" t="s">
        <v>670</v>
      </c>
      <c r="M189" s="41" t="s">
        <v>809</v>
      </c>
    </row>
    <row r="190" spans="1:13" ht="47.25" x14ac:dyDescent="0.2">
      <c r="A190" s="39">
        <v>46054.481552372687</v>
      </c>
      <c r="B190" s="40">
        <v>28208000084</v>
      </c>
      <c r="C190" s="40" t="s">
        <v>671</v>
      </c>
      <c r="D190" s="40" t="s">
        <v>180</v>
      </c>
      <c r="E190" s="41" t="s">
        <v>26</v>
      </c>
      <c r="F190" s="40" t="s">
        <v>37</v>
      </c>
      <c r="G190" s="41" t="s">
        <v>805</v>
      </c>
      <c r="H190" s="40" t="s">
        <v>22</v>
      </c>
      <c r="I190" s="40"/>
      <c r="J190" s="41" t="s">
        <v>360</v>
      </c>
      <c r="K190" s="41" t="s">
        <v>29</v>
      </c>
      <c r="L190" s="41" t="s">
        <v>672</v>
      </c>
      <c r="M190" s="41" t="s">
        <v>809</v>
      </c>
    </row>
    <row r="191" spans="1:13" ht="47.25" x14ac:dyDescent="0.2">
      <c r="A191" s="39">
        <v>46054.482471192125</v>
      </c>
      <c r="B191" s="40">
        <v>28208140048</v>
      </c>
      <c r="C191" s="40" t="s">
        <v>673</v>
      </c>
      <c r="D191" s="40" t="s">
        <v>189</v>
      </c>
      <c r="E191" s="41" t="s">
        <v>26</v>
      </c>
      <c r="F191" s="40" t="s">
        <v>37</v>
      </c>
      <c r="G191" s="41" t="s">
        <v>805</v>
      </c>
      <c r="H191" s="40" t="s">
        <v>22</v>
      </c>
      <c r="I191" s="40"/>
      <c r="J191" s="41" t="s">
        <v>360</v>
      </c>
      <c r="K191" s="41" t="s">
        <v>29</v>
      </c>
      <c r="L191" s="41" t="s">
        <v>675</v>
      </c>
      <c r="M191" s="41" t="s">
        <v>809</v>
      </c>
    </row>
    <row r="192" spans="1:13" ht="47.25" x14ac:dyDescent="0.2">
      <c r="A192" s="39">
        <v>46054.494077870375</v>
      </c>
      <c r="B192" s="40">
        <v>28208100741</v>
      </c>
      <c r="C192" s="40" t="s">
        <v>676</v>
      </c>
      <c r="D192" s="40" t="s">
        <v>34</v>
      </c>
      <c r="E192" s="41" t="s">
        <v>26</v>
      </c>
      <c r="F192" s="40" t="s">
        <v>37</v>
      </c>
      <c r="G192" s="41" t="s">
        <v>805</v>
      </c>
      <c r="H192" s="40" t="s">
        <v>22</v>
      </c>
      <c r="I192" s="40"/>
      <c r="J192" s="41" t="s">
        <v>360</v>
      </c>
      <c r="K192" s="41" t="s">
        <v>29</v>
      </c>
      <c r="L192" s="41" t="s">
        <v>678</v>
      </c>
      <c r="M192" s="41" t="s">
        <v>809</v>
      </c>
    </row>
    <row r="193" spans="1:13" ht="47.25" x14ac:dyDescent="0.2">
      <c r="A193" s="39">
        <v>46054.558175439815</v>
      </c>
      <c r="B193" s="40">
        <v>28218054700</v>
      </c>
      <c r="C193" s="40" t="s">
        <v>679</v>
      </c>
      <c r="D193" s="40" t="s">
        <v>681</v>
      </c>
      <c r="E193" s="41" t="s">
        <v>26</v>
      </c>
      <c r="F193" s="40" t="s">
        <v>21</v>
      </c>
      <c r="G193" s="41" t="s">
        <v>805</v>
      </c>
      <c r="H193" s="40" t="s">
        <v>22</v>
      </c>
      <c r="I193" s="40"/>
      <c r="J193" s="41" t="s">
        <v>56</v>
      </c>
      <c r="K193" s="41" t="s">
        <v>29</v>
      </c>
      <c r="L193" s="41" t="s">
        <v>682</v>
      </c>
      <c r="M193" s="41" t="s">
        <v>809</v>
      </c>
    </row>
    <row r="194" spans="1:13" ht="47.25" x14ac:dyDescent="0.2">
      <c r="A194" s="39">
        <v>46054.564196354171</v>
      </c>
      <c r="B194" s="40">
        <v>28218003890</v>
      </c>
      <c r="C194" s="40" t="s">
        <v>683</v>
      </c>
      <c r="D194" s="40" t="s">
        <v>83</v>
      </c>
      <c r="E194" s="41" t="s">
        <v>26</v>
      </c>
      <c r="F194" s="40" t="s">
        <v>21</v>
      </c>
      <c r="G194" s="41" t="s">
        <v>805</v>
      </c>
      <c r="H194" s="40" t="s">
        <v>22</v>
      </c>
      <c r="I194" s="40"/>
      <c r="J194" s="41" t="s">
        <v>56</v>
      </c>
      <c r="K194" s="41" t="s">
        <v>29</v>
      </c>
      <c r="L194" s="41" t="s">
        <v>685</v>
      </c>
      <c r="M194" s="41" t="s">
        <v>809</v>
      </c>
    </row>
    <row r="195" spans="1:13" ht="47.25" x14ac:dyDescent="0.2">
      <c r="A195" s="39">
        <v>46054.614438761579</v>
      </c>
      <c r="B195" s="40">
        <v>28204604095</v>
      </c>
      <c r="C195" s="40" t="s">
        <v>686</v>
      </c>
      <c r="D195" s="40" t="s">
        <v>189</v>
      </c>
      <c r="E195" s="41" t="s">
        <v>26</v>
      </c>
      <c r="F195" s="40" t="s">
        <v>21</v>
      </c>
      <c r="G195" s="41" t="s">
        <v>805</v>
      </c>
      <c r="H195" s="40" t="s">
        <v>22</v>
      </c>
      <c r="I195" s="40"/>
      <c r="J195" s="41" t="s">
        <v>424</v>
      </c>
      <c r="K195" s="41" t="s">
        <v>29</v>
      </c>
      <c r="L195" s="41" t="s">
        <v>688</v>
      </c>
      <c r="M195" s="41" t="s">
        <v>809</v>
      </c>
    </row>
    <row r="196" spans="1:13" ht="47.25" x14ac:dyDescent="0.2">
      <c r="A196" s="39">
        <v>46054.676956030089</v>
      </c>
      <c r="B196" s="40">
        <v>28206254569</v>
      </c>
      <c r="C196" s="40" t="s">
        <v>689</v>
      </c>
      <c r="D196" s="40" t="s">
        <v>78</v>
      </c>
      <c r="E196" s="41" t="s">
        <v>16</v>
      </c>
      <c r="F196" s="40" t="s">
        <v>75</v>
      </c>
      <c r="G196" s="41" t="s">
        <v>805</v>
      </c>
      <c r="H196" s="40" t="s">
        <v>22</v>
      </c>
      <c r="I196" s="40"/>
      <c r="J196" s="41" t="s">
        <v>207</v>
      </c>
      <c r="K196" s="41" t="s">
        <v>68</v>
      </c>
      <c r="L196" s="41" t="s">
        <v>691</v>
      </c>
      <c r="M196" s="41" t="s">
        <v>810</v>
      </c>
    </row>
    <row r="197" spans="1:13" ht="47.25" x14ac:dyDescent="0.2">
      <c r="A197" s="39">
        <v>46054.687073611116</v>
      </c>
      <c r="B197" s="40">
        <v>27207139637</v>
      </c>
      <c r="C197" s="40" t="s">
        <v>692</v>
      </c>
      <c r="D197" s="40" t="s">
        <v>40</v>
      </c>
      <c r="E197" s="41" t="s">
        <v>26</v>
      </c>
      <c r="F197" s="40" t="s">
        <v>31</v>
      </c>
      <c r="G197" s="41" t="s">
        <v>805</v>
      </c>
      <c r="H197" s="40" t="s">
        <v>22</v>
      </c>
      <c r="I197" s="40"/>
      <c r="J197" s="41" t="s">
        <v>781</v>
      </c>
      <c r="K197" s="41" t="s">
        <v>29</v>
      </c>
      <c r="L197" s="41" t="s">
        <v>694</v>
      </c>
      <c r="M197" s="41" t="s">
        <v>809</v>
      </c>
    </row>
    <row r="198" spans="1:13" ht="47.25" x14ac:dyDescent="0.2">
      <c r="A198" s="39">
        <v>46054.734475532408</v>
      </c>
      <c r="B198" s="40">
        <v>28208004114</v>
      </c>
      <c r="C198" s="40" t="s">
        <v>695</v>
      </c>
      <c r="D198" s="40" t="s">
        <v>180</v>
      </c>
      <c r="E198" s="41" t="s">
        <v>26</v>
      </c>
      <c r="F198" s="40" t="s">
        <v>37</v>
      </c>
      <c r="G198" s="41" t="s">
        <v>805</v>
      </c>
      <c r="H198" s="40" t="s">
        <v>22</v>
      </c>
      <c r="I198" s="40"/>
      <c r="J198" s="41" t="s">
        <v>360</v>
      </c>
      <c r="K198" s="41" t="s">
        <v>29</v>
      </c>
      <c r="L198" s="41" t="s">
        <v>697</v>
      </c>
      <c r="M198" s="41" t="s">
        <v>809</v>
      </c>
    </row>
    <row r="199" spans="1:13" ht="47.25" x14ac:dyDescent="0.2">
      <c r="A199" s="39">
        <v>46054.998539247681</v>
      </c>
      <c r="B199" s="40">
        <v>28218004763</v>
      </c>
      <c r="C199" s="40" t="s">
        <v>698</v>
      </c>
      <c r="D199" s="40" t="s">
        <v>700</v>
      </c>
      <c r="E199" s="41" t="s">
        <v>26</v>
      </c>
      <c r="F199" s="40" t="s">
        <v>491</v>
      </c>
      <c r="G199" s="41" t="s">
        <v>805</v>
      </c>
      <c r="H199" s="40" t="s">
        <v>22</v>
      </c>
      <c r="I199" s="40"/>
      <c r="J199" s="41" t="s">
        <v>701</v>
      </c>
      <c r="K199" s="41" t="s">
        <v>702</v>
      </c>
      <c r="L199" s="41" t="s">
        <v>797</v>
      </c>
      <c r="M199" s="41" t="s">
        <v>809</v>
      </c>
    </row>
    <row r="200" spans="1:13" ht="47.25" x14ac:dyDescent="0.2">
      <c r="A200" s="39">
        <v>46054.874451354168</v>
      </c>
      <c r="B200" s="40">
        <v>28208053626</v>
      </c>
      <c r="C200" s="40" t="s">
        <v>703</v>
      </c>
      <c r="D200" s="40" t="s">
        <v>123</v>
      </c>
      <c r="E200" s="41" t="s">
        <v>26</v>
      </c>
      <c r="F200" s="40" t="s">
        <v>75</v>
      </c>
      <c r="G200" s="41" t="s">
        <v>805</v>
      </c>
      <c r="H200" s="40" t="s">
        <v>22</v>
      </c>
      <c r="I200" s="40"/>
      <c r="J200" s="41" t="s">
        <v>63</v>
      </c>
      <c r="K200" s="41" t="s">
        <v>68</v>
      </c>
      <c r="L200" s="41" t="s">
        <v>782</v>
      </c>
      <c r="M200" s="41" t="s">
        <v>809</v>
      </c>
    </row>
    <row r="201" spans="1:13" ht="47.25" x14ac:dyDescent="0.2">
      <c r="A201" s="39">
        <v>46054.906963113426</v>
      </c>
      <c r="B201" s="40">
        <v>28218004225</v>
      </c>
      <c r="C201" s="40" t="s">
        <v>704</v>
      </c>
      <c r="D201" s="40" t="s">
        <v>706</v>
      </c>
      <c r="E201" s="41" t="s">
        <v>16</v>
      </c>
      <c r="F201" s="40" t="s">
        <v>75</v>
      </c>
      <c r="G201" s="41" t="s">
        <v>805</v>
      </c>
      <c r="H201" s="40" t="s">
        <v>22</v>
      </c>
      <c r="I201" s="40"/>
      <c r="J201" s="41" t="s">
        <v>207</v>
      </c>
      <c r="K201" s="41" t="s">
        <v>68</v>
      </c>
      <c r="L201" s="41" t="s">
        <v>707</v>
      </c>
      <c r="M201" s="41" t="s">
        <v>810</v>
      </c>
    </row>
    <row r="202" spans="1:13" ht="47.25" x14ac:dyDescent="0.2">
      <c r="A202" s="39">
        <v>46054.909167662037</v>
      </c>
      <c r="B202" s="40">
        <v>28218025488</v>
      </c>
      <c r="C202" s="40" t="s">
        <v>708</v>
      </c>
      <c r="D202" s="40" t="s">
        <v>397</v>
      </c>
      <c r="E202" s="41" t="s">
        <v>16</v>
      </c>
      <c r="F202" s="40" t="s">
        <v>75</v>
      </c>
      <c r="G202" s="41" t="s">
        <v>805</v>
      </c>
      <c r="H202" s="40" t="s">
        <v>22</v>
      </c>
      <c r="I202" s="40"/>
      <c r="J202" s="41" t="s">
        <v>207</v>
      </c>
      <c r="K202" s="41" t="s">
        <v>68</v>
      </c>
      <c r="L202" s="41" t="s">
        <v>398</v>
      </c>
      <c r="M202" s="41" t="s">
        <v>810</v>
      </c>
    </row>
    <row r="203" spans="1:13" ht="76.5" x14ac:dyDescent="0.2">
      <c r="A203" s="39">
        <v>46055.732389143523</v>
      </c>
      <c r="B203" s="40">
        <v>28208006659</v>
      </c>
      <c r="C203" s="40" t="s">
        <v>709</v>
      </c>
      <c r="D203" s="40" t="s">
        <v>34</v>
      </c>
      <c r="E203" s="41" t="s">
        <v>26</v>
      </c>
      <c r="F203" s="40" t="s">
        <v>21</v>
      </c>
      <c r="G203" s="41" t="s">
        <v>805</v>
      </c>
      <c r="H203" s="40" t="s">
        <v>174</v>
      </c>
      <c r="I203" s="40" t="s">
        <v>761</v>
      </c>
      <c r="J203" s="41" t="s">
        <v>657</v>
      </c>
      <c r="K203" s="41" t="s">
        <v>29</v>
      </c>
      <c r="L203" s="41"/>
      <c r="M203" s="41" t="s">
        <v>807</v>
      </c>
    </row>
    <row r="204" spans="1:13" ht="47.25" x14ac:dyDescent="0.2">
      <c r="A204" s="39">
        <v>46055.433068634258</v>
      </c>
      <c r="B204" s="40">
        <v>28207237757</v>
      </c>
      <c r="C204" s="40" t="s">
        <v>711</v>
      </c>
      <c r="D204" s="40" t="s">
        <v>553</v>
      </c>
      <c r="E204" s="41" t="s">
        <v>158</v>
      </c>
      <c r="F204" s="40" t="s">
        <v>713</v>
      </c>
      <c r="G204" s="41" t="s">
        <v>806</v>
      </c>
      <c r="H204" s="40" t="s">
        <v>22</v>
      </c>
      <c r="I204" s="40"/>
      <c r="J204" s="41" t="s">
        <v>207</v>
      </c>
      <c r="K204" s="41" t="s">
        <v>29</v>
      </c>
      <c r="L204" s="41" t="s">
        <v>712</v>
      </c>
      <c r="M204" s="41" t="s">
        <v>810</v>
      </c>
    </row>
    <row r="205" spans="1:13" ht="60" x14ac:dyDescent="0.2">
      <c r="A205" s="39">
        <v>46055.41548221065</v>
      </c>
      <c r="B205" s="40">
        <v>28203502896</v>
      </c>
      <c r="C205" s="40" t="s">
        <v>714</v>
      </c>
      <c r="D205" s="40" t="s">
        <v>157</v>
      </c>
      <c r="E205" s="41" t="s">
        <v>158</v>
      </c>
      <c r="F205" s="40" t="s">
        <v>713</v>
      </c>
      <c r="G205" s="41" t="s">
        <v>806</v>
      </c>
      <c r="H205" s="40" t="s">
        <v>174</v>
      </c>
      <c r="I205" s="40" t="s">
        <v>770</v>
      </c>
      <c r="J205" s="41" t="s">
        <v>207</v>
      </c>
      <c r="K205" s="41" t="s">
        <v>153</v>
      </c>
      <c r="L205" s="41" t="s">
        <v>770</v>
      </c>
      <c r="M205" s="41" t="s">
        <v>808</v>
      </c>
    </row>
    <row r="206" spans="1:13" ht="47.25" x14ac:dyDescent="0.2">
      <c r="A206" s="39">
        <v>46055.033688784722</v>
      </c>
      <c r="B206" s="40">
        <v>28208047873</v>
      </c>
      <c r="C206" s="40" t="s">
        <v>716</v>
      </c>
      <c r="D206" s="40" t="s">
        <v>34</v>
      </c>
      <c r="E206" s="41" t="s">
        <v>26</v>
      </c>
      <c r="F206" s="40" t="s">
        <v>106</v>
      </c>
      <c r="G206" s="41" t="s">
        <v>805</v>
      </c>
      <c r="H206" s="40" t="s">
        <v>22</v>
      </c>
      <c r="I206" s="40"/>
      <c r="J206" s="41" t="s">
        <v>252</v>
      </c>
      <c r="K206" s="41" t="s">
        <v>29</v>
      </c>
      <c r="L206" s="41" t="s">
        <v>718</v>
      </c>
      <c r="M206" s="41" t="s">
        <v>809</v>
      </c>
    </row>
    <row r="207" spans="1:13" ht="60" x14ac:dyDescent="0.2">
      <c r="A207" s="39">
        <v>46055.918025034727</v>
      </c>
      <c r="B207" s="40">
        <v>28208306063</v>
      </c>
      <c r="C207" s="40" t="s">
        <v>719</v>
      </c>
      <c r="D207" s="40" t="s">
        <v>157</v>
      </c>
      <c r="E207" s="41" t="s">
        <v>158</v>
      </c>
      <c r="F207" s="40" t="s">
        <v>713</v>
      </c>
      <c r="G207" s="41" t="s">
        <v>806</v>
      </c>
      <c r="H207" s="40" t="s">
        <v>161</v>
      </c>
      <c r="I207" s="40" t="s">
        <v>758</v>
      </c>
      <c r="J207" s="41" t="s">
        <v>720</v>
      </c>
      <c r="K207" s="41" t="s">
        <v>29</v>
      </c>
      <c r="L207" s="41" t="s">
        <v>758</v>
      </c>
      <c r="M207" s="41" t="s">
        <v>808</v>
      </c>
    </row>
    <row r="208" spans="1:13" ht="47.25" x14ac:dyDescent="0.2">
      <c r="A208" s="39">
        <v>46055.206731886574</v>
      </c>
      <c r="B208" s="40">
        <v>28208151401</v>
      </c>
      <c r="C208" s="40" t="s">
        <v>721</v>
      </c>
      <c r="D208" s="40" t="s">
        <v>157</v>
      </c>
      <c r="E208" s="41" t="s">
        <v>158</v>
      </c>
      <c r="F208" s="40" t="s">
        <v>713</v>
      </c>
      <c r="G208" s="41" t="s">
        <v>806</v>
      </c>
      <c r="H208" s="40" t="s">
        <v>22</v>
      </c>
      <c r="I208" s="40"/>
      <c r="J208" s="41" t="s">
        <v>207</v>
      </c>
      <c r="K208" s="41" t="s">
        <v>29</v>
      </c>
      <c r="L208" s="41" t="s">
        <v>723</v>
      </c>
      <c r="M208" s="41" t="s">
        <v>810</v>
      </c>
    </row>
    <row r="209" spans="1:13" ht="60" x14ac:dyDescent="0.2">
      <c r="A209" s="39">
        <v>46055.40558496528</v>
      </c>
      <c r="B209" s="40">
        <v>28218304766</v>
      </c>
      <c r="C209" s="40" t="s">
        <v>724</v>
      </c>
      <c r="D209" s="40" t="s">
        <v>553</v>
      </c>
      <c r="E209" s="41" t="s">
        <v>158</v>
      </c>
      <c r="F209" s="40" t="s">
        <v>160</v>
      </c>
      <c r="G209" s="41" t="s">
        <v>806</v>
      </c>
      <c r="H209" s="40" t="s">
        <v>161</v>
      </c>
      <c r="I209" s="40" t="s">
        <v>726</v>
      </c>
      <c r="J209" s="41" t="s">
        <v>79</v>
      </c>
      <c r="K209" s="41" t="s">
        <v>29</v>
      </c>
      <c r="L209" s="41" t="s">
        <v>726</v>
      </c>
      <c r="M209" s="41" t="s">
        <v>808</v>
      </c>
    </row>
    <row r="210" spans="1:13" ht="47.25" x14ac:dyDescent="0.2">
      <c r="A210" s="39">
        <v>46055.415918865736</v>
      </c>
      <c r="B210" s="40">
        <v>28206929749</v>
      </c>
      <c r="C210" s="40" t="s">
        <v>727</v>
      </c>
      <c r="D210" s="40" t="s">
        <v>25</v>
      </c>
      <c r="E210" s="41" t="s">
        <v>26</v>
      </c>
      <c r="F210" s="40" t="s">
        <v>106</v>
      </c>
      <c r="G210" s="41" t="s">
        <v>805</v>
      </c>
      <c r="H210" s="40" t="s">
        <v>22</v>
      </c>
      <c r="I210" s="40"/>
      <c r="J210" s="41" t="s">
        <v>225</v>
      </c>
      <c r="K210" s="41" t="s">
        <v>29</v>
      </c>
      <c r="L210" s="41" t="s">
        <v>729</v>
      </c>
      <c r="M210" s="41" t="s">
        <v>809</v>
      </c>
    </row>
    <row r="211" spans="1:13" ht="47.25" x14ac:dyDescent="0.2">
      <c r="A211" s="39">
        <v>46055.437649398147</v>
      </c>
      <c r="B211" s="40">
        <v>26207141604</v>
      </c>
      <c r="C211" s="40" t="s">
        <v>730</v>
      </c>
      <c r="D211" s="40" t="s">
        <v>305</v>
      </c>
      <c r="E211" s="41" t="s">
        <v>16</v>
      </c>
      <c r="F211" s="40" t="s">
        <v>491</v>
      </c>
      <c r="G211" s="41" t="s">
        <v>805</v>
      </c>
      <c r="H211" s="40" t="s">
        <v>22</v>
      </c>
      <c r="I211" s="40"/>
      <c r="J211" s="41" t="s">
        <v>732</v>
      </c>
      <c r="K211" s="41" t="s">
        <v>19</v>
      </c>
      <c r="L211" s="41" t="s">
        <v>733</v>
      </c>
      <c r="M211" s="41" t="s">
        <v>809</v>
      </c>
    </row>
    <row r="212" spans="1:13" ht="47.25" x14ac:dyDescent="0.2">
      <c r="A212" s="39">
        <v>46055.731582789347</v>
      </c>
      <c r="B212" s="40">
        <v>28208023818</v>
      </c>
      <c r="C212" s="40" t="s">
        <v>734</v>
      </c>
      <c r="D212" s="40" t="s">
        <v>735</v>
      </c>
      <c r="E212" s="41" t="s">
        <v>16</v>
      </c>
      <c r="F212" s="40" t="s">
        <v>75</v>
      </c>
      <c r="G212" s="41" t="s">
        <v>805</v>
      </c>
      <c r="H212" s="40" t="s">
        <v>22</v>
      </c>
      <c r="I212" s="40"/>
      <c r="J212" s="41" t="s">
        <v>783</v>
      </c>
      <c r="K212" s="41" t="s">
        <v>68</v>
      </c>
      <c r="L212" s="41" t="s">
        <v>736</v>
      </c>
      <c r="M212" s="41" t="s">
        <v>809</v>
      </c>
    </row>
    <row r="213" spans="1:13" ht="47.25" x14ac:dyDescent="0.2">
      <c r="A213" s="39">
        <v>46055.517039108796</v>
      </c>
      <c r="B213" s="40">
        <v>28208032409</v>
      </c>
      <c r="C213" s="40" t="s">
        <v>737</v>
      </c>
      <c r="D213" s="40" t="s">
        <v>83</v>
      </c>
      <c r="E213" s="41" t="s">
        <v>26</v>
      </c>
      <c r="F213" s="40" t="s">
        <v>21</v>
      </c>
      <c r="G213" s="41" t="s">
        <v>805</v>
      </c>
      <c r="H213" s="40" t="s">
        <v>22</v>
      </c>
      <c r="I213" s="40"/>
      <c r="J213" s="41" t="s">
        <v>424</v>
      </c>
      <c r="K213" s="41" t="s">
        <v>29</v>
      </c>
      <c r="L213" s="41" t="s">
        <v>765</v>
      </c>
      <c r="M213" s="41" t="s">
        <v>809</v>
      </c>
    </row>
    <row r="214" spans="1:13" ht="63" x14ac:dyDescent="0.2">
      <c r="A214" s="39">
        <v>46055.592845405088</v>
      </c>
      <c r="B214" s="40">
        <v>27217145651</v>
      </c>
      <c r="C214" s="40" t="s">
        <v>739</v>
      </c>
      <c r="D214" s="40" t="s">
        <v>706</v>
      </c>
      <c r="E214" s="41" t="s">
        <v>16</v>
      </c>
      <c r="F214" s="40" t="s">
        <v>491</v>
      </c>
      <c r="G214" s="41" t="s">
        <v>805</v>
      </c>
      <c r="H214" s="40" t="s">
        <v>22</v>
      </c>
      <c r="I214" s="40"/>
      <c r="J214" s="41" t="s">
        <v>741</v>
      </c>
      <c r="K214" s="41" t="s">
        <v>19</v>
      </c>
      <c r="L214" s="41" t="s">
        <v>742</v>
      </c>
      <c r="M214" s="41" t="s">
        <v>809</v>
      </c>
    </row>
    <row r="215" spans="1:13" ht="47.25" x14ac:dyDescent="0.2">
      <c r="A215" s="39">
        <v>46055.577065370366</v>
      </c>
      <c r="B215" s="40">
        <v>28208053246</v>
      </c>
      <c r="C215" s="40" t="s">
        <v>743</v>
      </c>
      <c r="D215" s="40" t="s">
        <v>40</v>
      </c>
      <c r="E215" s="41" t="s">
        <v>26</v>
      </c>
      <c r="F215" s="40" t="s">
        <v>21</v>
      </c>
      <c r="G215" s="41" t="s">
        <v>805</v>
      </c>
      <c r="H215" s="40" t="s">
        <v>22</v>
      </c>
      <c r="I215" s="40"/>
      <c r="J215" s="41" t="s">
        <v>112</v>
      </c>
      <c r="K215" s="41" t="s">
        <v>29</v>
      </c>
      <c r="L215" s="41" t="s">
        <v>745</v>
      </c>
      <c r="M215" s="41" t="s">
        <v>809</v>
      </c>
    </row>
    <row r="216" spans="1:13" ht="47.25" x14ac:dyDescent="0.2">
      <c r="A216" s="39">
        <v>46055.815110625001</v>
      </c>
      <c r="B216" s="40">
        <v>28208053243</v>
      </c>
      <c r="C216" s="40" t="s">
        <v>746</v>
      </c>
      <c r="D216" s="40" t="s">
        <v>748</v>
      </c>
      <c r="E216" s="41" t="s">
        <v>26</v>
      </c>
      <c r="F216" s="40" t="s">
        <v>106</v>
      </c>
      <c r="G216" s="41" t="s">
        <v>805</v>
      </c>
      <c r="H216" s="40" t="s">
        <v>22</v>
      </c>
      <c r="I216" s="40"/>
      <c r="J216" s="41" t="s">
        <v>252</v>
      </c>
      <c r="K216" s="41" t="s">
        <v>29</v>
      </c>
      <c r="L216" s="41" t="s">
        <v>749</v>
      </c>
      <c r="M216" s="41" t="s">
        <v>809</v>
      </c>
    </row>
    <row r="217" spans="1:13" ht="60" x14ac:dyDescent="0.2">
      <c r="A217" s="39">
        <v>46055.699670254631</v>
      </c>
      <c r="B217" s="40">
        <v>27217142131</v>
      </c>
      <c r="C217" s="40" t="s">
        <v>750</v>
      </c>
      <c r="D217" s="40" t="s">
        <v>78</v>
      </c>
      <c r="E217" s="41" t="s">
        <v>16</v>
      </c>
      <c r="F217" s="40" t="s">
        <v>120</v>
      </c>
      <c r="G217" s="41" t="s">
        <v>806</v>
      </c>
      <c r="H217" s="40" t="s">
        <v>161</v>
      </c>
      <c r="I217" s="40" t="s">
        <v>757</v>
      </c>
      <c r="J217" s="41" t="s">
        <v>79</v>
      </c>
      <c r="K217" s="41" t="s">
        <v>29</v>
      </c>
      <c r="L217" s="41" t="s">
        <v>757</v>
      </c>
      <c r="M217" s="41" t="s">
        <v>808</v>
      </c>
    </row>
    <row r="218" spans="1:13" ht="47.25" x14ac:dyDescent="0.2">
      <c r="A218" s="39">
        <v>46055.718180868054</v>
      </c>
      <c r="B218" s="40">
        <v>28216846313</v>
      </c>
      <c r="C218" s="40" t="s">
        <v>752</v>
      </c>
      <c r="D218" s="40" t="s">
        <v>359</v>
      </c>
      <c r="E218" s="41" t="s">
        <v>26</v>
      </c>
      <c r="F218" s="40" t="s">
        <v>139</v>
      </c>
      <c r="G218" s="41" t="s">
        <v>805</v>
      </c>
      <c r="H218" s="40" t="s">
        <v>22</v>
      </c>
      <c r="I218" s="40"/>
      <c r="J218" s="41" t="s">
        <v>79</v>
      </c>
      <c r="K218" s="41" t="s">
        <v>29</v>
      </c>
      <c r="L218" s="41" t="s">
        <v>753</v>
      </c>
      <c r="M218" s="41" t="s">
        <v>809</v>
      </c>
    </row>
    <row r="219" spans="1:13" ht="60" x14ac:dyDescent="0.2">
      <c r="A219" s="39">
        <v>46055.8009321875</v>
      </c>
      <c r="B219" s="40">
        <v>28210334081</v>
      </c>
      <c r="C219" s="40" t="s">
        <v>754</v>
      </c>
      <c r="D219" s="40" t="s">
        <v>185</v>
      </c>
      <c r="E219" s="41" t="s">
        <v>26</v>
      </c>
      <c r="F219" s="40" t="s">
        <v>86</v>
      </c>
      <c r="G219" s="41" t="s">
        <v>805</v>
      </c>
      <c r="H219" s="40" t="s">
        <v>161</v>
      </c>
      <c r="I219" s="40" t="s">
        <v>755</v>
      </c>
      <c r="J219" s="41" t="s">
        <v>96</v>
      </c>
      <c r="K219" s="41" t="s">
        <v>85</v>
      </c>
      <c r="L219" s="41" t="s">
        <v>755</v>
      </c>
      <c r="M219" s="41" t="s">
        <v>808</v>
      </c>
    </row>
    <row r="220" spans="1:13" ht="31.5" x14ac:dyDescent="0.2">
      <c r="A220" s="39"/>
      <c r="B220" s="40">
        <v>27207140233</v>
      </c>
      <c r="C220" s="40" t="s">
        <v>814</v>
      </c>
      <c r="D220" s="40" t="s">
        <v>830</v>
      </c>
      <c r="E220" s="41" t="s">
        <v>26</v>
      </c>
      <c r="F220" s="40" t="s">
        <v>37</v>
      </c>
      <c r="G220" s="41" t="s">
        <v>805</v>
      </c>
      <c r="H220" s="40"/>
      <c r="I220" s="40"/>
      <c r="J220" s="41" t="s">
        <v>270</v>
      </c>
      <c r="K220" s="41" t="s">
        <v>29</v>
      </c>
      <c r="L220" s="41"/>
      <c r="M220" s="41" t="s">
        <v>836</v>
      </c>
    </row>
    <row r="221" spans="1:13" ht="31.5" x14ac:dyDescent="0.2">
      <c r="A221" s="39"/>
      <c r="B221" s="40">
        <v>28212304132</v>
      </c>
      <c r="C221" s="40" t="s">
        <v>815</v>
      </c>
      <c r="D221" s="40" t="s">
        <v>165</v>
      </c>
      <c r="E221" s="41" t="s">
        <v>26</v>
      </c>
      <c r="F221" s="40">
        <v>0</v>
      </c>
      <c r="G221" s="41" t="s">
        <v>805</v>
      </c>
      <c r="H221" s="40"/>
      <c r="I221" s="40"/>
      <c r="J221" s="41" t="e">
        <v>#N/A</v>
      </c>
      <c r="K221" s="41" t="e">
        <v>#N/A</v>
      </c>
      <c r="L221" s="41"/>
      <c r="M221" s="41"/>
    </row>
    <row r="222" spans="1:13" ht="189" x14ac:dyDescent="0.2">
      <c r="A222" s="39"/>
      <c r="B222" s="40">
        <v>28208004333</v>
      </c>
      <c r="C222" s="40" t="s">
        <v>816</v>
      </c>
      <c r="D222" s="40" t="s">
        <v>176</v>
      </c>
      <c r="E222" s="41" t="s">
        <v>26</v>
      </c>
      <c r="F222" s="40" t="s">
        <v>86</v>
      </c>
      <c r="G222" s="41" t="s">
        <v>805</v>
      </c>
      <c r="H222" s="40"/>
      <c r="I222" s="40"/>
      <c r="J222" s="41" t="s">
        <v>550</v>
      </c>
      <c r="K222" s="41" t="s">
        <v>19</v>
      </c>
      <c r="L222" s="41"/>
      <c r="M222" s="41" t="s">
        <v>839</v>
      </c>
    </row>
    <row r="223" spans="1:13" ht="189" x14ac:dyDescent="0.2">
      <c r="A223" s="39"/>
      <c r="B223" s="40">
        <v>28208001131</v>
      </c>
      <c r="C223" s="40" t="s">
        <v>817</v>
      </c>
      <c r="D223" s="40" t="s">
        <v>176</v>
      </c>
      <c r="E223" s="41" t="s">
        <v>26</v>
      </c>
      <c r="F223" s="40" t="s">
        <v>75</v>
      </c>
      <c r="G223" s="41" t="s">
        <v>805</v>
      </c>
      <c r="H223" s="40"/>
      <c r="I223" s="40"/>
      <c r="J223" s="41" t="s">
        <v>225</v>
      </c>
      <c r="K223" s="41" t="s">
        <v>835</v>
      </c>
      <c r="L223" s="41"/>
      <c r="M223" s="41" t="s">
        <v>839</v>
      </c>
    </row>
    <row r="224" spans="1:13" ht="189" x14ac:dyDescent="0.2">
      <c r="A224" s="39"/>
      <c r="B224" s="40">
        <v>28216202709</v>
      </c>
      <c r="C224" s="40" t="s">
        <v>818</v>
      </c>
      <c r="D224" s="40" t="s">
        <v>40</v>
      </c>
      <c r="E224" s="41" t="s">
        <v>26</v>
      </c>
      <c r="F224" s="40" t="s">
        <v>139</v>
      </c>
      <c r="G224" s="41" t="s">
        <v>805</v>
      </c>
      <c r="H224" s="40"/>
      <c r="I224" s="40"/>
      <c r="J224" s="41" t="s">
        <v>181</v>
      </c>
      <c r="K224" s="41" t="s">
        <v>29</v>
      </c>
      <c r="L224" s="41"/>
      <c r="M224" s="41" t="s">
        <v>839</v>
      </c>
    </row>
    <row r="225" spans="1:13" ht="31.5" x14ac:dyDescent="0.2">
      <c r="A225" s="39"/>
      <c r="B225" s="40">
        <v>25207110560</v>
      </c>
      <c r="C225" s="40" t="s">
        <v>819</v>
      </c>
      <c r="D225" s="40" t="s">
        <v>831</v>
      </c>
      <c r="E225" s="41" t="s">
        <v>26</v>
      </c>
      <c r="F225" s="40">
        <v>0</v>
      </c>
      <c r="G225" s="41" t="s">
        <v>805</v>
      </c>
      <c r="H225" s="40"/>
      <c r="I225" s="40"/>
      <c r="J225" s="41" t="e">
        <v>#N/A</v>
      </c>
      <c r="K225" s="41" t="e">
        <v>#N/A</v>
      </c>
      <c r="L225" s="41"/>
      <c r="M225" s="41" t="s">
        <v>837</v>
      </c>
    </row>
    <row r="226" spans="1:13" ht="189" x14ac:dyDescent="0.2">
      <c r="A226" s="39"/>
      <c r="B226" s="40">
        <v>28203500810</v>
      </c>
      <c r="C226" s="40" t="s">
        <v>820</v>
      </c>
      <c r="D226" s="40" t="s">
        <v>100</v>
      </c>
      <c r="E226" s="41" t="s">
        <v>26</v>
      </c>
      <c r="F226" s="40" t="s">
        <v>70</v>
      </c>
      <c r="G226" s="41" t="s">
        <v>805</v>
      </c>
      <c r="H226" s="40"/>
      <c r="I226" s="40"/>
      <c r="J226" s="41" t="s">
        <v>148</v>
      </c>
      <c r="K226" s="41" t="s">
        <v>68</v>
      </c>
      <c r="L226" s="41"/>
      <c r="M226" s="41" t="s">
        <v>839</v>
      </c>
    </row>
    <row r="227" spans="1:13" ht="189" x14ac:dyDescent="0.2">
      <c r="A227" s="39"/>
      <c r="B227" s="40">
        <v>28218004440</v>
      </c>
      <c r="C227" s="40" t="s">
        <v>821</v>
      </c>
      <c r="D227" s="40" t="s">
        <v>100</v>
      </c>
      <c r="E227" s="41" t="s">
        <v>26</v>
      </c>
      <c r="F227" s="40" t="s">
        <v>139</v>
      </c>
      <c r="G227" s="41" t="s">
        <v>805</v>
      </c>
      <c r="H227" s="40"/>
      <c r="I227" s="40"/>
      <c r="J227" s="41" t="s">
        <v>148</v>
      </c>
      <c r="K227" s="41" t="s">
        <v>29</v>
      </c>
      <c r="L227" s="41"/>
      <c r="M227" s="41" t="s">
        <v>839</v>
      </c>
    </row>
    <row r="228" spans="1:13" ht="189" x14ac:dyDescent="0.2">
      <c r="A228" s="39"/>
      <c r="B228" s="40">
        <v>28208100046</v>
      </c>
      <c r="C228" s="40" t="s">
        <v>822</v>
      </c>
      <c r="D228" s="40" t="s">
        <v>78</v>
      </c>
      <c r="E228" s="41" t="s">
        <v>16</v>
      </c>
      <c r="F228" s="40" t="s">
        <v>75</v>
      </c>
      <c r="G228" s="41" t="s">
        <v>805</v>
      </c>
      <c r="H228" s="40"/>
      <c r="I228" s="40"/>
      <c r="J228" s="41" t="s">
        <v>207</v>
      </c>
      <c r="K228" s="41" t="s">
        <v>68</v>
      </c>
      <c r="L228" s="41"/>
      <c r="M228" s="41" t="s">
        <v>839</v>
      </c>
    </row>
    <row r="229" spans="1:13" ht="189" x14ac:dyDescent="0.2">
      <c r="A229" s="39"/>
      <c r="B229" s="40">
        <v>28218143696</v>
      </c>
      <c r="C229" s="40" t="s">
        <v>823</v>
      </c>
      <c r="D229" s="40" t="s">
        <v>832</v>
      </c>
      <c r="E229" s="41" t="s">
        <v>16</v>
      </c>
      <c r="F229" s="40" t="s">
        <v>70</v>
      </c>
      <c r="G229" s="41" t="s">
        <v>805</v>
      </c>
      <c r="H229" s="40"/>
      <c r="I229" s="40"/>
      <c r="J229" s="41" t="s">
        <v>181</v>
      </c>
      <c r="K229" s="41" t="s">
        <v>68</v>
      </c>
      <c r="L229" s="41"/>
      <c r="M229" s="41" t="s">
        <v>839</v>
      </c>
    </row>
    <row r="230" spans="1:13" ht="189" x14ac:dyDescent="0.2">
      <c r="A230" s="39"/>
      <c r="B230" s="40">
        <v>28218104213</v>
      </c>
      <c r="C230" s="40" t="s">
        <v>824</v>
      </c>
      <c r="D230" s="40" t="s">
        <v>283</v>
      </c>
      <c r="E230" s="41" t="s">
        <v>16</v>
      </c>
      <c r="F230" s="40" t="s">
        <v>75</v>
      </c>
      <c r="G230" s="41" t="s">
        <v>805</v>
      </c>
      <c r="H230" s="40"/>
      <c r="I230" s="40"/>
      <c r="J230" s="41" t="s">
        <v>207</v>
      </c>
      <c r="K230" s="41" t="s">
        <v>68</v>
      </c>
      <c r="L230" s="41"/>
      <c r="M230" s="41" t="s">
        <v>839</v>
      </c>
    </row>
    <row r="231" spans="1:13" ht="189" x14ac:dyDescent="0.2">
      <c r="A231" s="39"/>
      <c r="B231" s="40">
        <v>25207103269</v>
      </c>
      <c r="C231" s="40" t="s">
        <v>825</v>
      </c>
      <c r="D231" s="40" t="s">
        <v>833</v>
      </c>
      <c r="E231" s="41" t="s">
        <v>26</v>
      </c>
      <c r="F231" s="40">
        <v>0</v>
      </c>
      <c r="G231" s="41" t="s">
        <v>805</v>
      </c>
      <c r="H231" s="40"/>
      <c r="I231" s="40"/>
      <c r="J231" s="41" t="e">
        <v>#N/A</v>
      </c>
      <c r="K231" s="41" t="e">
        <v>#N/A</v>
      </c>
      <c r="L231" s="41"/>
      <c r="M231" s="41" t="s">
        <v>839</v>
      </c>
    </row>
    <row r="232" spans="1:13" ht="189" x14ac:dyDescent="0.2">
      <c r="A232" s="39"/>
      <c r="B232" s="40">
        <v>25207100969</v>
      </c>
      <c r="C232" s="40" t="s">
        <v>826</v>
      </c>
      <c r="D232" s="40" t="s">
        <v>283</v>
      </c>
      <c r="E232" s="41" t="s">
        <v>16</v>
      </c>
      <c r="F232" s="40">
        <v>0</v>
      </c>
      <c r="G232" s="41" t="s">
        <v>805</v>
      </c>
      <c r="H232" s="40"/>
      <c r="I232" s="40"/>
      <c r="J232" s="41" t="e">
        <v>#N/A</v>
      </c>
      <c r="K232" s="41" t="e">
        <v>#N/A</v>
      </c>
      <c r="L232" s="41"/>
      <c r="M232" s="41" t="s">
        <v>839</v>
      </c>
    </row>
    <row r="233" spans="1:13" ht="189" x14ac:dyDescent="0.2">
      <c r="A233" s="39"/>
      <c r="B233" s="40">
        <v>28218047547</v>
      </c>
      <c r="C233" s="40" t="s">
        <v>827</v>
      </c>
      <c r="D233" s="40" t="s">
        <v>25</v>
      </c>
      <c r="E233" s="41" t="s">
        <v>26</v>
      </c>
      <c r="F233" s="40" t="s">
        <v>31</v>
      </c>
      <c r="G233" s="41" t="s">
        <v>805</v>
      </c>
      <c r="H233" s="40"/>
      <c r="I233" s="40"/>
      <c r="J233" s="41" t="s">
        <v>657</v>
      </c>
      <c r="K233" s="41" t="s">
        <v>29</v>
      </c>
      <c r="L233" s="41"/>
      <c r="M233" s="41" t="s">
        <v>839</v>
      </c>
    </row>
    <row r="234" spans="1:13" ht="31.5" x14ac:dyDescent="0.2">
      <c r="A234" s="39"/>
      <c r="B234" s="40">
        <v>27207101069</v>
      </c>
      <c r="C234" s="40" t="s">
        <v>828</v>
      </c>
      <c r="D234" s="40" t="s">
        <v>834</v>
      </c>
      <c r="E234" s="41" t="s">
        <v>26</v>
      </c>
      <c r="F234" s="40">
        <v>0</v>
      </c>
      <c r="G234" s="41" t="s">
        <v>805</v>
      </c>
      <c r="H234" s="40"/>
      <c r="I234" s="40"/>
      <c r="J234" s="41" t="e">
        <v>#N/A</v>
      </c>
      <c r="K234" s="41" t="e">
        <v>#N/A</v>
      </c>
      <c r="L234" s="41"/>
      <c r="M234" s="41" t="s">
        <v>838</v>
      </c>
    </row>
    <row r="235" spans="1:13" ht="31.5" x14ac:dyDescent="0.2">
      <c r="A235" s="39"/>
      <c r="B235" s="40">
        <v>27217146062</v>
      </c>
      <c r="C235" s="40" t="s">
        <v>829</v>
      </c>
      <c r="D235" s="40" t="s">
        <v>830</v>
      </c>
      <c r="E235" s="41" t="s">
        <v>26</v>
      </c>
      <c r="F235" s="40" t="s">
        <v>491</v>
      </c>
      <c r="G235" s="41" t="s">
        <v>805</v>
      </c>
      <c r="H235" s="40"/>
      <c r="I235" s="40"/>
      <c r="J235" s="41" t="s">
        <v>112</v>
      </c>
      <c r="K235" s="41" t="s">
        <v>19</v>
      </c>
      <c r="L235" s="41"/>
      <c r="M235" s="41" t="s">
        <v>836</v>
      </c>
    </row>
  </sheetData>
  <autoFilter ref="A8:O219" xr:uid="{5C12B05D-75CA-46B7-99FC-584709F33F4C}"/>
  <hyperlinks>
    <hyperlink ref="A5" r:id="rId1" xr:uid="{99BA6A17-EB38-4E02-A587-F6DFE40DB6E8}"/>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2.5703125" defaultRowHeight="15.75" customHeight="1"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
  <sheetViews>
    <sheetView workbookViewId="0"/>
  </sheetViews>
  <sheetFormatPr defaultColWidth="12.5703125" defaultRowHeight="15.75" customHeight="1"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I329"/>
  <sheetViews>
    <sheetView workbookViewId="0"/>
  </sheetViews>
  <sheetFormatPr defaultColWidth="12.5703125" defaultRowHeight="15.75" customHeight="1" x14ac:dyDescent="0.2"/>
  <sheetData>
    <row r="1" spans="1:35" x14ac:dyDescent="0.2">
      <c r="A1" s="1" t="str">
        <f ca="1">IFERROR(__xludf.DUMMYFUNCTION("IMPORTRANGE(""https://docs.google.com/spreadsheets/d/1cd4D3rY4ZLQ45i_7jLVYsslN15RP7e_dxTx4zsR4CXQ/edit?gid=1074734394#gid=1074734394"",""Form Responses 1!A:aW"")"),"245")</f>
        <v>245</v>
      </c>
      <c r="B1" s="1" t="str">
        <f ca="1">IFERROR(__xludf.DUMMYFUNCTION("""COMPUTED_VALUE"""),"Email Address")</f>
        <v>Email Address</v>
      </c>
      <c r="C1" s="1" t="str">
        <f ca="1">IFERROR(__xludf.DUMMYFUNCTION("""COMPUTED_VALUE"""),"Mã số sinh viên (đầy đủ)")</f>
        <v>Mã số sinh viên (đầy đủ)</v>
      </c>
      <c r="D1" s="1" t="str">
        <f ca="1">IFERROR(__xludf.DUMMYFUNCTION("""COMPUTED_VALUE"""),"Họ và tên")</f>
        <v>Họ và tên</v>
      </c>
      <c r="E1" s="1" t="str">
        <f ca="1">IFERROR(__xludf.DUMMYFUNCTION("""COMPUTED_VALUE"""),"Column 5")</f>
        <v>Column 5</v>
      </c>
      <c r="F1" s="1" t="str">
        <f ca="1">IFERROR(__xludf.DUMMYFUNCTION("""COMPUTED_VALUE"""),"Lớp (ví dụ: K25PSUDLK 1)")</f>
        <v>Lớp (ví dụ: K25PSUDLK 1)</v>
      </c>
      <c r="G1" s="1" t="str">
        <f ca="1">IFERROR(__xludf.DUMMYFUNCTION("""COMPUTED_VALUE"""),"Chuyên ngành")</f>
        <v>Chuyên ngành</v>
      </c>
      <c r="H1" s="1" t="str">
        <f ca="1">IFERROR(__xludf.DUMMYFUNCTION("""COMPUTED_VALUE"""),"Khóa ")</f>
        <v xml:space="preserve">Khóa </v>
      </c>
      <c r="I1" s="1" t="str">
        <f ca="1">IFERROR(__xludf.DUMMYFUNCTION("""COMPUTED_VALUE"""),"Số điện thoại")</f>
        <v>Số điện thoại</v>
      </c>
      <c r="J1" s="1" t="str">
        <f ca="1">IFERROR(__xludf.DUMMYFUNCTION("""COMPUTED_VALUE"""),"Điểm trung bình chung toàn khóa (thang điểm 4).")</f>
        <v>Điểm trung bình chung toàn khóa (thang điểm 4).</v>
      </c>
      <c r="K1" s="1" t="str">
        <f ca="1">IFERROR(__xludf.DUMMYFUNCTION("""COMPUTED_VALUE"""),"Tổng số đơn vị học tập đã hoàn thành")</f>
        <v>Tổng số đơn vị học tập đã hoàn thành</v>
      </c>
      <c r="L1" s="1" t="str">
        <f ca="1">IFERROR(__xludf.DUMMYFUNCTION("""COMPUTED_VALUE"""),"SV đã hoàn thành môn tiên quyết chưa:  + Đối với chuyên ngành Quản trị Du lịch và Khách sạn chuẩn PSU: môn Tổng quan ngành lưu trú (PSU-HOS 151); + Đối với chuyên ngành Quản trị Du lịch và Khách sạn: môn tiên quyết là môn Tổng quan ngành lưu trú (HOS 151)")</f>
        <v>SV đã hoàn thành môn tiên quyết chưa:  + Đối với chuyên ngành Quản trị Du lịch và Khách sạn chuẩn PSU: môn Tổng quan ngành lưu trú (PSU-HOS 151); + Đối với chuyên ngành Quản trị Du lịch và Khách sạn: môn tiên quyết là môn Tổng quan ngành lưu trú (HOS 151)</v>
      </c>
      <c r="M1" s="1" t="str">
        <f ca="1">IFERROR(__xludf.DUMMYFUNCTION("""COMPUTED_VALUE"""),"Tham gia tốt nghiệp cuối khóa đợt tháng 06/2026 (sinh viên tham gia mục nào thì tick vào mục đó)")</f>
        <v>Tham gia tốt nghiệp cuối khóa đợt tháng 06/2026 (sinh viên tham gia mục nào thì tick vào mục đó)</v>
      </c>
      <c r="N1" s="1" t="str">
        <f ca="1">IFERROR(__xludf.DUMMYFUNCTION("""COMPUTED_VALUE"""),"Số tín chỉ chưa hoàn thành (bao gồm các tín chỉ chưa học, nợ chưa trả, đang học). Không bao gồm 5tc thực tập và thi tốt nghiệp. CHỈ GHI SỐ")</f>
        <v>Số tín chỉ chưa hoàn thành (bao gồm các tín chỉ chưa học, nợ chưa trả, đang học). Không bao gồm 5tc thực tập và thi tốt nghiệp. CHỈ GHI SỐ</v>
      </c>
      <c r="O1" s="1" t="str">
        <f ca="1">IFERROR(__xludf.DUMMYFUNCTION("""COMPUTED_VALUE"""),"Em cam kết thông tin đã kê khai là hoàn toàn chính xác")</f>
        <v>Em cam kết thông tin đã kê khai là hoàn toàn chính xác</v>
      </c>
      <c r="P1" s="1" t="str">
        <f ca="1">IFERROR(__xludf.DUMMYFUNCTION("""COMPUTED_VALUE"""),"ĐƠN XIN THAM DỰ TỐT NGHIỆP")</f>
        <v>ĐƠN XIN THAM DỰ TỐT NGHIỆP</v>
      </c>
      <c r="Q1" s="1" t="str">
        <f ca="1">IFERROR(__xludf.DUMMYFUNCTION("""COMPUTED_VALUE"""),"MÃ ĐƠN THAM DỰ TỐT NGHIỆP")</f>
        <v>MÃ ĐƠN THAM DỰ TỐT NGHIỆP</v>
      </c>
      <c r="R1" s="1" t="str">
        <f ca="1">IFERROR(__xludf.DUMMYFUNCTION("""COMPUTED_VALUE"""),"NGÀY XÉT DUYỆT CỦA GIÁO VỤ")</f>
        <v>NGÀY XÉT DUYỆT CỦA GIÁO VỤ</v>
      </c>
      <c r="S1" s="2" t="str">
        <f ca="1">IFERROR(__xludf.DUMMYFUNCTION("""COMPUTED_VALUE"""),"DIỆN THAM DỰ TN 06/2026")</f>
        <v>DIỆN THAM DỰ TN 06/2026</v>
      </c>
      <c r="T1" s="1" t="str">
        <f ca="1">IFERROR(__xludf.DUMMYFUNCTION("""COMPUTED_VALUE"""),"GHI CHÚ CỦA GIÁO VỤ")</f>
        <v>GHI CHÚ CỦA GIÁO VỤ</v>
      </c>
      <c r="U1" s="1" t="str">
        <f ca="1">IFERROR(__xludf.DUMMYFUNCTION("""COMPUTED_VALUE"""),"LƯU Ý")</f>
        <v>LƯU Ý</v>
      </c>
      <c r="V1" s="1" t="str">
        <f ca="1">IFERROR(__xludf.DUMMYFUNCTION("""COMPUTED_VALUE"""),"Chứng chỉ miễn khảo sát Anh văn/Tin học")</f>
        <v>Chứng chỉ miễn khảo sát Anh văn/Tin học</v>
      </c>
      <c r="W1" s="1" t="str">
        <f ca="1">IFERROR(__xludf.DUMMYFUNCTION("""COMPUTED_VALUE"""),"Lớp")</f>
        <v>Lớp</v>
      </c>
      <c r="X1" s="1" t="str">
        <f ca="1">IFERROR(__xludf.DUMMYFUNCTION("""COMPUTED_VALUE"""),"chuyển kết quả thực tập 12/2025 sang 6/2026")</f>
        <v>chuyển kết quả thực tập 12/2025 sang 6/2026</v>
      </c>
      <c r="Y1" s="1" t="str">
        <f ca="1">IFERROR(__xludf.DUMMYFUNCTION("""COMPUTED_VALUE"""),"TÊN DN SV ĐĂNG KÝ")</f>
        <v>TÊN DN SV ĐĂNG KÝ</v>
      </c>
      <c r="Z1" s="2" t="str">
        <f ca="1">IFERROR(__xludf.DUMMYFUNCTION("""COMPUTED_VALUE"""),"Bộ phận TT khoa đã duyệt")</f>
        <v>Bộ phận TT khoa đã duyệt</v>
      </c>
      <c r="AA1" s="1" t="str">
        <f ca="1">IFERROR(__xludf.DUMMYFUNCTION("""COMPUTED_VALUE"""),"KẾT QUẢ XÉT DUYỆT DN THỰC TẬP")</f>
        <v>KẾT QUẢ XÉT DUYỆT DN THỰC TẬP</v>
      </c>
      <c r="AB1" s="2" t="str">
        <f ca="1">IFERROR(__xludf.DUMMYFUNCTION("""COMPUTED_VALUE"""),"Ngày Khoa nhận phiếu tiếp nhận sinh viên thực tập")</f>
        <v>Ngày Khoa nhận phiếu tiếp nhận sinh viên thực tập</v>
      </c>
      <c r="AC1" s="1" t="str">
        <f ca="1">IFERROR(__xludf.DUMMYFUNCTION("""COMPUTED_VALUE"""),"DIỆN THAM GIA LÀM BÀI TỐT NGHIỆP CUỐI KHÓA")</f>
        <v>DIỆN THAM GIA LÀM BÀI TỐT NGHIỆP CUỐI KHÓA</v>
      </c>
      <c r="AD1" s="2" t="str">
        <f ca="1">IFERROR(__xludf.DUMMYFUNCTION("""COMPUTED_VALUE"""),"HỌ TÊN GIẢNG VIÊN HƯỚNG DẪN")</f>
        <v>HỌ TÊN GIẢNG VIÊN HƯỚNG DẪN</v>
      </c>
      <c r="AE1" s="2" t="str">
        <f ca="1">IFERROR(__xludf.DUMMYFUNCTION("""COMPUTED_VALUE"""),"HỌC HÀM/HỌC VỊ")</f>
        <v>HỌC HÀM/HỌC VỊ</v>
      </c>
      <c r="AF1" s="2" t="str">
        <f ca="1">IFERROR(__xludf.DUMMYFUNCTION("""COMPUTED_VALUE"""),"SỐ ĐIỆN THOẠI")</f>
        <v>SỐ ĐIỆN THOẠI</v>
      </c>
      <c r="AG1" s="2" t="str">
        <f ca="1">IFERROR(__xludf.DUMMYFUNCTION("""COMPUTED_VALUE"""),"EMAIL")</f>
        <v>EMAIL</v>
      </c>
      <c r="AH1" s="1" t="str">
        <f ca="1">IFERROR(__xludf.DUMMYFUNCTION("""COMPUTED_VALUE"""),"TÊN ĐỀ TÀI SV ĐĂNG KÝ")</f>
        <v>TÊN ĐỀ TÀI SV ĐĂNG KÝ</v>
      </c>
      <c r="AI1" s="1" t="str">
        <f ca="1">IFERROR(__xludf.DUMMYFUNCTION("""COMPUTED_VALUE"""),"Column 32")</f>
        <v>Column 32</v>
      </c>
    </row>
    <row r="2" spans="1:35" x14ac:dyDescent="0.2">
      <c r="A2" s="3">
        <f ca="1">IFERROR(__xludf.DUMMYFUNCTION("""COMPUTED_VALUE"""),45995.8776410532)</f>
        <v>45995.877641053201</v>
      </c>
      <c r="B2" s="1" t="str">
        <f ca="1">IFERROR(__xludf.DUMMYFUNCTION("""COMPUTED_VALUE"""),"phammyduyen0935@gmail.com")</f>
        <v>phammyduyen0935@gmail.com</v>
      </c>
      <c r="C2" s="1">
        <f ca="1">IFERROR(__xludf.DUMMYFUNCTION("""COMPUTED_VALUE"""),28208306062)</f>
        <v>28208306062</v>
      </c>
      <c r="D2" s="1" t="str">
        <f ca="1">IFERROR(__xludf.DUMMYFUNCTION("""COMPUTED_VALUE"""),"Phạm Mỹ Duyên")</f>
        <v>Phạm Mỹ Duyên</v>
      </c>
      <c r="E2" s="1"/>
      <c r="F2" s="1" t="str">
        <f ca="1">IFERROR(__xludf.DUMMYFUNCTION("""COMPUTED_VALUE"""),"K28DLK2")</f>
        <v>K28DLK2</v>
      </c>
      <c r="G2" s="1" t="str">
        <f ca="1">IFERROR(__xludf.DUMMYFUNCTION("""COMPUTED_VALUE"""),"Quản trị Du lịch &amp; Khách sạn")</f>
        <v>Quản trị Du lịch &amp; Khách sạn</v>
      </c>
      <c r="H2" s="1" t="str">
        <f ca="1">IFERROR(__xludf.DUMMYFUNCTION("""COMPUTED_VALUE"""),"K28")</f>
        <v>K28</v>
      </c>
      <c r="I2" s="1" t="str">
        <f ca="1">IFERROR(__xludf.DUMMYFUNCTION("""COMPUTED_VALUE"""),"0768467957")</f>
        <v>0768467957</v>
      </c>
      <c r="J2" s="1">
        <f ca="1">IFERROR(__xludf.DUMMYFUNCTION("""COMPUTED_VALUE"""),3.83)</f>
        <v>3.83</v>
      </c>
      <c r="K2" s="1">
        <f ca="1">IFERROR(__xludf.DUMMYFUNCTION("""COMPUTED_VALUE"""),120)</f>
        <v>120</v>
      </c>
      <c r="L2" s="1" t="str">
        <f ca="1">IFERROR(__xludf.DUMMYFUNCTION("""COMPUTED_VALUE"""),"Rồi")</f>
        <v>Rồi</v>
      </c>
      <c r="M2" s="1" t="str">
        <f ca="1">IFERROR(__xludf.DUMMYFUNCTION("""COMPUTED_VALUE"""),"Thực tập tốt nghiệp, Thi tốt nghiệp, Công nhận tốt nghiệp")</f>
        <v>Thực tập tốt nghiệp, Thi tốt nghiệp, Công nhận tốt nghiệp</v>
      </c>
      <c r="N2" s="1">
        <f ca="1">IFERROR(__xludf.DUMMYFUNCTION("""COMPUTED_VALUE"""),3)</f>
        <v>3</v>
      </c>
      <c r="O2" s="1" t="str">
        <f ca="1">IFERROR(__xludf.DUMMYFUNCTION("""COMPUTED_VALUE"""),"cam kết")</f>
        <v>cam kết</v>
      </c>
      <c r="P2" s="1"/>
      <c r="Q2" s="1"/>
      <c r="R2" s="1" t="str">
        <f ca="1">IFERROR(__xludf.DUMMYFUNCTION("""COMPUTED_VALUE"""),"18/12/2025")</f>
        <v>18/12/2025</v>
      </c>
      <c r="S2" s="1" t="str">
        <f ca="1">IFERROR(__xludf.DUMMYFUNCTION("""COMPUTED_VALUE"""),"thực tập TN, Thi TN")</f>
        <v>thực tập TN, Thi TN</v>
      </c>
      <c r="T2" s="1" t="str">
        <f ca="1">IFERROR(__xludf.DUMMYFUNCTION("""COMPUTED_VALUE"""),"Đã email cấp giấy giới thiệu ngày 18/12/2025")</f>
        <v>Đã email cấp giấy giới thiệu ngày 18/12/2025</v>
      </c>
      <c r="U2" s="1"/>
      <c r="V2" s="1"/>
      <c r="W2" s="1" t="str">
        <f ca="1">IFERROR(__xludf.DUMMYFUNCTION("""COMPUTED_VALUE"""),"K28DLK2")</f>
        <v>K28DLK2</v>
      </c>
      <c r="X2" s="1"/>
      <c r="Y2" s="1" t="str">
        <f ca="1">IFERROR(__xludf.DUMMYFUNCTION("""COMPUTED_VALUE"""),"Renaissance Danang Hoi An Resort &amp; Spa")</f>
        <v>Renaissance Danang Hoi An Resort &amp; Spa</v>
      </c>
      <c r="Z2" s="1" t="str">
        <f ca="1">IFERROR(__xludf.DUMMYFUNCTION("""COMPUTED_VALUE"""),"Nhà hàng")</f>
        <v>Nhà hàng</v>
      </c>
      <c r="AA2" s="1" t="str">
        <f ca="1">IFERROR(__xludf.DUMMYFUNCTION("""COMPUTED_VALUE"""),"DUYỆT")</f>
        <v>DUYỆT</v>
      </c>
      <c r="AB2" s="1" t="str">
        <f ca="1">IFERROR(__xludf.DUMMYFUNCTION("""COMPUTED_VALUE"""),"23/01/2026")</f>
        <v>23/01/2026</v>
      </c>
      <c r="AC2" s="1" t="str">
        <f ca="1">IFERROR(__xludf.DUMMYFUNCTION("""COMPUTED_VALUE"""),"BÁO CÁO THỰC TẬP TỐT NGHIỆP")</f>
        <v>BÁO CÁO THỰC TẬP TỐT NGHIỆP</v>
      </c>
      <c r="AD2" s="1" t="str">
        <f ca="1">IFERROR(__xludf.DUMMYFUNCTION("""COMPUTED_VALUE"""),"Đặng Thị Thùy Trang")</f>
        <v>Đặng Thị Thùy Trang</v>
      </c>
      <c r="AE2" s="1" t="str">
        <f ca="1">IFERROR(__xludf.DUMMYFUNCTION("""COMPUTED_VALUE"""),"Thạc sĩ")</f>
        <v>Thạc sĩ</v>
      </c>
      <c r="AF2" s="1" t="str">
        <f ca="1">IFERROR(__xludf.DUMMYFUNCTION("""COMPUTED_VALUE"""),"0327892117")</f>
        <v>0327892117</v>
      </c>
      <c r="AG2" s="1" t="str">
        <f ca="1">IFERROR(__xludf.DUMMYFUNCTION("""COMPUTED_VALUE"""),"dangtthuytrang3@dtu-hti.edu.vn")</f>
        <v>dangtthuytrang3@dtu-hti.edu.vn</v>
      </c>
      <c r="AH2" s="1" t="str">
        <f ca="1">IFERROR(__xludf.DUMMYFUNCTION("""COMPUTED_VALUE"""),"Báo cáo kết quả thực tập và thực trạng chất lượng phục vụ tại nhà hàng Food Studio thuộc Renaissance Danang Hoi An Resort &amp; Spa.")</f>
        <v>Báo cáo kết quả thực tập và thực trạng chất lượng phục vụ tại nhà hàng Food Studio thuộc Renaissance Danang Hoi An Resort &amp; Spa.</v>
      </c>
      <c r="AI2" s="1"/>
    </row>
    <row r="3" spans="1:35" x14ac:dyDescent="0.2">
      <c r="A3" s="3">
        <f ca="1">IFERROR(__xludf.DUMMYFUNCTION("""COMPUTED_VALUE"""),46003.8847017708)</f>
        <v>46003.884701770803</v>
      </c>
      <c r="B3" s="1" t="str">
        <f ca="1">IFERROR(__xludf.DUMMYFUNCTION("""COMPUTED_VALUE"""),"lequangphong0977@gmail.com")</f>
        <v>lequangphong0977@gmail.com</v>
      </c>
      <c r="C3" s="1">
        <f ca="1">IFERROR(__xludf.DUMMYFUNCTION("""COMPUTED_VALUE"""),28218001735)</f>
        <v>28218001735</v>
      </c>
      <c r="D3" s="1" t="str">
        <f ca="1">IFERROR(__xludf.DUMMYFUNCTION("""COMPUTED_VALUE"""),"Lê Quang Phong")</f>
        <v>Lê Quang Phong</v>
      </c>
      <c r="E3" s="1"/>
      <c r="F3" s="1" t="str">
        <f ca="1">IFERROR(__xludf.DUMMYFUNCTION("""COMPUTED_VALUE"""),"K28PSUDLK")</f>
        <v>K28PSUDLK</v>
      </c>
      <c r="G3" s="1" t="str">
        <f ca="1">IFERROR(__xludf.DUMMYFUNCTION("""COMPUTED_VALUE"""),"Quản trị Du lịch &amp; Khách sạn chuẩn PSU")</f>
        <v>Quản trị Du lịch &amp; Khách sạn chuẩn PSU</v>
      </c>
      <c r="H3" s="1" t="str">
        <f ca="1">IFERROR(__xludf.DUMMYFUNCTION("""COMPUTED_VALUE"""),"K28")</f>
        <v>K28</v>
      </c>
      <c r="I3" s="1" t="str">
        <f ca="1">IFERROR(__xludf.DUMMYFUNCTION("""COMPUTED_VALUE"""),"0977605624")</f>
        <v>0977605624</v>
      </c>
      <c r="J3" s="1">
        <f ca="1">IFERROR(__xludf.DUMMYFUNCTION("""COMPUTED_VALUE"""),3.58)</f>
        <v>3.58</v>
      </c>
      <c r="K3" s="1">
        <f ca="1">IFERROR(__xludf.DUMMYFUNCTION("""COMPUTED_VALUE"""),114)</f>
        <v>114</v>
      </c>
      <c r="L3" s="1" t="str">
        <f ca="1">IFERROR(__xludf.DUMMYFUNCTION("""COMPUTED_VALUE"""),"Rồi")</f>
        <v>Rồi</v>
      </c>
      <c r="M3" s="1" t="str">
        <f ca="1">IFERROR(__xludf.DUMMYFUNCTION("""COMPUTED_VALUE"""),"Thực tập tốt nghiệp, Thi tốt nghiệp, Công nhận tốt nghiệp")</f>
        <v>Thực tập tốt nghiệp, Thi tốt nghiệp, Công nhận tốt nghiệp</v>
      </c>
      <c r="N3" s="1">
        <f ca="1">IFERROR(__xludf.DUMMYFUNCTION("""COMPUTED_VALUE"""),12)</f>
        <v>12</v>
      </c>
      <c r="O3" s="1" t="str">
        <f ca="1">IFERROR(__xludf.DUMMYFUNCTION("""COMPUTED_VALUE"""),"cam kết")</f>
        <v>cam kết</v>
      </c>
      <c r="P3" s="1"/>
      <c r="Q3" s="1"/>
      <c r="R3" s="1" t="str">
        <f ca="1">IFERROR(__xludf.DUMMYFUNCTION("""COMPUTED_VALUE"""),"18/12/2025")</f>
        <v>18/12/2025</v>
      </c>
      <c r="S3" s="1" t="str">
        <f ca="1">IFERROR(__xludf.DUMMYFUNCTION("""COMPUTED_VALUE"""),"khóa luận TN")</f>
        <v>khóa luận TN</v>
      </c>
      <c r="T3" s="1" t="str">
        <f ca="1">IFERROR(__xludf.DUMMYFUNCTION("""COMPUTED_VALUE"""),"Đã email cấp giấy giới thiệu ngày 18/12/2025")</f>
        <v>Đã email cấp giấy giới thiệu ngày 18/12/2025</v>
      </c>
      <c r="U3" s="1"/>
      <c r="V3" s="1"/>
      <c r="W3" s="1" t="str">
        <f ca="1">IFERROR(__xludf.DUMMYFUNCTION("""COMPUTED_VALUE"""),"K28PSU-DLK")</f>
        <v>K28PSU-DLK</v>
      </c>
      <c r="X3" s="1"/>
      <c r="Y3" s="1" t="str">
        <f ca="1">IFERROR(__xludf.DUMMYFUNCTION("""COMPUTED_VALUE"""),"Danang Marriott Resort &amp; Spa, Non Nuoc Beach Villas")</f>
        <v>Danang Marriott Resort &amp; Spa, Non Nuoc Beach Villas</v>
      </c>
      <c r="Z3" s="1" t="str">
        <f ca="1">IFERROR(__xludf.DUMMYFUNCTION("""COMPUTED_VALUE"""),"Buồng phòng")</f>
        <v>Buồng phòng</v>
      </c>
      <c r="AA3" s="1" t="str">
        <f ca="1">IFERROR(__xludf.DUMMYFUNCTION("""COMPUTED_VALUE"""),"DUYỆT")</f>
        <v>DUYỆT</v>
      </c>
      <c r="AB3" s="1" t="str">
        <f ca="1">IFERROR(__xludf.DUMMYFUNCTION("""COMPUTED_VALUE"""),"27/01/2026")</f>
        <v>27/01/2026</v>
      </c>
      <c r="AC3" s="1" t="str">
        <f ca="1">IFERROR(__xludf.DUMMYFUNCTION("""COMPUTED_VALUE"""),"KHÓA LUẬN")</f>
        <v>KHÓA LUẬN</v>
      </c>
      <c r="AD3" s="1" t="str">
        <f ca="1">IFERROR(__xludf.DUMMYFUNCTION("""COMPUTED_VALUE"""),"Mai Thị Thương")</f>
        <v>Mai Thị Thương</v>
      </c>
      <c r="AE3" s="1" t="str">
        <f ca="1">IFERROR(__xludf.DUMMYFUNCTION("""COMPUTED_VALUE"""),"Thạc sĩ")</f>
        <v>Thạc sĩ</v>
      </c>
      <c r="AF3" s="1" t="str">
        <f ca="1">IFERROR(__xludf.DUMMYFUNCTION("""COMPUTED_VALUE"""),"0905767050")</f>
        <v>0905767050</v>
      </c>
      <c r="AG3" s="1" t="str">
        <f ca="1">IFERROR(__xludf.DUMMYFUNCTION("""COMPUTED_VALUE"""),"maithithuong@dtu-hti.edu.vn")</f>
        <v>maithithuong@dtu-hti.edu.vn</v>
      </c>
      <c r="AH3" s="1" t="str">
        <f ca="1">IFERROR(__xludf.DUMMYFUNCTION("""COMPUTED_VALUE"""),"Nghiên cứu các nhân tố ảnh hưởng đến sự hài lòng của khách hàng đối với chất lượng dịch vụ tại Danang Marriott Resort &amp; Spa, Non Nuoc Beach Villas")</f>
        <v>Nghiên cứu các nhân tố ảnh hưởng đến sự hài lòng của khách hàng đối với chất lượng dịch vụ tại Danang Marriott Resort &amp; Spa, Non Nuoc Beach Villas</v>
      </c>
      <c r="AI3" s="1"/>
    </row>
    <row r="4" spans="1:35" x14ac:dyDescent="0.2">
      <c r="A4" s="3">
        <f ca="1">IFERROR(__xludf.DUMMYFUNCTION("""COMPUTED_VALUE"""),45993.4980190856)</f>
        <v>45993.4980190856</v>
      </c>
      <c r="B4" s="1" t="str">
        <f ca="1">IFERROR(__xludf.DUMMYFUNCTION("""COMPUTED_VALUE"""),"phamnloantrinh@gmail.com")</f>
        <v>phamnloantrinh@gmail.com</v>
      </c>
      <c r="C4" s="1">
        <f ca="1">IFERROR(__xludf.DUMMYFUNCTION("""COMPUTED_VALUE"""),28208001290)</f>
        <v>28208001290</v>
      </c>
      <c r="D4" s="1" t="str">
        <f ca="1">IFERROR(__xludf.DUMMYFUNCTION("""COMPUTED_VALUE"""),"Phạm Ngọc Loan Trinh")</f>
        <v>Phạm Ngọc Loan Trinh</v>
      </c>
      <c r="E4" s="1"/>
      <c r="F4" s="1" t="str">
        <f ca="1">IFERROR(__xludf.DUMMYFUNCTION("""COMPUTED_VALUE"""),"K28PSUDLK")</f>
        <v>K28PSUDLK</v>
      </c>
      <c r="G4" s="1" t="str">
        <f ca="1">IFERROR(__xludf.DUMMYFUNCTION("""COMPUTED_VALUE"""),"Quản trị Du lịch &amp; Khách sạn chuẩn PSU")</f>
        <v>Quản trị Du lịch &amp; Khách sạn chuẩn PSU</v>
      </c>
      <c r="H4" s="1" t="str">
        <f ca="1">IFERROR(__xludf.DUMMYFUNCTION("""COMPUTED_VALUE"""),"K28")</f>
        <v>K28</v>
      </c>
      <c r="I4" s="1" t="str">
        <f ca="1">IFERROR(__xludf.DUMMYFUNCTION("""COMPUTED_VALUE"""),"0708011101")</f>
        <v>0708011101</v>
      </c>
      <c r="J4" s="1">
        <f ca="1">IFERROR(__xludf.DUMMYFUNCTION("""COMPUTED_VALUE"""),3.66)</f>
        <v>3.66</v>
      </c>
      <c r="K4" s="1">
        <f ca="1">IFERROR(__xludf.DUMMYFUNCTION("""COMPUTED_VALUE"""),111)</f>
        <v>111</v>
      </c>
      <c r="L4" s="1" t="str">
        <f ca="1">IFERROR(__xludf.DUMMYFUNCTION("""COMPUTED_VALUE"""),"Rồi")</f>
        <v>Rồi</v>
      </c>
      <c r="M4" s="1" t="str">
        <f ca="1">IFERROR(__xludf.DUMMYFUNCTION("""COMPUTED_VALUE"""),"Thực tập tốt nghiệp, Thi tốt nghiệp, Công nhận tốt nghiệp")</f>
        <v>Thực tập tốt nghiệp, Thi tốt nghiệp, Công nhận tốt nghiệp</v>
      </c>
      <c r="N4" s="1">
        <f ca="1">IFERROR(__xludf.DUMMYFUNCTION("""COMPUTED_VALUE"""),15)</f>
        <v>15</v>
      </c>
      <c r="O4" s="1" t="str">
        <f ca="1">IFERROR(__xludf.DUMMYFUNCTION("""COMPUTED_VALUE"""),"cam kết")</f>
        <v>cam kết</v>
      </c>
      <c r="P4" s="1"/>
      <c r="Q4" s="1"/>
      <c r="R4" s="1" t="str">
        <f ca="1">IFERROR(__xludf.DUMMYFUNCTION("""COMPUTED_VALUE"""),"18/12/2025")</f>
        <v>18/12/2025</v>
      </c>
      <c r="S4" s="1" t="str">
        <f ca="1">IFERROR(__xludf.DUMMYFUNCTION("""COMPUTED_VALUE"""),"thực tập TN, Thi TN")</f>
        <v>thực tập TN, Thi TN</v>
      </c>
      <c r="T4" s="1" t="str">
        <f ca="1">IFERROR(__xludf.DUMMYFUNCTION("""COMPUTED_VALUE"""),"Đã email cấp giấy giới thiệu ngày 18/12/2025")</f>
        <v>Đã email cấp giấy giới thiệu ngày 18/12/2025</v>
      </c>
      <c r="U4" s="1"/>
      <c r="V4" s="1"/>
      <c r="W4" s="1" t="str">
        <f ca="1">IFERROR(__xludf.DUMMYFUNCTION("""COMPUTED_VALUE"""),"K28PSU-DLK")</f>
        <v>K28PSU-DLK</v>
      </c>
      <c r="X4" s="1"/>
      <c r="Y4" s="1" t="str">
        <f ca="1">IFERROR(__xludf.DUMMYFUNCTION("""COMPUTED_VALUE"""),"Sheraton Phu Quoc Long Beach Resort")</f>
        <v>Sheraton Phu Quoc Long Beach Resort</v>
      </c>
      <c r="Z4" s="1" t="str">
        <f ca="1">IFERROR(__xludf.DUMMYFUNCTION("""COMPUTED_VALUE"""),"Buồng phòng")</f>
        <v>Buồng phòng</v>
      </c>
      <c r="AA4" s="1" t="str">
        <f ca="1">IFERROR(__xludf.DUMMYFUNCTION("""COMPUTED_VALUE"""),"DUYỆT")</f>
        <v>DUYỆT</v>
      </c>
      <c r="AB4" s="1" t="str">
        <f ca="1">IFERROR(__xludf.DUMMYFUNCTION("""COMPUTED_VALUE"""),"xin nộp trễ 06/02/2026")</f>
        <v>xin nộp trễ 06/02/2026</v>
      </c>
      <c r="AC4" s="1" t="str">
        <f ca="1">IFERROR(__xludf.DUMMYFUNCTION("""COMPUTED_VALUE"""),"BÁO CÁO THỰC TẬP TỐT NGHIỆP")</f>
        <v>BÁO CÁO THỰC TẬP TỐT NGHIỆP</v>
      </c>
      <c r="AD4" s="1" t="str">
        <f ca="1">IFERROR(__xludf.DUMMYFUNCTION("""COMPUTED_VALUE"""),"Hồ Minh Phúc")</f>
        <v>Hồ Minh Phúc</v>
      </c>
      <c r="AE4" s="1" t="str">
        <f ca="1">IFERROR(__xludf.DUMMYFUNCTION("""COMPUTED_VALUE"""),"Thạc sĩ")</f>
        <v>Thạc sĩ</v>
      </c>
      <c r="AF4" s="1" t="str">
        <f ca="1">IFERROR(__xludf.DUMMYFUNCTION("""COMPUTED_VALUE"""),"0935336716")</f>
        <v>0935336716</v>
      </c>
      <c r="AG4" s="1" t="str">
        <f ca="1">IFERROR(__xludf.DUMMYFUNCTION("""COMPUTED_VALUE"""),"hominhphuc@dtu-hti.edu.vn")</f>
        <v>hominhphuc@dtu-hti.edu.vn</v>
      </c>
      <c r="AH4" s="1" t="str">
        <f ca="1">IFERROR(__xludf.DUMMYFUNCTION("""COMPUTED_VALUE"""),"Báo cáo kết quả thực tập và thực trạng quy trình vệ sinh buồng khách tại bộ phận Buồng phòng của Sheraton Phu Quoc Long Beach Resort")</f>
        <v>Báo cáo kết quả thực tập và thực trạng quy trình vệ sinh buồng khách tại bộ phận Buồng phòng của Sheraton Phu Quoc Long Beach Resort</v>
      </c>
      <c r="AI4" s="1"/>
    </row>
    <row r="5" spans="1:35" x14ac:dyDescent="0.2">
      <c r="A5" s="3">
        <f ca="1">IFERROR(__xludf.DUMMYFUNCTION("""COMPUTED_VALUE"""),45992.7599349884)</f>
        <v>45992.759934988397</v>
      </c>
      <c r="B5" s="1" t="str">
        <f ca="1">IFERROR(__xludf.DUMMYFUNCTION("""COMPUTED_VALUE"""),"hoaianhnguyen1074@gmail.com")</f>
        <v>hoaianhnguyen1074@gmail.com</v>
      </c>
      <c r="C5" s="1">
        <f ca="1">IFERROR(__xludf.DUMMYFUNCTION("""COMPUTED_VALUE"""),28208038632)</f>
        <v>28208038632</v>
      </c>
      <c r="D5" s="1" t="str">
        <f ca="1">IFERROR(__xludf.DUMMYFUNCTION("""COMPUTED_VALUE"""),"Nguyễn Hoài Anh")</f>
        <v>Nguyễn Hoài Anh</v>
      </c>
      <c r="E5" s="1"/>
      <c r="F5" s="1" t="str">
        <f ca="1">IFERROR(__xludf.DUMMYFUNCTION("""COMPUTED_VALUE"""),"K28PSUDLK")</f>
        <v>K28PSUDLK</v>
      </c>
      <c r="G5" s="1" t="str">
        <f ca="1">IFERROR(__xludf.DUMMYFUNCTION("""COMPUTED_VALUE"""),"Quản trị Du lịch &amp; Khách sạn chuẩn PSU")</f>
        <v>Quản trị Du lịch &amp; Khách sạn chuẩn PSU</v>
      </c>
      <c r="H5" s="1" t="str">
        <f ca="1">IFERROR(__xludf.DUMMYFUNCTION("""COMPUTED_VALUE"""),"K28")</f>
        <v>K28</v>
      </c>
      <c r="I5" s="1" t="str">
        <f ca="1">IFERROR(__xludf.DUMMYFUNCTION("""COMPUTED_VALUE"""),"0934789252")</f>
        <v>0934789252</v>
      </c>
      <c r="J5" s="1">
        <f ca="1">IFERROR(__xludf.DUMMYFUNCTION("""COMPUTED_VALUE"""),3.56)</f>
        <v>3.56</v>
      </c>
      <c r="K5" s="1">
        <f ca="1">IFERROR(__xludf.DUMMYFUNCTION("""COMPUTED_VALUE"""),114)</f>
        <v>114</v>
      </c>
      <c r="L5" s="1" t="str">
        <f ca="1">IFERROR(__xludf.DUMMYFUNCTION("""COMPUTED_VALUE"""),"Rồi")</f>
        <v>Rồi</v>
      </c>
      <c r="M5" s="1" t="str">
        <f ca="1">IFERROR(__xludf.DUMMYFUNCTION("""COMPUTED_VALUE"""),"Thực tập tốt nghiệp, Thi tốt nghiệp, Công nhận tốt nghiệp")</f>
        <v>Thực tập tốt nghiệp, Thi tốt nghiệp, Công nhận tốt nghiệp</v>
      </c>
      <c r="N5" s="1">
        <f ca="1">IFERROR(__xludf.DUMMYFUNCTION("""COMPUTED_VALUE"""),12)</f>
        <v>12</v>
      </c>
      <c r="O5" s="1" t="str">
        <f ca="1">IFERROR(__xludf.DUMMYFUNCTION("""COMPUTED_VALUE"""),"cam kết")</f>
        <v>cam kết</v>
      </c>
      <c r="P5" s="1"/>
      <c r="Q5" s="1"/>
      <c r="R5" s="1" t="str">
        <f ca="1">IFERROR(__xludf.DUMMYFUNCTION("""COMPUTED_VALUE"""),"18/12/2025")</f>
        <v>18/12/2025</v>
      </c>
      <c r="S5" s="1" t="str">
        <f ca="1">IFERROR(__xludf.DUMMYFUNCTION("""COMPUTED_VALUE"""),"thực tập TN, Thi TN")</f>
        <v>thực tập TN, Thi TN</v>
      </c>
      <c r="T5" s="1" t="str">
        <f ca="1">IFERROR(__xludf.DUMMYFUNCTION("""COMPUTED_VALUE"""),"Đã email cấp giấy giới thiệu ngày 18/12/2025")</f>
        <v>Đã email cấp giấy giới thiệu ngày 18/12/2025</v>
      </c>
      <c r="U5" s="1" t="str">
        <f ca="1">IFERROR(__xludf.DUMMYFUNCTION("""COMPUTED_VALUE"""),"Sv đã nộp đơn chuyển KL - CĐ")</f>
        <v>Sv đã nộp đơn chuyển KL - CĐ</v>
      </c>
      <c r="V5" s="1"/>
      <c r="W5" s="1" t="str">
        <f ca="1">IFERROR(__xludf.DUMMYFUNCTION("""COMPUTED_VALUE"""),"K28PSU-DLK")</f>
        <v>K28PSU-DLK</v>
      </c>
      <c r="X5" s="1"/>
      <c r="Y5" s="1" t="str">
        <f ca="1">IFERROR(__xludf.DUMMYFUNCTION("""COMPUTED_VALUE"""),"Fusion Resort &amp; Villas Da Nang")</f>
        <v>Fusion Resort &amp; Villas Da Nang</v>
      </c>
      <c r="Z5" s="1" t="str">
        <f ca="1">IFERROR(__xludf.DUMMYFUNCTION("""COMPUTED_VALUE"""),"Tiền sảnh")</f>
        <v>Tiền sảnh</v>
      </c>
      <c r="AA5" s="1" t="str">
        <f ca="1">IFERROR(__xludf.DUMMYFUNCTION("""COMPUTED_VALUE"""),"DUYỆT")</f>
        <v>DUYỆT</v>
      </c>
      <c r="AB5" s="1" t="str">
        <f ca="1">IFERROR(__xludf.DUMMYFUNCTION("""COMPUTED_VALUE"""),"26/01/2026")</f>
        <v>26/01/2026</v>
      </c>
      <c r="AC5" s="1" t="str">
        <f ca="1">IFERROR(__xludf.DUMMYFUNCTION("""COMPUTED_VALUE"""),"BÁO CÁO THỰC TẬP TỐT NGHIỆP")</f>
        <v>BÁO CÁO THỰC TẬP TỐT NGHIỆP</v>
      </c>
      <c r="AD5" s="1" t="str">
        <f ca="1">IFERROR(__xludf.DUMMYFUNCTION("""COMPUTED_VALUE"""),"Trịnh Thị Kim Chung")</f>
        <v>Trịnh Thị Kim Chung</v>
      </c>
      <c r="AE5" s="1" t="str">
        <f ca="1">IFERROR(__xludf.DUMMYFUNCTION("""COMPUTED_VALUE"""),"Thạc sĩ")</f>
        <v>Thạc sĩ</v>
      </c>
      <c r="AF5" s="1" t="str">
        <f ca="1">IFERROR(__xludf.DUMMYFUNCTION("""COMPUTED_VALUE"""),"0375658728")</f>
        <v>0375658728</v>
      </c>
      <c r="AG5" s="1" t="str">
        <f ca="1">IFERROR(__xludf.DUMMYFUNCTION("""COMPUTED_VALUE"""),"trinhtkimchung@dtu-hti.edu.vn")</f>
        <v>trinhtkimchung@dtu-hti.edu.vn</v>
      </c>
      <c r="AH5" s="1" t="str">
        <f ca="1">IFERROR(__xludf.DUMMYFUNCTION("""COMPUTED_VALUE"""),"Báo cáo kết quả thực tập và thực trạng quy trình đăng ký khách sạn tại bộ phận tiền sảnh thuộc Fusion Resort &amp; Villas Da Nang")</f>
        <v>Báo cáo kết quả thực tập và thực trạng quy trình đăng ký khách sạn tại bộ phận tiền sảnh thuộc Fusion Resort &amp; Villas Da Nang</v>
      </c>
      <c r="AI5" s="1"/>
    </row>
    <row r="6" spans="1:35" x14ac:dyDescent="0.2">
      <c r="A6" s="3">
        <f ca="1">IFERROR(__xludf.DUMMYFUNCTION("""COMPUTED_VALUE"""),45992.759980706)</f>
        <v>45992.759980706003</v>
      </c>
      <c r="B6" s="1" t="str">
        <f ca="1">IFERROR(__xludf.DUMMYFUNCTION("""COMPUTED_VALUE"""),"changmiu06122004@gmail.com")</f>
        <v>changmiu06122004@gmail.com</v>
      </c>
      <c r="C6" s="1">
        <f ca="1">IFERROR(__xludf.DUMMYFUNCTION("""COMPUTED_VALUE"""),28208031702)</f>
        <v>28208031702</v>
      </c>
      <c r="D6" s="1" t="str">
        <f ca="1">IFERROR(__xludf.DUMMYFUNCTION("""COMPUTED_VALUE"""),"Nguyễn Thị Thuỳ Trang")</f>
        <v>Nguyễn Thị Thuỳ Trang</v>
      </c>
      <c r="E6" s="1"/>
      <c r="F6" s="1" t="str">
        <f ca="1">IFERROR(__xludf.DUMMYFUNCTION("""COMPUTED_VALUE"""),"K28PSUDLK")</f>
        <v>K28PSUDLK</v>
      </c>
      <c r="G6" s="1" t="str">
        <f ca="1">IFERROR(__xludf.DUMMYFUNCTION("""COMPUTED_VALUE"""),"Quản trị Du lịch &amp; Khách sạn chuẩn PSU")</f>
        <v>Quản trị Du lịch &amp; Khách sạn chuẩn PSU</v>
      </c>
      <c r="H6" s="1" t="str">
        <f ca="1">IFERROR(__xludf.DUMMYFUNCTION("""COMPUTED_VALUE"""),"K28")</f>
        <v>K28</v>
      </c>
      <c r="I6" s="1" t="str">
        <f ca="1">IFERROR(__xludf.DUMMYFUNCTION("""COMPUTED_VALUE"""),"0763128976")</f>
        <v>0763128976</v>
      </c>
      <c r="J6" s="1">
        <f ca="1">IFERROR(__xludf.DUMMYFUNCTION("""COMPUTED_VALUE"""),3.74)</f>
        <v>3.74</v>
      </c>
      <c r="K6" s="1">
        <f ca="1">IFERROR(__xludf.DUMMYFUNCTION("""COMPUTED_VALUE"""),114)</f>
        <v>114</v>
      </c>
      <c r="L6" s="1" t="str">
        <f ca="1">IFERROR(__xludf.DUMMYFUNCTION("""COMPUTED_VALUE"""),"Rồi")</f>
        <v>Rồi</v>
      </c>
      <c r="M6" s="1" t="str">
        <f ca="1">IFERROR(__xludf.DUMMYFUNCTION("""COMPUTED_VALUE"""),"Thực tập tốt nghiệp, Thi tốt nghiệp, Công nhận tốt nghiệp")</f>
        <v>Thực tập tốt nghiệp, Thi tốt nghiệp, Công nhận tốt nghiệp</v>
      </c>
      <c r="N6" s="1">
        <f ca="1">IFERROR(__xludf.DUMMYFUNCTION("""COMPUTED_VALUE"""),12)</f>
        <v>12</v>
      </c>
      <c r="O6" s="1" t="str">
        <f ca="1">IFERROR(__xludf.DUMMYFUNCTION("""COMPUTED_VALUE"""),"cam kết")</f>
        <v>cam kết</v>
      </c>
      <c r="P6" s="1"/>
      <c r="Q6" s="1"/>
      <c r="R6" s="1" t="str">
        <f ca="1">IFERROR(__xludf.DUMMYFUNCTION("""COMPUTED_VALUE"""),"18/12/2025")</f>
        <v>18/12/2025</v>
      </c>
      <c r="S6" s="1" t="str">
        <f ca="1">IFERROR(__xludf.DUMMYFUNCTION("""COMPUTED_VALUE"""),"thực tập TN, Thi TN")</f>
        <v>thực tập TN, Thi TN</v>
      </c>
      <c r="T6" s="1" t="str">
        <f ca="1">IFERROR(__xludf.DUMMYFUNCTION("""COMPUTED_VALUE"""),"Đã email cấp giấy giới thiệu ngày 18/12/2025")</f>
        <v>Đã email cấp giấy giới thiệu ngày 18/12/2025</v>
      </c>
      <c r="U6" s="1" t="str">
        <f ca="1">IFERROR(__xludf.DUMMYFUNCTION("""COMPUTED_VALUE"""),"Sv đã nộp đơn chuyển KL - CĐ")</f>
        <v>Sv đã nộp đơn chuyển KL - CĐ</v>
      </c>
      <c r="V6" s="1"/>
      <c r="W6" s="1" t="str">
        <f ca="1">IFERROR(__xludf.DUMMYFUNCTION("""COMPUTED_VALUE"""),"K28PSU-DLK")</f>
        <v>K28PSU-DLK</v>
      </c>
      <c r="X6" s="1"/>
      <c r="Y6" s="1" t="str">
        <f ca="1">IFERROR(__xludf.DUMMYFUNCTION("""COMPUTED_VALUE"""),"Fusion Resort &amp; Villas Da Nang")</f>
        <v>Fusion Resort &amp; Villas Da Nang</v>
      </c>
      <c r="Z6" s="1" t="str">
        <f ca="1">IFERROR(__xludf.DUMMYFUNCTION("""COMPUTED_VALUE"""),"Tiền sảnh")</f>
        <v>Tiền sảnh</v>
      </c>
      <c r="AA6" s="1" t="str">
        <f ca="1">IFERROR(__xludf.DUMMYFUNCTION("""COMPUTED_VALUE"""),"DUYỆT")</f>
        <v>DUYỆT</v>
      </c>
      <c r="AB6" s="1" t="str">
        <f ca="1">IFERROR(__xludf.DUMMYFUNCTION("""COMPUTED_VALUE"""),"26/01/2026")</f>
        <v>26/01/2026</v>
      </c>
      <c r="AC6" s="1" t="str">
        <f ca="1">IFERROR(__xludf.DUMMYFUNCTION("""COMPUTED_VALUE"""),"BÁO CÁO THỰC TẬP TỐT NGHIỆP")</f>
        <v>BÁO CÁO THỰC TẬP TỐT NGHIỆP</v>
      </c>
      <c r="AD6" s="1" t="str">
        <f ca="1">IFERROR(__xludf.DUMMYFUNCTION("""COMPUTED_VALUE"""),"Trịnh Thị Kim Chung")</f>
        <v>Trịnh Thị Kim Chung</v>
      </c>
      <c r="AE6" s="1" t="str">
        <f ca="1">IFERROR(__xludf.DUMMYFUNCTION("""COMPUTED_VALUE"""),"Thạc sĩ")</f>
        <v>Thạc sĩ</v>
      </c>
      <c r="AF6" s="1" t="str">
        <f ca="1">IFERROR(__xludf.DUMMYFUNCTION("""COMPUTED_VALUE"""),"0375658728")</f>
        <v>0375658728</v>
      </c>
      <c r="AG6" s="1" t="str">
        <f ca="1">IFERROR(__xludf.DUMMYFUNCTION("""COMPUTED_VALUE"""),"trinhtkimchung@dtu-hti.edu.vn")</f>
        <v>trinhtkimchung@dtu-hti.edu.vn</v>
      </c>
      <c r="AH6" s="1" t="str">
        <f ca="1">IFERROR(__xludf.DUMMYFUNCTION("""COMPUTED_VALUE"""),"Báo cáo kết quả thực tập và thực trạng về các yếu tố ảnh hưởng đến chất lượng phục vụ tại bộ phận tiền sảnh thuộc Fusion Resort &amp; Villas Da Nang")</f>
        <v>Báo cáo kết quả thực tập và thực trạng về các yếu tố ảnh hưởng đến chất lượng phục vụ tại bộ phận tiền sảnh thuộc Fusion Resort &amp; Villas Da Nang</v>
      </c>
      <c r="AI6" s="1"/>
    </row>
    <row r="7" spans="1:35" x14ac:dyDescent="0.2">
      <c r="A7" s="3">
        <f ca="1">IFERROR(__xludf.DUMMYFUNCTION("""COMPUTED_VALUE"""),45992.7602851041)</f>
        <v>45992.760285104101</v>
      </c>
      <c r="B7" s="1" t="str">
        <f ca="1">IFERROR(__xludf.DUMMYFUNCTION("""COMPUTED_VALUE"""),"minhanh08011999@gmail.com")</f>
        <v>minhanh08011999@gmail.com</v>
      </c>
      <c r="C7" s="1">
        <f ca="1">IFERROR(__xludf.DUMMYFUNCTION("""COMPUTED_VALUE"""),28208049424)</f>
        <v>28208049424</v>
      </c>
      <c r="D7" s="1" t="str">
        <f ca="1">IFERROR(__xludf.DUMMYFUNCTION("""COMPUTED_VALUE"""),"Thái Thị Minh Anh")</f>
        <v>Thái Thị Minh Anh</v>
      </c>
      <c r="E7" s="1"/>
      <c r="F7" s="1" t="str">
        <f ca="1">IFERROR(__xludf.DUMMYFUNCTION("""COMPUTED_VALUE"""),"K28 PSU DKL")</f>
        <v>K28 PSU DKL</v>
      </c>
      <c r="G7" s="1" t="str">
        <f ca="1">IFERROR(__xludf.DUMMYFUNCTION("""COMPUTED_VALUE"""),"Quản trị Du lịch &amp; Khách sạn chuẩn PSU")</f>
        <v>Quản trị Du lịch &amp; Khách sạn chuẩn PSU</v>
      </c>
      <c r="H7" s="1" t="str">
        <f ca="1">IFERROR(__xludf.DUMMYFUNCTION("""COMPUTED_VALUE"""),"K28")</f>
        <v>K28</v>
      </c>
      <c r="I7" s="1" t="str">
        <f ca="1">IFERROR(__xludf.DUMMYFUNCTION("""COMPUTED_VALUE"""),"0702586838")</f>
        <v>0702586838</v>
      </c>
      <c r="J7" s="1">
        <f ca="1">IFERROR(__xludf.DUMMYFUNCTION("""COMPUTED_VALUE"""),2.93)</f>
        <v>2.93</v>
      </c>
      <c r="K7" s="1">
        <f ca="1">IFERROR(__xludf.DUMMYFUNCTION("""COMPUTED_VALUE"""),114)</f>
        <v>114</v>
      </c>
      <c r="L7" s="1" t="str">
        <f ca="1">IFERROR(__xludf.DUMMYFUNCTION("""COMPUTED_VALUE"""),"Rồi")</f>
        <v>Rồi</v>
      </c>
      <c r="M7" s="1" t="str">
        <f ca="1">IFERROR(__xludf.DUMMYFUNCTION("""COMPUTED_VALUE"""),"Thực tập tốt nghiệp, Thi tốt nghiệp, Công nhận tốt nghiệp")</f>
        <v>Thực tập tốt nghiệp, Thi tốt nghiệp, Công nhận tốt nghiệp</v>
      </c>
      <c r="N7" s="1">
        <f ca="1">IFERROR(__xludf.DUMMYFUNCTION("""COMPUTED_VALUE"""),12)</f>
        <v>12</v>
      </c>
      <c r="O7" s="1" t="str">
        <f ca="1">IFERROR(__xludf.DUMMYFUNCTION("""COMPUTED_VALUE"""),"cam kết")</f>
        <v>cam kết</v>
      </c>
      <c r="P7" s="1"/>
      <c r="Q7" s="1"/>
      <c r="R7" s="1" t="str">
        <f ca="1">IFERROR(__xludf.DUMMYFUNCTION("""COMPUTED_VALUE"""),"18/12/2025")</f>
        <v>18/12/2025</v>
      </c>
      <c r="S7" s="1" t="str">
        <f ca="1">IFERROR(__xludf.DUMMYFUNCTION("""COMPUTED_VALUE"""),"thực tập TN, Thi TN")</f>
        <v>thực tập TN, Thi TN</v>
      </c>
      <c r="T7" s="1" t="str">
        <f ca="1">IFERROR(__xludf.DUMMYFUNCTION("""COMPUTED_VALUE"""),"Đã email cấp giấy giới thiệu ngày 18/12/2025")</f>
        <v>Đã email cấp giấy giới thiệu ngày 18/12/2025</v>
      </c>
      <c r="U7" s="1"/>
      <c r="V7" s="1"/>
      <c r="W7" s="1" t="str">
        <f ca="1">IFERROR(__xludf.DUMMYFUNCTION("""COMPUTED_VALUE"""),"K28PSU-DLK")</f>
        <v>K28PSU-DLK</v>
      </c>
      <c r="X7" s="1"/>
      <c r="Y7" s="1" t="str">
        <f ca="1">IFERROR(__xludf.DUMMYFUNCTION("""COMPUTED_VALUE"""),"Fusion Resort &amp; Villas Da Nang")</f>
        <v>Fusion Resort &amp; Villas Da Nang</v>
      </c>
      <c r="Z7" s="1" t="str">
        <f ca="1">IFERROR(__xludf.DUMMYFUNCTION("""COMPUTED_VALUE"""),"Buồng phòng")</f>
        <v>Buồng phòng</v>
      </c>
      <c r="AA7" s="1" t="str">
        <f ca="1">IFERROR(__xludf.DUMMYFUNCTION("""COMPUTED_VALUE"""),"DUYỆT")</f>
        <v>DUYỆT</v>
      </c>
      <c r="AB7" s="1" t="str">
        <f ca="1">IFERROR(__xludf.DUMMYFUNCTION("""COMPUTED_VALUE"""),"26/01/2026")</f>
        <v>26/01/2026</v>
      </c>
      <c r="AC7" s="1" t="str">
        <f ca="1">IFERROR(__xludf.DUMMYFUNCTION("""COMPUTED_VALUE"""),"BÁO CÁO THỰC TẬP TỐT NGHIỆP")</f>
        <v>BÁO CÁO THỰC TẬP TỐT NGHIỆP</v>
      </c>
      <c r="AD7" s="1" t="str">
        <f ca="1">IFERROR(__xludf.DUMMYFUNCTION("""COMPUTED_VALUE"""),"Phạm Thị Thu Thủy")</f>
        <v>Phạm Thị Thu Thủy</v>
      </c>
      <c r="AE7" s="1" t="str">
        <f ca="1">IFERROR(__xludf.DUMMYFUNCTION("""COMPUTED_VALUE"""),"Thạc sĩ")</f>
        <v>Thạc sĩ</v>
      </c>
      <c r="AF7" s="1" t="str">
        <f ca="1">IFERROR(__xludf.DUMMYFUNCTION("""COMPUTED_VALUE"""),"0938290678")</f>
        <v>0938290678</v>
      </c>
      <c r="AG7" s="1" t="str">
        <f ca="1">IFERROR(__xludf.DUMMYFUNCTION("""COMPUTED_VALUE"""),"phamtthuthuy2@dtu-hti.edu.vn")</f>
        <v>phamtthuthuy2@dtu-hti.edu.vn</v>
      </c>
      <c r="AH7" s="1" t="str">
        <f ca="1">IFERROR(__xludf.DUMMYFUNCTION("""COMPUTED_VALUE"""),"Báo cáo kết quả thực tập và thực trạng Quy trình phục vụ buồng tại bộ phận buồng Fusion Resort &amp; Villas Da Nang")</f>
        <v>Báo cáo kết quả thực tập và thực trạng Quy trình phục vụ buồng tại bộ phận buồng Fusion Resort &amp; Villas Da Nang</v>
      </c>
      <c r="AI7" s="1"/>
    </row>
    <row r="8" spans="1:35" x14ac:dyDescent="0.2">
      <c r="A8" s="3">
        <f ca="1">IFERROR(__xludf.DUMMYFUNCTION("""COMPUTED_VALUE"""),45992.763878831)</f>
        <v>45992.763878831</v>
      </c>
      <c r="B8" s="1" t="str">
        <f ca="1">IFERROR(__xludf.DUMMYFUNCTION("""COMPUTED_VALUE"""),"mytam9150@gmail.com")</f>
        <v>mytam9150@gmail.com</v>
      </c>
      <c r="C8" s="1">
        <f ca="1">IFERROR(__xludf.DUMMYFUNCTION("""COMPUTED_VALUE"""),28208001228)</f>
        <v>28208001228</v>
      </c>
      <c r="D8" s="1" t="str">
        <f ca="1">IFERROR(__xludf.DUMMYFUNCTION("""COMPUTED_VALUE"""),"Lê Thị Mỹ Tâm ")</f>
        <v xml:space="preserve">Lê Thị Mỹ Tâm </v>
      </c>
      <c r="E8" s="1"/>
      <c r="F8" s="1" t="str">
        <f ca="1">IFERROR(__xludf.DUMMYFUNCTION("""COMPUTED_VALUE"""),"K28PSUDLK")</f>
        <v>K28PSUDLK</v>
      </c>
      <c r="G8" s="1" t="str">
        <f ca="1">IFERROR(__xludf.DUMMYFUNCTION("""COMPUTED_VALUE"""),"Quản trị Du lịch &amp; Khách sạn chuẩn PSU")</f>
        <v>Quản trị Du lịch &amp; Khách sạn chuẩn PSU</v>
      </c>
      <c r="H8" s="1" t="str">
        <f ca="1">IFERROR(__xludf.DUMMYFUNCTION("""COMPUTED_VALUE"""),"K28")</f>
        <v>K28</v>
      </c>
      <c r="I8" s="1" t="str">
        <f ca="1">IFERROR(__xludf.DUMMYFUNCTION("""COMPUTED_VALUE"""),"0338165403")</f>
        <v>0338165403</v>
      </c>
      <c r="J8" s="1">
        <f ca="1">IFERROR(__xludf.DUMMYFUNCTION("""COMPUTED_VALUE"""),2.65)</f>
        <v>2.65</v>
      </c>
      <c r="K8" s="1">
        <f ca="1">IFERROR(__xludf.DUMMYFUNCTION("""COMPUTED_VALUE"""),117)</f>
        <v>117</v>
      </c>
      <c r="L8" s="1" t="str">
        <f ca="1">IFERROR(__xludf.DUMMYFUNCTION("""COMPUTED_VALUE"""),"Rồi")</f>
        <v>Rồi</v>
      </c>
      <c r="M8" s="1" t="str">
        <f ca="1">IFERROR(__xludf.DUMMYFUNCTION("""COMPUTED_VALUE"""),"Thực tập tốt nghiệp, Thi tốt nghiệp, Công nhận tốt nghiệp")</f>
        <v>Thực tập tốt nghiệp, Thi tốt nghiệp, Công nhận tốt nghiệp</v>
      </c>
      <c r="N8" s="1">
        <f ca="1">IFERROR(__xludf.DUMMYFUNCTION("""COMPUTED_VALUE"""),9)</f>
        <v>9</v>
      </c>
      <c r="O8" s="1" t="str">
        <f ca="1">IFERROR(__xludf.DUMMYFUNCTION("""COMPUTED_VALUE"""),"cam kết")</f>
        <v>cam kết</v>
      </c>
      <c r="P8" s="1"/>
      <c r="Q8" s="1"/>
      <c r="R8" s="1" t="str">
        <f ca="1">IFERROR(__xludf.DUMMYFUNCTION("""COMPUTED_VALUE"""),"18/12/2025")</f>
        <v>18/12/2025</v>
      </c>
      <c r="S8" s="1" t="str">
        <f ca="1">IFERROR(__xludf.DUMMYFUNCTION("""COMPUTED_VALUE"""),"thực tập TN, Thi TN")</f>
        <v>thực tập TN, Thi TN</v>
      </c>
      <c r="T8" s="1" t="str">
        <f ca="1">IFERROR(__xludf.DUMMYFUNCTION("""COMPUTED_VALUE"""),"Đã email cấp giấy giới thiệu ngày 18/12/2025")</f>
        <v>Đã email cấp giấy giới thiệu ngày 18/12/2025</v>
      </c>
      <c r="U8" s="1"/>
      <c r="V8" s="1"/>
      <c r="W8" s="1" t="str">
        <f ca="1">IFERROR(__xludf.DUMMYFUNCTION("""COMPUTED_VALUE"""),"K28PSU-DLK")</f>
        <v>K28PSU-DLK</v>
      </c>
      <c r="X8" s="1"/>
      <c r="Y8" s="1" t="str">
        <f ca="1">IFERROR(__xludf.DUMMYFUNCTION("""COMPUTED_VALUE"""),"Sheraton Phu Quoc Long Beach Resort ")</f>
        <v xml:space="preserve">Sheraton Phu Quoc Long Beach Resort </v>
      </c>
      <c r="Z8" s="1" t="str">
        <f ca="1">IFERROR(__xludf.DUMMYFUNCTION("""COMPUTED_VALUE"""),"Nhà hàng")</f>
        <v>Nhà hàng</v>
      </c>
      <c r="AA8" s="1" t="str">
        <f ca="1">IFERROR(__xludf.DUMMYFUNCTION("""COMPUTED_VALUE"""),"DUYỆT")</f>
        <v>DUYỆT</v>
      </c>
      <c r="AB8" s="1" t="str">
        <f ca="1">IFERROR(__xludf.DUMMYFUNCTION("""COMPUTED_VALUE"""),"xin nộp trễ: 06/02/2026")</f>
        <v>xin nộp trễ: 06/02/2026</v>
      </c>
      <c r="AC8" s="1" t="str">
        <f ca="1">IFERROR(__xludf.DUMMYFUNCTION("""COMPUTED_VALUE"""),"BÁO CÁO THỰC TẬP TỐT NGHIỆP")</f>
        <v>BÁO CÁO THỰC TẬP TỐT NGHIỆP</v>
      </c>
      <c r="AD8" s="1" t="str">
        <f ca="1">IFERROR(__xludf.DUMMYFUNCTION("""COMPUTED_VALUE"""),"Nguyễn Thị Minh Thư")</f>
        <v>Nguyễn Thị Minh Thư</v>
      </c>
      <c r="AE8" s="1" t="str">
        <f ca="1">IFERROR(__xludf.DUMMYFUNCTION("""COMPUTED_VALUE"""),"Thạc sĩ")</f>
        <v>Thạc sĩ</v>
      </c>
      <c r="AF8" s="1" t="str">
        <f ca="1">IFERROR(__xludf.DUMMYFUNCTION("""COMPUTED_VALUE"""),"0396.153.687")</f>
        <v>0396.153.687</v>
      </c>
      <c r="AG8" s="1" t="str">
        <f ca="1">IFERROR(__xludf.DUMMYFUNCTION("""COMPUTED_VALUE"""),"nguyentminhthu@dtu-hti.edu.vn")</f>
        <v>nguyentminhthu@dtu-hti.edu.vn</v>
      </c>
      <c r="AH8" s="1" t="str">
        <f ca="1">IFERROR(__xludf.DUMMYFUNCTION("""COMPUTED_VALUE"""),"Báo cáo kết quả thực tập và thực trạng quy trình phục vụ A La Carte tại nhà hàng The Sands thuộc Sheraton Phu Quoc Long Beach Resort")</f>
        <v>Báo cáo kết quả thực tập và thực trạng quy trình phục vụ A La Carte tại nhà hàng The Sands thuộc Sheraton Phu Quoc Long Beach Resort</v>
      </c>
      <c r="AI8" s="1"/>
    </row>
    <row r="9" spans="1:35" x14ac:dyDescent="0.2">
      <c r="A9" s="3">
        <f ca="1">IFERROR(__xludf.DUMMYFUNCTION("""COMPUTED_VALUE"""),45992.7668015393)</f>
        <v>45992.766801539299</v>
      </c>
      <c r="B9" s="1" t="str">
        <f ca="1">IFERROR(__xludf.DUMMYFUNCTION("""COMPUTED_VALUE"""),"phuongthao230721@gmail.com")</f>
        <v>phuongthao230721@gmail.com</v>
      </c>
      <c r="C9" s="1">
        <f ca="1">IFERROR(__xludf.DUMMYFUNCTION("""COMPUTED_VALUE"""),28208000460)</f>
        <v>28208000460</v>
      </c>
      <c r="D9" s="1" t="str">
        <f ca="1">IFERROR(__xludf.DUMMYFUNCTION("""COMPUTED_VALUE"""),"Phạm Thị Phương Thảo")</f>
        <v>Phạm Thị Phương Thảo</v>
      </c>
      <c r="E9" s="1"/>
      <c r="F9" s="1" t="str">
        <f ca="1">IFERROR(__xludf.DUMMYFUNCTION("""COMPUTED_VALUE"""),"K28 PSU DLK ")</f>
        <v xml:space="preserve">K28 PSU DLK </v>
      </c>
      <c r="G9" s="1" t="str">
        <f ca="1">IFERROR(__xludf.DUMMYFUNCTION("""COMPUTED_VALUE"""),"Quản trị Du lịch &amp; Khách sạn chuẩn PSU")</f>
        <v>Quản trị Du lịch &amp; Khách sạn chuẩn PSU</v>
      </c>
      <c r="H9" s="1" t="str">
        <f ca="1">IFERROR(__xludf.DUMMYFUNCTION("""COMPUTED_VALUE"""),"K28")</f>
        <v>K28</v>
      </c>
      <c r="I9" s="1" t="str">
        <f ca="1">IFERROR(__xludf.DUMMYFUNCTION("""COMPUTED_VALUE"""),"0777430140")</f>
        <v>0777430140</v>
      </c>
      <c r="J9" s="1">
        <f ca="1">IFERROR(__xludf.DUMMYFUNCTION("""COMPUTED_VALUE"""),3.02)</f>
        <v>3.02</v>
      </c>
      <c r="K9" s="1">
        <f ca="1">IFERROR(__xludf.DUMMYFUNCTION("""COMPUTED_VALUE"""),115)</f>
        <v>115</v>
      </c>
      <c r="L9" s="1" t="str">
        <f ca="1">IFERROR(__xludf.DUMMYFUNCTION("""COMPUTED_VALUE"""),"Rồi")</f>
        <v>Rồi</v>
      </c>
      <c r="M9" s="1" t="str">
        <f ca="1">IFERROR(__xludf.DUMMYFUNCTION("""COMPUTED_VALUE"""),"Thực tập tốt nghiệp, Thi tốt nghiệp, Công nhận tốt nghiệp")</f>
        <v>Thực tập tốt nghiệp, Thi tốt nghiệp, Công nhận tốt nghiệp</v>
      </c>
      <c r="N9" s="1">
        <f ca="1">IFERROR(__xludf.DUMMYFUNCTION("""COMPUTED_VALUE"""),11)</f>
        <v>11</v>
      </c>
      <c r="O9" s="1" t="str">
        <f ca="1">IFERROR(__xludf.DUMMYFUNCTION("""COMPUTED_VALUE"""),"cam kết")</f>
        <v>cam kết</v>
      </c>
      <c r="P9" s="1"/>
      <c r="Q9" s="1"/>
      <c r="R9" s="1" t="str">
        <f ca="1">IFERROR(__xludf.DUMMYFUNCTION("""COMPUTED_VALUE"""),"18/12/2025")</f>
        <v>18/12/2025</v>
      </c>
      <c r="S9" s="1" t="str">
        <f ca="1">IFERROR(__xludf.DUMMYFUNCTION("""COMPUTED_VALUE"""),"thực tập TN, Thi TN")</f>
        <v>thực tập TN, Thi TN</v>
      </c>
      <c r="T9" s="1" t="str">
        <f ca="1">IFERROR(__xludf.DUMMYFUNCTION("""COMPUTED_VALUE"""),"Đã email cấp giấy giới thiệu ngày 18/12/2025")</f>
        <v>Đã email cấp giấy giới thiệu ngày 18/12/2025</v>
      </c>
      <c r="U9" s="1"/>
      <c r="V9" s="1"/>
      <c r="W9" s="1" t="str">
        <f ca="1">IFERROR(__xludf.DUMMYFUNCTION("""COMPUTED_VALUE"""),"K28PSU-DLK")</f>
        <v>K28PSU-DLK</v>
      </c>
      <c r="X9" s="1"/>
      <c r="Y9" s="1" t="str">
        <f ca="1">IFERROR(__xludf.DUMMYFUNCTION("""COMPUTED_VALUE"""),"Danang Marriott Resort &amp; Spa, Non Nuoc Beach Villas.")</f>
        <v>Danang Marriott Resort &amp; Spa, Non Nuoc Beach Villas.</v>
      </c>
      <c r="Z9" s="1" t="str">
        <f ca="1">IFERROR(__xludf.DUMMYFUNCTION("""COMPUTED_VALUE"""),"Buồng phòng")</f>
        <v>Buồng phòng</v>
      </c>
      <c r="AA9" s="1" t="str">
        <f ca="1">IFERROR(__xludf.DUMMYFUNCTION("""COMPUTED_VALUE"""),"DUYỆT")</f>
        <v>DUYỆT</v>
      </c>
      <c r="AB9" s="1" t="str">
        <f ca="1">IFERROR(__xludf.DUMMYFUNCTION("""COMPUTED_VALUE"""),"27/01/2026")</f>
        <v>27/01/2026</v>
      </c>
      <c r="AC9" s="1" t="str">
        <f ca="1">IFERROR(__xludf.DUMMYFUNCTION("""COMPUTED_VALUE"""),"BÁO CÁO THỰC TẬP TỐT NGHIỆP")</f>
        <v>BÁO CÁO THỰC TẬP TỐT NGHIỆP</v>
      </c>
      <c r="AD9" s="1" t="str">
        <f ca="1">IFERROR(__xludf.DUMMYFUNCTION("""COMPUTED_VALUE"""),"Phạm Thị Thu Thủy")</f>
        <v>Phạm Thị Thu Thủy</v>
      </c>
      <c r="AE9" s="1" t="str">
        <f ca="1">IFERROR(__xludf.DUMMYFUNCTION("""COMPUTED_VALUE"""),"Thạc sĩ")</f>
        <v>Thạc sĩ</v>
      </c>
      <c r="AF9" s="1" t="str">
        <f ca="1">IFERROR(__xludf.DUMMYFUNCTION("""COMPUTED_VALUE"""),"0938290678")</f>
        <v>0938290678</v>
      </c>
      <c r="AG9" s="1" t="str">
        <f ca="1">IFERROR(__xludf.DUMMYFUNCTION("""COMPUTED_VALUE"""),"phamtthuthuy2@dtu-hti.edu.vn")</f>
        <v>phamtthuthuy2@dtu-hti.edu.vn</v>
      </c>
      <c r="AH9" s="1" t="str">
        <f ca="1">IFERROR(__xludf.DUMMYFUNCTION("""COMPUTED_VALUE"""),"Báo cáo kết quả thực tập và thực trạng quy trình phục vụ buồng tại bộ phận buồng Danang Marriott Resort &amp; Spa, Non Nuoc Beach Villas.")</f>
        <v>Báo cáo kết quả thực tập và thực trạng quy trình phục vụ buồng tại bộ phận buồng Danang Marriott Resort &amp; Spa, Non Nuoc Beach Villas.</v>
      </c>
      <c r="AI9" s="1"/>
    </row>
    <row r="10" spans="1:35" x14ac:dyDescent="0.2">
      <c r="A10" s="3">
        <f ca="1">IFERROR(__xludf.DUMMYFUNCTION("""COMPUTED_VALUE"""),45992.8205130208)</f>
        <v>45992.820513020801</v>
      </c>
      <c r="B10" s="1" t="str">
        <f ca="1">IFERROR(__xludf.DUMMYFUNCTION("""COMPUTED_VALUE"""),"oocean189@gmail.com")</f>
        <v>oocean189@gmail.com</v>
      </c>
      <c r="C10" s="1">
        <f ca="1">IFERROR(__xludf.DUMMYFUNCTION("""COMPUTED_VALUE"""),28210301285)</f>
        <v>28210301285</v>
      </c>
      <c r="D10" s="1" t="str">
        <f ca="1">IFERROR(__xludf.DUMMYFUNCTION("""COMPUTED_VALUE"""),"Nguyễn Đại Dương")</f>
        <v>Nguyễn Đại Dương</v>
      </c>
      <c r="E10" s="1"/>
      <c r="F10" s="1" t="str">
        <f ca="1">IFERROR(__xludf.DUMMYFUNCTION("""COMPUTED_VALUE"""),"K28PSUDLK")</f>
        <v>K28PSUDLK</v>
      </c>
      <c r="G10" s="1" t="str">
        <f ca="1">IFERROR(__xludf.DUMMYFUNCTION("""COMPUTED_VALUE"""),"Quản trị Du lịch &amp; Khách sạn chuẩn PSU")</f>
        <v>Quản trị Du lịch &amp; Khách sạn chuẩn PSU</v>
      </c>
      <c r="H10" s="1" t="str">
        <f ca="1">IFERROR(__xludf.DUMMYFUNCTION("""COMPUTED_VALUE"""),"K28")</f>
        <v>K28</v>
      </c>
      <c r="I10" s="1" t="str">
        <f ca="1">IFERROR(__xludf.DUMMYFUNCTION("""COMPUTED_VALUE"""),"0913366338")</f>
        <v>0913366338</v>
      </c>
      <c r="J10" s="1">
        <f ca="1">IFERROR(__xludf.DUMMYFUNCTION("""COMPUTED_VALUE"""),3.15)</f>
        <v>3.15</v>
      </c>
      <c r="K10" s="1">
        <f ca="1">IFERROR(__xludf.DUMMYFUNCTION("""COMPUTED_VALUE"""),115)</f>
        <v>115</v>
      </c>
      <c r="L10" s="1" t="str">
        <f ca="1">IFERROR(__xludf.DUMMYFUNCTION("""COMPUTED_VALUE"""),"Rồi")</f>
        <v>Rồi</v>
      </c>
      <c r="M10" s="1" t="str">
        <f ca="1">IFERROR(__xludf.DUMMYFUNCTION("""COMPUTED_VALUE"""),"Thực tập tốt nghiệp, Thi tốt nghiệp, Công nhận tốt nghiệp")</f>
        <v>Thực tập tốt nghiệp, Thi tốt nghiệp, Công nhận tốt nghiệp</v>
      </c>
      <c r="N10" s="1">
        <f ca="1">IFERROR(__xludf.DUMMYFUNCTION("""COMPUTED_VALUE"""),11)</f>
        <v>11</v>
      </c>
      <c r="O10" s="1" t="str">
        <f ca="1">IFERROR(__xludf.DUMMYFUNCTION("""COMPUTED_VALUE"""),"cam kết")</f>
        <v>cam kết</v>
      </c>
      <c r="P10" s="1"/>
      <c r="Q10" s="1"/>
      <c r="R10" s="1" t="str">
        <f ca="1">IFERROR(__xludf.DUMMYFUNCTION("""COMPUTED_VALUE"""),"18/12/2025")</f>
        <v>18/12/2025</v>
      </c>
      <c r="S10" s="1" t="str">
        <f ca="1">IFERROR(__xludf.DUMMYFUNCTION("""COMPUTED_VALUE"""),"thực tập TN, Thi TN")</f>
        <v>thực tập TN, Thi TN</v>
      </c>
      <c r="T10" s="1" t="str">
        <f ca="1">IFERROR(__xludf.DUMMYFUNCTION("""COMPUTED_VALUE"""),"Đã email cấp giấy giới thiệu ngày 18/12/2025")</f>
        <v>Đã email cấp giấy giới thiệu ngày 18/12/2025</v>
      </c>
      <c r="U10" s="1"/>
      <c r="V10" s="1"/>
      <c r="W10" s="1" t="str">
        <f ca="1">IFERROR(__xludf.DUMMYFUNCTION("""COMPUTED_VALUE"""),"K28PSU-DLK")</f>
        <v>K28PSU-DLK</v>
      </c>
      <c r="X10" s="1"/>
      <c r="Y10" s="1" t="str">
        <f ca="1">IFERROR(__xludf.DUMMYFUNCTION("""COMPUTED_VALUE"""),"InterContinental Danang Sun Peninsula Resort")</f>
        <v>InterContinental Danang Sun Peninsula Resort</v>
      </c>
      <c r="Z10" s="1" t="str">
        <f ca="1">IFERROR(__xludf.DUMMYFUNCTION("""COMPUTED_VALUE"""),"Tiền sảnh")</f>
        <v>Tiền sảnh</v>
      </c>
      <c r="AA10" s="1" t="str">
        <f ca="1">IFERROR(__xludf.DUMMYFUNCTION("""COMPUTED_VALUE"""),"DUYỆT")</f>
        <v>DUYỆT</v>
      </c>
      <c r="AB10" s="4">
        <f ca="1">IFERROR(__xludf.DUMMYFUNCTION("""COMPUTED_VALUE"""),46083)</f>
        <v>46083</v>
      </c>
      <c r="AC10" s="1" t="str">
        <f ca="1">IFERROR(__xludf.DUMMYFUNCTION("""COMPUTED_VALUE"""),"BÁO CÁO THỰC TẬP TỐT NGHIỆP")</f>
        <v>BÁO CÁO THỰC TẬP TỐT NGHIỆP</v>
      </c>
      <c r="AD10" s="1" t="str">
        <f ca="1">IFERROR(__xludf.DUMMYFUNCTION("""COMPUTED_VALUE"""),"Trịnh Thị Kim Chung")</f>
        <v>Trịnh Thị Kim Chung</v>
      </c>
      <c r="AE10" s="1" t="str">
        <f ca="1">IFERROR(__xludf.DUMMYFUNCTION("""COMPUTED_VALUE"""),"Thạc sĩ")</f>
        <v>Thạc sĩ</v>
      </c>
      <c r="AF10" s="1" t="str">
        <f ca="1">IFERROR(__xludf.DUMMYFUNCTION("""COMPUTED_VALUE"""),"0375658728")</f>
        <v>0375658728</v>
      </c>
      <c r="AG10" s="1" t="str">
        <f ca="1">IFERROR(__xludf.DUMMYFUNCTION("""COMPUTED_VALUE"""),"trinhtkimchung@dtu-hti.edu.vn")</f>
        <v>trinhtkimchung@dtu-hti.edu.vn</v>
      </c>
      <c r="AH10" s="1" t="str">
        <f ca="1">IFERROR(__xludf.DUMMYFUNCTION("""COMPUTED_VALUE"""),"Báo cáo kết quả thực tập và thực trạng về các yếu tố ảnh hưởng đến chất lượng phục vụ tại bộ phận tiền sảnh thuộc InterContinental Danang Sun Peninsula Resort ")</f>
        <v xml:space="preserve">Báo cáo kết quả thực tập và thực trạng về các yếu tố ảnh hưởng đến chất lượng phục vụ tại bộ phận tiền sảnh thuộc InterContinental Danang Sun Peninsula Resort </v>
      </c>
      <c r="AI10" s="1"/>
    </row>
    <row r="11" spans="1:35" x14ac:dyDescent="0.2">
      <c r="A11" s="3">
        <f ca="1">IFERROR(__xludf.DUMMYFUNCTION("""COMPUTED_VALUE"""),46003.8388810879)</f>
        <v>46003.838881087897</v>
      </c>
      <c r="B11" s="1" t="str">
        <f ca="1">IFERROR(__xludf.DUMMYFUNCTION("""COMPUTED_VALUE"""),"tructhien1234512345@gmail.com")</f>
        <v>tructhien1234512345@gmail.com</v>
      </c>
      <c r="C11" s="1">
        <f ca="1">IFERROR(__xludf.DUMMYFUNCTION("""COMPUTED_VALUE"""),28207702170)</f>
        <v>28207702170</v>
      </c>
      <c r="D11" s="1" t="str">
        <f ca="1">IFERROR(__xludf.DUMMYFUNCTION("""COMPUTED_VALUE"""),"Nguyễn Hà Thiên Trúc")</f>
        <v>Nguyễn Hà Thiên Trúc</v>
      </c>
      <c r="E11" s="1"/>
      <c r="F11" s="1" t="str">
        <f ca="1">IFERROR(__xludf.DUMMYFUNCTION("""COMPUTED_VALUE"""),"K28DLK4")</f>
        <v>K28DLK4</v>
      </c>
      <c r="G11" s="1" t="str">
        <f ca="1">IFERROR(__xludf.DUMMYFUNCTION("""COMPUTED_VALUE"""),"Quản trị Du lịch &amp; Khách sạn")</f>
        <v>Quản trị Du lịch &amp; Khách sạn</v>
      </c>
      <c r="H11" s="1" t="str">
        <f ca="1">IFERROR(__xludf.DUMMYFUNCTION("""COMPUTED_VALUE"""),"K28")</f>
        <v>K28</v>
      </c>
      <c r="I11" s="1" t="str">
        <f ca="1">IFERROR(__xludf.DUMMYFUNCTION("""COMPUTED_VALUE"""),"0979488221")</f>
        <v>0979488221</v>
      </c>
      <c r="J11" s="1">
        <f ca="1">IFERROR(__xludf.DUMMYFUNCTION("""COMPUTED_VALUE"""),3.29)</f>
        <v>3.29</v>
      </c>
      <c r="K11" s="1">
        <f ca="1">IFERROR(__xludf.DUMMYFUNCTION("""COMPUTED_VALUE"""),118)</f>
        <v>118</v>
      </c>
      <c r="L11" s="1" t="str">
        <f ca="1">IFERROR(__xludf.DUMMYFUNCTION("""COMPUTED_VALUE"""),"Rồi")</f>
        <v>Rồi</v>
      </c>
      <c r="M11" s="1" t="str">
        <f ca="1">IFERROR(__xludf.DUMMYFUNCTION("""COMPUTED_VALUE"""),"Thực tập tốt nghiệp, Thi tốt nghiệp, Công nhận tốt nghiệp")</f>
        <v>Thực tập tốt nghiệp, Thi tốt nghiệp, Công nhận tốt nghiệp</v>
      </c>
      <c r="N11" s="1" t="str">
        <f ca="1">IFERROR(__xludf.DUMMYFUNCTION("""COMPUTED_VALUE"""),"8 ( chuẩn bị thi )")</f>
        <v>8 ( chuẩn bị thi )</v>
      </c>
      <c r="O11" s="1" t="str">
        <f ca="1">IFERROR(__xludf.DUMMYFUNCTION("""COMPUTED_VALUE"""),"cam kết")</f>
        <v>cam kết</v>
      </c>
      <c r="P11" s="1"/>
      <c r="Q11" s="1"/>
      <c r="R11" s="1" t="str">
        <f ca="1">IFERROR(__xludf.DUMMYFUNCTION("""COMPUTED_VALUE"""),"18/12/2025")</f>
        <v>18/12/2025</v>
      </c>
      <c r="S11" s="1" t="str">
        <f ca="1">IFERROR(__xludf.DUMMYFUNCTION("""COMPUTED_VALUE"""),"thực tập TN, Thi TN")</f>
        <v>thực tập TN, Thi TN</v>
      </c>
      <c r="T11" s="1" t="str">
        <f ca="1">IFERROR(__xludf.DUMMYFUNCTION("""COMPUTED_VALUE"""),"Đã email cấp giấy giới thiệu ngày 18/12/2025")</f>
        <v>Đã email cấp giấy giới thiệu ngày 18/12/2025</v>
      </c>
      <c r="U11" s="1"/>
      <c r="V11" s="1"/>
      <c r="W11" s="1" t="str">
        <f ca="1">IFERROR(__xludf.DUMMYFUNCTION("""COMPUTED_VALUE"""),"K28DLK4")</f>
        <v>K28DLK4</v>
      </c>
      <c r="X11" s="1"/>
      <c r="Y11" s="1" t="str">
        <f ca="1">IFERROR(__xludf.DUMMYFUNCTION("""COMPUTED_VALUE"""),"Hotel Royal Hoi An Danang")</f>
        <v>Hotel Royal Hoi An Danang</v>
      </c>
      <c r="Z11" s="1" t="str">
        <f ca="1">IFERROR(__xludf.DUMMYFUNCTION("""COMPUTED_VALUE"""),"Nhân sự")</f>
        <v>Nhân sự</v>
      </c>
      <c r="AA11" s="1" t="str">
        <f ca="1">IFERROR(__xludf.DUMMYFUNCTION("""COMPUTED_VALUE"""),"DUYỆT")</f>
        <v>DUYỆT</v>
      </c>
      <c r="AB11" s="1" t="str">
        <f ca="1">IFERROR(__xludf.DUMMYFUNCTION("""COMPUTED_VALUE"""),"17/01/2026")</f>
        <v>17/01/2026</v>
      </c>
      <c r="AC11" s="1" t="str">
        <f ca="1">IFERROR(__xludf.DUMMYFUNCTION("""COMPUTED_VALUE"""),"BÁO CÁO THỰC TẬP TỐT NGHIỆP")</f>
        <v>BÁO CÁO THỰC TẬP TỐT NGHIỆP</v>
      </c>
      <c r="AD11" s="1" t="str">
        <f ca="1">IFERROR(__xludf.DUMMYFUNCTION("""COMPUTED_VALUE"""),"Hồ Sử Minh Tài")</f>
        <v>Hồ Sử Minh Tài</v>
      </c>
      <c r="AE11" s="1" t="str">
        <f ca="1">IFERROR(__xludf.DUMMYFUNCTION("""COMPUTED_VALUE"""),"Thạc sĩ")</f>
        <v>Thạc sĩ</v>
      </c>
      <c r="AF11" s="1" t="str">
        <f ca="1">IFERROR(__xludf.DUMMYFUNCTION("""COMPUTED_VALUE"""),"0905 874 626")</f>
        <v>0905 874 626</v>
      </c>
      <c r="AG11" s="1" t="str">
        <f ca="1">IFERROR(__xludf.DUMMYFUNCTION("""COMPUTED_VALUE"""),"hosminhtai@dtu-hti.edu.vn")</f>
        <v>hosminhtai@dtu-hti.edu.vn</v>
      </c>
      <c r="AH11" s="1" t="str">
        <f ca="1">IFERROR(__xludf.DUMMYFUNCTION("""COMPUTED_VALUE""")," Đánh giá thực trạng và một số đề xuất hoàn thiện quy trình tuyển dụng nhân sự tại khách sạn Royal Hoi An Danang")</f>
        <v xml:space="preserve"> Đánh giá thực trạng và một số đề xuất hoàn thiện quy trình tuyển dụng nhân sự tại khách sạn Royal Hoi An Danang</v>
      </c>
      <c r="AI11" s="1"/>
    </row>
    <row r="12" spans="1:35" x14ac:dyDescent="0.2">
      <c r="A12" s="3">
        <f ca="1">IFERROR(__xludf.DUMMYFUNCTION("""COMPUTED_VALUE"""),46052.8421231018)</f>
        <v>46052.8421231018</v>
      </c>
      <c r="B12" s="1" t="str">
        <f ca="1">IFERROR(__xludf.DUMMYFUNCTION("""COMPUTED_VALUE"""),"phamhongnguyen1807@gmail.com")</f>
        <v>phamhongnguyen1807@gmail.com</v>
      </c>
      <c r="C12" s="1">
        <f ca="1">IFERROR(__xludf.DUMMYFUNCTION("""COMPUTED_VALUE"""),28218052773)</f>
        <v>28218052773</v>
      </c>
      <c r="D12" s="1" t="str">
        <f ca="1">IFERROR(__xludf.DUMMYFUNCTION("""COMPUTED_VALUE"""),"Phạm Hồng Nguyên")</f>
        <v>Phạm Hồng Nguyên</v>
      </c>
      <c r="E12" s="5">
        <f ca="1">IFERROR(__xludf.DUMMYFUNCTION("""COMPUTED_VALUE"""),38186)</f>
        <v>38186</v>
      </c>
      <c r="F12" s="1" t="str">
        <f ca="1">IFERROR(__xludf.DUMMYFUNCTION("""COMPUTED_VALUE"""),"K28DLK4")</f>
        <v>K28DLK4</v>
      </c>
      <c r="G12" s="1" t="str">
        <f ca="1">IFERROR(__xludf.DUMMYFUNCTION("""COMPUTED_VALUE"""),"Quản trị Du lịch &amp; Khách sạn")</f>
        <v>Quản trị Du lịch &amp; Khách sạn</v>
      </c>
      <c r="H12" s="1" t="str">
        <f ca="1">IFERROR(__xludf.DUMMYFUNCTION("""COMPUTED_VALUE"""),"K28")</f>
        <v>K28</v>
      </c>
      <c r="I12" s="1" t="str">
        <f ca="1">IFERROR(__xludf.DUMMYFUNCTION("""COMPUTED_VALUE"""),"0905360779")</f>
        <v>0905360779</v>
      </c>
      <c r="J12" s="1">
        <f ca="1">IFERROR(__xludf.DUMMYFUNCTION("""COMPUTED_VALUE"""),3.01)</f>
        <v>3.01</v>
      </c>
      <c r="K12" s="1">
        <f ca="1">IFERROR(__xludf.DUMMYFUNCTION("""COMPUTED_VALUE"""),112)</f>
        <v>112</v>
      </c>
      <c r="L12" s="1" t="str">
        <f ca="1">IFERROR(__xludf.DUMMYFUNCTION("""COMPUTED_VALUE"""),"Rồi")</f>
        <v>Rồi</v>
      </c>
      <c r="M12" s="1" t="str">
        <f ca="1">IFERROR(__xludf.DUMMYFUNCTION("""COMPUTED_VALUE"""),"Thực tập tốt nghiệp, Thi tốt nghiệp, Công nhận tốt nghiệp")</f>
        <v>Thực tập tốt nghiệp, Thi tốt nghiệp, Công nhận tốt nghiệp</v>
      </c>
      <c r="N12" s="1">
        <f ca="1">IFERROR(__xludf.DUMMYFUNCTION("""COMPUTED_VALUE"""),12)</f>
        <v>12</v>
      </c>
      <c r="O12" s="1" t="str">
        <f ca="1">IFERROR(__xludf.DUMMYFUNCTION("""COMPUTED_VALUE"""),"cam kết")</f>
        <v>cam kết</v>
      </c>
      <c r="P12" s="1"/>
      <c r="Q12" s="1"/>
      <c r="R12" s="1" t="str">
        <f ca="1">IFERROR(__xludf.DUMMYFUNCTION("""COMPUTED_VALUE"""),"18/12/2025")</f>
        <v>18/12/2025</v>
      </c>
      <c r="S12" s="1" t="str">
        <f ca="1">IFERROR(__xludf.DUMMYFUNCTION("""COMPUTED_VALUE"""),"thực tập TN, Thi TN")</f>
        <v>thực tập TN, Thi TN</v>
      </c>
      <c r="T12" s="1" t="str">
        <f ca="1">IFERROR(__xludf.DUMMYFUNCTION("""COMPUTED_VALUE"""),"Đã email cấp giấy giới thiệu ngày 18/12/2025")</f>
        <v>Đã email cấp giấy giới thiệu ngày 18/12/2025</v>
      </c>
      <c r="U12" s="1"/>
      <c r="V12" s="1"/>
      <c r="W12" s="1" t="str">
        <f ca="1">IFERROR(__xludf.DUMMYFUNCTION("""COMPUTED_VALUE"""),"K28DLK4")</f>
        <v>K28DLK4</v>
      </c>
      <c r="X12" s="1"/>
      <c r="Y12" s="1" t="str">
        <f ca="1">IFERROR(__xludf.DUMMYFUNCTION("""COMPUTED_VALUE"""),"Rosamia Da Nang Hotel")</f>
        <v>Rosamia Da Nang Hotel</v>
      </c>
      <c r="Z12" s="1" t="str">
        <f ca="1">IFERROR(__xludf.DUMMYFUNCTION("""COMPUTED_VALUE"""),"Nhà hàng")</f>
        <v>Nhà hàng</v>
      </c>
      <c r="AA12" s="1" t="str">
        <f ca="1">IFERROR(__xludf.DUMMYFUNCTION("""COMPUTED_VALUE"""),"DUYỆT")</f>
        <v>DUYỆT</v>
      </c>
      <c r="AB12" s="1" t="str">
        <f ca="1">IFERROR(__xludf.DUMMYFUNCTION("""COMPUTED_VALUE"""),"21/01/2026")</f>
        <v>21/01/2026</v>
      </c>
      <c r="AC12" s="1" t="str">
        <f ca="1">IFERROR(__xludf.DUMMYFUNCTION("""COMPUTED_VALUE"""),"BÁO CÁO THỰC TẬP TỐT NGHIỆP")</f>
        <v>BÁO CÁO THỰC TẬP TỐT NGHIỆP</v>
      </c>
      <c r="AD12" s="1" t="str">
        <f ca="1">IFERROR(__xludf.DUMMYFUNCTION("""COMPUTED_VALUE"""),"Mai Thị Thương")</f>
        <v>Mai Thị Thương</v>
      </c>
      <c r="AE12" s="1" t="str">
        <f ca="1">IFERROR(__xludf.DUMMYFUNCTION("""COMPUTED_VALUE"""),"Thạc sĩ")</f>
        <v>Thạc sĩ</v>
      </c>
      <c r="AF12" s="1" t="str">
        <f ca="1">IFERROR(__xludf.DUMMYFUNCTION("""COMPUTED_VALUE"""),"0905767050")</f>
        <v>0905767050</v>
      </c>
      <c r="AG12" s="1" t="str">
        <f ca="1">IFERROR(__xludf.DUMMYFUNCTION("""COMPUTED_VALUE"""),"maithithuong@dtu-hti.edu.vn")</f>
        <v>maithithuong@dtu-hti.edu.vn</v>
      </c>
      <c r="AH12" s="1" t="str">
        <f ca="1">IFERROR(__xludf.DUMMYFUNCTION("""COMPUTED_VALUE"""),"Báo cáo kết quả thực tập và thực trạng về chính sách đãi ngộ lao động tại bộ phận nhà hàng thuộc Rosamia Da Nang Hotel")</f>
        <v>Báo cáo kết quả thực tập và thực trạng về chính sách đãi ngộ lao động tại bộ phận nhà hàng thuộc Rosamia Da Nang Hotel</v>
      </c>
      <c r="AI12" s="1"/>
    </row>
    <row r="13" spans="1:35" x14ac:dyDescent="0.2">
      <c r="A13" s="3">
        <f ca="1">IFERROR(__xludf.DUMMYFUNCTION("""COMPUTED_VALUE"""),45993.4311614003)</f>
        <v>45993.431161400302</v>
      </c>
      <c r="B13" s="1" t="str">
        <f ca="1">IFERROR(__xludf.DUMMYFUNCTION("""COMPUTED_VALUE"""),"xhha.2004@gmail.com")</f>
        <v>xhha.2004@gmail.com</v>
      </c>
      <c r="C13" s="1">
        <f ca="1">IFERROR(__xludf.DUMMYFUNCTION("""COMPUTED_VALUE"""),28208004174)</f>
        <v>28208004174</v>
      </c>
      <c r="D13" s="1" t="str">
        <f ca="1">IFERROR(__xludf.DUMMYFUNCTION("""COMPUTED_VALUE"""),"Phan Thị Xuân Hạ")</f>
        <v>Phan Thị Xuân Hạ</v>
      </c>
      <c r="E13" s="1"/>
      <c r="F13" s="1" t="str">
        <f ca="1">IFERROR(__xludf.DUMMYFUNCTION("""COMPUTED_VALUE"""),"K28DLK 1")</f>
        <v>K28DLK 1</v>
      </c>
      <c r="G13" s="1" t="str">
        <f ca="1">IFERROR(__xludf.DUMMYFUNCTION("""COMPUTED_VALUE"""),"Quản trị Du lịch &amp; Khách sạn")</f>
        <v>Quản trị Du lịch &amp; Khách sạn</v>
      </c>
      <c r="H13" s="1" t="str">
        <f ca="1">IFERROR(__xludf.DUMMYFUNCTION("""COMPUTED_VALUE"""),"K28")</f>
        <v>K28</v>
      </c>
      <c r="I13" s="1" t="str">
        <f ca="1">IFERROR(__xludf.DUMMYFUNCTION("""COMPUTED_VALUE"""),"0876966852")</f>
        <v>0876966852</v>
      </c>
      <c r="J13" s="1">
        <f ca="1">IFERROR(__xludf.DUMMYFUNCTION("""COMPUTED_VALUE"""),3.62)</f>
        <v>3.62</v>
      </c>
      <c r="K13" s="1">
        <f ca="1">IFERROR(__xludf.DUMMYFUNCTION("""COMPUTED_VALUE"""),112)</f>
        <v>112</v>
      </c>
      <c r="L13" s="1" t="str">
        <f ca="1">IFERROR(__xludf.DUMMYFUNCTION("""COMPUTED_VALUE"""),"Rồi")</f>
        <v>Rồi</v>
      </c>
      <c r="M13" s="1" t="str">
        <f ca="1">IFERROR(__xludf.DUMMYFUNCTION("""COMPUTED_VALUE"""),"Thực tập tốt nghiệp, Thi tốt nghiệp, Công nhận tốt nghiệp")</f>
        <v>Thực tập tốt nghiệp, Thi tốt nghiệp, Công nhận tốt nghiệp</v>
      </c>
      <c r="N13" s="1">
        <f ca="1">IFERROR(__xludf.DUMMYFUNCTION("""COMPUTED_VALUE"""),11)</f>
        <v>11</v>
      </c>
      <c r="O13" s="1" t="str">
        <f ca="1">IFERROR(__xludf.DUMMYFUNCTION("""COMPUTED_VALUE"""),"cam kết")</f>
        <v>cam kết</v>
      </c>
      <c r="P13" s="1"/>
      <c r="Q13" s="1"/>
      <c r="R13" s="1" t="str">
        <f ca="1">IFERROR(__xludf.DUMMYFUNCTION("""COMPUTED_VALUE"""),"18/12/2025")</f>
        <v>18/12/2025</v>
      </c>
      <c r="S13" s="1" t="str">
        <f ca="1">IFERROR(__xludf.DUMMYFUNCTION("""COMPUTED_VALUE"""),"thực tập TN, Thi TN")</f>
        <v>thực tập TN, Thi TN</v>
      </c>
      <c r="T13" s="1" t="str">
        <f ca="1">IFERROR(__xludf.DUMMYFUNCTION("""COMPUTED_VALUE"""),"Đã email cấp giấy giới thiệu ngày 18/12/2025")</f>
        <v>Đã email cấp giấy giới thiệu ngày 18/12/2025</v>
      </c>
      <c r="U13" s="1"/>
      <c r="V13" s="1"/>
      <c r="W13" s="1" t="str">
        <f ca="1">IFERROR(__xludf.DUMMYFUNCTION("""COMPUTED_VALUE"""),"K28DLK1")</f>
        <v>K28DLK1</v>
      </c>
      <c r="X13" s="1"/>
      <c r="Y13" s="1" t="str">
        <f ca="1">IFERROR(__xludf.DUMMYFUNCTION("""COMPUTED_VALUE"""),"Novotel Danang Premier")</f>
        <v>Novotel Danang Premier</v>
      </c>
      <c r="Z13" s="1" t="str">
        <f ca="1">IFERROR(__xludf.DUMMYFUNCTION("""COMPUTED_VALUE"""),"Nhà hàng")</f>
        <v>Nhà hàng</v>
      </c>
      <c r="AA13" s="1" t="str">
        <f ca="1">IFERROR(__xludf.DUMMYFUNCTION("""COMPUTED_VALUE"""),"DUYỆT")</f>
        <v>DUYỆT</v>
      </c>
      <c r="AB13" s="4">
        <f ca="1">IFERROR(__xludf.DUMMYFUNCTION("""COMPUTED_VALUE"""),46266)</f>
        <v>46266</v>
      </c>
      <c r="AC13" s="1" t="str">
        <f ca="1">IFERROR(__xludf.DUMMYFUNCTION("""COMPUTED_VALUE"""),"BÁO CÁO THỰC TẬP TỐT NGHIỆP")</f>
        <v>BÁO CÁO THỰC TẬP TỐT NGHIỆP</v>
      </c>
      <c r="AD13" s="1" t="str">
        <f ca="1">IFERROR(__xludf.DUMMYFUNCTION("""COMPUTED_VALUE"""),"Huỳnh Lý Thùy Linh")</f>
        <v>Huỳnh Lý Thùy Linh</v>
      </c>
      <c r="AE13" s="1" t="str">
        <f ca="1">IFERROR(__xludf.DUMMYFUNCTION("""COMPUTED_VALUE"""),"Thạc sĩ")</f>
        <v>Thạc sĩ</v>
      </c>
      <c r="AF13" s="1" t="str">
        <f ca="1">IFERROR(__xludf.DUMMYFUNCTION("""COMPUTED_VALUE"""),"0702605664")</f>
        <v>0702605664</v>
      </c>
      <c r="AG13" s="1" t="str">
        <f ca="1">IFERROR(__xludf.DUMMYFUNCTION("""COMPUTED_VALUE"""),"huynhlthuylinh@dtu-hti.edu.vn")</f>
        <v>huynhlthuylinh@dtu-hti.edu.vn</v>
      </c>
      <c r="AH13" s="1" t="str">
        <f ca="1">IFERROR(__xludf.DUMMYFUNCTION("""COMPUTED_VALUE"""),"Báo cáo kết quả thực tập và thực trạng quy trình phục vụ set menu của bộ phận Yến tiệc tại Novotel Danang Premier Han River")</f>
        <v>Báo cáo kết quả thực tập và thực trạng quy trình phục vụ set menu của bộ phận Yến tiệc tại Novotel Danang Premier Han River</v>
      </c>
      <c r="AI13" s="1"/>
    </row>
    <row r="14" spans="1:35" x14ac:dyDescent="0.2">
      <c r="A14" s="3">
        <f ca="1">IFERROR(__xludf.DUMMYFUNCTION("""COMPUTED_VALUE"""),45993.6009132176)</f>
        <v>45993.600913217597</v>
      </c>
      <c r="B14" s="1" t="str">
        <f ca="1">IFERROR(__xludf.DUMMYFUNCTION("""COMPUTED_VALUE"""),"tmy77779@gmail.com")</f>
        <v>tmy77779@gmail.com</v>
      </c>
      <c r="C14" s="1">
        <f ca="1">IFERROR(__xludf.DUMMYFUNCTION("""COMPUTED_VALUE"""),28208151176)</f>
        <v>28208151176</v>
      </c>
      <c r="D14" s="1" t="str">
        <f ca="1">IFERROR(__xludf.DUMMYFUNCTION("""COMPUTED_VALUE"""),"Hồ Thị Thảo My")</f>
        <v>Hồ Thị Thảo My</v>
      </c>
      <c r="E14" s="1"/>
      <c r="F14" s="1" t="str">
        <f ca="1">IFERROR(__xludf.DUMMYFUNCTION("""COMPUTED_VALUE"""),"K28 DLK1")</f>
        <v>K28 DLK1</v>
      </c>
      <c r="G14" s="1" t="str">
        <f ca="1">IFERROR(__xludf.DUMMYFUNCTION("""COMPUTED_VALUE"""),"Quản trị Du lịch &amp; Khách sạn")</f>
        <v>Quản trị Du lịch &amp; Khách sạn</v>
      </c>
      <c r="H14" s="1" t="str">
        <f ca="1">IFERROR(__xludf.DUMMYFUNCTION("""COMPUTED_VALUE"""),"K28")</f>
        <v>K28</v>
      </c>
      <c r="I14" s="1" t="str">
        <f ca="1">IFERROR(__xludf.DUMMYFUNCTION("""COMPUTED_VALUE"""),"0905947124")</f>
        <v>0905947124</v>
      </c>
      <c r="J14" s="1">
        <f ca="1">IFERROR(__xludf.DUMMYFUNCTION("""COMPUTED_VALUE"""),3.24)</f>
        <v>3.24</v>
      </c>
      <c r="K14" s="1">
        <f ca="1">IFERROR(__xludf.DUMMYFUNCTION("""COMPUTED_VALUE"""),123)</f>
        <v>123</v>
      </c>
      <c r="L14" s="1" t="str">
        <f ca="1">IFERROR(__xludf.DUMMYFUNCTION("""COMPUTED_VALUE"""),"Rồi")</f>
        <v>Rồi</v>
      </c>
      <c r="M14" s="1" t="str">
        <f ca="1">IFERROR(__xludf.DUMMYFUNCTION("""COMPUTED_VALUE"""),"Thực tập tốt nghiệp, Thi tốt nghiệp")</f>
        <v>Thực tập tốt nghiệp, Thi tốt nghiệp</v>
      </c>
      <c r="N14" s="1">
        <f ca="1">IFERROR(__xludf.DUMMYFUNCTION("""COMPUTED_VALUE"""),0)</f>
        <v>0</v>
      </c>
      <c r="O14" s="1" t="str">
        <f ca="1">IFERROR(__xludf.DUMMYFUNCTION("""COMPUTED_VALUE"""),"cam kết")</f>
        <v>cam kết</v>
      </c>
      <c r="P14" s="1"/>
      <c r="Q14" s="1"/>
      <c r="R14" s="1" t="str">
        <f ca="1">IFERROR(__xludf.DUMMYFUNCTION("""COMPUTED_VALUE"""),"18/12/2025")</f>
        <v>18/12/2025</v>
      </c>
      <c r="S14" s="1" t="str">
        <f ca="1">IFERROR(__xludf.DUMMYFUNCTION("""COMPUTED_VALUE"""),"thực tập TN, Thi TN")</f>
        <v>thực tập TN, Thi TN</v>
      </c>
      <c r="T14" s="1" t="str">
        <f ca="1">IFERROR(__xludf.DUMMYFUNCTION("""COMPUTED_VALUE"""),"Đã email cấp giấy giới thiệu ngày 18/12/2025")</f>
        <v>Đã email cấp giấy giới thiệu ngày 18/12/2025</v>
      </c>
      <c r="U14" s="1" t="str">
        <f ca="1">IFERROR(__xludf.DUMMYFUNCTION("""COMPUTED_VALUE"""),"Sv đã nộp đơn chuyển KL - CĐ")</f>
        <v>Sv đã nộp đơn chuyển KL - CĐ</v>
      </c>
      <c r="V14" s="1"/>
      <c r="W14" s="1" t="str">
        <f ca="1">IFERROR(__xludf.DUMMYFUNCTION("""COMPUTED_VALUE"""),"K28DLK1")</f>
        <v>K28DLK1</v>
      </c>
      <c r="X14" s="1"/>
      <c r="Y14" s="1" t="str">
        <f ca="1">IFERROR(__xludf.DUMMYFUNCTION("""COMPUTED_VALUE"""),"Meliá Danang Beach Resort")</f>
        <v>Meliá Danang Beach Resort</v>
      </c>
      <c r="Z14" s="1" t="str">
        <f ca="1">IFERROR(__xludf.DUMMYFUNCTION("""COMPUTED_VALUE"""),"Nhà hàng")</f>
        <v>Nhà hàng</v>
      </c>
      <c r="AA14" s="1" t="str">
        <f ca="1">IFERROR(__xludf.DUMMYFUNCTION("""COMPUTED_VALUE"""),"DUYỆT")</f>
        <v>DUYỆT</v>
      </c>
      <c r="AB14" s="1" t="str">
        <f ca="1">IFERROR(__xludf.DUMMYFUNCTION("""COMPUTED_VALUE"""),"26/01/2026")</f>
        <v>26/01/2026</v>
      </c>
      <c r="AC14" s="1" t="str">
        <f ca="1">IFERROR(__xludf.DUMMYFUNCTION("""COMPUTED_VALUE"""),"BÁO CÁO THỰC TẬP TỐT NGHIỆP")</f>
        <v>BÁO CÁO THỰC TẬP TỐT NGHIỆP</v>
      </c>
      <c r="AD14" s="1" t="str">
        <f ca="1">IFERROR(__xludf.DUMMYFUNCTION("""COMPUTED_VALUE"""),"Huỳnh Lý Thùy Linh")</f>
        <v>Huỳnh Lý Thùy Linh</v>
      </c>
      <c r="AE14" s="1" t="str">
        <f ca="1">IFERROR(__xludf.DUMMYFUNCTION("""COMPUTED_VALUE"""),"Thạc sĩ")</f>
        <v>Thạc sĩ</v>
      </c>
      <c r="AF14" s="1" t="str">
        <f ca="1">IFERROR(__xludf.DUMMYFUNCTION("""COMPUTED_VALUE"""),"0702605664")</f>
        <v>0702605664</v>
      </c>
      <c r="AG14" s="1" t="str">
        <f ca="1">IFERROR(__xludf.DUMMYFUNCTION("""COMPUTED_VALUE"""),"huynhlthuylinh@dtu-hti.edu.vn")</f>
        <v>huynhlthuylinh@dtu-hti.edu.vn</v>
      </c>
      <c r="AH14" s="1" t="str">
        <f ca="1">IFERROR(__xludf.DUMMYFUNCTION("""COMPUTED_VALUE"""),"Báo cáo kết quả thực tập và thực trạng quy trình phục vụ buffet sáng tại nhà hàng Sa Sa thuộc Meliá Danang Beach Resort.")</f>
        <v>Báo cáo kết quả thực tập và thực trạng quy trình phục vụ buffet sáng tại nhà hàng Sa Sa thuộc Meliá Danang Beach Resort.</v>
      </c>
      <c r="AI14" s="1"/>
    </row>
    <row r="15" spans="1:35" x14ac:dyDescent="0.2">
      <c r="A15" s="3">
        <f ca="1">IFERROR(__xludf.DUMMYFUNCTION("""COMPUTED_VALUE"""),45993.4957994907)</f>
        <v>45993.495799490702</v>
      </c>
      <c r="B15" s="1" t="str">
        <f ca="1">IFERROR(__xludf.DUMMYFUNCTION("""COMPUTED_VALUE"""),"huynhthitai204@gmail.com")</f>
        <v>huynhthitai204@gmail.com</v>
      </c>
      <c r="C15" s="1">
        <f ca="1">IFERROR(__xludf.DUMMYFUNCTION("""COMPUTED_VALUE"""),28208001232)</f>
        <v>28208001232</v>
      </c>
      <c r="D15" s="1" t="str">
        <f ca="1">IFERROR(__xludf.DUMMYFUNCTION("""COMPUTED_VALUE"""),"Huỳnh Thị Tài ")</f>
        <v xml:space="preserve">Huỳnh Thị Tài </v>
      </c>
      <c r="E15" s="1"/>
      <c r="F15" s="1" t="str">
        <f ca="1">IFERROR(__xludf.DUMMYFUNCTION("""COMPUTED_VALUE"""),"K28 DLK5")</f>
        <v>K28 DLK5</v>
      </c>
      <c r="G15" s="1" t="str">
        <f ca="1">IFERROR(__xludf.DUMMYFUNCTION("""COMPUTED_VALUE"""),"Quản trị Du lịch &amp; Khách sạn")</f>
        <v>Quản trị Du lịch &amp; Khách sạn</v>
      </c>
      <c r="H15" s="1" t="str">
        <f ca="1">IFERROR(__xludf.DUMMYFUNCTION("""COMPUTED_VALUE"""),"K28")</f>
        <v>K28</v>
      </c>
      <c r="I15" s="1" t="str">
        <f ca="1">IFERROR(__xludf.DUMMYFUNCTION("""COMPUTED_VALUE"""),"0779495742")</f>
        <v>0779495742</v>
      </c>
      <c r="J15" s="1">
        <f ca="1">IFERROR(__xludf.DUMMYFUNCTION("""COMPUTED_VALUE"""),3.35)</f>
        <v>3.35</v>
      </c>
      <c r="K15" s="1">
        <f ca="1">IFERROR(__xludf.DUMMYFUNCTION("""COMPUTED_VALUE"""),111)</f>
        <v>111</v>
      </c>
      <c r="L15" s="1" t="str">
        <f ca="1">IFERROR(__xludf.DUMMYFUNCTION("""COMPUTED_VALUE"""),"Rồi")</f>
        <v>Rồi</v>
      </c>
      <c r="M15" s="1" t="str">
        <f ca="1">IFERROR(__xludf.DUMMYFUNCTION("""COMPUTED_VALUE"""),"Thực tập tốt nghiệp, Thi tốt nghiệp, Công nhận tốt nghiệp")</f>
        <v>Thực tập tốt nghiệp, Thi tốt nghiệp, Công nhận tốt nghiệp</v>
      </c>
      <c r="N15" s="1" t="str">
        <f ca="1">IFERROR(__xludf.DUMMYFUNCTION("""COMPUTED_VALUE"""),"Đang học 11 tín ")</f>
        <v xml:space="preserve">Đang học 11 tín </v>
      </c>
      <c r="O15" s="1" t="str">
        <f ca="1">IFERROR(__xludf.DUMMYFUNCTION("""COMPUTED_VALUE"""),"cam kết")</f>
        <v>cam kết</v>
      </c>
      <c r="P15" s="1"/>
      <c r="Q15" s="1"/>
      <c r="R15" s="1" t="str">
        <f ca="1">IFERROR(__xludf.DUMMYFUNCTION("""COMPUTED_VALUE"""),"18/12/2025")</f>
        <v>18/12/2025</v>
      </c>
      <c r="S15" s="1" t="str">
        <f ca="1">IFERROR(__xludf.DUMMYFUNCTION("""COMPUTED_VALUE"""),"thực tập TN, Thi TN")</f>
        <v>thực tập TN, Thi TN</v>
      </c>
      <c r="T15" s="1" t="str">
        <f ca="1">IFERROR(__xludf.DUMMYFUNCTION("""COMPUTED_VALUE"""),"Đã email cấp giấy giới thiệu ngày 18/12/2025")</f>
        <v>Đã email cấp giấy giới thiệu ngày 18/12/2025</v>
      </c>
      <c r="U15" s="1" t="str">
        <f ca="1">IFERROR(__xludf.DUMMYFUNCTION("""COMPUTED_VALUE"""),"Sv đã nộp đơn chuyển KL - CĐ")</f>
        <v>Sv đã nộp đơn chuyển KL - CĐ</v>
      </c>
      <c r="V15" s="1"/>
      <c r="W15" s="1" t="str">
        <f ca="1">IFERROR(__xludf.DUMMYFUNCTION("""COMPUTED_VALUE"""),"K28DLK5")</f>
        <v>K28DLK5</v>
      </c>
      <c r="X15" s="1"/>
      <c r="Y15" s="1" t="str">
        <f ca="1">IFERROR(__xludf.DUMMYFUNCTION("""COMPUTED_VALUE"""),"Hyatt Regency Danang Resort and Spa")</f>
        <v>Hyatt Regency Danang Resort and Spa</v>
      </c>
      <c r="Z15" s="1" t="str">
        <f ca="1">IFERROR(__xludf.DUMMYFUNCTION("""COMPUTED_VALUE"""),"Nhà hàng")</f>
        <v>Nhà hàng</v>
      </c>
      <c r="AA15" s="1" t="str">
        <f ca="1">IFERROR(__xludf.DUMMYFUNCTION("""COMPUTED_VALUE"""),"DUYỆT")</f>
        <v>DUYỆT</v>
      </c>
      <c r="AB15" s="4">
        <f ca="1">IFERROR(__xludf.DUMMYFUNCTION("""COMPUTED_VALUE"""),46296)</f>
        <v>46296</v>
      </c>
      <c r="AC15" s="1" t="str">
        <f ca="1">IFERROR(__xludf.DUMMYFUNCTION("""COMPUTED_VALUE"""),"BÁO CÁO THỰC TẬP TỐT NGHIỆP")</f>
        <v>BÁO CÁO THỰC TẬP TỐT NGHIỆP</v>
      </c>
      <c r="AD15" s="1" t="str">
        <f ca="1">IFERROR(__xludf.DUMMYFUNCTION("""COMPUTED_VALUE"""),"Dương Thị Xuân Diệu")</f>
        <v>Dương Thị Xuân Diệu</v>
      </c>
      <c r="AE15" s="1" t="str">
        <f ca="1">IFERROR(__xludf.DUMMYFUNCTION("""COMPUTED_VALUE"""),"Thạc sĩ")</f>
        <v>Thạc sĩ</v>
      </c>
      <c r="AF15" s="1" t="str">
        <f ca="1">IFERROR(__xludf.DUMMYFUNCTION("""COMPUTED_VALUE"""),"0905938748")</f>
        <v>0905938748</v>
      </c>
      <c r="AG15" s="1" t="str">
        <f ca="1">IFERROR(__xludf.DUMMYFUNCTION("""COMPUTED_VALUE"""),"duongtxuandieu@dtu-hti.edu.vn")</f>
        <v>duongtxuandieu@dtu-hti.edu.vn</v>
      </c>
      <c r="AH15" s="1" t="str">
        <f ca="1">IFERROR(__xludf.DUMMYFUNCTION("""COMPUTED_VALUE"""),"Báo cáo kết quả thực tập và thực trạng quy trình phục vụ Buffet sáng tại nhà hàng Osteria Al Mare thuộc Hyatt Regency Danang Resort and Spa")</f>
        <v>Báo cáo kết quả thực tập và thực trạng quy trình phục vụ Buffet sáng tại nhà hàng Osteria Al Mare thuộc Hyatt Regency Danang Resort and Spa</v>
      </c>
      <c r="AI15" s="1"/>
    </row>
    <row r="16" spans="1:35" x14ac:dyDescent="0.2">
      <c r="A16" s="3">
        <f ca="1">IFERROR(__xludf.DUMMYFUNCTION("""COMPUTED_VALUE"""),45993.5166942708)</f>
        <v>45993.516694270802</v>
      </c>
      <c r="B16" s="1" t="str">
        <f ca="1">IFERROR(__xludf.DUMMYFUNCTION("""COMPUTED_VALUE"""),"napham003@gmail.com")</f>
        <v>napham003@gmail.com</v>
      </c>
      <c r="C16" s="1">
        <f ca="1">IFERROR(__xludf.DUMMYFUNCTION("""COMPUTED_VALUE"""),28208004207)</f>
        <v>28208004207</v>
      </c>
      <c r="D16" s="1" t="str">
        <f ca="1">IFERROR(__xludf.DUMMYFUNCTION("""COMPUTED_VALUE"""),"Phạm Huyền Na")</f>
        <v>Phạm Huyền Na</v>
      </c>
      <c r="E16" s="1"/>
      <c r="F16" s="1" t="str">
        <f ca="1">IFERROR(__xludf.DUMMYFUNCTION("""COMPUTED_VALUE"""),"K28 DLK7")</f>
        <v>K28 DLK7</v>
      </c>
      <c r="G16" s="1" t="str">
        <f ca="1">IFERROR(__xludf.DUMMYFUNCTION("""COMPUTED_VALUE"""),"Quản trị Du lịch &amp; Khách sạn")</f>
        <v>Quản trị Du lịch &amp; Khách sạn</v>
      </c>
      <c r="H16" s="1" t="str">
        <f ca="1">IFERROR(__xludf.DUMMYFUNCTION("""COMPUTED_VALUE"""),"K28")</f>
        <v>K28</v>
      </c>
      <c r="I16" s="1" t="str">
        <f ca="1">IFERROR(__xludf.DUMMYFUNCTION("""COMPUTED_VALUE"""),"0947051315")</f>
        <v>0947051315</v>
      </c>
      <c r="J16" s="1">
        <f ca="1">IFERROR(__xludf.DUMMYFUNCTION("""COMPUTED_VALUE"""),3.74)</f>
        <v>3.74</v>
      </c>
      <c r="K16" s="1">
        <f ca="1">IFERROR(__xludf.DUMMYFUNCTION("""COMPUTED_VALUE"""),111)</f>
        <v>111</v>
      </c>
      <c r="L16" s="1" t="str">
        <f ca="1">IFERROR(__xludf.DUMMYFUNCTION("""COMPUTED_VALUE"""),"Rồi")</f>
        <v>Rồi</v>
      </c>
      <c r="M16" s="1" t="str">
        <f ca="1">IFERROR(__xludf.DUMMYFUNCTION("""COMPUTED_VALUE"""),"Thực tập tốt nghiệp, Thi tốt nghiệp, Công nhận tốt nghiệp")</f>
        <v>Thực tập tốt nghiệp, Thi tốt nghiệp, Công nhận tốt nghiệp</v>
      </c>
      <c r="N16" s="1" t="str">
        <f ca="1">IFERROR(__xludf.DUMMYFUNCTION("""COMPUTED_VALUE"""),"12 (đang học 11 tín)")</f>
        <v>12 (đang học 11 tín)</v>
      </c>
      <c r="O16" s="1" t="str">
        <f ca="1">IFERROR(__xludf.DUMMYFUNCTION("""COMPUTED_VALUE"""),"cam kết")</f>
        <v>cam kết</v>
      </c>
      <c r="P16" s="1"/>
      <c r="Q16" s="1"/>
      <c r="R16" s="1" t="str">
        <f ca="1">IFERROR(__xludf.DUMMYFUNCTION("""COMPUTED_VALUE"""),"18/12/2025")</f>
        <v>18/12/2025</v>
      </c>
      <c r="S16" s="1" t="str">
        <f ca="1">IFERROR(__xludf.DUMMYFUNCTION("""COMPUTED_VALUE"""),"thực tập TN, Thi TN")</f>
        <v>thực tập TN, Thi TN</v>
      </c>
      <c r="T16" s="1" t="str">
        <f ca="1">IFERROR(__xludf.DUMMYFUNCTION("""COMPUTED_VALUE"""),"Đã email cấp giấy giới thiệu ngày 18/12/2025")</f>
        <v>Đã email cấp giấy giới thiệu ngày 18/12/2025</v>
      </c>
      <c r="U16" s="1" t="str">
        <f ca="1">IFERROR(__xludf.DUMMYFUNCTION("""COMPUTED_VALUE"""),"Sv đã nộp đơn chuyển KL - CĐ")</f>
        <v>Sv đã nộp đơn chuyển KL - CĐ</v>
      </c>
      <c r="V16" s="1"/>
      <c r="W16" s="1" t="str">
        <f ca="1">IFERROR(__xludf.DUMMYFUNCTION("""COMPUTED_VALUE"""),"K28DLK7")</f>
        <v>K28DLK7</v>
      </c>
      <c r="X16" s="1"/>
      <c r="Y16" s="1" t="str">
        <f ca="1">IFERROR(__xludf.DUMMYFUNCTION("""COMPUTED_VALUE"""),"Meliá Vinpearl Danang Riverfront")</f>
        <v>Meliá Vinpearl Danang Riverfront</v>
      </c>
      <c r="Z16" s="1" t="str">
        <f ca="1">IFERROR(__xludf.DUMMYFUNCTION("""COMPUTED_VALUE"""),"Buồng phòng")</f>
        <v>Buồng phòng</v>
      </c>
      <c r="AA16" s="1" t="str">
        <f ca="1">IFERROR(__xludf.DUMMYFUNCTION("""COMPUTED_VALUE"""),"DUYỆT")</f>
        <v>DUYỆT</v>
      </c>
      <c r="AB16" s="4">
        <f ca="1">IFERROR(__xludf.DUMMYFUNCTION("""COMPUTED_VALUE"""),46296)</f>
        <v>46296</v>
      </c>
      <c r="AC16" s="1" t="str">
        <f ca="1">IFERROR(__xludf.DUMMYFUNCTION("""COMPUTED_VALUE"""),"BÁO CÁO THỰC TẬP TỐT NGHIỆP")</f>
        <v>BÁO CÁO THỰC TẬP TỐT NGHIỆP</v>
      </c>
      <c r="AD16" s="1" t="str">
        <f ca="1">IFERROR(__xludf.DUMMYFUNCTION("""COMPUTED_VALUE"""),"Phạm Thị Thu Thủy")</f>
        <v>Phạm Thị Thu Thủy</v>
      </c>
      <c r="AE16" s="1" t="str">
        <f ca="1">IFERROR(__xludf.DUMMYFUNCTION("""COMPUTED_VALUE"""),"Thạc sĩ")</f>
        <v>Thạc sĩ</v>
      </c>
      <c r="AF16" s="1" t="str">
        <f ca="1">IFERROR(__xludf.DUMMYFUNCTION("""COMPUTED_VALUE"""),"0938290678")</f>
        <v>0938290678</v>
      </c>
      <c r="AG16" s="1" t="str">
        <f ca="1">IFERROR(__xludf.DUMMYFUNCTION("""COMPUTED_VALUE"""),"phamtthuthuy2@dtu-hti.edu.vn")</f>
        <v>phamtthuthuy2@dtu-hti.edu.vn</v>
      </c>
      <c r="AH16" s="1" t="str">
        <f ca="1">IFERROR(__xludf.DUMMYFUNCTION("""COMPUTED_VALUE"""),"Báo cáo kết quả thực tập và thực trạng quy trình vệ sinh khu vực công cộng tại bộ phận buồng khách sạn Meliá Vinpearl Danang Riverfront")</f>
        <v>Báo cáo kết quả thực tập và thực trạng quy trình vệ sinh khu vực công cộng tại bộ phận buồng khách sạn Meliá Vinpearl Danang Riverfront</v>
      </c>
      <c r="AI16" s="1"/>
    </row>
    <row r="17" spans="1:35" x14ac:dyDescent="0.2">
      <c r="A17" s="3">
        <f ca="1">IFERROR(__xludf.DUMMYFUNCTION("""COMPUTED_VALUE"""),45993.4978126273)</f>
        <v>45993.497812627298</v>
      </c>
      <c r="B17" s="1" t="str">
        <f ca="1">IFERROR(__xludf.DUMMYFUNCTION("""COMPUTED_VALUE"""),"tp7493615@gmail.com")</f>
        <v>tp7493615@gmail.com</v>
      </c>
      <c r="C17" s="1">
        <f ca="1">IFERROR(__xludf.DUMMYFUNCTION("""COMPUTED_VALUE"""),28208000506)</f>
        <v>28208000506</v>
      </c>
      <c r="D17" s="1" t="str">
        <f ca="1">IFERROR(__xludf.DUMMYFUNCTION("""COMPUTED_VALUE"""),"Phạm Thị Ngọc Thao")</f>
        <v>Phạm Thị Ngọc Thao</v>
      </c>
      <c r="E17" s="1"/>
      <c r="F17" s="1" t="str">
        <f ca="1">IFERROR(__xludf.DUMMYFUNCTION("""COMPUTED_VALUE"""),"K28DLK4")</f>
        <v>K28DLK4</v>
      </c>
      <c r="G17" s="1" t="str">
        <f ca="1">IFERROR(__xludf.DUMMYFUNCTION("""COMPUTED_VALUE"""),"Quản trị Du lịch &amp; Khách sạn")</f>
        <v>Quản trị Du lịch &amp; Khách sạn</v>
      </c>
      <c r="H17" s="1" t="str">
        <f ca="1">IFERROR(__xludf.DUMMYFUNCTION("""COMPUTED_VALUE"""),"K28")</f>
        <v>K28</v>
      </c>
      <c r="I17" s="1" t="str">
        <f ca="1">IFERROR(__xludf.DUMMYFUNCTION("""COMPUTED_VALUE"""),"0835339003")</f>
        <v>0835339003</v>
      </c>
      <c r="J17" s="1">
        <f ca="1">IFERROR(__xludf.DUMMYFUNCTION("""COMPUTED_VALUE"""),2.43)</f>
        <v>2.4300000000000002</v>
      </c>
      <c r="K17" s="1">
        <f ca="1">IFERROR(__xludf.DUMMYFUNCTION("""COMPUTED_VALUE"""),109)</f>
        <v>109</v>
      </c>
      <c r="L17" s="1" t="str">
        <f ca="1">IFERROR(__xludf.DUMMYFUNCTION("""COMPUTED_VALUE"""),"Rồi")</f>
        <v>Rồi</v>
      </c>
      <c r="M17" s="1" t="str">
        <f ca="1">IFERROR(__xludf.DUMMYFUNCTION("""COMPUTED_VALUE"""),"Thực tập tốt nghiệp")</f>
        <v>Thực tập tốt nghiệp</v>
      </c>
      <c r="N17" s="1">
        <f ca="1">IFERROR(__xludf.DUMMYFUNCTION("""COMPUTED_VALUE"""),14)</f>
        <v>14</v>
      </c>
      <c r="O17" s="1" t="str">
        <f ca="1">IFERROR(__xludf.DUMMYFUNCTION("""COMPUTED_VALUE"""),"cam kết")</f>
        <v>cam kết</v>
      </c>
      <c r="P17" s="1"/>
      <c r="Q17" s="1"/>
      <c r="R17" s="1" t="str">
        <f ca="1">IFERROR(__xludf.DUMMYFUNCTION("""COMPUTED_VALUE"""),"18/12/2025")</f>
        <v>18/12/2025</v>
      </c>
      <c r="S17" s="1" t="str">
        <f ca="1">IFERROR(__xludf.DUMMYFUNCTION("""COMPUTED_VALUE"""),"thực tập TN, Thi TN")</f>
        <v>thực tập TN, Thi TN</v>
      </c>
      <c r="T17" s="1" t="str">
        <f ca="1">IFERROR(__xludf.DUMMYFUNCTION("""COMPUTED_VALUE"""),"Đã email cấp giấy giới thiệu ngày 18/12/2025")</f>
        <v>Đã email cấp giấy giới thiệu ngày 18/12/2025</v>
      </c>
      <c r="U17" s="1"/>
      <c r="V17" s="1"/>
      <c r="W17" s="1" t="str">
        <f ca="1">IFERROR(__xludf.DUMMYFUNCTION("""COMPUTED_VALUE"""),"K28DLK4")</f>
        <v>K28DLK4</v>
      </c>
      <c r="X17" s="1"/>
      <c r="Y17" s="1" t="str">
        <f ca="1">IFERROR(__xludf.DUMMYFUNCTION("""COMPUTED_VALUE"""),"Hyatt Regency Danang Resort and Spa")</f>
        <v>Hyatt Regency Danang Resort and Spa</v>
      </c>
      <c r="Z17" s="1" t="str">
        <f ca="1">IFERROR(__xludf.DUMMYFUNCTION("""COMPUTED_VALUE"""),"Buồng phòng")</f>
        <v>Buồng phòng</v>
      </c>
      <c r="AA17" s="1" t="str">
        <f ca="1">IFERROR(__xludf.DUMMYFUNCTION("""COMPUTED_VALUE"""),"DUYỆT")</f>
        <v>DUYỆT</v>
      </c>
      <c r="AB17" s="4">
        <f ca="1">IFERROR(__xludf.DUMMYFUNCTION("""COMPUTED_VALUE"""),46357)</f>
        <v>46357</v>
      </c>
      <c r="AC17" s="1" t="str">
        <f ca="1">IFERROR(__xludf.DUMMYFUNCTION("""COMPUTED_VALUE"""),"BÁO CÁO THỰC TẬP TỐT NGHIỆP")</f>
        <v>BÁO CÁO THỰC TẬP TỐT NGHIỆP</v>
      </c>
      <c r="AD17" s="1" t="str">
        <f ca="1">IFERROR(__xludf.DUMMYFUNCTION("""COMPUTED_VALUE"""),"Phạm Thị Thu Thủy")</f>
        <v>Phạm Thị Thu Thủy</v>
      </c>
      <c r="AE17" s="1" t="str">
        <f ca="1">IFERROR(__xludf.DUMMYFUNCTION("""COMPUTED_VALUE"""),"Thạc sĩ")</f>
        <v>Thạc sĩ</v>
      </c>
      <c r="AF17" s="1" t="str">
        <f ca="1">IFERROR(__xludf.DUMMYFUNCTION("""COMPUTED_VALUE"""),"0938290678")</f>
        <v>0938290678</v>
      </c>
      <c r="AG17" s="1" t="str">
        <f ca="1">IFERROR(__xludf.DUMMYFUNCTION("""COMPUTED_VALUE"""),"phamtthuthuy2@dtu-hti.edu.vn")</f>
        <v>phamtthuthuy2@dtu-hti.edu.vn</v>
      </c>
      <c r="AH17" s="1" t="str">
        <f ca="1">IFERROR(__xludf.DUMMYFUNCTION("""COMPUTED_VALUE""")," Báo cáo kết quả thực tập và Thực trạng quy trình chuẩn bị buồng đón khách VIP tại bộ phận buồng phòng Hyatt Regency Danang Resort and Spa.")</f>
        <v xml:space="preserve"> Báo cáo kết quả thực tập và Thực trạng quy trình chuẩn bị buồng đón khách VIP tại bộ phận buồng phòng Hyatt Regency Danang Resort and Spa.</v>
      </c>
      <c r="AI17" s="1"/>
    </row>
    <row r="18" spans="1:35" x14ac:dyDescent="0.2">
      <c r="A18" s="3">
        <f ca="1">IFERROR(__xludf.DUMMYFUNCTION("""COMPUTED_VALUE"""),46001.4936648148)</f>
        <v>46001.4936648148</v>
      </c>
      <c r="B18" s="1" t="str">
        <f ca="1">IFERROR(__xludf.DUMMYFUNCTION("""COMPUTED_VALUE"""),"danganhthu402@gmail.com")</f>
        <v>danganhthu402@gmail.com</v>
      </c>
      <c r="C18" s="1">
        <f ca="1">IFERROR(__xludf.DUMMYFUNCTION("""COMPUTED_VALUE"""),28208052843)</f>
        <v>28208052843</v>
      </c>
      <c r="D18" s="1" t="str">
        <f ca="1">IFERROR(__xludf.DUMMYFUNCTION("""COMPUTED_VALUE"""),"Đặng Thị Anh Thư")</f>
        <v>Đặng Thị Anh Thư</v>
      </c>
      <c r="E18" s="1"/>
      <c r="F18" s="1" t="str">
        <f ca="1">IFERROR(__xludf.DUMMYFUNCTION("""COMPUTED_VALUE"""),"K28DLK4")</f>
        <v>K28DLK4</v>
      </c>
      <c r="G18" s="1" t="str">
        <f ca="1">IFERROR(__xludf.DUMMYFUNCTION("""COMPUTED_VALUE"""),"Quản trị Du lịch &amp; Khách sạn")</f>
        <v>Quản trị Du lịch &amp; Khách sạn</v>
      </c>
      <c r="H18" s="1" t="str">
        <f ca="1">IFERROR(__xludf.DUMMYFUNCTION("""COMPUTED_VALUE"""),"K28")</f>
        <v>K28</v>
      </c>
      <c r="I18" s="1" t="str">
        <f ca="1">IFERROR(__xludf.DUMMYFUNCTION("""COMPUTED_VALUE"""),"0984086625")</f>
        <v>0984086625</v>
      </c>
      <c r="J18" s="1">
        <f ca="1">IFERROR(__xludf.DUMMYFUNCTION("""COMPUTED_VALUE"""),3.08)</f>
        <v>3.08</v>
      </c>
      <c r="K18" s="1">
        <f ca="1">IFERROR(__xludf.DUMMYFUNCTION("""COMPUTED_VALUE"""),108)</f>
        <v>108</v>
      </c>
      <c r="L18" s="1" t="str">
        <f ca="1">IFERROR(__xludf.DUMMYFUNCTION("""COMPUTED_VALUE"""),"Rồi")</f>
        <v>Rồi</v>
      </c>
      <c r="M18" s="1" t="str">
        <f ca="1">IFERROR(__xludf.DUMMYFUNCTION("""COMPUTED_VALUE"""),"Thực tập tốt nghiệp, Thi tốt nghiệp, Công nhận tốt nghiệp")</f>
        <v>Thực tập tốt nghiệp, Thi tốt nghiệp, Công nhận tốt nghiệp</v>
      </c>
      <c r="N18" s="1">
        <f ca="1">IFERROR(__xludf.DUMMYFUNCTION("""COMPUTED_VALUE"""),14)</f>
        <v>14</v>
      </c>
      <c r="O18" s="1" t="str">
        <f ca="1">IFERROR(__xludf.DUMMYFUNCTION("""COMPUTED_VALUE"""),"cam kết")</f>
        <v>cam kết</v>
      </c>
      <c r="P18" s="1"/>
      <c r="Q18" s="1"/>
      <c r="R18" s="1" t="str">
        <f ca="1">IFERROR(__xludf.DUMMYFUNCTION("""COMPUTED_VALUE"""),"18/12/2025")</f>
        <v>18/12/2025</v>
      </c>
      <c r="S18" s="1" t="str">
        <f ca="1">IFERROR(__xludf.DUMMYFUNCTION("""COMPUTED_VALUE"""),"thực tập TN, Thi TN")</f>
        <v>thực tập TN, Thi TN</v>
      </c>
      <c r="T18" s="1" t="str">
        <f ca="1">IFERROR(__xludf.DUMMYFUNCTION("""COMPUTED_VALUE"""),"Đã email cấp giấy giới thiệu ngày 18/12/2025")</f>
        <v>Đã email cấp giấy giới thiệu ngày 18/12/2025</v>
      </c>
      <c r="U18" s="1"/>
      <c r="V18" s="1"/>
      <c r="W18" s="1" t="str">
        <f ca="1">IFERROR(__xludf.DUMMYFUNCTION("""COMPUTED_VALUE"""),"K28DLK4")</f>
        <v>K28DLK4</v>
      </c>
      <c r="X18" s="1"/>
      <c r="Y18" s="1" t="str">
        <f ca="1">IFERROR(__xludf.DUMMYFUNCTION("""COMPUTED_VALUE"""),"Meliá Vinpearl Quang Binh")</f>
        <v>Meliá Vinpearl Quang Binh</v>
      </c>
      <c r="Z18" s="1" t="str">
        <f ca="1">IFERROR(__xludf.DUMMYFUNCTION("""COMPUTED_VALUE"""),"Nhà hàng")</f>
        <v>Nhà hàng</v>
      </c>
      <c r="AA18" s="1" t="str">
        <f ca="1">IFERROR(__xludf.DUMMYFUNCTION("""COMPUTED_VALUE"""),"DUYỆT")</f>
        <v>DUYỆT</v>
      </c>
      <c r="AB18" s="1" t="str">
        <f ca="1">IFERROR(__xludf.DUMMYFUNCTION("""COMPUTED_VALUE"""),"29/12/2025")</f>
        <v>29/12/2025</v>
      </c>
      <c r="AC18" s="1" t="str">
        <f ca="1">IFERROR(__xludf.DUMMYFUNCTION("""COMPUTED_VALUE"""),"BÁO CÁO THỰC TẬP TỐT NGHIỆP")</f>
        <v>BÁO CÁO THỰC TẬP TỐT NGHIỆP</v>
      </c>
      <c r="AD18" s="1" t="str">
        <f ca="1">IFERROR(__xludf.DUMMYFUNCTION("""COMPUTED_VALUE"""),"Huỳnh Lý Thùy Linh")</f>
        <v>Huỳnh Lý Thùy Linh</v>
      </c>
      <c r="AE18" s="1" t="str">
        <f ca="1">IFERROR(__xludf.DUMMYFUNCTION("""COMPUTED_VALUE"""),"Thạc sĩ")</f>
        <v>Thạc sĩ</v>
      </c>
      <c r="AF18" s="1" t="str">
        <f ca="1">IFERROR(__xludf.DUMMYFUNCTION("""COMPUTED_VALUE"""),"0702605664")</f>
        <v>0702605664</v>
      </c>
      <c r="AG18" s="1" t="str">
        <f ca="1">IFERROR(__xludf.DUMMYFUNCTION("""COMPUTED_VALUE"""),"huynhlthuylinh@dtu-hti.edu.vn")</f>
        <v>huynhlthuylinh@dtu-hti.edu.vn</v>
      </c>
      <c r="AH18" s="1" t="str">
        <f ca="1">IFERROR(__xludf.DUMMYFUNCTION("""COMPUTED_VALUE"""),"Báo cáo kết quả thực tập và thực trạng quy trình phục vụ Buffet sáng tại nhà hàng Rumba khách sạn Meliá Vinpearl Quang Binh")</f>
        <v>Báo cáo kết quả thực tập và thực trạng quy trình phục vụ Buffet sáng tại nhà hàng Rumba khách sạn Meliá Vinpearl Quang Binh</v>
      </c>
      <c r="AI18" s="1"/>
    </row>
    <row r="19" spans="1:35" x14ac:dyDescent="0.2">
      <c r="A19" s="3">
        <f ca="1">IFERROR(__xludf.DUMMYFUNCTION("""COMPUTED_VALUE"""),45993.5009061226)</f>
        <v>45993.500906122601</v>
      </c>
      <c r="B19" s="1" t="str">
        <f ca="1">IFERROR(__xludf.DUMMYFUNCTION("""COMPUTED_VALUE"""),"linh0905885691@gmail.com")</f>
        <v>linh0905885691@gmail.com</v>
      </c>
      <c r="C19" s="1">
        <f ca="1">IFERROR(__xludf.DUMMYFUNCTION("""COMPUTED_VALUE"""),28208029072)</f>
        <v>28208029072</v>
      </c>
      <c r="D19" s="1" t="str">
        <f ca="1">IFERROR(__xludf.DUMMYFUNCTION("""COMPUTED_VALUE"""),"Nguyễn Ngọc Thuỳ Linh")</f>
        <v>Nguyễn Ngọc Thuỳ Linh</v>
      </c>
      <c r="E19" s="1"/>
      <c r="F19" s="1" t="str">
        <f ca="1">IFERROR(__xludf.DUMMYFUNCTION("""COMPUTED_VALUE"""),"K28DLK1")</f>
        <v>K28DLK1</v>
      </c>
      <c r="G19" s="1" t="str">
        <f ca="1">IFERROR(__xludf.DUMMYFUNCTION("""COMPUTED_VALUE"""),"Quản trị Du lịch &amp; Khách sạn")</f>
        <v>Quản trị Du lịch &amp; Khách sạn</v>
      </c>
      <c r="H19" s="1" t="str">
        <f ca="1">IFERROR(__xludf.DUMMYFUNCTION("""COMPUTED_VALUE"""),"K28")</f>
        <v>K28</v>
      </c>
      <c r="I19" s="1" t="str">
        <f ca="1">IFERROR(__xludf.DUMMYFUNCTION("""COMPUTED_VALUE"""),"0905885691")</f>
        <v>0905885691</v>
      </c>
      <c r="J19" s="1">
        <f ca="1">IFERROR(__xludf.DUMMYFUNCTION("""COMPUTED_VALUE"""),2.67)</f>
        <v>2.67</v>
      </c>
      <c r="K19" s="1">
        <f ca="1">IFERROR(__xludf.DUMMYFUNCTION("""COMPUTED_VALUE"""),108)</f>
        <v>108</v>
      </c>
      <c r="L19" s="1" t="str">
        <f ca="1">IFERROR(__xludf.DUMMYFUNCTION("""COMPUTED_VALUE"""),"Rồi")</f>
        <v>Rồi</v>
      </c>
      <c r="M19" s="1" t="str">
        <f ca="1">IFERROR(__xludf.DUMMYFUNCTION("""COMPUTED_VALUE"""),"Thực tập tốt nghiệp, Thi tốt nghiệp, Công nhận tốt nghiệp")</f>
        <v>Thực tập tốt nghiệp, Thi tốt nghiệp, Công nhận tốt nghiệp</v>
      </c>
      <c r="N19" s="1">
        <f ca="1">IFERROR(__xludf.DUMMYFUNCTION("""COMPUTED_VALUE"""),15)</f>
        <v>15</v>
      </c>
      <c r="O19" s="1" t="str">
        <f ca="1">IFERROR(__xludf.DUMMYFUNCTION("""COMPUTED_VALUE"""),"cam kết")</f>
        <v>cam kết</v>
      </c>
      <c r="P19" s="1"/>
      <c r="Q19" s="1"/>
      <c r="R19" s="1" t="str">
        <f ca="1">IFERROR(__xludf.DUMMYFUNCTION("""COMPUTED_VALUE"""),"18/12/2025")</f>
        <v>18/12/2025</v>
      </c>
      <c r="S19" s="1" t="str">
        <f ca="1">IFERROR(__xludf.DUMMYFUNCTION("""COMPUTED_VALUE"""),"thực tập TN, Thi TN")</f>
        <v>thực tập TN, Thi TN</v>
      </c>
      <c r="T19" s="1" t="str">
        <f ca="1">IFERROR(__xludf.DUMMYFUNCTION("""COMPUTED_VALUE"""),"Đã email cấp giấy giới thiệu ngày 18/12/2025")</f>
        <v>Đã email cấp giấy giới thiệu ngày 18/12/2025</v>
      </c>
      <c r="U19" s="1"/>
      <c r="V19" s="1"/>
      <c r="W19" s="1" t="str">
        <f ca="1">IFERROR(__xludf.DUMMYFUNCTION("""COMPUTED_VALUE"""),"K28DLK1")</f>
        <v>K28DLK1</v>
      </c>
      <c r="X19" s="1"/>
      <c r="Y19" s="1" t="str">
        <f ca="1">IFERROR(__xludf.DUMMYFUNCTION("""COMPUTED_VALUE"""),"Novotel Danang Premier")</f>
        <v>Novotel Danang Premier</v>
      </c>
      <c r="Z19" s="1" t="str">
        <f ca="1">IFERROR(__xludf.DUMMYFUNCTION("""COMPUTED_VALUE"""),"Nhà hàng")</f>
        <v>Nhà hàng</v>
      </c>
      <c r="AA19" s="1" t="str">
        <f ca="1">IFERROR(__xludf.DUMMYFUNCTION("""COMPUTED_VALUE"""),"DUYỆT")</f>
        <v>DUYỆT</v>
      </c>
      <c r="AB19" s="4">
        <f ca="1">IFERROR(__xludf.DUMMYFUNCTION("""COMPUTED_VALUE"""),46235)</f>
        <v>46235</v>
      </c>
      <c r="AC19" s="1" t="str">
        <f ca="1">IFERROR(__xludf.DUMMYFUNCTION("""COMPUTED_VALUE"""),"BÁO CÁO THỰC TẬP TỐT NGHIỆP")</f>
        <v>BÁO CÁO THỰC TẬP TỐT NGHIỆP</v>
      </c>
      <c r="AD19" s="1" t="str">
        <f ca="1">IFERROR(__xludf.DUMMYFUNCTION("""COMPUTED_VALUE"""),"Huỳnh Lý Thùy Linh")</f>
        <v>Huỳnh Lý Thùy Linh</v>
      </c>
      <c r="AE19" s="1" t="str">
        <f ca="1">IFERROR(__xludf.DUMMYFUNCTION("""COMPUTED_VALUE"""),"Thạc sĩ")</f>
        <v>Thạc sĩ</v>
      </c>
      <c r="AF19" s="1" t="str">
        <f ca="1">IFERROR(__xludf.DUMMYFUNCTION("""COMPUTED_VALUE"""),"0702605664")</f>
        <v>0702605664</v>
      </c>
      <c r="AG19" s="1" t="str">
        <f ca="1">IFERROR(__xludf.DUMMYFUNCTION("""COMPUTED_VALUE"""),"huynhlthuylinh@dtu-hti.edu.vn")</f>
        <v>huynhlthuylinh@dtu-hti.edu.vn</v>
      </c>
      <c r="AH19" s="1" t="str">
        <f ca="1">IFERROR(__xludf.DUMMYFUNCTION("""COMPUTED_VALUE""")," Báo cáo kết quả thực tập và thực trạng quy trình phục vụ alacarte nhà hàng Gourmet Bar tại Novotel Danang Premeir Han River")</f>
        <v xml:space="preserve"> Báo cáo kết quả thực tập và thực trạng quy trình phục vụ alacarte nhà hàng Gourmet Bar tại Novotel Danang Premeir Han River</v>
      </c>
      <c r="AI19" s="1"/>
    </row>
    <row r="20" spans="1:35" x14ac:dyDescent="0.2">
      <c r="A20" s="3">
        <f ca="1">IFERROR(__xludf.DUMMYFUNCTION("""COMPUTED_VALUE"""),46036.3293255902)</f>
        <v>46036.329325590203</v>
      </c>
      <c r="B20" s="1" t="str">
        <f ca="1">IFERROR(__xludf.DUMMYFUNCTION("""COMPUTED_VALUE"""),"phanmylinh2407@gmail.com")</f>
        <v>phanmylinh2407@gmail.com</v>
      </c>
      <c r="C20" s="1">
        <f ca="1">IFERROR(__xludf.DUMMYFUNCTION("""COMPUTED_VALUE"""),28208020230)</f>
        <v>28208020230</v>
      </c>
      <c r="D20" s="1" t="str">
        <f ca="1">IFERROR(__xludf.DUMMYFUNCTION("""COMPUTED_VALUE"""),"Phan Thị Mỹ Linh")</f>
        <v>Phan Thị Mỹ Linh</v>
      </c>
      <c r="E20" s="1"/>
      <c r="F20" s="1" t="str">
        <f ca="1">IFERROR(__xludf.DUMMYFUNCTION("""COMPUTED_VALUE"""),"K28DLK2")</f>
        <v>K28DLK2</v>
      </c>
      <c r="G20" s="1" t="str">
        <f ca="1">IFERROR(__xludf.DUMMYFUNCTION("""COMPUTED_VALUE"""),"Quản trị Du lịch &amp; Khách sạn")</f>
        <v>Quản trị Du lịch &amp; Khách sạn</v>
      </c>
      <c r="H20" s="1" t="str">
        <f ca="1">IFERROR(__xludf.DUMMYFUNCTION("""COMPUTED_VALUE"""),"K28")</f>
        <v>K28</v>
      </c>
      <c r="I20" s="1" t="str">
        <f ca="1">IFERROR(__xludf.DUMMYFUNCTION("""COMPUTED_VALUE"""),"0916220521")</f>
        <v>0916220521</v>
      </c>
      <c r="J20" s="1">
        <f ca="1">IFERROR(__xludf.DUMMYFUNCTION("""COMPUTED_VALUE"""),3.46)</f>
        <v>3.46</v>
      </c>
      <c r="K20" s="1">
        <f ca="1">IFERROR(__xludf.DUMMYFUNCTION("""COMPUTED_VALUE"""),116)</f>
        <v>116</v>
      </c>
      <c r="L20" s="1" t="str">
        <f ca="1">IFERROR(__xludf.DUMMYFUNCTION("""COMPUTED_VALUE"""),"Rồi")</f>
        <v>Rồi</v>
      </c>
      <c r="M20" s="1" t="str">
        <f ca="1">IFERROR(__xludf.DUMMYFUNCTION("""COMPUTED_VALUE"""),"Thực tập tốt nghiệp, Thi tốt nghiệp, Công nhận tốt nghiệp")</f>
        <v>Thực tập tốt nghiệp, Thi tốt nghiệp, Công nhận tốt nghiệp</v>
      </c>
      <c r="N20" s="1">
        <f ca="1">IFERROR(__xludf.DUMMYFUNCTION("""COMPUTED_VALUE"""),7)</f>
        <v>7</v>
      </c>
      <c r="O20" s="1" t="str">
        <f ca="1">IFERROR(__xludf.DUMMYFUNCTION("""COMPUTED_VALUE"""),"cam kết")</f>
        <v>cam kết</v>
      </c>
      <c r="P20" s="1"/>
      <c r="Q20" s="1"/>
      <c r="R20" s="1" t="str">
        <f ca="1">IFERROR(__xludf.DUMMYFUNCTION("""COMPUTED_VALUE"""),"18/12/2025")</f>
        <v>18/12/2025</v>
      </c>
      <c r="S20" s="1" t="str">
        <f ca="1">IFERROR(__xludf.DUMMYFUNCTION("""COMPUTED_VALUE"""),"thực tập TN, Thi TN")</f>
        <v>thực tập TN, Thi TN</v>
      </c>
      <c r="T20" s="1" t="str">
        <f ca="1">IFERROR(__xludf.DUMMYFUNCTION("""COMPUTED_VALUE"""),"Đã email cấp giấy giới thiệu ngày 18/12/2025")</f>
        <v>Đã email cấp giấy giới thiệu ngày 18/12/2025</v>
      </c>
      <c r="U20" s="1" t="str">
        <f ca="1">IFERROR(__xludf.DUMMYFUNCTION("""COMPUTED_VALUE"""),"Sv đã nộp đơn chuyển KL - CĐ")</f>
        <v>Sv đã nộp đơn chuyển KL - CĐ</v>
      </c>
      <c r="V20" s="1"/>
      <c r="W20" s="1" t="str">
        <f ca="1">IFERROR(__xludf.DUMMYFUNCTION("""COMPUTED_VALUE"""),"K28DLK2")</f>
        <v>K28DLK2</v>
      </c>
      <c r="X20" s="1"/>
      <c r="Y20" s="1" t="str">
        <f ca="1">IFERROR(__xludf.DUMMYFUNCTION("""COMPUTED_VALUE"""),"Sheraton Saigon Grand Opera Hotel")</f>
        <v>Sheraton Saigon Grand Opera Hotel</v>
      </c>
      <c r="Z20" s="1" t="str">
        <f ca="1">IFERROR(__xludf.DUMMYFUNCTION("""COMPUTED_VALUE"""),"Buồng phòng")</f>
        <v>Buồng phòng</v>
      </c>
      <c r="AA20" s="1" t="str">
        <f ca="1">IFERROR(__xludf.DUMMYFUNCTION("""COMPUTED_VALUE"""),"DUYỆT")</f>
        <v>DUYỆT</v>
      </c>
      <c r="AB20" s="1" t="str">
        <f ca="1">IFERROR(__xludf.DUMMYFUNCTION("""COMPUTED_VALUE"""),"23/01/2026")</f>
        <v>23/01/2026</v>
      </c>
      <c r="AC20" s="1" t="str">
        <f ca="1">IFERROR(__xludf.DUMMYFUNCTION("""COMPUTED_VALUE"""),"BÁO CÁO THỰC TẬP TỐT NGHIỆP")</f>
        <v>BÁO CÁO THỰC TẬP TỐT NGHIỆP</v>
      </c>
      <c r="AD20" s="1" t="str">
        <f ca="1">IFERROR(__xludf.DUMMYFUNCTION("""COMPUTED_VALUE"""),"Hồ Minh Phúc")</f>
        <v>Hồ Minh Phúc</v>
      </c>
      <c r="AE20" s="1" t="str">
        <f ca="1">IFERROR(__xludf.DUMMYFUNCTION("""COMPUTED_VALUE"""),"Thạc sĩ")</f>
        <v>Thạc sĩ</v>
      </c>
      <c r="AF20" s="1" t="str">
        <f ca="1">IFERROR(__xludf.DUMMYFUNCTION("""COMPUTED_VALUE"""),"0935336716")</f>
        <v>0935336716</v>
      </c>
      <c r="AG20" s="1" t="str">
        <f ca="1">IFERROR(__xludf.DUMMYFUNCTION("""COMPUTED_VALUE"""),"hominhphuc@dtu-hti.edu.vn")</f>
        <v>hominhphuc@dtu-hti.edu.vn</v>
      </c>
      <c r="AH20" s="1" t="str">
        <f ca="1">IFERROR(__xludf.DUMMYFUNCTION("""COMPUTED_VALUE"""),"Báo cáo kết quả thực tập và thực trạng quy trình vệ sinh buồng khách tại bộ phận Buồng phòng của khách sạn Sheraton Saigon Grand Opera")</f>
        <v>Báo cáo kết quả thực tập và thực trạng quy trình vệ sinh buồng khách tại bộ phận Buồng phòng của khách sạn Sheraton Saigon Grand Opera</v>
      </c>
      <c r="AI20" s="1"/>
    </row>
    <row r="21" spans="1:35" x14ac:dyDescent="0.2">
      <c r="A21" s="3">
        <f ca="1">IFERROR(__xludf.DUMMYFUNCTION("""COMPUTED_VALUE"""),46032.0500809606)</f>
        <v>46032.050080960602</v>
      </c>
      <c r="B21" s="1" t="str">
        <f ca="1">IFERROR(__xludf.DUMMYFUNCTION("""COMPUTED_VALUE"""),"ngocnguyen30082003@gmail.com")</f>
        <v>ngocnguyen30082003@gmail.com</v>
      </c>
      <c r="C21" s="1">
        <f ca="1">IFERROR(__xludf.DUMMYFUNCTION("""COMPUTED_VALUE"""),28208004373)</f>
        <v>28208004373</v>
      </c>
      <c r="D21" s="1" t="str">
        <f ca="1">IFERROR(__xludf.DUMMYFUNCTION("""COMPUTED_VALUE"""),"Nguyễn Thị Bích Ngọc")</f>
        <v>Nguyễn Thị Bích Ngọc</v>
      </c>
      <c r="E21" s="1"/>
      <c r="F21" s="1" t="str">
        <f ca="1">IFERROR(__xludf.DUMMYFUNCTION("""COMPUTED_VALUE"""),"K28DLK1")</f>
        <v>K28DLK1</v>
      </c>
      <c r="G21" s="1" t="str">
        <f ca="1">IFERROR(__xludf.DUMMYFUNCTION("""COMPUTED_VALUE"""),"Quản trị Du lịch &amp; Khách sạn")</f>
        <v>Quản trị Du lịch &amp; Khách sạn</v>
      </c>
      <c r="H21" s="1" t="str">
        <f ca="1">IFERROR(__xludf.DUMMYFUNCTION("""COMPUTED_VALUE"""),"K28")</f>
        <v>K28</v>
      </c>
      <c r="I21" s="1" t="str">
        <f ca="1">IFERROR(__xludf.DUMMYFUNCTION("""COMPUTED_VALUE"""),"0934917508")</f>
        <v>0934917508</v>
      </c>
      <c r="J21" s="1">
        <f ca="1">IFERROR(__xludf.DUMMYFUNCTION("""COMPUTED_VALUE"""),3.07)</f>
        <v>3.07</v>
      </c>
      <c r="K21" s="1">
        <f ca="1">IFERROR(__xludf.DUMMYFUNCTION("""COMPUTED_VALUE"""),124)</f>
        <v>124</v>
      </c>
      <c r="L21" s="1" t="str">
        <f ca="1">IFERROR(__xludf.DUMMYFUNCTION("""COMPUTED_VALUE"""),"Rồi")</f>
        <v>Rồi</v>
      </c>
      <c r="M21" s="1" t="str">
        <f ca="1">IFERROR(__xludf.DUMMYFUNCTION("""COMPUTED_VALUE"""),"Thực tập tốt nghiệp, Thi tốt nghiệp, Công nhận tốt nghiệp")</f>
        <v>Thực tập tốt nghiệp, Thi tốt nghiệp, Công nhận tốt nghiệp</v>
      </c>
      <c r="N21" s="1">
        <f ca="1">IFERROR(__xludf.DUMMYFUNCTION("""COMPUTED_VALUE"""),0)</f>
        <v>0</v>
      </c>
      <c r="O21" s="1" t="str">
        <f ca="1">IFERROR(__xludf.DUMMYFUNCTION("""COMPUTED_VALUE"""),"cam kết")</f>
        <v>cam kết</v>
      </c>
      <c r="P21" s="1"/>
      <c r="Q21" s="1"/>
      <c r="R21" s="1" t="str">
        <f ca="1">IFERROR(__xludf.DUMMYFUNCTION("""COMPUTED_VALUE"""),"18/12/2025")</f>
        <v>18/12/2025</v>
      </c>
      <c r="S21" s="1" t="str">
        <f ca="1">IFERROR(__xludf.DUMMYFUNCTION("""COMPUTED_VALUE"""),"thực tập TN, Thi TN")</f>
        <v>thực tập TN, Thi TN</v>
      </c>
      <c r="T21" s="1" t="str">
        <f ca="1">IFERROR(__xludf.DUMMYFUNCTION("""COMPUTED_VALUE"""),"Đã email cấp giấy giới thiệu ngày 18/12/2025")</f>
        <v>Đã email cấp giấy giới thiệu ngày 18/12/2025</v>
      </c>
      <c r="U21" s="1"/>
      <c r="V21" s="1"/>
      <c r="W21" s="1" t="str">
        <f ca="1">IFERROR(__xludf.DUMMYFUNCTION("""COMPUTED_VALUE"""),"K28DLK1")</f>
        <v>K28DLK1</v>
      </c>
      <c r="X21" s="1"/>
      <c r="Y21" s="1" t="str">
        <f ca="1">IFERROR(__xludf.DUMMYFUNCTION("""COMPUTED_VALUE"""),"Danang Marriott Resort &amp; Spa")</f>
        <v>Danang Marriott Resort &amp; Spa</v>
      </c>
      <c r="Z21" s="1" t="str">
        <f ca="1">IFERROR(__xludf.DUMMYFUNCTION("""COMPUTED_VALUE"""),"Nhà hàng")</f>
        <v>Nhà hàng</v>
      </c>
      <c r="AA21" s="1" t="str">
        <f ca="1">IFERROR(__xludf.DUMMYFUNCTION("""COMPUTED_VALUE"""),"DUYỆT")</f>
        <v>DUYỆT</v>
      </c>
      <c r="AB21" s="1" t="str">
        <f ca="1">IFERROR(__xludf.DUMMYFUNCTION("""COMPUTED_VALUE"""),"16/01/2026")</f>
        <v>16/01/2026</v>
      </c>
      <c r="AC21" s="1" t="str">
        <f ca="1">IFERROR(__xludf.DUMMYFUNCTION("""COMPUTED_VALUE"""),"BÁO CÁO THỰC TẬP TỐT NGHIỆP")</f>
        <v>BÁO CÁO THỰC TẬP TỐT NGHIỆP</v>
      </c>
      <c r="AD21" s="1" t="str">
        <f ca="1">IFERROR(__xludf.DUMMYFUNCTION("""COMPUTED_VALUE"""),"Nguyễn Thị Minh Thư")</f>
        <v>Nguyễn Thị Minh Thư</v>
      </c>
      <c r="AE21" s="1" t="str">
        <f ca="1">IFERROR(__xludf.DUMMYFUNCTION("""COMPUTED_VALUE"""),"Thạc sĩ")</f>
        <v>Thạc sĩ</v>
      </c>
      <c r="AF21" s="1" t="str">
        <f ca="1">IFERROR(__xludf.DUMMYFUNCTION("""COMPUTED_VALUE"""),"0396.153.687")</f>
        <v>0396.153.687</v>
      </c>
      <c r="AG21" s="1" t="str">
        <f ca="1">IFERROR(__xludf.DUMMYFUNCTION("""COMPUTED_VALUE"""),"nguyentminhthu@dtu-hti.edu.vn")</f>
        <v>nguyentminhthu@dtu-hti.edu.vn</v>
      </c>
      <c r="AH21" s="1" t="str">
        <f ca="1">IFERROR(__xludf.DUMMYFUNCTION("""COMPUTED_VALUE"""),"Báo cái kết quả thực tập và thực trạng quy trình phục vụ buffet sáng tại nhà hàng Goji thuộc Danang Marriott Resort &amp; Spa")</f>
        <v>Báo cái kết quả thực tập và thực trạng quy trình phục vụ buffet sáng tại nhà hàng Goji thuộc Danang Marriott Resort &amp; Spa</v>
      </c>
      <c r="AI21" s="1"/>
    </row>
    <row r="22" spans="1:35" x14ac:dyDescent="0.2">
      <c r="A22" s="3">
        <f ca="1">IFERROR(__xludf.DUMMYFUNCTION("""COMPUTED_VALUE"""),46001.5462545023)</f>
        <v>46001.546254502297</v>
      </c>
      <c r="B22" s="1" t="str">
        <f ca="1">IFERROR(__xludf.DUMMYFUNCTION("""COMPUTED_VALUE"""),"huynhtuyetnu2003@gmail.com")</f>
        <v>huynhtuyetnu2003@gmail.com</v>
      </c>
      <c r="C22" s="1">
        <f ca="1">IFERROR(__xludf.DUMMYFUNCTION("""COMPUTED_VALUE"""),28208053568)</f>
        <v>28208053568</v>
      </c>
      <c r="D22" s="1" t="str">
        <f ca="1">IFERROR(__xludf.DUMMYFUNCTION("""COMPUTED_VALUE"""),"Huỳnh Tuyết Nữ")</f>
        <v>Huỳnh Tuyết Nữ</v>
      </c>
      <c r="E22" s="1"/>
      <c r="F22" s="1" t="str">
        <f ca="1">IFERROR(__xludf.DUMMYFUNCTION("""COMPUTED_VALUE"""),"K28DLK4")</f>
        <v>K28DLK4</v>
      </c>
      <c r="G22" s="1" t="str">
        <f ca="1">IFERROR(__xludf.DUMMYFUNCTION("""COMPUTED_VALUE"""),"Quản trị Du lịch &amp; Khách sạn")</f>
        <v>Quản trị Du lịch &amp; Khách sạn</v>
      </c>
      <c r="H22" s="1" t="str">
        <f ca="1">IFERROR(__xludf.DUMMYFUNCTION("""COMPUTED_VALUE"""),"K28")</f>
        <v>K28</v>
      </c>
      <c r="I22" s="1" t="str">
        <f ca="1">IFERROR(__xludf.DUMMYFUNCTION("""COMPUTED_VALUE"""),"0762363674")</f>
        <v>0762363674</v>
      </c>
      <c r="J22" s="1">
        <f ca="1">IFERROR(__xludf.DUMMYFUNCTION("""COMPUTED_VALUE"""),2.29)</f>
        <v>2.29</v>
      </c>
      <c r="K22" s="1">
        <f ca="1">IFERROR(__xludf.DUMMYFUNCTION("""COMPUTED_VALUE"""),115)</f>
        <v>115</v>
      </c>
      <c r="L22" s="1" t="str">
        <f ca="1">IFERROR(__xludf.DUMMYFUNCTION("""COMPUTED_VALUE"""),"Rồi")</f>
        <v>Rồi</v>
      </c>
      <c r="M22" s="1" t="str">
        <f ca="1">IFERROR(__xludf.DUMMYFUNCTION("""COMPUTED_VALUE"""),"Thực tập tốt nghiệp, Thi tốt nghiệp, Công nhận tốt nghiệp")</f>
        <v>Thực tập tốt nghiệp, Thi tốt nghiệp, Công nhận tốt nghiệp</v>
      </c>
      <c r="N22" s="1" t="str">
        <f ca="1">IFERROR(__xludf.DUMMYFUNCTION("""COMPUTED_VALUE"""),"11 tín ( đang học 9tín )")</f>
        <v>11 tín ( đang học 9tín )</v>
      </c>
      <c r="O22" s="1" t="str">
        <f ca="1">IFERROR(__xludf.DUMMYFUNCTION("""COMPUTED_VALUE"""),"cam kết")</f>
        <v>cam kết</v>
      </c>
      <c r="P22" s="1"/>
      <c r="Q22" s="1"/>
      <c r="R22" s="1" t="str">
        <f ca="1">IFERROR(__xludf.DUMMYFUNCTION("""COMPUTED_VALUE"""),"18/12/2025")</f>
        <v>18/12/2025</v>
      </c>
      <c r="S22" s="1" t="str">
        <f ca="1">IFERROR(__xludf.DUMMYFUNCTION("""COMPUTED_VALUE"""),"thực tập TN, Thi TN")</f>
        <v>thực tập TN, Thi TN</v>
      </c>
      <c r="T22" s="1" t="str">
        <f ca="1">IFERROR(__xludf.DUMMYFUNCTION("""COMPUTED_VALUE"""),"Đã email cấp giấy giới thiệu ngày 18/12/2025")</f>
        <v>Đã email cấp giấy giới thiệu ngày 18/12/2025</v>
      </c>
      <c r="U22" s="1"/>
      <c r="V22" s="1"/>
      <c r="W22" s="1" t="str">
        <f ca="1">IFERROR(__xludf.DUMMYFUNCTION("""COMPUTED_VALUE"""),"K28DLK4")</f>
        <v>K28DLK4</v>
      </c>
      <c r="X22" s="1"/>
      <c r="Y22" s="1" t="str">
        <f ca="1">IFERROR(__xludf.DUMMYFUNCTION("""COMPUTED_VALUE"""),"Grand Mercure Danang")</f>
        <v>Grand Mercure Danang</v>
      </c>
      <c r="Z22" s="1" t="str">
        <f ca="1">IFERROR(__xludf.DUMMYFUNCTION("""COMPUTED_VALUE"""),"Nhà hàng")</f>
        <v>Nhà hàng</v>
      </c>
      <c r="AA22" s="1" t="str">
        <f ca="1">IFERROR(__xludf.DUMMYFUNCTION("""COMPUTED_VALUE"""),"DUYỆT")</f>
        <v>DUYỆT</v>
      </c>
      <c r="AB22" s="1" t="str">
        <f ca="1">IFERROR(__xludf.DUMMYFUNCTION("""COMPUTED_VALUE"""),"17/01/2026")</f>
        <v>17/01/2026</v>
      </c>
      <c r="AC22" s="1" t="str">
        <f ca="1">IFERROR(__xludf.DUMMYFUNCTION("""COMPUTED_VALUE"""),"BÁO CÁO THỰC TẬP TỐT NGHIỆP")</f>
        <v>BÁO CÁO THỰC TẬP TỐT NGHIỆP</v>
      </c>
      <c r="AD22" s="1" t="str">
        <f ca="1">IFERROR(__xludf.DUMMYFUNCTION("""COMPUTED_VALUE"""),"Trần Hoàng Anh")</f>
        <v>Trần Hoàng Anh</v>
      </c>
      <c r="AE22" s="1" t="str">
        <f ca="1">IFERROR(__xludf.DUMMYFUNCTION("""COMPUTED_VALUE"""),"Thạc sĩ")</f>
        <v>Thạc sĩ</v>
      </c>
      <c r="AF22" s="1" t="str">
        <f ca="1">IFERROR(__xludf.DUMMYFUNCTION("""COMPUTED_VALUE"""),"0906 029 602")</f>
        <v>0906 029 602</v>
      </c>
      <c r="AG22" s="1" t="str">
        <f ca="1">IFERROR(__xludf.DUMMYFUNCTION("""COMPUTED_VALUE"""),"tranhoanganh@dtu-hti.edu.vn")</f>
        <v>tranhoanganh@dtu-hti.edu.vn</v>
      </c>
      <c r="AH22" s="1" t="str">
        <f ca="1">IFERROR(__xludf.DUMMYFUNCTION("""COMPUTED_VALUE"""),"Báo cáo kết quả thực tập và thực trạng quy trình phục vụ ALaCarte tại bộ phận nhà hàng Veranda Vietnamese tại khách sạn Grand Mercure Danang")</f>
        <v>Báo cáo kết quả thực tập và thực trạng quy trình phục vụ ALaCarte tại bộ phận nhà hàng Veranda Vietnamese tại khách sạn Grand Mercure Danang</v>
      </c>
      <c r="AI22" s="1"/>
    </row>
    <row r="23" spans="1:35" x14ac:dyDescent="0.2">
      <c r="A23" s="3">
        <f ca="1">IFERROR(__xludf.DUMMYFUNCTION("""COMPUTED_VALUE"""),45995.45450603)</f>
        <v>45995.454506030001</v>
      </c>
      <c r="B23" s="1" t="str">
        <f ca="1">IFERROR(__xludf.DUMMYFUNCTION("""COMPUTED_VALUE"""),"thanhlan2k4pc@gmail.com")</f>
        <v>thanhlan2k4pc@gmail.com</v>
      </c>
      <c r="C23" s="1">
        <f ca="1">IFERROR(__xludf.DUMMYFUNCTION("""COMPUTED_VALUE"""),28208004382)</f>
        <v>28208004382</v>
      </c>
      <c r="D23" s="1" t="str">
        <f ca="1">IFERROR(__xludf.DUMMYFUNCTION("""COMPUTED_VALUE"""),"Đỗ Ngọc Thanh Lan")</f>
        <v>Đỗ Ngọc Thanh Lan</v>
      </c>
      <c r="E23" s="1"/>
      <c r="F23" s="1" t="str">
        <f ca="1">IFERROR(__xludf.DUMMYFUNCTION("""COMPUTED_VALUE"""),"K28DLK2")</f>
        <v>K28DLK2</v>
      </c>
      <c r="G23" s="1" t="str">
        <f ca="1">IFERROR(__xludf.DUMMYFUNCTION("""COMPUTED_VALUE"""),"Quản trị Du lịch &amp; Khách sạn")</f>
        <v>Quản trị Du lịch &amp; Khách sạn</v>
      </c>
      <c r="H23" s="1" t="str">
        <f ca="1">IFERROR(__xludf.DUMMYFUNCTION("""COMPUTED_VALUE"""),"K28")</f>
        <v>K28</v>
      </c>
      <c r="I23" s="1" t="str">
        <f ca="1">IFERROR(__xludf.DUMMYFUNCTION("""COMPUTED_VALUE"""),"0969252839")</f>
        <v>0969252839</v>
      </c>
      <c r="J23" s="1">
        <f ca="1">IFERROR(__xludf.DUMMYFUNCTION("""COMPUTED_VALUE"""),3.76)</f>
        <v>3.76</v>
      </c>
      <c r="K23" s="1">
        <f ca="1">IFERROR(__xludf.DUMMYFUNCTION("""COMPUTED_VALUE"""),120)</f>
        <v>120</v>
      </c>
      <c r="L23" s="1" t="str">
        <f ca="1">IFERROR(__xludf.DUMMYFUNCTION("""COMPUTED_VALUE"""),"Rồi")</f>
        <v>Rồi</v>
      </c>
      <c r="M23" s="1" t="str">
        <f ca="1">IFERROR(__xludf.DUMMYFUNCTION("""COMPUTED_VALUE"""),"Thực tập tốt nghiệp, Thi tốt nghiệp, Công nhận tốt nghiệp")</f>
        <v>Thực tập tốt nghiệp, Thi tốt nghiệp, Công nhận tốt nghiệp</v>
      </c>
      <c r="N23" s="1">
        <f ca="1">IFERROR(__xludf.DUMMYFUNCTION("""COMPUTED_VALUE"""),3)</f>
        <v>3</v>
      </c>
      <c r="O23" s="1" t="str">
        <f ca="1">IFERROR(__xludf.DUMMYFUNCTION("""COMPUTED_VALUE"""),"cam kết")</f>
        <v>cam kết</v>
      </c>
      <c r="P23" s="1"/>
      <c r="Q23" s="1"/>
      <c r="R23" s="1" t="str">
        <f ca="1">IFERROR(__xludf.DUMMYFUNCTION("""COMPUTED_VALUE"""),"18/12/2025")</f>
        <v>18/12/2025</v>
      </c>
      <c r="S23" s="1" t="str">
        <f ca="1">IFERROR(__xludf.DUMMYFUNCTION("""COMPUTED_VALUE"""),"thực tập TN, Thi TN")</f>
        <v>thực tập TN, Thi TN</v>
      </c>
      <c r="T23" s="1" t="str">
        <f ca="1">IFERROR(__xludf.DUMMYFUNCTION("""COMPUTED_VALUE"""),"Đã email cấp giấy giới thiệu ngày 18/12/2025")</f>
        <v>Đã email cấp giấy giới thiệu ngày 18/12/2025</v>
      </c>
      <c r="U23" s="1"/>
      <c r="V23" s="1"/>
      <c r="W23" s="1" t="str">
        <f ca="1">IFERROR(__xludf.DUMMYFUNCTION("""COMPUTED_VALUE"""),"K28DLK2")</f>
        <v>K28DLK2</v>
      </c>
      <c r="X23" s="1"/>
      <c r="Y23" s="1" t="str">
        <f ca="1">IFERROR(__xludf.DUMMYFUNCTION("""COMPUTED_VALUE"""),"Danang Marriott Resort &amp; Spa, Non Nuoc Beach Villas")</f>
        <v>Danang Marriott Resort &amp; Spa, Non Nuoc Beach Villas</v>
      </c>
      <c r="Z23" s="1" t="str">
        <f ca="1">IFERROR(__xludf.DUMMYFUNCTION("""COMPUTED_VALUE"""),"Nhà hàng")</f>
        <v>Nhà hàng</v>
      </c>
      <c r="AA23" s="1" t="str">
        <f ca="1">IFERROR(__xludf.DUMMYFUNCTION("""COMPUTED_VALUE"""),"DUYỆT")</f>
        <v>DUYỆT</v>
      </c>
      <c r="AB23" s="1" t="str">
        <f ca="1">IFERROR(__xludf.DUMMYFUNCTION("""COMPUTED_VALUE"""),"22/01/2026")</f>
        <v>22/01/2026</v>
      </c>
      <c r="AC23" s="1" t="str">
        <f ca="1">IFERROR(__xludf.DUMMYFUNCTION("""COMPUTED_VALUE"""),"BÁO CÁO THỰC TẬP TỐT NGHIỆP")</f>
        <v>BÁO CÁO THỰC TẬP TỐT NGHIỆP</v>
      </c>
      <c r="AD23" s="1" t="str">
        <f ca="1">IFERROR(__xludf.DUMMYFUNCTION("""COMPUTED_VALUE"""),"Nguyễn Thị Minh Thư")</f>
        <v>Nguyễn Thị Minh Thư</v>
      </c>
      <c r="AE23" s="1" t="str">
        <f ca="1">IFERROR(__xludf.DUMMYFUNCTION("""COMPUTED_VALUE"""),"Thạc sĩ")</f>
        <v>Thạc sĩ</v>
      </c>
      <c r="AF23" s="1" t="str">
        <f ca="1">IFERROR(__xludf.DUMMYFUNCTION("""COMPUTED_VALUE"""),"0396.153.687")</f>
        <v>0396.153.687</v>
      </c>
      <c r="AG23" s="1" t="str">
        <f ca="1">IFERROR(__xludf.DUMMYFUNCTION("""COMPUTED_VALUE"""),"nguyentminhthu@dtu-hti.edu.vn")</f>
        <v>nguyentminhthu@dtu-hti.edu.vn</v>
      </c>
      <c r="AH23" s="1" t="str">
        <f ca="1">IFERROR(__xludf.DUMMYFUNCTION("""COMPUTED_VALUE"""),"Báo cáo kết quả thực tập và thực trạng về các yếu tố ảnh đến chất lượng phục vụ tại nhà hàng Man Ho thuộc Danang Marriott Resort &amp; Spa, Non Nuoc Beach Villas")</f>
        <v>Báo cáo kết quả thực tập và thực trạng về các yếu tố ảnh đến chất lượng phục vụ tại nhà hàng Man Ho thuộc Danang Marriott Resort &amp; Spa, Non Nuoc Beach Villas</v>
      </c>
      <c r="AI23" s="1"/>
    </row>
    <row r="24" spans="1:35" x14ac:dyDescent="0.2">
      <c r="A24" s="3">
        <f ca="1">IFERROR(__xludf.DUMMYFUNCTION("""COMPUTED_VALUE"""),45993.5260925926)</f>
        <v>45993.526092592598</v>
      </c>
      <c r="B24" s="1" t="str">
        <f ca="1">IFERROR(__xludf.DUMMYFUNCTION("""COMPUTED_VALUE"""),"minhvan180302@gmail.com")</f>
        <v>minhvan180302@gmail.com</v>
      </c>
      <c r="C24" s="1">
        <f ca="1">IFERROR(__xludf.DUMMYFUNCTION("""COMPUTED_VALUE"""),26207141604)</f>
        <v>26207141604</v>
      </c>
      <c r="D24" s="1" t="str">
        <f ca="1">IFERROR(__xludf.DUMMYFUNCTION("""COMPUTED_VALUE"""),"Phan Thị Minh Vân")</f>
        <v>Phan Thị Minh Vân</v>
      </c>
      <c r="E24" s="1"/>
      <c r="F24" s="1" t="str">
        <f ca="1">IFERROR(__xludf.DUMMYFUNCTION("""COMPUTED_VALUE"""),"K28PSUDLK")</f>
        <v>K28PSUDLK</v>
      </c>
      <c r="G24" s="1" t="str">
        <f ca="1">IFERROR(__xludf.DUMMYFUNCTION("""COMPUTED_VALUE"""),"Quản trị Du lịch &amp; Khách sạn chuẩn PSU")</f>
        <v>Quản trị Du lịch &amp; Khách sạn chuẩn PSU</v>
      </c>
      <c r="H24" s="1" t="str">
        <f ca="1">IFERROR(__xludf.DUMMYFUNCTION("""COMPUTED_VALUE"""),"K28")</f>
        <v>K28</v>
      </c>
      <c r="I24" s="1" t="str">
        <f ca="1">IFERROR(__xludf.DUMMYFUNCTION("""COMPUTED_VALUE"""),"0934877264")</f>
        <v>0934877264</v>
      </c>
      <c r="J24" s="1">
        <f ca="1">IFERROR(__xludf.DUMMYFUNCTION("""COMPUTED_VALUE"""),3.61)</f>
        <v>3.61</v>
      </c>
      <c r="K24" s="1">
        <f ca="1">IFERROR(__xludf.DUMMYFUNCTION("""COMPUTED_VALUE"""),163)</f>
        <v>163</v>
      </c>
      <c r="L24" s="1" t="str">
        <f ca="1">IFERROR(__xludf.DUMMYFUNCTION("""COMPUTED_VALUE"""),"Rồi")</f>
        <v>Rồi</v>
      </c>
      <c r="M24" s="1" t="str">
        <f ca="1">IFERROR(__xludf.DUMMYFUNCTION("""COMPUTED_VALUE"""),"Thi tốt nghiệp, Công nhận tốt nghiệp")</f>
        <v>Thi tốt nghiệp, Công nhận tốt nghiệp</v>
      </c>
      <c r="N24" s="1">
        <f ca="1">IFERROR(__xludf.DUMMYFUNCTION("""COMPUTED_VALUE"""),2)</f>
        <v>2</v>
      </c>
      <c r="O24" s="1" t="str">
        <f ca="1">IFERROR(__xludf.DUMMYFUNCTION("""COMPUTED_VALUE"""),"cam kết")</f>
        <v>cam kết</v>
      </c>
      <c r="P24" s="1"/>
      <c r="Q24" s="1"/>
      <c r="R24" s="1" t="str">
        <f ca="1">IFERROR(__xludf.DUMMYFUNCTION("""COMPUTED_VALUE"""),"18/12/2025")</f>
        <v>18/12/2025</v>
      </c>
      <c r="S24" s="1" t="str">
        <f ca="1">IFERROR(__xludf.DUMMYFUNCTION("""COMPUTED_VALUE"""),"thực tập TN, Thi TN")</f>
        <v>thực tập TN, Thi TN</v>
      </c>
      <c r="T24" s="1" t="str">
        <f ca="1">IFERROR(__xludf.DUMMYFUNCTION("""COMPUTED_VALUE"""),"Đã email cấp giấy giới thiệu ngày 18/12/2025")</f>
        <v>Đã email cấp giấy giới thiệu ngày 18/12/2025</v>
      </c>
      <c r="U24" s="1"/>
      <c r="V24" s="1"/>
      <c r="W24" s="1" t="str">
        <f ca="1">IFERROR(__xludf.DUMMYFUNCTION("""COMPUTED_VALUE"""),"K28PSU-DLK")</f>
        <v>K28PSU-DLK</v>
      </c>
      <c r="X24" s="1"/>
      <c r="Y24" s="1" t="str">
        <f ca="1">IFERROR(__xludf.DUMMYFUNCTION("""COMPUTED_VALUE"""),"Sheraton Hong Kong Tung Chung")</f>
        <v>Sheraton Hong Kong Tung Chung</v>
      </c>
      <c r="Z24" s="1" t="str">
        <f ca="1">IFERROR(__xludf.DUMMYFUNCTION("""COMPUTED_VALUE"""),"Tiền sảnh")</f>
        <v>Tiền sảnh</v>
      </c>
      <c r="AA24" s="1" t="str">
        <f ca="1">IFERROR(__xludf.DUMMYFUNCTION("""COMPUTED_VALUE"""),"DUYỆT")</f>
        <v>DUYỆT</v>
      </c>
      <c r="AB24" s="1" t="str">
        <f ca="1">IFERROR(__xludf.DUMMYFUNCTION("""COMPUTED_VALUE"""),"31/12/2025")</f>
        <v>31/12/2025</v>
      </c>
      <c r="AC24" s="1" t="str">
        <f ca="1">IFERROR(__xludf.DUMMYFUNCTION("""COMPUTED_VALUE"""),"BÁO CÁO THỰC TẬP TỐT NGHIỆP")</f>
        <v>BÁO CÁO THỰC TẬP TỐT NGHIỆP</v>
      </c>
      <c r="AD24" s="1" t="str">
        <f ca="1">IFERROR(__xludf.DUMMYFUNCTION("""COMPUTED_VALUE"""),"Võ Đức Hiếu")</f>
        <v>Võ Đức Hiếu</v>
      </c>
      <c r="AE24" s="1" t="str">
        <f ca="1">IFERROR(__xludf.DUMMYFUNCTION("""COMPUTED_VALUE"""),"Thạc sĩ")</f>
        <v>Thạc sĩ</v>
      </c>
      <c r="AF24" s="1" t="str">
        <f ca="1">IFERROR(__xludf.DUMMYFUNCTION("""COMPUTED_VALUE"""),"0905767997")</f>
        <v>0905767997</v>
      </c>
      <c r="AG24" s="1" t="str">
        <f ca="1">IFERROR(__xludf.DUMMYFUNCTION("""COMPUTED_VALUE"""),"voduchieu@dtu-hti.edu.vn")</f>
        <v>voduchieu@dtu-hti.edu.vn</v>
      </c>
      <c r="AH24" s="1" t="str">
        <f ca="1">IFERROR(__xludf.DUMMYFUNCTION("""COMPUTED_VALUE"""),"Báo cáo kết quả thực tập và thực trạng chất lượng đội ngũ lao động bộ phận Tiền sảnh tại khách sạn Sheraton Hong Kong Tung Chung.")</f>
        <v>Báo cáo kết quả thực tập và thực trạng chất lượng đội ngũ lao động bộ phận Tiền sảnh tại khách sạn Sheraton Hong Kong Tung Chung.</v>
      </c>
      <c r="AI24" s="1"/>
    </row>
    <row r="25" spans="1:35" x14ac:dyDescent="0.2">
      <c r="A25" s="3">
        <f ca="1">IFERROR(__xludf.DUMMYFUNCTION("""COMPUTED_VALUE"""),45993.540360162)</f>
        <v>45993.540360161998</v>
      </c>
      <c r="B25" s="1" t="str">
        <f ca="1">IFERROR(__xludf.DUMMYFUNCTION("""COMPUTED_VALUE"""),"lehadoan04@gmail.com")</f>
        <v>lehadoan04@gmail.com</v>
      </c>
      <c r="C25" s="1">
        <f ca="1">IFERROR(__xludf.DUMMYFUNCTION("""COMPUTED_VALUE"""),28208034626)</f>
        <v>28208034626</v>
      </c>
      <c r="D25" s="1" t="str">
        <f ca="1">IFERROR(__xludf.DUMMYFUNCTION("""COMPUTED_VALUE"""),"Lê Hà Khánh Đoan")</f>
        <v>Lê Hà Khánh Đoan</v>
      </c>
      <c r="E25" s="1"/>
      <c r="F25" s="1" t="str">
        <f ca="1">IFERROR(__xludf.DUMMYFUNCTION("""COMPUTED_VALUE"""),"K28DLK1")</f>
        <v>K28DLK1</v>
      </c>
      <c r="G25" s="1" t="str">
        <f ca="1">IFERROR(__xludf.DUMMYFUNCTION("""COMPUTED_VALUE"""),"Quản trị Du lịch &amp; Khách sạn")</f>
        <v>Quản trị Du lịch &amp; Khách sạn</v>
      </c>
      <c r="H25" s="1" t="str">
        <f ca="1">IFERROR(__xludf.DUMMYFUNCTION("""COMPUTED_VALUE"""),"K28")</f>
        <v>K28</v>
      </c>
      <c r="I25" s="1" t="str">
        <f ca="1">IFERROR(__xludf.DUMMYFUNCTION("""COMPUTED_VALUE"""),"0905618930")</f>
        <v>0905618930</v>
      </c>
      <c r="J25" s="1">
        <f ca="1">IFERROR(__xludf.DUMMYFUNCTION("""COMPUTED_VALUE"""),2.65)</f>
        <v>2.65</v>
      </c>
      <c r="K25" s="1">
        <f ca="1">IFERROR(__xludf.DUMMYFUNCTION("""COMPUTED_VALUE"""),111)</f>
        <v>111</v>
      </c>
      <c r="L25" s="1" t="str">
        <f ca="1">IFERROR(__xludf.DUMMYFUNCTION("""COMPUTED_VALUE"""),"Rồi")</f>
        <v>Rồi</v>
      </c>
      <c r="M25" s="1" t="str">
        <f ca="1">IFERROR(__xludf.DUMMYFUNCTION("""COMPUTED_VALUE"""),"Thực tập tốt nghiệp, Thi tốt nghiệp, Công nhận tốt nghiệp")</f>
        <v>Thực tập tốt nghiệp, Thi tốt nghiệp, Công nhận tốt nghiệp</v>
      </c>
      <c r="N25" s="1">
        <f ca="1">IFERROR(__xludf.DUMMYFUNCTION("""COMPUTED_VALUE"""),12)</f>
        <v>12</v>
      </c>
      <c r="O25" s="1" t="str">
        <f ca="1">IFERROR(__xludf.DUMMYFUNCTION("""COMPUTED_VALUE"""),"cam kết")</f>
        <v>cam kết</v>
      </c>
      <c r="P25" s="1"/>
      <c r="Q25" s="1"/>
      <c r="R25" s="1" t="str">
        <f ca="1">IFERROR(__xludf.DUMMYFUNCTION("""COMPUTED_VALUE"""),"18/12/2025")</f>
        <v>18/12/2025</v>
      </c>
      <c r="S25" s="1" t="str">
        <f ca="1">IFERROR(__xludf.DUMMYFUNCTION("""COMPUTED_VALUE"""),"thực tập TN, Thi TN")</f>
        <v>thực tập TN, Thi TN</v>
      </c>
      <c r="T25" s="1" t="str">
        <f ca="1">IFERROR(__xludf.DUMMYFUNCTION("""COMPUTED_VALUE"""),"Đã email cấp giấy giới thiệu ngày 18/12/2025")</f>
        <v>Đã email cấp giấy giới thiệu ngày 18/12/2025</v>
      </c>
      <c r="U25" s="1"/>
      <c r="V25" s="1"/>
      <c r="W25" s="1" t="str">
        <f ca="1">IFERROR(__xludf.DUMMYFUNCTION("""COMPUTED_VALUE"""),"K28DLK1")</f>
        <v>K28DLK1</v>
      </c>
      <c r="X25" s="1"/>
      <c r="Y25" s="1" t="str">
        <f ca="1">IFERROR(__xludf.DUMMYFUNCTION("""COMPUTED_VALUE"""),"Da Nang Mikazuki Japanese Resorts and Spa")</f>
        <v>Da Nang Mikazuki Japanese Resorts and Spa</v>
      </c>
      <c r="Z25" s="1" t="str">
        <f ca="1">IFERROR(__xludf.DUMMYFUNCTION("""COMPUTED_VALUE"""),"Nhà hàng")</f>
        <v>Nhà hàng</v>
      </c>
      <c r="AA25" s="1" t="str">
        <f ca="1">IFERROR(__xludf.DUMMYFUNCTION("""COMPUTED_VALUE"""),"DUYỆT")</f>
        <v>DUYỆT</v>
      </c>
      <c r="AB25" s="1" t="str">
        <f ca="1">IFERROR(__xludf.DUMMYFUNCTION("""COMPUTED_VALUE"""),"16/01/2026")</f>
        <v>16/01/2026</v>
      </c>
      <c r="AC25" s="1" t="str">
        <f ca="1">IFERROR(__xludf.DUMMYFUNCTION("""COMPUTED_VALUE"""),"BÁO CÁO THỰC TẬP TỐT NGHIỆP")</f>
        <v>BÁO CÁO THỰC TẬP TỐT NGHIỆP</v>
      </c>
      <c r="AD25" s="1" t="str">
        <f ca="1">IFERROR(__xludf.DUMMYFUNCTION("""COMPUTED_VALUE"""),"Nguyễn Thị Minh Thư")</f>
        <v>Nguyễn Thị Minh Thư</v>
      </c>
      <c r="AE25" s="1" t="str">
        <f ca="1">IFERROR(__xludf.DUMMYFUNCTION("""COMPUTED_VALUE"""),"Thạc sĩ")</f>
        <v>Thạc sĩ</v>
      </c>
      <c r="AF25" s="1" t="str">
        <f ca="1">IFERROR(__xludf.DUMMYFUNCTION("""COMPUTED_VALUE"""),"0396.153.687")</f>
        <v>0396.153.687</v>
      </c>
      <c r="AG25" s="1" t="str">
        <f ca="1">IFERROR(__xludf.DUMMYFUNCTION("""COMPUTED_VALUE"""),"nguyentminhthu@dtu-hti.edu.vn")</f>
        <v>nguyentminhthu@dtu-hti.edu.vn</v>
      </c>
      <c r="AH25" s="1" t="str">
        <f ca="1">IFERROR(__xludf.DUMMYFUNCTION("""COMPUTED_VALUE"""),"Báo cáo kết quả thực tập và thực trạng về chất lượng đội ngũ lao động tại nhà hàng The Blue thuộc Da Nang Mikazuki Japanese Resorts and Spa")</f>
        <v>Báo cáo kết quả thực tập và thực trạng về chất lượng đội ngũ lao động tại nhà hàng The Blue thuộc Da Nang Mikazuki Japanese Resorts and Spa</v>
      </c>
      <c r="AI25" s="1"/>
    </row>
    <row r="26" spans="1:35" x14ac:dyDescent="0.2">
      <c r="A26" s="3">
        <f ca="1">IFERROR(__xludf.DUMMYFUNCTION("""COMPUTED_VALUE"""),45993.5464398148)</f>
        <v>45993.546439814803</v>
      </c>
      <c r="B26" s="1" t="str">
        <f ca="1">IFERROR(__xludf.DUMMYFUNCTION("""COMPUTED_VALUE"""),"kyduyen08102003@gmail.com")</f>
        <v>kyduyen08102003@gmail.com</v>
      </c>
      <c r="C26" s="1">
        <f ca="1">IFERROR(__xludf.DUMMYFUNCTION("""COMPUTED_VALUE"""),28208002019)</f>
        <v>28208002019</v>
      </c>
      <c r="D26" s="1" t="str">
        <f ca="1">IFERROR(__xludf.DUMMYFUNCTION("""COMPUTED_VALUE"""),"Huỳnh Đặng Kỳ Duyên ")</f>
        <v xml:space="preserve">Huỳnh Đặng Kỳ Duyên </v>
      </c>
      <c r="E26" s="1"/>
      <c r="F26" s="1" t="str">
        <f ca="1">IFERROR(__xludf.DUMMYFUNCTION("""COMPUTED_VALUE"""),"K28DLK7")</f>
        <v>K28DLK7</v>
      </c>
      <c r="G26" s="1" t="str">
        <f ca="1">IFERROR(__xludf.DUMMYFUNCTION("""COMPUTED_VALUE"""),"Quản trị Du lịch &amp; Khách sạn")</f>
        <v>Quản trị Du lịch &amp; Khách sạn</v>
      </c>
      <c r="H26" s="1" t="str">
        <f ca="1">IFERROR(__xludf.DUMMYFUNCTION("""COMPUTED_VALUE"""),"K28")</f>
        <v>K28</v>
      </c>
      <c r="I26" s="1" t="str">
        <f ca="1">IFERROR(__xludf.DUMMYFUNCTION("""COMPUTED_VALUE"""),"0779813897")</f>
        <v>0779813897</v>
      </c>
      <c r="J26" s="1">
        <f ca="1">IFERROR(__xludf.DUMMYFUNCTION("""COMPUTED_VALUE"""),3.33)</f>
        <v>3.33</v>
      </c>
      <c r="K26" s="1">
        <f ca="1">IFERROR(__xludf.DUMMYFUNCTION("""COMPUTED_VALUE"""),111)</f>
        <v>111</v>
      </c>
      <c r="L26" s="1" t="str">
        <f ca="1">IFERROR(__xludf.DUMMYFUNCTION("""COMPUTED_VALUE"""),"Rồi")</f>
        <v>Rồi</v>
      </c>
      <c r="M26" s="1" t="str">
        <f ca="1">IFERROR(__xludf.DUMMYFUNCTION("""COMPUTED_VALUE"""),"Thực tập tốt nghiệp, Thi tốt nghiệp, Công nhận tốt nghiệp")</f>
        <v>Thực tập tốt nghiệp, Thi tốt nghiệp, Công nhận tốt nghiệp</v>
      </c>
      <c r="N26" s="1">
        <f ca="1">IFERROR(__xludf.DUMMYFUNCTION("""COMPUTED_VALUE"""),12)</f>
        <v>12</v>
      </c>
      <c r="O26" s="1" t="str">
        <f ca="1">IFERROR(__xludf.DUMMYFUNCTION("""COMPUTED_VALUE"""),"cam kết")</f>
        <v>cam kết</v>
      </c>
      <c r="P26" s="1"/>
      <c r="Q26" s="1"/>
      <c r="R26" s="1" t="str">
        <f ca="1">IFERROR(__xludf.DUMMYFUNCTION("""COMPUTED_VALUE"""),"18/12/2025")</f>
        <v>18/12/2025</v>
      </c>
      <c r="S26" s="1" t="str">
        <f ca="1">IFERROR(__xludf.DUMMYFUNCTION("""COMPUTED_VALUE"""),"thực tập TN, Thi TN")</f>
        <v>thực tập TN, Thi TN</v>
      </c>
      <c r="T26" s="1" t="str">
        <f ca="1">IFERROR(__xludf.DUMMYFUNCTION("""COMPUTED_VALUE"""),"Đã email cấp giấy giới thiệu ngày 18/12/2025")</f>
        <v>Đã email cấp giấy giới thiệu ngày 18/12/2025</v>
      </c>
      <c r="U26" s="1" t="str">
        <f ca="1">IFERROR(__xludf.DUMMYFUNCTION("""COMPUTED_VALUE"""),"Sv đã nộp đơn chuyển KL - CĐ")</f>
        <v>Sv đã nộp đơn chuyển KL - CĐ</v>
      </c>
      <c r="V26" s="1"/>
      <c r="W26" s="1" t="str">
        <f ca="1">IFERROR(__xludf.DUMMYFUNCTION("""COMPUTED_VALUE"""),"K28DLK7")</f>
        <v>K28DLK7</v>
      </c>
      <c r="X26" s="1"/>
      <c r="Y26" s="1" t="str">
        <f ca="1">IFERROR(__xludf.DUMMYFUNCTION("""COMPUTED_VALUE"""),"Meliá Vinpearl Danang Riverfront")</f>
        <v>Meliá Vinpearl Danang Riverfront</v>
      </c>
      <c r="Z26" s="1" t="str">
        <f ca="1">IFERROR(__xludf.DUMMYFUNCTION("""COMPUTED_VALUE"""),"Buồng phòng")</f>
        <v>Buồng phòng</v>
      </c>
      <c r="AA26" s="1" t="str">
        <f ca="1">IFERROR(__xludf.DUMMYFUNCTION("""COMPUTED_VALUE"""),"DUYỆT")</f>
        <v>DUYỆT</v>
      </c>
      <c r="AB26" s="4">
        <f ca="1">IFERROR(__xludf.DUMMYFUNCTION("""COMPUTED_VALUE"""),46296)</f>
        <v>46296</v>
      </c>
      <c r="AC26" s="1" t="str">
        <f ca="1">IFERROR(__xludf.DUMMYFUNCTION("""COMPUTED_VALUE"""),"BÁO CÁO THỰC TẬP TỐT NGHIỆP")</f>
        <v>BÁO CÁO THỰC TẬP TỐT NGHIỆP</v>
      </c>
      <c r="AD26" s="1" t="str">
        <f ca="1">IFERROR(__xludf.DUMMYFUNCTION("""COMPUTED_VALUE"""),"Phạm Thị Thu Thủy")</f>
        <v>Phạm Thị Thu Thủy</v>
      </c>
      <c r="AE26" s="1" t="str">
        <f ca="1">IFERROR(__xludf.DUMMYFUNCTION("""COMPUTED_VALUE"""),"Thạc sĩ")</f>
        <v>Thạc sĩ</v>
      </c>
      <c r="AF26" s="1" t="str">
        <f ca="1">IFERROR(__xludf.DUMMYFUNCTION("""COMPUTED_VALUE"""),"0938290678")</f>
        <v>0938290678</v>
      </c>
      <c r="AG26" s="1" t="str">
        <f ca="1">IFERROR(__xludf.DUMMYFUNCTION("""COMPUTED_VALUE"""),"phamtthuthuy2@dtu-hti.edu.vn")</f>
        <v>phamtthuthuy2@dtu-hti.edu.vn</v>
      </c>
      <c r="AH26" s="1" t="str">
        <f ca="1">IFERROR(__xludf.DUMMYFUNCTION("""COMPUTED_VALUE"""),"Báo cáo kết quả thực tập và thực trạng quy trình phục vụ buồng tại bộ phận buồng khách sạn Meliá Vinpearl Danang Riverfront")</f>
        <v>Báo cáo kết quả thực tập và thực trạng quy trình phục vụ buồng tại bộ phận buồng khách sạn Meliá Vinpearl Danang Riverfront</v>
      </c>
      <c r="AI26" s="1"/>
    </row>
    <row r="27" spans="1:35" x14ac:dyDescent="0.2">
      <c r="A27" s="3">
        <f ca="1">IFERROR(__xludf.DUMMYFUNCTION("""COMPUTED_VALUE"""),45994.6754929513)</f>
        <v>45994.675492951297</v>
      </c>
      <c r="B27" s="1" t="str">
        <f ca="1">IFERROR(__xludf.DUMMYFUNCTION("""COMPUTED_VALUE"""),"lequynhnhu190604@gmail.com")</f>
        <v>lequynhnhu190604@gmail.com</v>
      </c>
      <c r="C27" s="1">
        <f ca="1">IFERROR(__xludf.DUMMYFUNCTION("""COMPUTED_VALUE"""),28208254001)</f>
        <v>28208254001</v>
      </c>
      <c r="D27" s="1" t="str">
        <f ca="1">IFERROR(__xludf.DUMMYFUNCTION("""COMPUTED_VALUE"""),"Lê Thị Quỳnh Như ")</f>
        <v xml:space="preserve">Lê Thị Quỳnh Như </v>
      </c>
      <c r="E27" s="1"/>
      <c r="F27" s="1" t="str">
        <f ca="1">IFERROR(__xludf.DUMMYFUNCTION("""COMPUTED_VALUE"""),"DLK5")</f>
        <v>DLK5</v>
      </c>
      <c r="G27" s="1" t="str">
        <f ca="1">IFERROR(__xludf.DUMMYFUNCTION("""COMPUTED_VALUE"""),"Quản trị Du lịch &amp; Khách sạn")</f>
        <v>Quản trị Du lịch &amp; Khách sạn</v>
      </c>
      <c r="H27" s="1" t="str">
        <f ca="1">IFERROR(__xludf.DUMMYFUNCTION("""COMPUTED_VALUE"""),"K28")</f>
        <v>K28</v>
      </c>
      <c r="I27" s="1" t="str">
        <f ca="1">IFERROR(__xludf.DUMMYFUNCTION("""COMPUTED_VALUE"""),"039680600411")</f>
        <v>039680600411</v>
      </c>
      <c r="J27" s="1">
        <f ca="1">IFERROR(__xludf.DUMMYFUNCTION("""COMPUTED_VALUE"""),3.36)</f>
        <v>3.36</v>
      </c>
      <c r="K27" s="1">
        <f ca="1">IFERROR(__xludf.DUMMYFUNCTION("""COMPUTED_VALUE"""),112)</f>
        <v>112</v>
      </c>
      <c r="L27" s="1" t="str">
        <f ca="1">IFERROR(__xludf.DUMMYFUNCTION("""COMPUTED_VALUE"""),"Rồi")</f>
        <v>Rồi</v>
      </c>
      <c r="M27" s="1" t="str">
        <f ca="1">IFERROR(__xludf.DUMMYFUNCTION("""COMPUTED_VALUE"""),"Thực tập tốt nghiệp, Thi tốt nghiệp, Công nhận tốt nghiệp")</f>
        <v>Thực tập tốt nghiệp, Thi tốt nghiệp, Công nhận tốt nghiệp</v>
      </c>
      <c r="N27" s="1" t="str">
        <f ca="1">IFERROR(__xludf.DUMMYFUNCTION("""COMPUTED_VALUE"""),"12 đang học")</f>
        <v>12 đang học</v>
      </c>
      <c r="O27" s="1" t="str">
        <f ca="1">IFERROR(__xludf.DUMMYFUNCTION("""COMPUTED_VALUE"""),"cam kết")</f>
        <v>cam kết</v>
      </c>
      <c r="P27" s="1"/>
      <c r="Q27" s="1"/>
      <c r="R27" s="1" t="str">
        <f ca="1">IFERROR(__xludf.DUMMYFUNCTION("""COMPUTED_VALUE"""),"18/12/2025")</f>
        <v>18/12/2025</v>
      </c>
      <c r="S27" s="1" t="str">
        <f ca="1">IFERROR(__xludf.DUMMYFUNCTION("""COMPUTED_VALUE"""),"thực tập TN, Thi TN")</f>
        <v>thực tập TN, Thi TN</v>
      </c>
      <c r="T27" s="1" t="str">
        <f ca="1">IFERROR(__xludf.DUMMYFUNCTION("""COMPUTED_VALUE"""),"Đã email cấp giấy giới thiệu ngày 18/12/2025")</f>
        <v>Đã email cấp giấy giới thiệu ngày 18/12/2025</v>
      </c>
      <c r="U27" s="1" t="str">
        <f ca="1">IFERROR(__xludf.DUMMYFUNCTION("""COMPUTED_VALUE"""),"Sv đã nộp đơn chuyển KL - CĐ")</f>
        <v>Sv đã nộp đơn chuyển KL - CĐ</v>
      </c>
      <c r="V27" s="1"/>
      <c r="W27" s="1" t="str">
        <f ca="1">IFERROR(__xludf.DUMMYFUNCTION("""COMPUTED_VALUE"""),"K28DLK5")</f>
        <v>K28DLK5</v>
      </c>
      <c r="X27" s="1"/>
      <c r="Y27" s="1" t="str">
        <f ca="1">IFERROR(__xludf.DUMMYFUNCTION("""COMPUTED_VALUE"""),"Hilton Da Nang")</f>
        <v>Hilton Da Nang</v>
      </c>
      <c r="Z27" s="1" t="str">
        <f ca="1">IFERROR(__xludf.DUMMYFUNCTION("""COMPUTED_VALUE"""),"Nhà hàng")</f>
        <v>Nhà hàng</v>
      </c>
      <c r="AA27" s="1" t="str">
        <f ca="1">IFERROR(__xludf.DUMMYFUNCTION("""COMPUTED_VALUE"""),"DUYỆT")</f>
        <v>DUYỆT</v>
      </c>
      <c r="AB27" s="1" t="str">
        <f ca="1">IFERROR(__xludf.DUMMYFUNCTION("""COMPUTED_VALUE"""),"22/12/2025")</f>
        <v>22/12/2025</v>
      </c>
      <c r="AC27" s="1" t="str">
        <f ca="1">IFERROR(__xludf.DUMMYFUNCTION("""COMPUTED_VALUE"""),"BÁO CÁO THỰC TẬP TỐT NGHIỆP")</f>
        <v>BÁO CÁO THỰC TẬP TỐT NGHIỆP</v>
      </c>
      <c r="AD27" s="1" t="str">
        <f ca="1">IFERROR(__xludf.DUMMYFUNCTION("""COMPUTED_VALUE"""),"Trần Hoàng Anh")</f>
        <v>Trần Hoàng Anh</v>
      </c>
      <c r="AE27" s="1" t="str">
        <f ca="1">IFERROR(__xludf.DUMMYFUNCTION("""COMPUTED_VALUE"""),"Thạc sĩ")</f>
        <v>Thạc sĩ</v>
      </c>
      <c r="AF27" s="1" t="str">
        <f ca="1">IFERROR(__xludf.DUMMYFUNCTION("""COMPUTED_VALUE"""),"0906 029 602")</f>
        <v>0906 029 602</v>
      </c>
      <c r="AG27" s="1" t="str">
        <f ca="1">IFERROR(__xludf.DUMMYFUNCTION("""COMPUTED_VALUE"""),"tranhoanganh@dtu-hti.edu.vn")</f>
        <v>tranhoanganh@dtu-hti.edu.vn</v>
      </c>
      <c r="AH27" s="1" t="str">
        <f ca="1">IFERROR(__xludf.DUMMYFUNCTION("""COMPUTED_VALUE"""),"Báo cái kết quả thực tập và thực trạng quy trình phục vụ buffet sáng tại nhà hàng Brasserie Nam tại khách sạn Hilton Da Nang.")</f>
        <v>Báo cái kết quả thực tập và thực trạng quy trình phục vụ buffet sáng tại nhà hàng Brasserie Nam tại khách sạn Hilton Da Nang.</v>
      </c>
      <c r="AI27" s="1"/>
    </row>
    <row r="28" spans="1:35" x14ac:dyDescent="0.2">
      <c r="A28" s="3">
        <f ca="1">IFERROR(__xludf.DUMMYFUNCTION("""COMPUTED_VALUE"""),45993.5553744675)</f>
        <v>45993.555374467498</v>
      </c>
      <c r="B28" s="1" t="str">
        <f ca="1">IFERROR(__xludf.DUMMYFUNCTION("""COMPUTED_VALUE"""),"minhduc02dng@gmail.com")</f>
        <v>minhduc02dng@gmail.com</v>
      </c>
      <c r="C28" s="1">
        <f ca="1">IFERROR(__xludf.DUMMYFUNCTION("""COMPUTED_VALUE"""),26217131923)</f>
        <v>26217131923</v>
      </c>
      <c r="D28" s="1" t="str">
        <f ca="1">IFERROR(__xludf.DUMMYFUNCTION("""COMPUTED_VALUE"""),"Hồ Minh Đức")</f>
        <v>Hồ Minh Đức</v>
      </c>
      <c r="E28" s="1"/>
      <c r="F28" s="1" t="str">
        <f ca="1">IFERROR(__xludf.DUMMYFUNCTION("""COMPUTED_VALUE"""),"K27PSUDKL 2")</f>
        <v>K27PSUDKL 2</v>
      </c>
      <c r="G28" s="1" t="str">
        <f ca="1">IFERROR(__xludf.DUMMYFUNCTION("""COMPUTED_VALUE"""),"Quản trị Du lịch &amp; Khách sạn chuẩn PSU")</f>
        <v>Quản trị Du lịch &amp; Khách sạn chuẩn PSU</v>
      </c>
      <c r="H28" s="1" t="str">
        <f ca="1">IFERROR(__xludf.DUMMYFUNCTION("""COMPUTED_VALUE"""),"K27")</f>
        <v>K27</v>
      </c>
      <c r="I28" s="1" t="str">
        <f ca="1">IFERROR(__xludf.DUMMYFUNCTION("""COMPUTED_VALUE"""),"0327905155")</f>
        <v>0327905155</v>
      </c>
      <c r="J28" s="1">
        <f ca="1">IFERROR(__xludf.DUMMYFUNCTION("""COMPUTED_VALUE"""),2.09)</f>
        <v>2.09</v>
      </c>
      <c r="K28" s="1">
        <f ca="1">IFERROR(__xludf.DUMMYFUNCTION("""COMPUTED_VALUE"""),128)</f>
        <v>128</v>
      </c>
      <c r="L28" s="1" t="str">
        <f ca="1">IFERROR(__xludf.DUMMYFUNCTION("""COMPUTED_VALUE"""),"Rồi")</f>
        <v>Rồi</v>
      </c>
      <c r="M28" s="1" t="str">
        <f ca="1">IFERROR(__xludf.DUMMYFUNCTION("""COMPUTED_VALUE"""),"Thực tập tốt nghiệp, Thi tốt nghiệp, Công nhận tốt nghiệp")</f>
        <v>Thực tập tốt nghiệp, Thi tốt nghiệp, Công nhận tốt nghiệp</v>
      </c>
      <c r="N28" s="1">
        <f ca="1">IFERROR(__xludf.DUMMYFUNCTION("""COMPUTED_VALUE"""),0)</f>
        <v>0</v>
      </c>
      <c r="O28" s="1" t="str">
        <f ca="1">IFERROR(__xludf.DUMMYFUNCTION("""COMPUTED_VALUE"""),"cam kết")</f>
        <v>cam kết</v>
      </c>
      <c r="P28" s="1" t="str">
        <f ca="1">IFERROR(__xludf.DUMMYFUNCTION("""COMPUTED_VALUE"""),"ĐÃ NỘP")</f>
        <v>ĐÃ NỘP</v>
      </c>
      <c r="Q28" s="1">
        <f ca="1">IFERROR(__xludf.DUMMYFUNCTION("""COMPUTED_VALUE"""),1)</f>
        <v>1</v>
      </c>
      <c r="R28" s="1" t="str">
        <f ca="1">IFERROR(__xludf.DUMMYFUNCTION("""COMPUTED_VALUE"""),"18/12/2025")</f>
        <v>18/12/2025</v>
      </c>
      <c r="S28" s="1" t="str">
        <f ca="1">IFERROR(__xludf.DUMMYFUNCTION("""COMPUTED_VALUE"""),"thực tập TN, Thi TN")</f>
        <v>thực tập TN, Thi TN</v>
      </c>
      <c r="T28" s="1" t="str">
        <f ca="1">IFERROR(__xludf.DUMMYFUNCTION("""COMPUTED_VALUE"""),"đã email cấp giấy giới thiệu ngày 16/01/2026")</f>
        <v>đã email cấp giấy giới thiệu ngày 16/01/2026</v>
      </c>
      <c r="U28" s="1"/>
      <c r="V28" s="1"/>
      <c r="W28" s="1" t="str">
        <f ca="1">IFERROR(__xludf.DUMMYFUNCTION("""COMPUTED_VALUE"""),"K27PSU-DLK2")</f>
        <v>K27PSU-DLK2</v>
      </c>
      <c r="X28" s="1"/>
      <c r="Y28" s="1" t="str">
        <f ca="1">IFERROR(__xludf.DUMMYFUNCTION("""COMPUTED_VALUE"""),"Danang Marriott Resort &amp; Spa")</f>
        <v>Danang Marriott Resort &amp; Spa</v>
      </c>
      <c r="Z28" s="1" t="str">
        <f ca="1">IFERROR(__xludf.DUMMYFUNCTION("""COMPUTED_VALUE"""),"Nhà hàng, bộ phận khác")</f>
        <v>Nhà hàng, bộ phận khác</v>
      </c>
      <c r="AA28" s="1" t="str">
        <f ca="1">IFERROR(__xludf.DUMMYFUNCTION("""COMPUTED_VALUE"""),"DUYỆT")</f>
        <v>DUYỆT</v>
      </c>
      <c r="AB28" s="1" t="str">
        <f ca="1">IFERROR(__xludf.DUMMYFUNCTION("""COMPUTED_VALUE"""),"30/01/2026")</f>
        <v>30/01/2026</v>
      </c>
      <c r="AC28" s="1" t="str">
        <f ca="1">IFERROR(__xludf.DUMMYFUNCTION("""COMPUTED_VALUE"""),"BÁO CÁO THỰC TẬP TỐT NGHIỆP")</f>
        <v>BÁO CÁO THỰC TẬP TỐT NGHIỆP</v>
      </c>
      <c r="AD28" s="1" t="str">
        <f ca="1">IFERROR(__xludf.DUMMYFUNCTION("""COMPUTED_VALUE"""),"Mai Thị Thương")</f>
        <v>Mai Thị Thương</v>
      </c>
      <c r="AE28" s="1" t="str">
        <f ca="1">IFERROR(__xludf.DUMMYFUNCTION("""COMPUTED_VALUE"""),"Thạc sĩ")</f>
        <v>Thạc sĩ</v>
      </c>
      <c r="AF28" s="1" t="str">
        <f ca="1">IFERROR(__xludf.DUMMYFUNCTION("""COMPUTED_VALUE"""),"0905767050")</f>
        <v>0905767050</v>
      </c>
      <c r="AG28" s="1" t="str">
        <f ca="1">IFERROR(__xludf.DUMMYFUNCTION("""COMPUTED_VALUE"""),"maithithuong@dtu-hti.edu.vn")</f>
        <v>maithithuong@dtu-hti.edu.vn</v>
      </c>
      <c r="AH28" s="1" t="str">
        <f ca="1">IFERROR(__xludf.DUMMYFUNCTION("""COMPUTED_VALUE""")," Báo cáo kết quả thực tập và thực trạng về chất lượng đội ngũ lao động tại bộ phận nhà hàng thuộc Danang Marriott Resort &amp; Spa")</f>
        <v xml:space="preserve"> Báo cáo kết quả thực tập và thực trạng về chất lượng đội ngũ lao động tại bộ phận nhà hàng thuộc Danang Marriott Resort &amp; Spa</v>
      </c>
      <c r="AI28" s="1"/>
    </row>
    <row r="29" spans="1:35" x14ac:dyDescent="0.2">
      <c r="A29" s="3">
        <f ca="1">IFERROR(__xludf.DUMMYFUNCTION("""COMPUTED_VALUE"""),45996.9462588657)</f>
        <v>45996.946258865697</v>
      </c>
      <c r="B29" s="1" t="str">
        <f ca="1">IFERROR(__xludf.DUMMYFUNCTION("""COMPUTED_VALUE"""),"vtbichnga522004@gmail.com")</f>
        <v>vtbichnga522004@gmail.com</v>
      </c>
      <c r="C29" s="1">
        <f ca="1">IFERROR(__xludf.DUMMYFUNCTION("""COMPUTED_VALUE"""),28208020589)</f>
        <v>28208020589</v>
      </c>
      <c r="D29" s="1" t="str">
        <f ca="1">IFERROR(__xludf.DUMMYFUNCTION("""COMPUTED_VALUE"""),"Võ Thị Bích Nga")</f>
        <v>Võ Thị Bích Nga</v>
      </c>
      <c r="E29" s="1"/>
      <c r="F29" s="1" t="str">
        <f ca="1">IFERROR(__xludf.DUMMYFUNCTION("""COMPUTED_VALUE"""),"K28DLK3")</f>
        <v>K28DLK3</v>
      </c>
      <c r="G29" s="1" t="str">
        <f ca="1">IFERROR(__xludf.DUMMYFUNCTION("""COMPUTED_VALUE"""),"Quản trị Du lịch &amp; Khách sạn")</f>
        <v>Quản trị Du lịch &amp; Khách sạn</v>
      </c>
      <c r="H29" s="1" t="str">
        <f ca="1">IFERROR(__xludf.DUMMYFUNCTION("""COMPUTED_VALUE"""),"K28")</f>
        <v>K28</v>
      </c>
      <c r="I29" s="1" t="str">
        <f ca="1">IFERROR(__xludf.DUMMYFUNCTION("""COMPUTED_VALUE"""),"0395262177")</f>
        <v>0395262177</v>
      </c>
      <c r="J29" s="1">
        <f ca="1">IFERROR(__xludf.DUMMYFUNCTION("""COMPUTED_VALUE"""),3.38)</f>
        <v>3.38</v>
      </c>
      <c r="K29" s="1">
        <f ca="1">IFERROR(__xludf.DUMMYFUNCTION("""COMPUTED_VALUE"""),114)</f>
        <v>114</v>
      </c>
      <c r="L29" s="1" t="str">
        <f ca="1">IFERROR(__xludf.DUMMYFUNCTION("""COMPUTED_VALUE"""),"Rồi")</f>
        <v>Rồi</v>
      </c>
      <c r="M29" s="1" t="str">
        <f ca="1">IFERROR(__xludf.DUMMYFUNCTION("""COMPUTED_VALUE"""),"Thực tập tốt nghiệp, Thi tốt nghiệp, Công nhận tốt nghiệp")</f>
        <v>Thực tập tốt nghiệp, Thi tốt nghiệp, Công nhận tốt nghiệp</v>
      </c>
      <c r="N29" s="1" t="str">
        <f ca="1">IFERROR(__xludf.DUMMYFUNCTION("""COMPUTED_VALUE"""),"9 tín chỉ")</f>
        <v>9 tín chỉ</v>
      </c>
      <c r="O29" s="1" t="str">
        <f ca="1">IFERROR(__xludf.DUMMYFUNCTION("""COMPUTED_VALUE"""),"cam kết")</f>
        <v>cam kết</v>
      </c>
      <c r="P29" s="1"/>
      <c r="Q29" s="1"/>
      <c r="R29" s="1" t="str">
        <f ca="1">IFERROR(__xludf.DUMMYFUNCTION("""COMPUTED_VALUE"""),"18/12/2025")</f>
        <v>18/12/2025</v>
      </c>
      <c r="S29" s="1" t="str">
        <f ca="1">IFERROR(__xludf.DUMMYFUNCTION("""COMPUTED_VALUE"""),"thực tập TN, Thi TN")</f>
        <v>thực tập TN, Thi TN</v>
      </c>
      <c r="T29" s="1" t="str">
        <f ca="1">IFERROR(__xludf.DUMMYFUNCTION("""COMPUTED_VALUE"""),"Đã email cấp giấy giới thiệu ngày 18/12/2025")</f>
        <v>Đã email cấp giấy giới thiệu ngày 18/12/2025</v>
      </c>
      <c r="U29" s="1"/>
      <c r="V29" s="1"/>
      <c r="W29" s="1" t="str">
        <f ca="1">IFERROR(__xludf.DUMMYFUNCTION("""COMPUTED_VALUE"""),"K28DLK3")</f>
        <v>K28DLK3</v>
      </c>
      <c r="X29" s="1"/>
      <c r="Y29" s="1" t="str">
        <f ca="1">IFERROR(__xludf.DUMMYFUNCTION("""COMPUTED_VALUE"""),"Da Nang Mikazuki Japanese Resorts and Spa")</f>
        <v>Da Nang Mikazuki Japanese Resorts and Spa</v>
      </c>
      <c r="Z29" s="1" t="str">
        <f ca="1">IFERROR(__xludf.DUMMYFUNCTION("""COMPUTED_VALUE"""),"Nhà hàng")</f>
        <v>Nhà hàng</v>
      </c>
      <c r="AA29" s="1" t="str">
        <f ca="1">IFERROR(__xludf.DUMMYFUNCTION("""COMPUTED_VALUE"""),"DUYỆT")</f>
        <v>DUYỆT</v>
      </c>
      <c r="AB29" s="1" t="str">
        <f ca="1">IFERROR(__xludf.DUMMYFUNCTION("""COMPUTED_VALUE"""),"16/01/2026")</f>
        <v>16/01/2026</v>
      </c>
      <c r="AC29" s="1" t="str">
        <f ca="1">IFERROR(__xludf.DUMMYFUNCTION("""COMPUTED_VALUE"""),"BÁO CÁO THỰC TẬP TỐT NGHIỆP")</f>
        <v>BÁO CÁO THỰC TẬP TỐT NGHIỆP</v>
      </c>
      <c r="AD29" s="1" t="str">
        <f ca="1">IFERROR(__xludf.DUMMYFUNCTION("""COMPUTED_VALUE"""),"Nguyễn Thị Minh Thư")</f>
        <v>Nguyễn Thị Minh Thư</v>
      </c>
      <c r="AE29" s="1" t="str">
        <f ca="1">IFERROR(__xludf.DUMMYFUNCTION("""COMPUTED_VALUE"""),"Thạc sĩ")</f>
        <v>Thạc sĩ</v>
      </c>
      <c r="AF29" s="1" t="str">
        <f ca="1">IFERROR(__xludf.DUMMYFUNCTION("""COMPUTED_VALUE"""),"0396.153.687")</f>
        <v>0396.153.687</v>
      </c>
      <c r="AG29" s="1" t="str">
        <f ca="1">IFERROR(__xludf.DUMMYFUNCTION("""COMPUTED_VALUE"""),"nguyentminhthu@dtu-hti.edu.vn")</f>
        <v>nguyentminhthu@dtu-hti.edu.vn</v>
      </c>
      <c r="AH29" s="1" t="str">
        <f ca="1">IFERROR(__xludf.DUMMYFUNCTION("""COMPUTED_VALUE"""),"Báo cáo kết quả thực tập và thực trạng quy trình phục vụ A La Carte tại nhà hàng The Blue thuộc Da Nang Mikazuki Japanese Resorts &amp; Spa.")</f>
        <v>Báo cáo kết quả thực tập và thực trạng quy trình phục vụ A La Carte tại nhà hàng The Blue thuộc Da Nang Mikazuki Japanese Resorts &amp; Spa.</v>
      </c>
      <c r="AI29" s="1"/>
    </row>
    <row r="30" spans="1:35" x14ac:dyDescent="0.2">
      <c r="A30" s="3">
        <f ca="1">IFERROR(__xludf.DUMMYFUNCTION("""COMPUTED_VALUE"""),46038.3300783101)</f>
        <v>46038.3300783101</v>
      </c>
      <c r="B30" s="1" t="str">
        <f ca="1">IFERROR(__xludf.DUMMYFUNCTION("""COMPUTED_VALUE"""),"tphuong4800@gmail.com")</f>
        <v>tphuong4800@gmail.com</v>
      </c>
      <c r="C30" s="1">
        <f ca="1">IFERROR(__xludf.DUMMYFUNCTION("""COMPUTED_VALUE"""),27207140233)</f>
        <v>27207140233</v>
      </c>
      <c r="D30" s="1" t="str">
        <f ca="1">IFERROR(__xludf.DUMMYFUNCTION("""COMPUTED_VALUE"""),"Nguyễn Thảo Phương")</f>
        <v>Nguyễn Thảo Phương</v>
      </c>
      <c r="E30" s="1"/>
      <c r="F30" s="1" t="str">
        <f ca="1">IFERROR(__xludf.DUMMYFUNCTION("""COMPUTED_VALUE"""),"K27DLK7")</f>
        <v>K27DLK7</v>
      </c>
      <c r="G30" s="1" t="str">
        <f ca="1">IFERROR(__xludf.DUMMYFUNCTION("""COMPUTED_VALUE"""),"Quản trị Du lịch &amp; Khách sạn")</f>
        <v>Quản trị Du lịch &amp; Khách sạn</v>
      </c>
      <c r="H30" s="1" t="str">
        <f ca="1">IFERROR(__xludf.DUMMYFUNCTION("""COMPUTED_VALUE"""),"K27")</f>
        <v>K27</v>
      </c>
      <c r="I30" s="1" t="str">
        <f ca="1">IFERROR(__xludf.DUMMYFUNCTION("""COMPUTED_VALUE"""),"0845100090")</f>
        <v>0845100090</v>
      </c>
      <c r="J30" s="1">
        <f ca="1">IFERROR(__xludf.DUMMYFUNCTION("""COMPUTED_VALUE"""),2.3)</f>
        <v>2.2999999999999998</v>
      </c>
      <c r="K30" s="1">
        <f ca="1">IFERROR(__xludf.DUMMYFUNCTION("""COMPUTED_VALUE"""),124)</f>
        <v>124</v>
      </c>
      <c r="L30" s="1" t="str">
        <f ca="1">IFERROR(__xludf.DUMMYFUNCTION("""COMPUTED_VALUE"""),"Rồi")</f>
        <v>Rồi</v>
      </c>
      <c r="M30" s="1" t="str">
        <f ca="1">IFERROR(__xludf.DUMMYFUNCTION("""COMPUTED_VALUE"""),"Thực tập tốt nghiệp, Thi tốt nghiệp, Công nhận tốt nghiệp")</f>
        <v>Thực tập tốt nghiệp, Thi tốt nghiệp, Công nhận tốt nghiệp</v>
      </c>
      <c r="N30" s="1">
        <f ca="1">IFERROR(__xludf.DUMMYFUNCTION("""COMPUTED_VALUE"""),2)</f>
        <v>2</v>
      </c>
      <c r="O30" s="1" t="str">
        <f ca="1">IFERROR(__xludf.DUMMYFUNCTION("""COMPUTED_VALUE"""),"cam kết")</f>
        <v>cam kết</v>
      </c>
      <c r="P30" s="1" t="str">
        <f ca="1">IFERROR(__xludf.DUMMYFUNCTION("""COMPUTED_VALUE"""),"ĐÃ NỘP")</f>
        <v>ĐÃ NỘP</v>
      </c>
      <c r="Q30" s="1">
        <f ca="1">IFERROR(__xludf.DUMMYFUNCTION("""COMPUTED_VALUE"""),2)</f>
        <v>2</v>
      </c>
      <c r="R30" s="1" t="str">
        <f ca="1">IFERROR(__xludf.DUMMYFUNCTION("""COMPUTED_VALUE"""),"18/12/2025")</f>
        <v>18/12/2025</v>
      </c>
      <c r="S30" s="1" t="str">
        <f ca="1">IFERROR(__xludf.DUMMYFUNCTION("""COMPUTED_VALUE"""),"thực tập TN, Thi TN")</f>
        <v>thực tập TN, Thi TN</v>
      </c>
      <c r="T30" s="1" t="str">
        <f ca="1">IFERROR(__xludf.DUMMYFUNCTION("""COMPUTED_VALUE"""),"đã email cấp giấy giới thiệu ngày 16/01/2026")</f>
        <v>đã email cấp giấy giới thiệu ngày 16/01/2026</v>
      </c>
      <c r="U30" s="1"/>
      <c r="V30" s="1"/>
      <c r="W30" s="1" t="str">
        <f ca="1">IFERROR(__xludf.DUMMYFUNCTION("""COMPUTED_VALUE"""),"K27DLK7")</f>
        <v>K27DLK7</v>
      </c>
      <c r="X30" s="1"/>
      <c r="Y30" s="1" t="str">
        <f ca="1">IFERROR(__xludf.DUMMYFUNCTION("""COMPUTED_VALUE"""),"Khách Sạn Mường Thanh Luxury Đà Nẵng ")</f>
        <v xml:space="preserve">Khách Sạn Mường Thanh Luxury Đà Nẵng </v>
      </c>
      <c r="Z30" s="1" t="str">
        <f ca="1">IFERROR(__xludf.DUMMYFUNCTION("""COMPUTED_VALUE"""),"Nhà hàng")</f>
        <v>Nhà hàng</v>
      </c>
      <c r="AA30" s="1" t="str">
        <f ca="1">IFERROR(__xludf.DUMMYFUNCTION("""COMPUTED_VALUE"""),"DUYỆT")</f>
        <v>DUYỆT</v>
      </c>
      <c r="AB30" s="1" t="str">
        <f ca="1">IFERROR(__xludf.DUMMYFUNCTION("""COMPUTED_VALUE"""),"30/01/2026")</f>
        <v>30/01/2026</v>
      </c>
      <c r="AC30" s="1" t="str">
        <f ca="1">IFERROR(__xludf.DUMMYFUNCTION("""COMPUTED_VALUE"""),"BÁO CÁO THỰC TẬP TỐT NGHIỆP")</f>
        <v>BÁO CÁO THỰC TẬP TỐT NGHIỆP</v>
      </c>
      <c r="AD30" s="1" t="str">
        <f ca="1">IFERROR(__xludf.DUMMYFUNCTION("""COMPUTED_VALUE"""),"Đặng Thị Thùy Trang")</f>
        <v>Đặng Thị Thùy Trang</v>
      </c>
      <c r="AE30" s="1" t="str">
        <f ca="1">IFERROR(__xludf.DUMMYFUNCTION("""COMPUTED_VALUE"""),"Thạc sĩ")</f>
        <v>Thạc sĩ</v>
      </c>
      <c r="AF30" s="1" t="str">
        <f ca="1">IFERROR(__xludf.DUMMYFUNCTION("""COMPUTED_VALUE"""),"0327892117")</f>
        <v>0327892117</v>
      </c>
      <c r="AG30" s="1" t="str">
        <f ca="1">IFERROR(__xludf.DUMMYFUNCTION("""COMPUTED_VALUE"""),"dangtthuytrang3@dtu-hti.edu.vn")</f>
        <v>dangtthuytrang3@dtu-hti.edu.vn</v>
      </c>
      <c r="AH30" s="1" t="str">
        <f ca="1">IFERROR(__xludf.DUMMYFUNCTION("""COMPUTED_VALUE"""),"#N/A")</f>
        <v>#N/A</v>
      </c>
      <c r="AI30" s="1"/>
    </row>
    <row r="31" spans="1:35" x14ac:dyDescent="0.2">
      <c r="A31" s="3">
        <f ca="1">IFERROR(__xludf.DUMMYFUNCTION("""COMPUTED_VALUE"""),45993.6703937847)</f>
        <v>45993.670393784698</v>
      </c>
      <c r="B31" s="1" t="str">
        <f ca="1">IFERROR(__xludf.DUMMYFUNCTION("""COMPUTED_VALUE"""),"minhanh1352003@gmail.com")</f>
        <v>minhanh1352003@gmail.com</v>
      </c>
      <c r="C31" s="1">
        <f ca="1">IFERROR(__xludf.DUMMYFUNCTION("""COMPUTED_VALUE"""),28208151401)</f>
        <v>28208151401</v>
      </c>
      <c r="D31" s="1" t="str">
        <f ca="1">IFERROR(__xludf.DUMMYFUNCTION("""COMPUTED_VALUE"""),"Nguyễn Thị Minh Anh ")</f>
        <v xml:space="preserve">Nguyễn Thị Minh Anh </v>
      </c>
      <c r="E31" s="1"/>
      <c r="F31" s="1" t="str">
        <f ca="1">IFERROR(__xludf.DUMMYFUNCTION("""COMPUTED_VALUE"""),"K28PSUDLH")</f>
        <v>K28PSUDLH</v>
      </c>
      <c r="G31" s="1" t="str">
        <f ca="1">IFERROR(__xludf.DUMMYFUNCTION("""COMPUTED_VALUE"""),"Quản trị Du lịch &amp; Nhà hàng chuẩn PSU")</f>
        <v>Quản trị Du lịch &amp; Nhà hàng chuẩn PSU</v>
      </c>
      <c r="H31" s="1" t="str">
        <f ca="1">IFERROR(__xludf.DUMMYFUNCTION("""COMPUTED_VALUE"""),"K28")</f>
        <v>K28</v>
      </c>
      <c r="I31" s="1" t="str">
        <f ca="1">IFERROR(__xludf.DUMMYFUNCTION("""COMPUTED_VALUE"""),"0987584346")</f>
        <v>0987584346</v>
      </c>
      <c r="J31" s="1">
        <f ca="1">IFERROR(__xludf.DUMMYFUNCTION("""COMPUTED_VALUE"""),3.31)</f>
        <v>3.31</v>
      </c>
      <c r="K31" s="1">
        <f ca="1">IFERROR(__xludf.DUMMYFUNCTION("""COMPUTED_VALUE"""),117)</f>
        <v>117</v>
      </c>
      <c r="L31" s="1" t="str">
        <f ca="1">IFERROR(__xludf.DUMMYFUNCTION("""COMPUTED_VALUE"""),"Rồi")</f>
        <v>Rồi</v>
      </c>
      <c r="M31" s="1" t="str">
        <f ca="1">IFERROR(__xludf.DUMMYFUNCTION("""COMPUTED_VALUE"""),"Thực tập tốt nghiệp")</f>
        <v>Thực tập tốt nghiệp</v>
      </c>
      <c r="N31" s="1">
        <f ca="1">IFERROR(__xludf.DUMMYFUNCTION("""COMPUTED_VALUE"""),11)</f>
        <v>11</v>
      </c>
      <c r="O31" s="1" t="str">
        <f ca="1">IFERROR(__xludf.DUMMYFUNCTION("""COMPUTED_VALUE"""),"cam kết")</f>
        <v>cam kết</v>
      </c>
      <c r="P31" s="1"/>
      <c r="Q31" s="1"/>
      <c r="R31" s="1" t="str">
        <f ca="1">IFERROR(__xludf.DUMMYFUNCTION("""COMPUTED_VALUE"""),"18/12/2025")</f>
        <v>18/12/2025</v>
      </c>
      <c r="S31" s="1" t="str">
        <f ca="1">IFERROR(__xludf.DUMMYFUNCTION("""COMPUTED_VALUE"""),"khóa luận TN")</f>
        <v>khóa luận TN</v>
      </c>
      <c r="T31" s="1" t="str">
        <f ca="1">IFERROR(__xludf.DUMMYFUNCTION("""COMPUTED_VALUE"""),"đã email cấp giấy giới thiệu ngày 25/12/2025")</f>
        <v>đã email cấp giấy giới thiệu ngày 25/12/2025</v>
      </c>
      <c r="U31" s="1"/>
      <c r="V31" s="1"/>
      <c r="W31" s="1" t="str">
        <f ca="1">IFERROR(__xludf.DUMMYFUNCTION("""COMPUTED_VALUE"""),"K28PSU-DLH")</f>
        <v>K28PSU-DLH</v>
      </c>
      <c r="X31" s="1"/>
      <c r="Y31" s="1" t="str">
        <f ca="1">IFERROR(__xludf.DUMMYFUNCTION("""COMPUTED_VALUE"""),"Sheraton Phu Quoc Long Beach Resort ")</f>
        <v xml:space="preserve">Sheraton Phu Quoc Long Beach Resort </v>
      </c>
      <c r="Z31" s="1" t="str">
        <f ca="1">IFERROR(__xludf.DUMMYFUNCTION("""COMPUTED_VALUE"""),"Nhà hàng")</f>
        <v>Nhà hàng</v>
      </c>
      <c r="AA31" s="1" t="str">
        <f ca="1">IFERROR(__xludf.DUMMYFUNCTION("""COMPUTED_VALUE"""),"DUYỆT")</f>
        <v>DUYỆT</v>
      </c>
      <c r="AB31" s="1" t="str">
        <f ca="1">IFERROR(__xludf.DUMMYFUNCTION("""COMPUTED_VALUE"""),"xin nộp trễ 30/01/2026")</f>
        <v>xin nộp trễ 30/01/2026</v>
      </c>
      <c r="AC31" s="1" t="str">
        <f ca="1">IFERROR(__xludf.DUMMYFUNCTION("""COMPUTED_VALUE"""),"KHÓA LUẬN")</f>
        <v>KHÓA LUẬN</v>
      </c>
      <c r="AD31" s="1" t="str">
        <f ca="1">IFERROR(__xludf.DUMMYFUNCTION("""COMPUTED_VALUE"""),"Bùi Lê Anh Phương")</f>
        <v>Bùi Lê Anh Phương</v>
      </c>
      <c r="AE31" s="1" t="str">
        <f ca="1">IFERROR(__xludf.DUMMYFUNCTION("""COMPUTED_VALUE"""),"Tiến sĩ")</f>
        <v>Tiến sĩ</v>
      </c>
      <c r="AF31" s="1" t="str">
        <f ca="1">IFERROR(__xludf.DUMMYFUNCTION("""COMPUTED_VALUE"""),"0904646092")</f>
        <v>0904646092</v>
      </c>
      <c r="AG31" s="1" t="str">
        <f ca="1">IFERROR(__xludf.DUMMYFUNCTION("""COMPUTED_VALUE"""),"anhphuong@duytan.edu.vn")</f>
        <v>anhphuong@duytan.edu.vn</v>
      </c>
      <c r="AH31" s="1" t="str">
        <f ca="1">IFERROR(__xludf.DUMMYFUNCTION("""COMPUTED_VALUE"""),"Nghiên cứu trải nghiệm dịch vụ và lòng trung thành của khách hàng tại nhà hàng Daily Social - Sheraton Phu Quoc Long Beach Resort.")</f>
        <v>Nghiên cứu trải nghiệm dịch vụ và lòng trung thành của khách hàng tại nhà hàng Daily Social - Sheraton Phu Quoc Long Beach Resort.</v>
      </c>
      <c r="AI31" s="1"/>
    </row>
    <row r="32" spans="1:35" x14ac:dyDescent="0.2">
      <c r="A32" s="3">
        <f ca="1">IFERROR(__xludf.DUMMYFUNCTION("""COMPUTED_VALUE"""),45994.5870195254)</f>
        <v>45994.587019525403</v>
      </c>
      <c r="B32" s="1" t="str">
        <f ca="1">IFERROR(__xludf.DUMMYFUNCTION("""COMPUTED_VALUE"""),"nguyentminhca@dtu.edu.vn")</f>
        <v>nguyentminhca@dtu.edu.vn</v>
      </c>
      <c r="C32" s="1">
        <f ca="1">IFERROR(__xludf.DUMMYFUNCTION("""COMPUTED_VALUE"""),28218006731)</f>
        <v>28218006731</v>
      </c>
      <c r="D32" s="1" t="str">
        <f ca="1">IFERROR(__xludf.DUMMYFUNCTION("""COMPUTED_VALUE"""),"Nguyễn Thị Minh Ca ")</f>
        <v xml:space="preserve">Nguyễn Thị Minh Ca </v>
      </c>
      <c r="E32" s="1"/>
      <c r="F32" s="1" t="str">
        <f ca="1">IFERROR(__xludf.DUMMYFUNCTION("""COMPUTED_VALUE"""),"K28PSUDLK")</f>
        <v>K28PSUDLK</v>
      </c>
      <c r="G32" s="1" t="str">
        <f ca="1">IFERROR(__xludf.DUMMYFUNCTION("""COMPUTED_VALUE"""),"Quản trị Du lịch &amp; Khách sạn chuẩn PSU")</f>
        <v>Quản trị Du lịch &amp; Khách sạn chuẩn PSU</v>
      </c>
      <c r="H32" s="1" t="str">
        <f ca="1">IFERROR(__xludf.DUMMYFUNCTION("""COMPUTED_VALUE"""),"K28")</f>
        <v>K28</v>
      </c>
      <c r="I32" s="1" t="str">
        <f ca="1">IFERROR(__xludf.DUMMYFUNCTION("""COMPUTED_VALUE"""),"0905631454")</f>
        <v>0905631454</v>
      </c>
      <c r="J32" s="1">
        <f ca="1">IFERROR(__xludf.DUMMYFUNCTION("""COMPUTED_VALUE"""),2.54)</f>
        <v>2.54</v>
      </c>
      <c r="K32" s="1">
        <f ca="1">IFERROR(__xludf.DUMMYFUNCTION("""COMPUTED_VALUE"""),111)</f>
        <v>111</v>
      </c>
      <c r="L32" s="1" t="str">
        <f ca="1">IFERROR(__xludf.DUMMYFUNCTION("""COMPUTED_VALUE"""),"Rồi")</f>
        <v>Rồi</v>
      </c>
      <c r="M32" s="1" t="str">
        <f ca="1">IFERROR(__xludf.DUMMYFUNCTION("""COMPUTED_VALUE"""),"Thực tập tốt nghiệp")</f>
        <v>Thực tập tốt nghiệp</v>
      </c>
      <c r="N32" s="1">
        <f ca="1">IFERROR(__xludf.DUMMYFUNCTION("""COMPUTED_VALUE"""),0)</f>
        <v>0</v>
      </c>
      <c r="O32" s="1" t="str">
        <f ca="1">IFERROR(__xludf.DUMMYFUNCTION("""COMPUTED_VALUE"""),"cam kết")</f>
        <v>cam kết</v>
      </c>
      <c r="P32" s="1"/>
      <c r="Q32" s="1"/>
      <c r="R32" s="1" t="str">
        <f ca="1">IFERROR(__xludf.DUMMYFUNCTION("""COMPUTED_VALUE"""),"18/12/2025")</f>
        <v>18/12/2025</v>
      </c>
      <c r="S32" s="1" t="str">
        <f ca="1">IFERROR(__xludf.DUMMYFUNCTION("""COMPUTED_VALUE"""),"thực tập TN, Thi TN")</f>
        <v>thực tập TN, Thi TN</v>
      </c>
      <c r="T32" s="1" t="str">
        <f ca="1">IFERROR(__xludf.DUMMYFUNCTION("""COMPUTED_VALUE"""),"Đã email cấp giấy giới thiệu ngày 18/12/2025")</f>
        <v>Đã email cấp giấy giới thiệu ngày 18/12/2025</v>
      </c>
      <c r="U32" s="1"/>
      <c r="V32" s="1"/>
      <c r="W32" s="1" t="str">
        <f ca="1">IFERROR(__xludf.DUMMYFUNCTION("""COMPUTED_VALUE"""),"K28PSU-DLK")</f>
        <v>K28PSU-DLK</v>
      </c>
      <c r="X32" s="1"/>
      <c r="Y32" s="1" t="str">
        <f ca="1">IFERROR(__xludf.DUMMYFUNCTION("""COMPUTED_VALUE"""),"Danang Marriott Resort &amp; Spa, Non Nuoc Beach Villas.")</f>
        <v>Danang Marriott Resort &amp; Spa, Non Nuoc Beach Villas.</v>
      </c>
      <c r="Z32" s="1" t="str">
        <f ca="1">IFERROR(__xludf.DUMMYFUNCTION("""COMPUTED_VALUE"""),"Buồng phòng")</f>
        <v>Buồng phòng</v>
      </c>
      <c r="AA32" s="1" t="str">
        <f ca="1">IFERROR(__xludf.DUMMYFUNCTION("""COMPUTED_VALUE"""),"DUYỆT")</f>
        <v>DUYỆT</v>
      </c>
      <c r="AB32" s="1" t="str">
        <f ca="1">IFERROR(__xludf.DUMMYFUNCTION("""COMPUTED_VALUE"""),"27/01/2026")</f>
        <v>27/01/2026</v>
      </c>
      <c r="AC32" s="1" t="str">
        <f ca="1">IFERROR(__xludf.DUMMYFUNCTION("""COMPUTED_VALUE"""),"BÁO CÁO THỰC TẬP TỐT NGHIỆP")</f>
        <v>BÁO CÁO THỰC TẬP TỐT NGHIỆP</v>
      </c>
      <c r="AD32" s="1" t="str">
        <f ca="1">IFERROR(__xludf.DUMMYFUNCTION("""COMPUTED_VALUE"""),"Phạm Thị Thu Thủy")</f>
        <v>Phạm Thị Thu Thủy</v>
      </c>
      <c r="AE32" s="1" t="str">
        <f ca="1">IFERROR(__xludf.DUMMYFUNCTION("""COMPUTED_VALUE"""),"Thạc sĩ")</f>
        <v>Thạc sĩ</v>
      </c>
      <c r="AF32" s="1" t="str">
        <f ca="1">IFERROR(__xludf.DUMMYFUNCTION("""COMPUTED_VALUE"""),"0938290678")</f>
        <v>0938290678</v>
      </c>
      <c r="AG32" s="1" t="str">
        <f ca="1">IFERROR(__xludf.DUMMYFUNCTION("""COMPUTED_VALUE"""),"phamtthuthuy2@dtu-hti.edu.vn")</f>
        <v>phamtthuthuy2@dtu-hti.edu.vn</v>
      </c>
      <c r="AH32" s="1" t="str">
        <f ca="1">IFERROR(__xludf.DUMMYFUNCTION("""COMPUTED_VALUE"""),"Báo cáo kết quả thực tập và thực trạng quy trình chuẩn bị buồng đón khách VIP tại bộ phận buồng phòng Danang Marriott Resort &amp; Spa Non Nuoc Beach Villas.")</f>
        <v>Báo cáo kết quả thực tập và thực trạng quy trình chuẩn bị buồng đón khách VIP tại bộ phận buồng phòng Danang Marriott Resort &amp; Spa Non Nuoc Beach Villas.</v>
      </c>
      <c r="AI32" s="1"/>
    </row>
    <row r="33" spans="1:35" x14ac:dyDescent="0.2">
      <c r="A33" s="3">
        <f ca="1">IFERROR(__xludf.DUMMYFUNCTION("""COMPUTED_VALUE"""),45993.6749573842)</f>
        <v>45993.674957384203</v>
      </c>
      <c r="B33" s="1" t="str">
        <f ca="1">IFERROR(__xludf.DUMMYFUNCTION("""COMPUTED_VALUE"""),"nhibui2k42909@gmail.com")</f>
        <v>nhibui2k42909@gmail.com</v>
      </c>
      <c r="C33" s="1">
        <f ca="1">IFERROR(__xludf.DUMMYFUNCTION("""COMPUTED_VALUE"""),28208148475)</f>
        <v>28208148475</v>
      </c>
      <c r="D33" s="1" t="str">
        <f ca="1">IFERROR(__xludf.DUMMYFUNCTION("""COMPUTED_VALUE"""),"Bùi Thanh Nhi ")</f>
        <v xml:space="preserve">Bùi Thanh Nhi </v>
      </c>
      <c r="E33" s="1"/>
      <c r="F33" s="1" t="str">
        <f ca="1">IFERROR(__xludf.DUMMYFUNCTION("""COMPUTED_VALUE"""),"K28DLK3")</f>
        <v>K28DLK3</v>
      </c>
      <c r="G33" s="1" t="str">
        <f ca="1">IFERROR(__xludf.DUMMYFUNCTION("""COMPUTED_VALUE"""),"Quản trị Du lịch &amp; Khách sạn")</f>
        <v>Quản trị Du lịch &amp; Khách sạn</v>
      </c>
      <c r="H33" s="1" t="str">
        <f ca="1">IFERROR(__xludf.DUMMYFUNCTION("""COMPUTED_VALUE"""),"K28")</f>
        <v>K28</v>
      </c>
      <c r="I33" s="1" t="str">
        <f ca="1">IFERROR(__xludf.DUMMYFUNCTION("""COMPUTED_VALUE"""),"0345887445")</f>
        <v>0345887445</v>
      </c>
      <c r="J33" s="1">
        <f ca="1">IFERROR(__xludf.DUMMYFUNCTION("""COMPUTED_VALUE"""),3.47)</f>
        <v>3.47</v>
      </c>
      <c r="K33" s="1">
        <f ca="1">IFERROR(__xludf.DUMMYFUNCTION("""COMPUTED_VALUE"""),113)</f>
        <v>113</v>
      </c>
      <c r="L33" s="1" t="str">
        <f ca="1">IFERROR(__xludf.DUMMYFUNCTION("""COMPUTED_VALUE"""),"Rồi")</f>
        <v>Rồi</v>
      </c>
      <c r="M33" s="1" t="str">
        <f ca="1">IFERROR(__xludf.DUMMYFUNCTION("""COMPUTED_VALUE"""),"Thực tập tốt nghiệp, Công nhận tốt nghiệp")</f>
        <v>Thực tập tốt nghiệp, Công nhận tốt nghiệp</v>
      </c>
      <c r="N33" s="1">
        <f ca="1">IFERROR(__xludf.DUMMYFUNCTION("""COMPUTED_VALUE"""),9)</f>
        <v>9</v>
      </c>
      <c r="O33" s="1" t="str">
        <f ca="1">IFERROR(__xludf.DUMMYFUNCTION("""COMPUTED_VALUE"""),"cam kết")</f>
        <v>cam kết</v>
      </c>
      <c r="P33" s="1"/>
      <c r="Q33" s="1"/>
      <c r="R33" s="1" t="str">
        <f ca="1">IFERROR(__xludf.DUMMYFUNCTION("""COMPUTED_VALUE"""),"18/12/2025")</f>
        <v>18/12/2025</v>
      </c>
      <c r="S33" s="1" t="str">
        <f ca="1">IFERROR(__xludf.DUMMYFUNCTION("""COMPUTED_VALUE"""),"khóa luận TN")</f>
        <v>khóa luận TN</v>
      </c>
      <c r="T33" s="1" t="str">
        <f ca="1">IFERROR(__xludf.DUMMYFUNCTION("""COMPUTED_VALUE"""),"Đã email cấp giấy giới thiệu ngày 18/12/2025")</f>
        <v>Đã email cấp giấy giới thiệu ngày 18/12/2025</v>
      </c>
      <c r="U33" s="1"/>
      <c r="V33" s="1"/>
      <c r="W33" s="1" t="str">
        <f ca="1">IFERROR(__xludf.DUMMYFUNCTION("""COMPUTED_VALUE"""),"K28DLK3")</f>
        <v>K28DLK3</v>
      </c>
      <c r="X33" s="1"/>
      <c r="Y33" s="1" t="str">
        <f ca="1">IFERROR(__xludf.DUMMYFUNCTION("""COMPUTED_VALUE"""),"Renaissance Danang Hoian Resort &amp; Spa")</f>
        <v>Renaissance Danang Hoian Resort &amp; Spa</v>
      </c>
      <c r="Z33" s="1" t="str">
        <f ca="1">IFERROR(__xludf.DUMMYFUNCTION("""COMPUTED_VALUE"""),"Buồng phòng")</f>
        <v>Buồng phòng</v>
      </c>
      <c r="AA33" s="1" t="str">
        <f ca="1">IFERROR(__xludf.DUMMYFUNCTION("""COMPUTED_VALUE"""),"DUYỆT")</f>
        <v>DUYỆT</v>
      </c>
      <c r="AB33" s="1" t="str">
        <f ca="1">IFERROR(__xludf.DUMMYFUNCTION("""COMPUTED_VALUE"""),"14/01/2026")</f>
        <v>14/01/2026</v>
      </c>
      <c r="AC33" s="1" t="str">
        <f ca="1">IFERROR(__xludf.DUMMYFUNCTION("""COMPUTED_VALUE"""),"KHÓA LUẬN")</f>
        <v>KHÓA LUẬN</v>
      </c>
      <c r="AD33" s="1" t="str">
        <f ca="1">IFERROR(__xludf.DUMMYFUNCTION("""COMPUTED_VALUE"""),"Mai Thị Thương")</f>
        <v>Mai Thị Thương</v>
      </c>
      <c r="AE33" s="1" t="str">
        <f ca="1">IFERROR(__xludf.DUMMYFUNCTION("""COMPUTED_VALUE"""),"Thạc sĩ")</f>
        <v>Thạc sĩ</v>
      </c>
      <c r="AF33" s="1" t="str">
        <f ca="1">IFERROR(__xludf.DUMMYFUNCTION("""COMPUTED_VALUE"""),"0905767050")</f>
        <v>0905767050</v>
      </c>
      <c r="AG33" s="1" t="str">
        <f ca="1">IFERROR(__xludf.DUMMYFUNCTION("""COMPUTED_VALUE"""),"maithithuong@dtu-hti.edu.vn")</f>
        <v>maithithuong@dtu-hti.edu.vn</v>
      </c>
      <c r="AH33" s="1" t="str">
        <f ca="1">IFERROR(__xludf.DUMMYFUNCTION("""COMPUTED_VALUE"""),"Nghiên cứu các nhân tố ảnh hưởng đến sự hài lòng trong công việc của nhân viên tại Renaissance Danang Hoian Resort &amp; Spa")</f>
        <v>Nghiên cứu các nhân tố ảnh hưởng đến sự hài lòng trong công việc của nhân viên tại Renaissance Danang Hoian Resort &amp; Spa</v>
      </c>
      <c r="AI33" s="1"/>
    </row>
    <row r="34" spans="1:35" x14ac:dyDescent="0.2">
      <c r="A34" s="3">
        <f ca="1">IFERROR(__xludf.DUMMYFUNCTION("""COMPUTED_VALUE"""),45993.7373721296)</f>
        <v>45993.737372129603</v>
      </c>
      <c r="B34" s="1" t="str">
        <f ca="1">IFERROR(__xludf.DUMMYFUNCTION("""COMPUTED_VALUE"""),"lethithanhthao2412@gmail.com")</f>
        <v>lethithanhthao2412@gmail.com</v>
      </c>
      <c r="C34" s="1">
        <f ca="1">IFERROR(__xludf.DUMMYFUNCTION("""COMPUTED_VALUE"""),27207131320)</f>
        <v>27207131320</v>
      </c>
      <c r="D34" s="1" t="str">
        <f ca="1">IFERROR(__xludf.DUMMYFUNCTION("""COMPUTED_VALUE"""),"Lê Thị Thanh Thảo")</f>
        <v>Lê Thị Thanh Thảo</v>
      </c>
      <c r="E34" s="1"/>
      <c r="F34" s="1" t="str">
        <f ca="1">IFERROR(__xludf.DUMMYFUNCTION("""COMPUTED_VALUE"""),"K28DLK1")</f>
        <v>K28DLK1</v>
      </c>
      <c r="G34" s="1" t="str">
        <f ca="1">IFERROR(__xludf.DUMMYFUNCTION("""COMPUTED_VALUE"""),"Quản trị Du lịch &amp; Khách sạn")</f>
        <v>Quản trị Du lịch &amp; Khách sạn</v>
      </c>
      <c r="H34" s="1" t="str">
        <f ca="1">IFERROR(__xludf.DUMMYFUNCTION("""COMPUTED_VALUE"""),"K28")</f>
        <v>K28</v>
      </c>
      <c r="I34" s="1" t="str">
        <f ca="1">IFERROR(__xludf.DUMMYFUNCTION("""COMPUTED_VALUE"""),"0708349602")</f>
        <v>0708349602</v>
      </c>
      <c r="J34" s="1">
        <f ca="1">IFERROR(__xludf.DUMMYFUNCTION("""COMPUTED_VALUE"""),2.72)</f>
        <v>2.72</v>
      </c>
      <c r="K34" s="1">
        <f ca="1">IFERROR(__xludf.DUMMYFUNCTION("""COMPUTED_VALUE"""),124)</f>
        <v>124</v>
      </c>
      <c r="L34" s="1" t="str">
        <f ca="1">IFERROR(__xludf.DUMMYFUNCTION("""COMPUTED_VALUE"""),"Rồi")</f>
        <v>Rồi</v>
      </c>
      <c r="M34" s="1" t="str">
        <f ca="1">IFERROR(__xludf.DUMMYFUNCTION("""COMPUTED_VALUE"""),"Thực tập tốt nghiệp, Thi tốt nghiệp, Công nhận tốt nghiệp")</f>
        <v>Thực tập tốt nghiệp, Thi tốt nghiệp, Công nhận tốt nghiệp</v>
      </c>
      <c r="N34" s="1">
        <f ca="1">IFERROR(__xludf.DUMMYFUNCTION("""COMPUTED_VALUE"""),0)</f>
        <v>0</v>
      </c>
      <c r="O34" s="1" t="str">
        <f ca="1">IFERROR(__xludf.DUMMYFUNCTION("""COMPUTED_VALUE"""),"cam kết")</f>
        <v>cam kết</v>
      </c>
      <c r="P34" s="1"/>
      <c r="Q34" s="1"/>
      <c r="R34" s="1" t="str">
        <f ca="1">IFERROR(__xludf.DUMMYFUNCTION("""COMPUTED_VALUE"""),"18/12/2025")</f>
        <v>18/12/2025</v>
      </c>
      <c r="S34" s="1" t="str">
        <f ca="1">IFERROR(__xludf.DUMMYFUNCTION("""COMPUTED_VALUE"""),"thực tập TN, Thi TN")</f>
        <v>thực tập TN, Thi TN</v>
      </c>
      <c r="T34" s="1" t="str">
        <f ca="1">IFERROR(__xludf.DUMMYFUNCTION("""COMPUTED_VALUE"""),"Đã email cấp giấy giới thiệu ngày 18/12/2025")</f>
        <v>Đã email cấp giấy giới thiệu ngày 18/12/2025</v>
      </c>
      <c r="U34" s="1"/>
      <c r="V34" s="1"/>
      <c r="W34" s="1" t="str">
        <f ca="1">IFERROR(__xludf.DUMMYFUNCTION("""COMPUTED_VALUE"""),"K28DLK1")</f>
        <v>K28DLK1</v>
      </c>
      <c r="X34" s="1"/>
      <c r="Y34" s="1" t="str">
        <f ca="1">IFERROR(__xludf.DUMMYFUNCTION("""COMPUTED_VALUE"""),"PALM GARDEN RESORT ")</f>
        <v xml:space="preserve">PALM GARDEN RESORT </v>
      </c>
      <c r="Z34" s="1" t="str">
        <f ca="1">IFERROR(__xludf.DUMMYFUNCTION("""COMPUTED_VALUE"""),"Nhà hàng")</f>
        <v>Nhà hàng</v>
      </c>
      <c r="AA34" s="1" t="str">
        <f ca="1">IFERROR(__xludf.DUMMYFUNCTION("""COMPUTED_VALUE"""),"DUYỆT")</f>
        <v>DUYỆT</v>
      </c>
      <c r="AB34" s="5">
        <f ca="1">IFERROR(__xludf.DUMMYFUNCTION("""COMPUTED_VALUE"""),46143)</f>
        <v>46143</v>
      </c>
      <c r="AC34" s="1" t="str">
        <f ca="1">IFERROR(__xludf.DUMMYFUNCTION("""COMPUTED_VALUE"""),"BÁO CÁO THỰC TẬP TỐT NGHIỆP")</f>
        <v>BÁO CÁO THỰC TẬP TỐT NGHIỆP</v>
      </c>
      <c r="AD34" s="1" t="str">
        <f ca="1">IFERROR(__xludf.DUMMYFUNCTION("""COMPUTED_VALUE"""),"Nguyễn Thị Minh Thư")</f>
        <v>Nguyễn Thị Minh Thư</v>
      </c>
      <c r="AE34" s="1" t="str">
        <f ca="1">IFERROR(__xludf.DUMMYFUNCTION("""COMPUTED_VALUE"""),"Thạc sĩ")</f>
        <v>Thạc sĩ</v>
      </c>
      <c r="AF34" s="1" t="str">
        <f ca="1">IFERROR(__xludf.DUMMYFUNCTION("""COMPUTED_VALUE"""),"0396.153.687")</f>
        <v>0396.153.687</v>
      </c>
      <c r="AG34" s="1" t="str">
        <f ca="1">IFERROR(__xludf.DUMMYFUNCTION("""COMPUTED_VALUE"""),"nguyentminhthu@dtu-hti.edu.vn")</f>
        <v>nguyentminhthu@dtu-hti.edu.vn</v>
      </c>
      <c r="AH34" s="1" t="str">
        <f ca="1">IFERROR(__xludf.DUMMYFUNCTION("""COMPUTED_VALUE"""),"Báo cáo kết quả thực tập và thực trạng quy trình phục vụ buffet sáng tại nhà hàng thuộc Palm Garden Resort")</f>
        <v>Báo cáo kết quả thực tập và thực trạng quy trình phục vụ buffet sáng tại nhà hàng thuộc Palm Garden Resort</v>
      </c>
      <c r="AI34" s="1"/>
    </row>
    <row r="35" spans="1:35" x14ac:dyDescent="0.2">
      <c r="A35" s="3">
        <f ca="1">IFERROR(__xludf.DUMMYFUNCTION("""COMPUTED_VALUE"""),45996.6792132175)</f>
        <v>45996.679213217503</v>
      </c>
      <c r="B35" s="1" t="str">
        <f ca="1">IFERROR(__xludf.DUMMYFUNCTION("""COMPUTED_VALUE"""),"kimchitxpt2004@gmail.com")</f>
        <v>kimchitxpt2004@gmail.com</v>
      </c>
      <c r="C35" s="1">
        <f ca="1">IFERROR(__xludf.DUMMYFUNCTION("""COMPUTED_VALUE"""),28208004094)</f>
        <v>28208004094</v>
      </c>
      <c r="D35" s="1" t="str">
        <f ca="1">IFERROR(__xludf.DUMMYFUNCTION("""COMPUTED_VALUE"""),"Lê Thị Kim Chi ")</f>
        <v xml:space="preserve">Lê Thị Kim Chi </v>
      </c>
      <c r="E35" s="1"/>
      <c r="F35" s="1" t="str">
        <f ca="1">IFERROR(__xludf.DUMMYFUNCTION("""COMPUTED_VALUE"""),"K28 DLK5")</f>
        <v>K28 DLK5</v>
      </c>
      <c r="G35" s="1" t="str">
        <f ca="1">IFERROR(__xludf.DUMMYFUNCTION("""COMPUTED_VALUE"""),"Quản trị Du lịch &amp; Khách sạn")</f>
        <v>Quản trị Du lịch &amp; Khách sạn</v>
      </c>
      <c r="H35" s="1" t="str">
        <f ca="1">IFERROR(__xludf.DUMMYFUNCTION("""COMPUTED_VALUE"""),"K28")</f>
        <v>K28</v>
      </c>
      <c r="I35" s="1" t="str">
        <f ca="1">IFERROR(__xludf.DUMMYFUNCTION("""COMPUTED_VALUE"""),"0867946145")</f>
        <v>0867946145</v>
      </c>
      <c r="J35" s="1">
        <f ca="1">IFERROR(__xludf.DUMMYFUNCTION("""COMPUTED_VALUE"""),3.16)</f>
        <v>3.16</v>
      </c>
      <c r="K35" s="1">
        <f ca="1">IFERROR(__xludf.DUMMYFUNCTION("""COMPUTED_VALUE"""),113)</f>
        <v>113</v>
      </c>
      <c r="L35" s="1" t="str">
        <f ca="1">IFERROR(__xludf.DUMMYFUNCTION("""COMPUTED_VALUE"""),"Rồi")</f>
        <v>Rồi</v>
      </c>
      <c r="M35" s="1" t="str">
        <f ca="1">IFERROR(__xludf.DUMMYFUNCTION("""COMPUTED_VALUE"""),"Thực tập tốt nghiệp, Thi tốt nghiệp, Công nhận tốt nghiệp")</f>
        <v>Thực tập tốt nghiệp, Thi tốt nghiệp, Công nhận tốt nghiệp</v>
      </c>
      <c r="N35" s="1">
        <f ca="1">IFERROR(__xludf.DUMMYFUNCTION("""COMPUTED_VALUE"""),10)</f>
        <v>10</v>
      </c>
      <c r="O35" s="1" t="str">
        <f ca="1">IFERROR(__xludf.DUMMYFUNCTION("""COMPUTED_VALUE"""),"cam kết")</f>
        <v>cam kết</v>
      </c>
      <c r="P35" s="1"/>
      <c r="Q35" s="1"/>
      <c r="R35" s="1" t="str">
        <f ca="1">IFERROR(__xludf.DUMMYFUNCTION("""COMPUTED_VALUE"""),"18/12/2025")</f>
        <v>18/12/2025</v>
      </c>
      <c r="S35" s="1" t="str">
        <f ca="1">IFERROR(__xludf.DUMMYFUNCTION("""COMPUTED_VALUE"""),"thực tập TN, Thi TN")</f>
        <v>thực tập TN, Thi TN</v>
      </c>
      <c r="T35" s="1" t="str">
        <f ca="1">IFERROR(__xludf.DUMMYFUNCTION("""COMPUTED_VALUE"""),"Đã email cấp giấy giới thiệu ngày 18/12/2025")</f>
        <v>Đã email cấp giấy giới thiệu ngày 18/12/2025</v>
      </c>
      <c r="U35" s="1"/>
      <c r="V35" s="1"/>
      <c r="W35" s="1" t="str">
        <f ca="1">IFERROR(__xludf.DUMMYFUNCTION("""COMPUTED_VALUE"""),"K28DLK5")</f>
        <v>K28DLK5</v>
      </c>
      <c r="X35" s="1"/>
      <c r="Y35" s="1" t="str">
        <f ca="1">IFERROR(__xludf.DUMMYFUNCTION("""COMPUTED_VALUE"""),"Hilton Da Nang")</f>
        <v>Hilton Da Nang</v>
      </c>
      <c r="Z35" s="1" t="str">
        <f ca="1">IFERROR(__xludf.DUMMYFUNCTION("""COMPUTED_VALUE"""),"Nhà hàng")</f>
        <v>Nhà hàng</v>
      </c>
      <c r="AA35" s="1" t="str">
        <f ca="1">IFERROR(__xludf.DUMMYFUNCTION("""COMPUTED_VALUE"""),"DUYỆT")</f>
        <v>DUYỆT</v>
      </c>
      <c r="AB35" s="1" t="str">
        <f ca="1">IFERROR(__xludf.DUMMYFUNCTION("""COMPUTED_VALUE"""),"22/12/2025")</f>
        <v>22/12/2025</v>
      </c>
      <c r="AC35" s="1" t="str">
        <f ca="1">IFERROR(__xludf.DUMMYFUNCTION("""COMPUTED_VALUE"""),"BÁO CÁO THỰC TẬP TỐT NGHIỆP")</f>
        <v>BÁO CÁO THỰC TẬP TỐT NGHIỆP</v>
      </c>
      <c r="AD35" s="1" t="str">
        <f ca="1">IFERROR(__xludf.DUMMYFUNCTION("""COMPUTED_VALUE"""),"Trần Hoàng Anh")</f>
        <v>Trần Hoàng Anh</v>
      </c>
      <c r="AE35" s="1" t="str">
        <f ca="1">IFERROR(__xludf.DUMMYFUNCTION("""COMPUTED_VALUE"""),"Thạc sĩ")</f>
        <v>Thạc sĩ</v>
      </c>
      <c r="AF35" s="1" t="str">
        <f ca="1">IFERROR(__xludf.DUMMYFUNCTION("""COMPUTED_VALUE"""),"0906 029 602")</f>
        <v>0906 029 602</v>
      </c>
      <c r="AG35" s="1" t="str">
        <f ca="1">IFERROR(__xludf.DUMMYFUNCTION("""COMPUTED_VALUE"""),"tranhoanganh@dtu-hti.edu.vn")</f>
        <v>tranhoanganh@dtu-hti.edu.vn</v>
      </c>
      <c r="AH35" s="1" t="str">
        <f ca="1">IFERROR(__xludf.DUMMYFUNCTION("""COMPUTED_VALUE"""),"Báo cáo kết quả thực tập và thực trạng quy trình phục vụ A La Carte tại nhà hàng The Sail Rooftop Dining tại khách sạn Hilton Da Nang")</f>
        <v>Báo cáo kết quả thực tập và thực trạng quy trình phục vụ A La Carte tại nhà hàng The Sail Rooftop Dining tại khách sạn Hilton Da Nang</v>
      </c>
      <c r="AI35" s="1"/>
    </row>
    <row r="36" spans="1:35" x14ac:dyDescent="0.2">
      <c r="A36" s="3">
        <f ca="1">IFERROR(__xludf.DUMMYFUNCTION("""COMPUTED_VALUE"""),45993.7565377314)</f>
        <v>45993.756537731402</v>
      </c>
      <c r="B36" s="1" t="str">
        <f ca="1">IFERROR(__xludf.DUMMYFUNCTION("""COMPUTED_VALUE"""),"daomy984@gmail.com")</f>
        <v>daomy984@gmail.com</v>
      </c>
      <c r="C36" s="1">
        <f ca="1">IFERROR(__xludf.DUMMYFUNCTION("""COMPUTED_VALUE"""),28208306063)</f>
        <v>28208306063</v>
      </c>
      <c r="D36" s="1" t="str">
        <f ca="1">IFERROR(__xludf.DUMMYFUNCTION("""COMPUTED_VALUE"""),"Đào Thị Diễm My ")</f>
        <v xml:space="preserve">Đào Thị Diễm My </v>
      </c>
      <c r="E36" s="1"/>
      <c r="F36" s="1" t="str">
        <f ca="1">IFERROR(__xludf.DUMMYFUNCTION("""COMPUTED_VALUE"""),"K28PSUDLH")</f>
        <v>K28PSUDLH</v>
      </c>
      <c r="G36" s="1" t="str">
        <f ca="1">IFERROR(__xludf.DUMMYFUNCTION("""COMPUTED_VALUE"""),"Quản trị Du lịch &amp; Nhà hàng chuẩn PSU")</f>
        <v>Quản trị Du lịch &amp; Nhà hàng chuẩn PSU</v>
      </c>
      <c r="H36" s="1" t="str">
        <f ca="1">IFERROR(__xludf.DUMMYFUNCTION("""COMPUTED_VALUE"""),"K28")</f>
        <v>K28</v>
      </c>
      <c r="I36" s="1" t="str">
        <f ca="1">IFERROR(__xludf.DUMMYFUNCTION("""COMPUTED_VALUE"""),"0363369519")</f>
        <v>0363369519</v>
      </c>
      <c r="J36" s="1">
        <f ca="1">IFERROR(__xludf.DUMMYFUNCTION("""COMPUTED_VALUE"""),3.29)</f>
        <v>3.29</v>
      </c>
      <c r="K36" s="1">
        <f ca="1">IFERROR(__xludf.DUMMYFUNCTION("""COMPUTED_VALUE"""),119)</f>
        <v>119</v>
      </c>
      <c r="L36" s="1" t="str">
        <f ca="1">IFERROR(__xludf.DUMMYFUNCTION("""COMPUTED_VALUE"""),"Rồi")</f>
        <v>Rồi</v>
      </c>
      <c r="M36" s="1" t="str">
        <f ca="1">IFERROR(__xludf.DUMMYFUNCTION("""COMPUTED_VALUE"""),"Thực tập tốt nghiệp")</f>
        <v>Thực tập tốt nghiệp</v>
      </c>
      <c r="N36" s="1">
        <f ca="1">IFERROR(__xludf.DUMMYFUNCTION("""COMPUTED_VALUE"""),9)</f>
        <v>9</v>
      </c>
      <c r="O36" s="1" t="str">
        <f ca="1">IFERROR(__xludf.DUMMYFUNCTION("""COMPUTED_VALUE"""),"cam kết")</f>
        <v>cam kết</v>
      </c>
      <c r="P36" s="1"/>
      <c r="Q36" s="1"/>
      <c r="R36" s="1" t="str">
        <f ca="1">IFERROR(__xludf.DUMMYFUNCTION("""COMPUTED_VALUE"""),"18/12/2025")</f>
        <v>18/12/2025</v>
      </c>
      <c r="S36" s="1" t="str">
        <f ca="1">IFERROR(__xludf.DUMMYFUNCTION("""COMPUTED_VALUE"""),"khóa luận TN")</f>
        <v>khóa luận TN</v>
      </c>
      <c r="T36" s="1" t="str">
        <f ca="1">IFERROR(__xludf.DUMMYFUNCTION("""COMPUTED_VALUE"""),"đã email cấp giấy giới thiệu ngày 25/12/2025")</f>
        <v>đã email cấp giấy giới thiệu ngày 25/12/2025</v>
      </c>
      <c r="U36" s="1"/>
      <c r="V36" s="1"/>
      <c r="W36" s="1" t="str">
        <f ca="1">IFERROR(__xludf.DUMMYFUNCTION("""COMPUTED_VALUE"""),"K28PSU-DLH")</f>
        <v>K28PSU-DLH</v>
      </c>
      <c r="X36" s="1"/>
      <c r="Y36" s="1" t="str">
        <f ca="1">IFERROR(__xludf.DUMMYFUNCTION("""COMPUTED_VALUE"""),"Sheraton Phu Quoc Long Beach Resort")</f>
        <v>Sheraton Phu Quoc Long Beach Resort</v>
      </c>
      <c r="Z36" s="1" t="str">
        <f ca="1">IFERROR(__xludf.DUMMYFUNCTION("""COMPUTED_VALUE"""),"Nhà hàng")</f>
        <v>Nhà hàng</v>
      </c>
      <c r="AA36" s="1" t="str">
        <f ca="1">IFERROR(__xludf.DUMMYFUNCTION("""COMPUTED_VALUE"""),"DUYỆT")</f>
        <v>DUYỆT</v>
      </c>
      <c r="AB36" s="1" t="str">
        <f ca="1">IFERROR(__xludf.DUMMYFUNCTION("""COMPUTED_VALUE"""),"xin nộp trễ 30/01/2026")</f>
        <v>xin nộp trễ 30/01/2026</v>
      </c>
      <c r="AC36" s="1" t="str">
        <f ca="1">IFERROR(__xludf.DUMMYFUNCTION("""COMPUTED_VALUE"""),"KHÓA LUẬN")</f>
        <v>KHÓA LUẬN</v>
      </c>
      <c r="AD36" s="1" t="str">
        <f ca="1">IFERROR(__xludf.DUMMYFUNCTION("""COMPUTED_VALUE"""),"Bùi Lê Anh Phương")</f>
        <v>Bùi Lê Anh Phương</v>
      </c>
      <c r="AE36" s="1" t="str">
        <f ca="1">IFERROR(__xludf.DUMMYFUNCTION("""COMPUTED_VALUE"""),"Tiến sĩ")</f>
        <v>Tiến sĩ</v>
      </c>
      <c r="AF36" s="1" t="str">
        <f ca="1">IFERROR(__xludf.DUMMYFUNCTION("""COMPUTED_VALUE"""),"0904646092")</f>
        <v>0904646092</v>
      </c>
      <c r="AG36" s="1" t="str">
        <f ca="1">IFERROR(__xludf.DUMMYFUNCTION("""COMPUTED_VALUE"""),"anhphuong@duytan.edu.vn")</f>
        <v>anhphuong@duytan.edu.vn</v>
      </c>
      <c r="AH36" s="1" t="str">
        <f ca="1">IFERROR(__xludf.DUMMYFUNCTION("""COMPUTED_VALUE"""),"Cảm nhận của khách hàng về trải nghiệm đa giác quan trong dịch vụ  Buffet tại nhà hàng Daily Social-Sheraton Phu Quoc Long Beach Resort")</f>
        <v>Cảm nhận của khách hàng về trải nghiệm đa giác quan trong dịch vụ  Buffet tại nhà hàng Daily Social-Sheraton Phu Quoc Long Beach Resort</v>
      </c>
      <c r="AI36" s="1"/>
    </row>
    <row r="37" spans="1:35" x14ac:dyDescent="0.2">
      <c r="A37" s="3">
        <f ca="1">IFERROR(__xludf.DUMMYFUNCTION("""COMPUTED_VALUE"""),45994.70888978)</f>
        <v>45994.708889779999</v>
      </c>
      <c r="B37" s="1" t="str">
        <f ca="1">IFERROR(__xludf.DUMMYFUNCTION("""COMPUTED_VALUE"""),"tramanhtranthi04@gmail.com")</f>
        <v>tramanhtranthi04@gmail.com</v>
      </c>
      <c r="C37" s="1">
        <f ca="1">IFERROR(__xludf.DUMMYFUNCTION("""COMPUTED_VALUE"""),28200350838)</f>
        <v>28200350838</v>
      </c>
      <c r="D37" s="1" t="str">
        <f ca="1">IFERROR(__xludf.DUMMYFUNCTION("""COMPUTED_VALUE"""),"Trần Thị Trâm Anh")</f>
        <v>Trần Thị Trâm Anh</v>
      </c>
      <c r="E37" s="1"/>
      <c r="F37" s="1" t="str">
        <f ca="1">IFERROR(__xludf.DUMMYFUNCTION("""COMPUTED_VALUE"""),"K28PSUDLH")</f>
        <v>K28PSUDLH</v>
      </c>
      <c r="G37" s="1" t="str">
        <f ca="1">IFERROR(__xludf.DUMMYFUNCTION("""COMPUTED_VALUE"""),"Quản trị Du lịch &amp; Nhà hàng chuẩn PSU")</f>
        <v>Quản trị Du lịch &amp; Nhà hàng chuẩn PSU</v>
      </c>
      <c r="H37" s="1" t="str">
        <f ca="1">IFERROR(__xludf.DUMMYFUNCTION("""COMPUTED_VALUE"""),"K28")</f>
        <v>K28</v>
      </c>
      <c r="I37" s="1" t="str">
        <f ca="1">IFERROR(__xludf.DUMMYFUNCTION("""COMPUTED_VALUE"""),"0369539518")</f>
        <v>0369539518</v>
      </c>
      <c r="J37" s="1">
        <f ca="1">IFERROR(__xludf.DUMMYFUNCTION("""COMPUTED_VALUE"""),2.38)</f>
        <v>2.38</v>
      </c>
      <c r="K37" s="1">
        <f ca="1">IFERROR(__xludf.DUMMYFUNCTION("""COMPUTED_VALUE"""),117)</f>
        <v>117</v>
      </c>
      <c r="L37" s="1" t="str">
        <f ca="1">IFERROR(__xludf.DUMMYFUNCTION("""COMPUTED_VALUE"""),"Rồi")</f>
        <v>Rồi</v>
      </c>
      <c r="M37" s="1" t="str">
        <f ca="1">IFERROR(__xludf.DUMMYFUNCTION("""COMPUTED_VALUE"""),"Thực tập tốt nghiệp, Thi tốt nghiệp, Công nhận tốt nghiệp")</f>
        <v>Thực tập tốt nghiệp, Thi tốt nghiệp, Công nhận tốt nghiệp</v>
      </c>
      <c r="N37" s="1">
        <f ca="1">IFERROR(__xludf.DUMMYFUNCTION("""COMPUTED_VALUE"""),11)</f>
        <v>11</v>
      </c>
      <c r="O37" s="1" t="str">
        <f ca="1">IFERROR(__xludf.DUMMYFUNCTION("""COMPUTED_VALUE"""),"cam kết")</f>
        <v>cam kết</v>
      </c>
      <c r="P37" s="1"/>
      <c r="Q37" s="1"/>
      <c r="R37" s="1" t="str">
        <f ca="1">IFERROR(__xludf.DUMMYFUNCTION("""COMPUTED_VALUE"""),"18/12/2025")</f>
        <v>18/12/2025</v>
      </c>
      <c r="S37" s="1" t="str">
        <f ca="1">IFERROR(__xludf.DUMMYFUNCTION("""COMPUTED_VALUE"""),"khóa luận TN")</f>
        <v>khóa luận TN</v>
      </c>
      <c r="T37" s="1" t="str">
        <f ca="1">IFERROR(__xludf.DUMMYFUNCTION("""COMPUTED_VALUE"""),"đã email cấp giấy giới thiệu ngày 25/12/2025")</f>
        <v>đã email cấp giấy giới thiệu ngày 25/12/2025</v>
      </c>
      <c r="U37" s="1"/>
      <c r="V37" s="1"/>
      <c r="W37" s="1" t="str">
        <f ca="1">IFERROR(__xludf.DUMMYFUNCTION("""COMPUTED_VALUE"""),"K28PSU-DLH")</f>
        <v>K28PSU-DLH</v>
      </c>
      <c r="X37" s="1"/>
      <c r="Y37" s="1" t="str">
        <f ca="1">IFERROR(__xludf.DUMMYFUNCTION("""COMPUTED_VALUE"""),"Pullman Danang Beach Resort")</f>
        <v>Pullman Danang Beach Resort</v>
      </c>
      <c r="Z37" s="1" t="str">
        <f ca="1">IFERROR(__xludf.DUMMYFUNCTION("""COMPUTED_VALUE"""),"Nhà hàng")</f>
        <v>Nhà hàng</v>
      </c>
      <c r="AA37" s="1" t="str">
        <f ca="1">IFERROR(__xludf.DUMMYFUNCTION("""COMPUTED_VALUE"""),"DUYỆT")</f>
        <v>DUYỆT</v>
      </c>
      <c r="AB37" s="1" t="str">
        <f ca="1">IFERROR(__xludf.DUMMYFUNCTION("""COMPUTED_VALUE"""),"21/01/2026")</f>
        <v>21/01/2026</v>
      </c>
      <c r="AC37" s="1" t="str">
        <f ca="1">IFERROR(__xludf.DUMMYFUNCTION("""COMPUTED_VALUE"""),"KHÓA LUẬN")</f>
        <v>KHÓA LUẬN</v>
      </c>
      <c r="AD37" s="1" t="str">
        <f ca="1">IFERROR(__xludf.DUMMYFUNCTION("""COMPUTED_VALUE"""),"Phạm Thị Hoàng Dung")</f>
        <v>Phạm Thị Hoàng Dung</v>
      </c>
      <c r="AE37" s="1" t="str">
        <f ca="1">IFERROR(__xludf.DUMMYFUNCTION("""COMPUTED_VALUE"""),"Tiến sĩ")</f>
        <v>Tiến sĩ</v>
      </c>
      <c r="AF37" s="1" t="str">
        <f ca="1">IFERROR(__xludf.DUMMYFUNCTION("""COMPUTED_VALUE"""),"0935 141614")</f>
        <v>0935 141614</v>
      </c>
      <c r="AG37" s="1" t="str">
        <f ca="1">IFERROR(__xludf.DUMMYFUNCTION("""COMPUTED_VALUE"""),"phamthoangdung@duytan.edu.vn")</f>
        <v>phamthoangdung@duytan.edu.vn</v>
      </c>
      <c r="AH37" s="1" t="str">
        <f ca="1">IFERROR(__xludf.DUMMYFUNCTION("""COMPUTED_VALUE"""),"Nghiên cứu các yếu tố ảnh hưởng đến sự hài lòng của  khách hàng tại nhà hàng Epice Restaurant – Khách sạn Pullman Danang Beach Resort")</f>
        <v>Nghiên cứu các yếu tố ảnh hưởng đến sự hài lòng của  khách hàng tại nhà hàng Epice Restaurant – Khách sạn Pullman Danang Beach Resort</v>
      </c>
      <c r="AI37" s="1"/>
    </row>
    <row r="38" spans="1:35" x14ac:dyDescent="0.2">
      <c r="A38" s="3">
        <f ca="1">IFERROR(__xludf.DUMMYFUNCTION("""COMPUTED_VALUE"""),45994.6630946643)</f>
        <v>45994.663094664298</v>
      </c>
      <c r="B38" s="1" t="str">
        <f ca="1">IFERROR(__xludf.DUMMYFUNCTION("""COMPUTED_VALUE"""),"hoaithu07082004@gmail.com")</f>
        <v>hoaithu07082004@gmail.com</v>
      </c>
      <c r="C38" s="1">
        <f ca="1">IFERROR(__xludf.DUMMYFUNCTION("""COMPUTED_VALUE"""),28208040700)</f>
        <v>28208040700</v>
      </c>
      <c r="D38" s="1" t="str">
        <f ca="1">IFERROR(__xludf.DUMMYFUNCTION("""COMPUTED_VALUE"""),"Nguyễn Phan Hoài Thư ")</f>
        <v xml:space="preserve">Nguyễn Phan Hoài Thư </v>
      </c>
      <c r="E38" s="1"/>
      <c r="F38" s="1" t="str">
        <f ca="1">IFERROR(__xludf.DUMMYFUNCTION("""COMPUTED_VALUE"""),"K28DLK1 ")</f>
        <v xml:space="preserve">K28DLK1 </v>
      </c>
      <c r="G38" s="1" t="str">
        <f ca="1">IFERROR(__xludf.DUMMYFUNCTION("""COMPUTED_VALUE"""),"Quản trị Du lịch &amp; Khách sạn")</f>
        <v>Quản trị Du lịch &amp; Khách sạn</v>
      </c>
      <c r="H38" s="1" t="str">
        <f ca="1">IFERROR(__xludf.DUMMYFUNCTION("""COMPUTED_VALUE"""),"K28")</f>
        <v>K28</v>
      </c>
      <c r="I38" s="1" t="str">
        <f ca="1">IFERROR(__xludf.DUMMYFUNCTION("""COMPUTED_VALUE"""),"0976432758")</f>
        <v>0976432758</v>
      </c>
      <c r="J38" s="1">
        <f ca="1">IFERROR(__xludf.DUMMYFUNCTION("""COMPUTED_VALUE"""),3.43)</f>
        <v>3.43</v>
      </c>
      <c r="K38" s="1">
        <f ca="1">IFERROR(__xludf.DUMMYFUNCTION("""COMPUTED_VALUE"""),114)</f>
        <v>114</v>
      </c>
      <c r="L38" s="1" t="str">
        <f ca="1">IFERROR(__xludf.DUMMYFUNCTION("""COMPUTED_VALUE"""),"Rồi")</f>
        <v>Rồi</v>
      </c>
      <c r="M38" s="1" t="str">
        <f ca="1">IFERROR(__xludf.DUMMYFUNCTION("""COMPUTED_VALUE"""),"Thực tập tốt nghiệp, Thi tốt nghiệp, Công nhận tốt nghiệp")</f>
        <v>Thực tập tốt nghiệp, Thi tốt nghiệp, Công nhận tốt nghiệp</v>
      </c>
      <c r="N38" s="1">
        <f ca="1">IFERROR(__xludf.DUMMYFUNCTION("""COMPUTED_VALUE"""),9)</f>
        <v>9</v>
      </c>
      <c r="O38" s="1" t="str">
        <f ca="1">IFERROR(__xludf.DUMMYFUNCTION("""COMPUTED_VALUE"""),"cam kết")</f>
        <v>cam kết</v>
      </c>
      <c r="P38" s="1"/>
      <c r="Q38" s="1"/>
      <c r="R38" s="1" t="str">
        <f ca="1">IFERROR(__xludf.DUMMYFUNCTION("""COMPUTED_VALUE"""),"18/12/2025")</f>
        <v>18/12/2025</v>
      </c>
      <c r="S38" s="1" t="str">
        <f ca="1">IFERROR(__xludf.DUMMYFUNCTION("""COMPUTED_VALUE"""),"thực tập TN, Thi TN")</f>
        <v>thực tập TN, Thi TN</v>
      </c>
      <c r="T38" s="1" t="str">
        <f ca="1">IFERROR(__xludf.DUMMYFUNCTION("""COMPUTED_VALUE"""),"Đã email cấp giấy giới thiệu ngày 18/12/2025")</f>
        <v>Đã email cấp giấy giới thiệu ngày 18/12/2025</v>
      </c>
      <c r="U38" s="1"/>
      <c r="V38" s="1"/>
      <c r="W38" s="1" t="str">
        <f ca="1">IFERROR(__xludf.DUMMYFUNCTION("""COMPUTED_VALUE"""),"K28DLK1")</f>
        <v>K28DLK1</v>
      </c>
      <c r="X38" s="1"/>
      <c r="Y38" s="1" t="str">
        <f ca="1">IFERROR(__xludf.DUMMYFUNCTION("""COMPUTED_VALUE"""),"Hyatt Regency Danang Resort and Spa")</f>
        <v>Hyatt Regency Danang Resort and Spa</v>
      </c>
      <c r="Z38" s="1" t="str">
        <f ca="1">IFERROR(__xludf.DUMMYFUNCTION("""COMPUTED_VALUE"""),"Buồng phòng")</f>
        <v>Buồng phòng</v>
      </c>
      <c r="AA38" s="1" t="str">
        <f ca="1">IFERROR(__xludf.DUMMYFUNCTION("""COMPUTED_VALUE"""),"DUYỆT")</f>
        <v>DUYỆT</v>
      </c>
      <c r="AB38" s="4">
        <f ca="1">IFERROR(__xludf.DUMMYFUNCTION("""COMPUTED_VALUE"""),46357)</f>
        <v>46357</v>
      </c>
      <c r="AC38" s="1" t="str">
        <f ca="1">IFERROR(__xludf.DUMMYFUNCTION("""COMPUTED_VALUE"""),"BÁO CÁO THỰC TẬP TỐT NGHIỆP")</f>
        <v>BÁO CÁO THỰC TẬP TỐT NGHIỆP</v>
      </c>
      <c r="AD38" s="1" t="str">
        <f ca="1">IFERROR(__xludf.DUMMYFUNCTION("""COMPUTED_VALUE"""),"Phạm Thị Thu Thủy")</f>
        <v>Phạm Thị Thu Thủy</v>
      </c>
      <c r="AE38" s="1" t="str">
        <f ca="1">IFERROR(__xludf.DUMMYFUNCTION("""COMPUTED_VALUE"""),"Thạc sĩ")</f>
        <v>Thạc sĩ</v>
      </c>
      <c r="AF38" s="1" t="str">
        <f ca="1">IFERROR(__xludf.DUMMYFUNCTION("""COMPUTED_VALUE"""),"0938290678")</f>
        <v>0938290678</v>
      </c>
      <c r="AG38" s="1" t="str">
        <f ca="1">IFERROR(__xludf.DUMMYFUNCTION("""COMPUTED_VALUE"""),"phamtthuthuy2@dtu-hti.edu.vn")</f>
        <v>phamtthuthuy2@dtu-hti.edu.vn</v>
      </c>
      <c r="AH38" s="1" t="str">
        <f ca="1">IFERROR(__xludf.DUMMYFUNCTION("""COMPUTED_VALUE"""),"Báo cáo kết quả thực tập và thực trạng quy trình vệ sinh khu vực công cộng tại bộ phận buồng Hyatt Regency Danang Resort and Spa")</f>
        <v>Báo cáo kết quả thực tập và thực trạng quy trình vệ sinh khu vực công cộng tại bộ phận buồng Hyatt Regency Danang Resort and Spa</v>
      </c>
      <c r="AI38" s="1"/>
    </row>
    <row r="39" spans="1:35" x14ac:dyDescent="0.2">
      <c r="A39" s="3">
        <f ca="1">IFERROR(__xludf.DUMMYFUNCTION("""COMPUTED_VALUE"""),45994.5149359259)</f>
        <v>45994.514935925901</v>
      </c>
      <c r="B39" s="1" t="str">
        <f ca="1">IFERROR(__xludf.DUMMYFUNCTION("""COMPUTED_VALUE"""),"khuynh643@gmail.com")</f>
        <v>khuynh643@gmail.com</v>
      </c>
      <c r="C39" s="1">
        <f ca="1">IFERROR(__xludf.DUMMYFUNCTION("""COMPUTED_VALUE"""),27217153816)</f>
        <v>27217153816</v>
      </c>
      <c r="D39" s="1" t="str">
        <f ca="1">IFERROR(__xludf.DUMMYFUNCTION("""COMPUTED_VALUE"""),"Huỳnh Văn Nhật Khánh")</f>
        <v>Huỳnh Văn Nhật Khánh</v>
      </c>
      <c r="E39" s="1"/>
      <c r="F39" s="1" t="str">
        <f ca="1">IFERROR(__xludf.DUMMYFUNCTION("""COMPUTED_VALUE"""),"K27DLK6")</f>
        <v>K27DLK6</v>
      </c>
      <c r="G39" s="1" t="str">
        <f ca="1">IFERROR(__xludf.DUMMYFUNCTION("""COMPUTED_VALUE"""),"Quản trị Du lịch &amp; Khách sạn")</f>
        <v>Quản trị Du lịch &amp; Khách sạn</v>
      </c>
      <c r="H39" s="1" t="str">
        <f ca="1">IFERROR(__xludf.DUMMYFUNCTION("""COMPUTED_VALUE"""),"K27")</f>
        <v>K27</v>
      </c>
      <c r="I39" s="1" t="str">
        <f ca="1">IFERROR(__xludf.DUMMYFUNCTION("""COMPUTED_VALUE"""),"0795704140")</f>
        <v>0795704140</v>
      </c>
      <c r="J39" s="1">
        <f ca="1">IFERROR(__xludf.DUMMYFUNCTION("""COMPUTED_VALUE"""),2.58)</f>
        <v>2.58</v>
      </c>
      <c r="K39" s="1">
        <f ca="1">IFERROR(__xludf.DUMMYFUNCTION("""COMPUTED_VALUE"""),123)</f>
        <v>123</v>
      </c>
      <c r="L39" s="1" t="str">
        <f ca="1">IFERROR(__xludf.DUMMYFUNCTION("""COMPUTED_VALUE"""),"Rồi")</f>
        <v>Rồi</v>
      </c>
      <c r="M39" s="1" t="str">
        <f ca="1">IFERROR(__xludf.DUMMYFUNCTION("""COMPUTED_VALUE"""),"Thực tập tốt nghiệp, Thi tốt nghiệp, Công nhận tốt nghiệp")</f>
        <v>Thực tập tốt nghiệp, Thi tốt nghiệp, Công nhận tốt nghiệp</v>
      </c>
      <c r="N39" s="1">
        <f ca="1">IFERROR(__xludf.DUMMYFUNCTION("""COMPUTED_VALUE"""),0)</f>
        <v>0</v>
      </c>
      <c r="O39" s="1" t="str">
        <f ca="1">IFERROR(__xludf.DUMMYFUNCTION("""COMPUTED_VALUE"""),"cam kết")</f>
        <v>cam kết</v>
      </c>
      <c r="P39" s="1" t="str">
        <f ca="1">IFERROR(__xludf.DUMMYFUNCTION("""COMPUTED_VALUE"""),"ĐÃ NỘP")</f>
        <v>ĐÃ NỘP</v>
      </c>
      <c r="Q39" s="1">
        <f ca="1">IFERROR(__xludf.DUMMYFUNCTION("""COMPUTED_VALUE"""),3)</f>
        <v>3</v>
      </c>
      <c r="R39" s="1" t="str">
        <f ca="1">IFERROR(__xludf.DUMMYFUNCTION("""COMPUTED_VALUE"""),"18/12/2025")</f>
        <v>18/12/2025</v>
      </c>
      <c r="S39" s="1" t="str">
        <f ca="1">IFERROR(__xludf.DUMMYFUNCTION("""COMPUTED_VALUE"""),"thực tập TN, Thi TN")</f>
        <v>thực tập TN, Thi TN</v>
      </c>
      <c r="T39" s="1" t="str">
        <f ca="1">IFERROR(__xludf.DUMMYFUNCTION("""COMPUTED_VALUE"""),"Đã email cấp giấy giới thiệu ngày 18/12/2025")</f>
        <v>Đã email cấp giấy giới thiệu ngày 18/12/2025</v>
      </c>
      <c r="U39" s="1"/>
      <c r="V39" s="1"/>
      <c r="W39" s="1" t="str">
        <f ca="1">IFERROR(__xludf.DUMMYFUNCTION("""COMPUTED_VALUE"""),"K27DLK6")</f>
        <v>K27DLK6</v>
      </c>
      <c r="X39" s="1"/>
      <c r="Y39" s="1" t="str">
        <f ca="1">IFERROR(__xludf.DUMMYFUNCTION("""COMPUTED_VALUE"""),"Hyatt Regency Danang Resort and Spa")</f>
        <v>Hyatt Regency Danang Resort and Spa</v>
      </c>
      <c r="Z39" s="1" t="str">
        <f ca="1">IFERROR(__xludf.DUMMYFUNCTION("""COMPUTED_VALUE"""),"Nhà hàng")</f>
        <v>Nhà hàng</v>
      </c>
      <c r="AA39" s="1" t="str">
        <f ca="1">IFERROR(__xludf.DUMMYFUNCTION("""COMPUTED_VALUE"""),"DUYỆT")</f>
        <v>DUYỆT</v>
      </c>
      <c r="AB39" s="4">
        <f ca="1">IFERROR(__xludf.DUMMYFUNCTION("""COMPUTED_VALUE"""),46143)</f>
        <v>46143</v>
      </c>
      <c r="AC39" s="1" t="str">
        <f ca="1">IFERROR(__xludf.DUMMYFUNCTION("""COMPUTED_VALUE"""),"BÁO CÁO THỰC TẬP TỐT NGHIỆP")</f>
        <v>BÁO CÁO THỰC TẬP TỐT NGHIỆP</v>
      </c>
      <c r="AD39" s="1" t="str">
        <f ca="1">IFERROR(__xludf.DUMMYFUNCTION("""COMPUTED_VALUE"""),"Dương Thị Xuân Diệu")</f>
        <v>Dương Thị Xuân Diệu</v>
      </c>
      <c r="AE39" s="1" t="str">
        <f ca="1">IFERROR(__xludf.DUMMYFUNCTION("""COMPUTED_VALUE"""),"Thạc sĩ")</f>
        <v>Thạc sĩ</v>
      </c>
      <c r="AF39" s="1" t="str">
        <f ca="1">IFERROR(__xludf.DUMMYFUNCTION("""COMPUTED_VALUE"""),"0905938748")</f>
        <v>0905938748</v>
      </c>
      <c r="AG39" s="1" t="str">
        <f ca="1">IFERROR(__xludf.DUMMYFUNCTION("""COMPUTED_VALUE"""),"duongtxuandieu@dtu-hti.edu.vn")</f>
        <v>duongtxuandieu@dtu-hti.edu.vn</v>
      </c>
      <c r="AH39" s="1" t="str">
        <f ca="1">IFERROR(__xludf.DUMMYFUNCTION("""COMPUTED_VALUE"""),"Báo cáo kết quả thực tập và thực trạng các yếu tố ảnh hưởng đến chất lượng phục vụ tại nhà hàng Vive Océane thuộc Hyatt Regency Danang Resort &amp; Spa")</f>
        <v>Báo cáo kết quả thực tập và thực trạng các yếu tố ảnh hưởng đến chất lượng phục vụ tại nhà hàng Vive Océane thuộc Hyatt Regency Danang Resort &amp; Spa</v>
      </c>
      <c r="AI39" s="1"/>
    </row>
    <row r="40" spans="1:35" x14ac:dyDescent="0.2">
      <c r="A40" s="3">
        <f ca="1">IFERROR(__xludf.DUMMYFUNCTION("""COMPUTED_VALUE"""),45994.6623199189)</f>
        <v>45994.662319918898</v>
      </c>
      <c r="B40" s="1" t="str">
        <f ca="1">IFERROR(__xludf.DUMMYFUNCTION("""COMPUTED_VALUE"""),"thuong04032018@gmail.com")</f>
        <v>thuong04032018@gmail.com</v>
      </c>
      <c r="C40" s="1">
        <f ca="1">IFERROR(__xludf.DUMMYFUNCTION("""COMPUTED_VALUE"""),28208002336)</f>
        <v>28208002336</v>
      </c>
      <c r="D40" s="1" t="str">
        <f ca="1">IFERROR(__xludf.DUMMYFUNCTION("""COMPUTED_VALUE"""),"Nguyễn Thị Hoài Thương")</f>
        <v>Nguyễn Thị Hoài Thương</v>
      </c>
      <c r="E40" s="1"/>
      <c r="F40" s="1" t="str">
        <f ca="1">IFERROR(__xludf.DUMMYFUNCTION("""COMPUTED_VALUE"""),"K28DLK 5")</f>
        <v>K28DLK 5</v>
      </c>
      <c r="G40" s="1" t="str">
        <f ca="1">IFERROR(__xludf.DUMMYFUNCTION("""COMPUTED_VALUE"""),"Quản trị Du lịch &amp; Khách sạn")</f>
        <v>Quản trị Du lịch &amp; Khách sạn</v>
      </c>
      <c r="H40" s="1" t="str">
        <f ca="1">IFERROR(__xludf.DUMMYFUNCTION("""COMPUTED_VALUE"""),"K28")</f>
        <v>K28</v>
      </c>
      <c r="I40" s="1" t="str">
        <f ca="1">IFERROR(__xludf.DUMMYFUNCTION("""COMPUTED_VALUE"""),"0905516828")</f>
        <v>0905516828</v>
      </c>
      <c r="J40" s="1">
        <f ca="1">IFERROR(__xludf.DUMMYFUNCTION("""COMPUTED_VALUE"""),2.51)</f>
        <v>2.5099999999999998</v>
      </c>
      <c r="K40" s="1">
        <f ca="1">IFERROR(__xludf.DUMMYFUNCTION("""COMPUTED_VALUE"""),110)</f>
        <v>110</v>
      </c>
      <c r="L40" s="1" t="str">
        <f ca="1">IFERROR(__xludf.DUMMYFUNCTION("""COMPUTED_VALUE"""),"Rồi")</f>
        <v>Rồi</v>
      </c>
      <c r="M40" s="1" t="str">
        <f ca="1">IFERROR(__xludf.DUMMYFUNCTION("""COMPUTED_VALUE"""),"Thực tập tốt nghiệp, Thi tốt nghiệp, Công nhận tốt nghiệp")</f>
        <v>Thực tập tốt nghiệp, Thi tốt nghiệp, Công nhận tốt nghiệp</v>
      </c>
      <c r="N40" s="1">
        <f ca="1">IFERROR(__xludf.DUMMYFUNCTION("""COMPUTED_VALUE"""),13)</f>
        <v>13</v>
      </c>
      <c r="O40" s="1" t="str">
        <f ca="1">IFERROR(__xludf.DUMMYFUNCTION("""COMPUTED_VALUE"""),"cam kết")</f>
        <v>cam kết</v>
      </c>
      <c r="P40" s="1"/>
      <c r="Q40" s="1"/>
      <c r="R40" s="1" t="str">
        <f ca="1">IFERROR(__xludf.DUMMYFUNCTION("""COMPUTED_VALUE"""),"18/12/2025")</f>
        <v>18/12/2025</v>
      </c>
      <c r="S40" s="1" t="str">
        <f ca="1">IFERROR(__xludf.DUMMYFUNCTION("""COMPUTED_VALUE"""),"thực tập TN, Thi TN")</f>
        <v>thực tập TN, Thi TN</v>
      </c>
      <c r="T40" s="1" t="str">
        <f ca="1">IFERROR(__xludf.DUMMYFUNCTION("""COMPUTED_VALUE"""),"Đã email cấp giấy giới thiệu ngày 18/12/2025")</f>
        <v>Đã email cấp giấy giới thiệu ngày 18/12/2025</v>
      </c>
      <c r="U40" s="1"/>
      <c r="V40" s="1"/>
      <c r="W40" s="1" t="str">
        <f ca="1">IFERROR(__xludf.DUMMYFUNCTION("""COMPUTED_VALUE"""),"K28DLK5")</f>
        <v>K28DLK5</v>
      </c>
      <c r="X40" s="1"/>
      <c r="Y40" s="1" t="str">
        <f ca="1">IFERROR(__xludf.DUMMYFUNCTION("""COMPUTED_VALUE"""),"Novotel Danang Premier Han River")</f>
        <v>Novotel Danang Premier Han River</v>
      </c>
      <c r="Z40" s="1" t="str">
        <f ca="1">IFERROR(__xludf.DUMMYFUNCTION("""COMPUTED_VALUE"""),"Nhà hàng")</f>
        <v>Nhà hàng</v>
      </c>
      <c r="AA40" s="1" t="str">
        <f ca="1">IFERROR(__xludf.DUMMYFUNCTION("""COMPUTED_VALUE"""),"DUYỆT")</f>
        <v>DUYỆT</v>
      </c>
      <c r="AB40" s="1" t="str">
        <f ca="1">IFERROR(__xludf.DUMMYFUNCTION("""COMPUTED_VALUE"""),"25/12/2025")</f>
        <v>25/12/2025</v>
      </c>
      <c r="AC40" s="1" t="str">
        <f ca="1">IFERROR(__xludf.DUMMYFUNCTION("""COMPUTED_VALUE"""),"BÁO CÁO THỰC TẬP TỐT NGHIỆP")</f>
        <v>BÁO CÁO THỰC TẬP TỐT NGHIỆP</v>
      </c>
      <c r="AD40" s="1" t="str">
        <f ca="1">IFERROR(__xludf.DUMMYFUNCTION("""COMPUTED_VALUE"""),"Huỳnh Lý Thùy Linh")</f>
        <v>Huỳnh Lý Thùy Linh</v>
      </c>
      <c r="AE40" s="1" t="str">
        <f ca="1">IFERROR(__xludf.DUMMYFUNCTION("""COMPUTED_VALUE"""),"Thạc sĩ")</f>
        <v>Thạc sĩ</v>
      </c>
      <c r="AF40" s="1" t="str">
        <f ca="1">IFERROR(__xludf.DUMMYFUNCTION("""COMPUTED_VALUE"""),"0702605664")</f>
        <v>0702605664</v>
      </c>
      <c r="AG40" s="1" t="str">
        <f ca="1">IFERROR(__xludf.DUMMYFUNCTION("""COMPUTED_VALUE"""),"huynhlthuylinh@dtu-hti.edu.vn")</f>
        <v>huynhlthuylinh@dtu-hti.edu.vn</v>
      </c>
      <c r="AH40" s="1" t="str">
        <f ca="1">IFERROR(__xludf.DUMMYFUNCTION("""COMPUTED_VALUE"""),"Báo cáo kết quả thực tập và thực trạng quy trình phục vụ buffet sáng tại nhà hàng The Square thuộc Novotel Danang Premier Han River")</f>
        <v>Báo cáo kết quả thực tập và thực trạng quy trình phục vụ buffet sáng tại nhà hàng The Square thuộc Novotel Danang Premier Han River</v>
      </c>
      <c r="AI40" s="1"/>
    </row>
    <row r="41" spans="1:35" x14ac:dyDescent="0.2">
      <c r="A41" s="3">
        <f ca="1">IFERROR(__xludf.DUMMYFUNCTION("""COMPUTED_VALUE"""),45994.5905518981)</f>
        <v>45994.590551898102</v>
      </c>
      <c r="B41" s="1" t="str">
        <f ca="1">IFERROR(__xludf.DUMMYFUNCTION("""COMPUTED_VALUE"""),"liennguyen.140104@gmail.com")</f>
        <v>liennguyen.140104@gmail.com</v>
      </c>
      <c r="C41" s="1">
        <f ca="1">IFERROR(__xludf.DUMMYFUNCTION("""COMPUTED_VALUE"""),28201143043)</f>
        <v>28201143043</v>
      </c>
      <c r="D41" s="1" t="str">
        <f ca="1">IFERROR(__xludf.DUMMYFUNCTION("""COMPUTED_VALUE"""),"Nguyễn Thị Liên ")</f>
        <v xml:space="preserve">Nguyễn Thị Liên </v>
      </c>
      <c r="E41" s="1"/>
      <c r="F41" s="1" t="str">
        <f ca="1">IFERROR(__xludf.DUMMYFUNCTION("""COMPUTED_VALUE"""),"K28DLK8")</f>
        <v>K28DLK8</v>
      </c>
      <c r="G41" s="1" t="str">
        <f ca="1">IFERROR(__xludf.DUMMYFUNCTION("""COMPUTED_VALUE"""),"Quản trị Du lịch &amp; Khách sạn")</f>
        <v>Quản trị Du lịch &amp; Khách sạn</v>
      </c>
      <c r="H41" s="1" t="str">
        <f ca="1">IFERROR(__xludf.DUMMYFUNCTION("""COMPUTED_VALUE"""),"K28")</f>
        <v>K28</v>
      </c>
      <c r="I41" s="1" t="str">
        <f ca="1">IFERROR(__xludf.DUMMYFUNCTION("""COMPUTED_VALUE"""),"0901976723")</f>
        <v>0901976723</v>
      </c>
      <c r="J41" s="1">
        <f ca="1">IFERROR(__xludf.DUMMYFUNCTION("""COMPUTED_VALUE"""),3.2)</f>
        <v>3.2</v>
      </c>
      <c r="K41" s="1">
        <f ca="1">IFERROR(__xludf.DUMMYFUNCTION("""COMPUTED_VALUE"""),136)</f>
        <v>136</v>
      </c>
      <c r="L41" s="1" t="str">
        <f ca="1">IFERROR(__xludf.DUMMYFUNCTION("""COMPUTED_VALUE"""),"Rồi")</f>
        <v>Rồi</v>
      </c>
      <c r="M41" s="1" t="str">
        <f ca="1">IFERROR(__xludf.DUMMYFUNCTION("""COMPUTED_VALUE"""),"Thực tập tốt nghiệp, Thi tốt nghiệp, Công nhận tốt nghiệp")</f>
        <v>Thực tập tốt nghiệp, Thi tốt nghiệp, Công nhận tốt nghiệp</v>
      </c>
      <c r="N41" s="1">
        <f ca="1">IFERROR(__xludf.DUMMYFUNCTION("""COMPUTED_VALUE"""),12)</f>
        <v>12</v>
      </c>
      <c r="O41" s="1" t="str">
        <f ca="1">IFERROR(__xludf.DUMMYFUNCTION("""COMPUTED_VALUE"""),"cam kết")</f>
        <v>cam kết</v>
      </c>
      <c r="P41" s="1"/>
      <c r="Q41" s="1"/>
      <c r="R41" s="1" t="str">
        <f ca="1">IFERROR(__xludf.DUMMYFUNCTION("""COMPUTED_VALUE"""),"18/12/2025")</f>
        <v>18/12/2025</v>
      </c>
      <c r="S41" s="1" t="str">
        <f ca="1">IFERROR(__xludf.DUMMYFUNCTION("""COMPUTED_VALUE"""),"thực tập TN, Thi TN")</f>
        <v>thực tập TN, Thi TN</v>
      </c>
      <c r="T41" s="1" t="str">
        <f ca="1">IFERROR(__xludf.DUMMYFUNCTION("""COMPUTED_VALUE"""),"Đã email cấp giấy giới thiệu ngày 18/12/2025")</f>
        <v>Đã email cấp giấy giới thiệu ngày 18/12/2025</v>
      </c>
      <c r="U41" s="1"/>
      <c r="V41" s="1"/>
      <c r="W41" s="1" t="str">
        <f ca="1">IFERROR(__xludf.DUMMYFUNCTION("""COMPUTED_VALUE"""),"K28DLK8")</f>
        <v>K28DLK8</v>
      </c>
      <c r="X41" s="1"/>
      <c r="Y41" s="1" t="str">
        <f ca="1">IFERROR(__xludf.DUMMYFUNCTION("""COMPUTED_VALUE"""),"InterContinental Danang Sun Peninsula Resort")</f>
        <v>InterContinental Danang Sun Peninsula Resort</v>
      </c>
      <c r="Z41" s="1" t="str">
        <f ca="1">IFERROR(__xludf.DUMMYFUNCTION("""COMPUTED_VALUE"""),"Nhà hàng")</f>
        <v>Nhà hàng</v>
      </c>
      <c r="AA41" s="1" t="str">
        <f ca="1">IFERROR(__xludf.DUMMYFUNCTION("""COMPUTED_VALUE"""),"DUYỆT")</f>
        <v>DUYỆT</v>
      </c>
      <c r="AB41" s="1" t="str">
        <f ca="1">IFERROR(__xludf.DUMMYFUNCTION("""COMPUTED_VALUE"""),"15/01/2026")</f>
        <v>15/01/2026</v>
      </c>
      <c r="AC41" s="1" t="str">
        <f ca="1">IFERROR(__xludf.DUMMYFUNCTION("""COMPUTED_VALUE"""),"BÁO CÁO THỰC TẬP TỐT NGHIỆP")</f>
        <v>BÁO CÁO THỰC TẬP TỐT NGHIỆP</v>
      </c>
      <c r="AD41" s="1" t="str">
        <f ca="1">IFERROR(__xludf.DUMMYFUNCTION("""COMPUTED_VALUE"""),"Dương Thị Xuân Diệu")</f>
        <v>Dương Thị Xuân Diệu</v>
      </c>
      <c r="AE41" s="1" t="str">
        <f ca="1">IFERROR(__xludf.DUMMYFUNCTION("""COMPUTED_VALUE"""),"Thạc sĩ")</f>
        <v>Thạc sĩ</v>
      </c>
      <c r="AF41" s="1" t="str">
        <f ca="1">IFERROR(__xludf.DUMMYFUNCTION("""COMPUTED_VALUE"""),"0905938748")</f>
        <v>0905938748</v>
      </c>
      <c r="AG41" s="1" t="str">
        <f ca="1">IFERROR(__xludf.DUMMYFUNCTION("""COMPUTED_VALUE"""),"duongtxuandieu@dtu-hti.edu.vn")</f>
        <v>duongtxuandieu@dtu-hti.edu.vn</v>
      </c>
      <c r="AH41" s="1" t="str">
        <f ca="1">IFERROR(__xludf.DUMMYFUNCTION("""COMPUTED_VALUE"""),"Báo cáo kết quả thực tập và thực trạng các yếu tố ảnh hưởng đến chất lượng phục vụ tại Long Bar thuộc Intercontinental Da Nang Sun Peninsula Resort ")</f>
        <v xml:space="preserve">Báo cáo kết quả thực tập và thực trạng các yếu tố ảnh hưởng đến chất lượng phục vụ tại Long Bar thuộc Intercontinental Da Nang Sun Peninsula Resort </v>
      </c>
      <c r="AI41" s="1"/>
    </row>
    <row r="42" spans="1:35" x14ac:dyDescent="0.2">
      <c r="A42" s="3">
        <f ca="1">IFERROR(__xludf.DUMMYFUNCTION("""COMPUTED_VALUE"""),45994.5868020254)</f>
        <v>45994.586802025398</v>
      </c>
      <c r="B42" s="1" t="str">
        <f ca="1">IFERROR(__xludf.DUMMYFUNCTION("""COMPUTED_VALUE"""),"thaonguyennn19032004@gmail.com")</f>
        <v>thaonguyennn19032004@gmail.com</v>
      </c>
      <c r="C42" s="1">
        <f ca="1">IFERROR(__xludf.DUMMYFUNCTION("""COMPUTED_VALUE"""),28208023818)</f>
        <v>28208023818</v>
      </c>
      <c r="D42" s="1" t="str">
        <f ca="1">IFERROR(__xludf.DUMMYFUNCTION("""COMPUTED_VALUE"""),"Hồ phạm thảo nguyên")</f>
        <v>Hồ phạm thảo nguyên</v>
      </c>
      <c r="E42" s="1"/>
      <c r="F42" s="1" t="str">
        <f ca="1">IFERROR(__xludf.DUMMYFUNCTION("""COMPUTED_VALUE"""),"K28 PSU DLK")</f>
        <v>K28 PSU DLK</v>
      </c>
      <c r="G42" s="1" t="str">
        <f ca="1">IFERROR(__xludf.DUMMYFUNCTION("""COMPUTED_VALUE"""),"Quản trị Du lịch &amp; Khách sạn chuẩn PSU")</f>
        <v>Quản trị Du lịch &amp; Khách sạn chuẩn PSU</v>
      </c>
      <c r="H42" s="1" t="str">
        <f ca="1">IFERROR(__xludf.DUMMYFUNCTION("""COMPUTED_VALUE"""),"K28")</f>
        <v>K28</v>
      </c>
      <c r="I42" s="1" t="str">
        <f ca="1">IFERROR(__xludf.DUMMYFUNCTION("""COMPUTED_VALUE"""),"0888776063")</f>
        <v>0888776063</v>
      </c>
      <c r="J42" s="1">
        <f ca="1">IFERROR(__xludf.DUMMYFUNCTION("""COMPUTED_VALUE"""),2.07)</f>
        <v>2.0699999999999998</v>
      </c>
      <c r="K42" s="1">
        <f ca="1">IFERROR(__xludf.DUMMYFUNCTION("""COMPUTED_VALUE"""),109)</f>
        <v>109</v>
      </c>
      <c r="L42" s="1" t="str">
        <f ca="1">IFERROR(__xludf.DUMMYFUNCTION("""COMPUTED_VALUE"""),"Rồi")</f>
        <v>Rồi</v>
      </c>
      <c r="M42" s="1" t="str">
        <f ca="1">IFERROR(__xludf.DUMMYFUNCTION("""COMPUTED_VALUE"""),"Thực tập tốt nghiệp")</f>
        <v>Thực tập tốt nghiệp</v>
      </c>
      <c r="N42" s="1" t="str">
        <f ca="1">IFERROR(__xludf.DUMMYFUNCTION("""COMPUTED_VALUE"""),"5 tín")</f>
        <v>5 tín</v>
      </c>
      <c r="O42" s="1" t="str">
        <f ca="1">IFERROR(__xludf.DUMMYFUNCTION("""COMPUTED_VALUE"""),"cam kết")</f>
        <v>cam kết</v>
      </c>
      <c r="P42" s="1"/>
      <c r="Q42" s="1"/>
      <c r="R42" s="1" t="str">
        <f ca="1">IFERROR(__xludf.DUMMYFUNCTION("""COMPUTED_VALUE"""),"18/12/2025")</f>
        <v>18/12/2025</v>
      </c>
      <c r="S42" s="1" t="str">
        <f ca="1">IFERROR(__xludf.DUMMYFUNCTION("""COMPUTED_VALUE"""),"thực tập TN, Thi TN")</f>
        <v>thực tập TN, Thi TN</v>
      </c>
      <c r="T42" s="1" t="str">
        <f ca="1">IFERROR(__xludf.DUMMYFUNCTION("""COMPUTED_VALUE"""),"Đã email cấp giấy giới thiệu ngày 18/12/2025")</f>
        <v>Đã email cấp giấy giới thiệu ngày 18/12/2025</v>
      </c>
      <c r="U42" s="1"/>
      <c r="V42" s="1"/>
      <c r="W42" s="1" t="str">
        <f ca="1">IFERROR(__xludf.DUMMYFUNCTION("""COMPUTED_VALUE"""),"K28PSU-DLK")</f>
        <v>K28PSU-DLK</v>
      </c>
      <c r="X42" s="1"/>
      <c r="Y42" s="1" t="str">
        <f ca="1">IFERROR(__xludf.DUMMYFUNCTION("""COMPUTED_VALUE"""),"InterContinental Danang Sun Peninsula Resort")</f>
        <v>InterContinental Danang Sun Peninsula Resort</v>
      </c>
      <c r="Z42" s="1" t="str">
        <f ca="1">IFERROR(__xludf.DUMMYFUNCTION("""COMPUTED_VALUE"""),"Buồng phòng")</f>
        <v>Buồng phòng</v>
      </c>
      <c r="AA42" s="1" t="str">
        <f ca="1">IFERROR(__xludf.DUMMYFUNCTION("""COMPUTED_VALUE"""),"DUYỆT")</f>
        <v>DUYỆT</v>
      </c>
      <c r="AB42" s="1" t="str">
        <f ca="1">IFERROR(__xludf.DUMMYFUNCTION("""COMPUTED_VALUE"""),"27/01/2026")</f>
        <v>27/01/2026</v>
      </c>
      <c r="AC42" s="1" t="str">
        <f ca="1">IFERROR(__xludf.DUMMYFUNCTION("""COMPUTED_VALUE"""),"BÁO CÁO THỰC TẬP TỐT NGHIỆP")</f>
        <v>BÁO CÁO THỰC TẬP TỐT NGHIỆP</v>
      </c>
      <c r="AD42" s="1" t="str">
        <f ca="1">IFERROR(__xludf.DUMMYFUNCTION("""COMPUTED_VALUE"""),"Hồ Minh Phúc")</f>
        <v>Hồ Minh Phúc</v>
      </c>
      <c r="AE42" s="1" t="str">
        <f ca="1">IFERROR(__xludf.DUMMYFUNCTION("""COMPUTED_VALUE"""),"Thạc sĩ")</f>
        <v>Thạc sĩ</v>
      </c>
      <c r="AF42" s="1" t="str">
        <f ca="1">IFERROR(__xludf.DUMMYFUNCTION("""COMPUTED_VALUE"""),"0935336716")</f>
        <v>0935336716</v>
      </c>
      <c r="AG42" s="1" t="str">
        <f ca="1">IFERROR(__xludf.DUMMYFUNCTION("""COMPUTED_VALUE"""),"hominhphuc@dtu-hti.edu.vn")</f>
        <v>hominhphuc@dtu-hti.edu.vn</v>
      </c>
      <c r="AH42" s="1" t="str">
        <f ca="1">IFERROR(__xludf.DUMMYFUNCTION("""COMPUTED_VALUE"""),"Báo cáo kết quả thực tập và thực trạng quy trình tiếp nhận và xử lý thông tin tại văn phòng bộ phận Buồng phòng của Intercontinental DaNang Sun Peninsula Resort")</f>
        <v>Báo cáo kết quả thực tập và thực trạng quy trình tiếp nhận và xử lý thông tin tại văn phòng bộ phận Buồng phòng của Intercontinental DaNang Sun Peninsula Resort</v>
      </c>
      <c r="AI42" s="1"/>
    </row>
    <row r="43" spans="1:35" x14ac:dyDescent="0.2">
      <c r="A43" s="3">
        <f ca="1">IFERROR(__xludf.DUMMYFUNCTION("""COMPUTED_VALUE"""),45994.5968571064)</f>
        <v>45994.5968571064</v>
      </c>
      <c r="B43" s="1" t="str">
        <f ca="1">IFERROR(__xludf.DUMMYFUNCTION("""COMPUTED_VALUE"""),"nguyenhien26604@gmail.com")</f>
        <v>nguyenhien26604@gmail.com</v>
      </c>
      <c r="C43" s="1">
        <f ca="1">IFERROR(__xludf.DUMMYFUNCTION("""COMPUTED_VALUE"""),28204706232)</f>
        <v>28204706232</v>
      </c>
      <c r="D43" s="1" t="str">
        <f ca="1">IFERROR(__xludf.DUMMYFUNCTION("""COMPUTED_VALUE"""),"Nguyễn Hồ Thị Khánh Hiền")</f>
        <v>Nguyễn Hồ Thị Khánh Hiền</v>
      </c>
      <c r="E43" s="1"/>
      <c r="F43" s="1" t="str">
        <f ca="1">IFERROR(__xludf.DUMMYFUNCTION("""COMPUTED_VALUE"""),"K28DLK2")</f>
        <v>K28DLK2</v>
      </c>
      <c r="G43" s="1" t="str">
        <f ca="1">IFERROR(__xludf.DUMMYFUNCTION("""COMPUTED_VALUE"""),"Quản trị Du lịch &amp; Khách sạn")</f>
        <v>Quản trị Du lịch &amp; Khách sạn</v>
      </c>
      <c r="H43" s="1" t="str">
        <f ca="1">IFERROR(__xludf.DUMMYFUNCTION("""COMPUTED_VALUE"""),"K28")</f>
        <v>K28</v>
      </c>
      <c r="I43" s="1" t="str">
        <f ca="1">IFERROR(__xludf.DUMMYFUNCTION("""COMPUTED_VALUE"""),"0765836812")</f>
        <v>0765836812</v>
      </c>
      <c r="J43" s="1">
        <f ca="1">IFERROR(__xludf.DUMMYFUNCTION("""COMPUTED_VALUE"""),2.75)</f>
        <v>2.75</v>
      </c>
      <c r="K43" s="1">
        <f ca="1">IFERROR(__xludf.DUMMYFUNCTION("""COMPUTED_VALUE"""),116)</f>
        <v>116</v>
      </c>
      <c r="L43" s="1" t="str">
        <f ca="1">IFERROR(__xludf.DUMMYFUNCTION("""COMPUTED_VALUE"""),"Rồi")</f>
        <v>Rồi</v>
      </c>
      <c r="M43" s="1" t="str">
        <f ca="1">IFERROR(__xludf.DUMMYFUNCTION("""COMPUTED_VALUE"""),"Thực tập tốt nghiệp, Thi tốt nghiệp, Công nhận tốt nghiệp")</f>
        <v>Thực tập tốt nghiệp, Thi tốt nghiệp, Công nhận tốt nghiệp</v>
      </c>
      <c r="N43" s="1">
        <f ca="1">IFERROR(__xludf.DUMMYFUNCTION("""COMPUTED_VALUE"""),7)</f>
        <v>7</v>
      </c>
      <c r="O43" s="1" t="str">
        <f ca="1">IFERROR(__xludf.DUMMYFUNCTION("""COMPUTED_VALUE"""),"cam kết")</f>
        <v>cam kết</v>
      </c>
      <c r="P43" s="1"/>
      <c r="Q43" s="1"/>
      <c r="R43" s="1" t="str">
        <f ca="1">IFERROR(__xludf.DUMMYFUNCTION("""COMPUTED_VALUE"""),"18/12/2025")</f>
        <v>18/12/2025</v>
      </c>
      <c r="S43" s="1" t="str">
        <f ca="1">IFERROR(__xludf.DUMMYFUNCTION("""COMPUTED_VALUE"""),"thực tập TN, Thi TN")</f>
        <v>thực tập TN, Thi TN</v>
      </c>
      <c r="T43" s="1" t="str">
        <f ca="1">IFERROR(__xludf.DUMMYFUNCTION("""COMPUTED_VALUE"""),"Đã email cấp giấy giới thiệu ngày 18/12/2025")</f>
        <v>Đã email cấp giấy giới thiệu ngày 18/12/2025</v>
      </c>
      <c r="U43" s="1"/>
      <c r="V43" s="1"/>
      <c r="W43" s="1" t="str">
        <f ca="1">IFERROR(__xludf.DUMMYFUNCTION("""COMPUTED_VALUE"""),"K28DLK2")</f>
        <v>K28DLK2</v>
      </c>
      <c r="X43" s="1"/>
      <c r="Y43" s="1" t="str">
        <f ca="1">IFERROR(__xludf.DUMMYFUNCTION("""COMPUTED_VALUE"""),"Peninsula Hotel Danang")</f>
        <v>Peninsula Hotel Danang</v>
      </c>
      <c r="Z43" s="1" t="str">
        <f ca="1">IFERROR(__xludf.DUMMYFUNCTION("""COMPUTED_VALUE"""),"Nhà hàng")</f>
        <v>Nhà hàng</v>
      </c>
      <c r="AA43" s="1" t="str">
        <f ca="1">IFERROR(__xludf.DUMMYFUNCTION("""COMPUTED_VALUE"""),"DUYỆT")</f>
        <v>DUYỆT</v>
      </c>
      <c r="AB43" s="1" t="str">
        <f ca="1">IFERROR(__xludf.DUMMYFUNCTION("""COMPUTED_VALUE"""),"23/01/2026")</f>
        <v>23/01/2026</v>
      </c>
      <c r="AC43" s="1" t="str">
        <f ca="1">IFERROR(__xludf.DUMMYFUNCTION("""COMPUTED_VALUE"""),"BÁO CÁO THỰC TẬP TỐT NGHIỆP")</f>
        <v>BÁO CÁO THỰC TẬP TỐT NGHIỆP</v>
      </c>
      <c r="AD43" s="1" t="str">
        <f ca="1">IFERROR(__xludf.DUMMYFUNCTION("""COMPUTED_VALUE"""),"Đặng Thị Thùy Trang")</f>
        <v>Đặng Thị Thùy Trang</v>
      </c>
      <c r="AE43" s="1" t="str">
        <f ca="1">IFERROR(__xludf.DUMMYFUNCTION("""COMPUTED_VALUE"""),"Thạc sĩ")</f>
        <v>Thạc sĩ</v>
      </c>
      <c r="AF43" s="1" t="str">
        <f ca="1">IFERROR(__xludf.DUMMYFUNCTION("""COMPUTED_VALUE"""),"0327892117")</f>
        <v>0327892117</v>
      </c>
      <c r="AG43" s="1" t="str">
        <f ca="1">IFERROR(__xludf.DUMMYFUNCTION("""COMPUTED_VALUE"""),"dangtthuytrang3@dtu-hti.edu.vn")</f>
        <v>dangtthuytrang3@dtu-hti.edu.vn</v>
      </c>
      <c r="AH43" s="1" t="str">
        <f ca="1">IFERROR(__xludf.DUMMYFUNCTION("""COMPUTED_VALUE"""),"Báo cáo kết quả thực tập và thực trạng các yếu tố ảnh hưởng đến chất lượng phục vụ tại nhà hàng The Veranda thuộc Peninsula Hotel Danang")</f>
        <v>Báo cáo kết quả thực tập và thực trạng các yếu tố ảnh hưởng đến chất lượng phục vụ tại nhà hàng The Veranda thuộc Peninsula Hotel Danang</v>
      </c>
      <c r="AI43" s="1"/>
    </row>
    <row r="44" spans="1:35" x14ac:dyDescent="0.2">
      <c r="A44" s="3">
        <f ca="1">IFERROR(__xludf.DUMMYFUNCTION("""COMPUTED_VALUE"""),45994.5989009027)</f>
        <v>45994.598900902703</v>
      </c>
      <c r="B44" s="1" t="str">
        <f ca="1">IFERROR(__xludf.DUMMYFUNCTION("""COMPUTED_VALUE"""),"nguyenthimytam060104@gmail.com")</f>
        <v>nguyenthimytam060104@gmail.com</v>
      </c>
      <c r="C44" s="1">
        <f ca="1">IFERROR(__xludf.DUMMYFUNCTION("""COMPUTED_VALUE"""),28209238485)</f>
        <v>28209238485</v>
      </c>
      <c r="D44" s="1" t="str">
        <f ca="1">IFERROR(__xludf.DUMMYFUNCTION("""COMPUTED_VALUE"""),"Nguyễn Thị Mỹ Tâm")</f>
        <v>Nguyễn Thị Mỹ Tâm</v>
      </c>
      <c r="E44" s="1"/>
      <c r="F44" s="1" t="str">
        <f ca="1">IFERROR(__xludf.DUMMYFUNCTION("""COMPUTED_VALUE"""),"K28DLK5")</f>
        <v>K28DLK5</v>
      </c>
      <c r="G44" s="1" t="str">
        <f ca="1">IFERROR(__xludf.DUMMYFUNCTION("""COMPUTED_VALUE"""),"Quản trị Du lịch &amp; Khách sạn")</f>
        <v>Quản trị Du lịch &amp; Khách sạn</v>
      </c>
      <c r="H44" s="1" t="str">
        <f ca="1">IFERROR(__xludf.DUMMYFUNCTION("""COMPUTED_VALUE"""),"K28")</f>
        <v>K28</v>
      </c>
      <c r="I44" s="1" t="str">
        <f ca="1">IFERROR(__xludf.DUMMYFUNCTION("""COMPUTED_VALUE"""),"0946120495")</f>
        <v>0946120495</v>
      </c>
      <c r="J44" s="1">
        <f ca="1">IFERROR(__xludf.DUMMYFUNCTION("""COMPUTED_VALUE"""),3.48)</f>
        <v>3.48</v>
      </c>
      <c r="K44" s="1">
        <f ca="1">IFERROR(__xludf.DUMMYFUNCTION("""COMPUTED_VALUE"""),136)</f>
        <v>136</v>
      </c>
      <c r="L44" s="1" t="str">
        <f ca="1">IFERROR(__xludf.DUMMYFUNCTION("""COMPUTED_VALUE"""),"Rồi")</f>
        <v>Rồi</v>
      </c>
      <c r="M44" s="1" t="str">
        <f ca="1">IFERROR(__xludf.DUMMYFUNCTION("""COMPUTED_VALUE"""),"Thực tập tốt nghiệp, Thi tốt nghiệp, Công nhận tốt nghiệp")</f>
        <v>Thực tập tốt nghiệp, Thi tốt nghiệp, Công nhận tốt nghiệp</v>
      </c>
      <c r="N44" s="1">
        <f ca="1">IFERROR(__xludf.DUMMYFUNCTION("""COMPUTED_VALUE"""),12)</f>
        <v>12</v>
      </c>
      <c r="O44" s="1" t="str">
        <f ca="1">IFERROR(__xludf.DUMMYFUNCTION("""COMPUTED_VALUE"""),"cam kết")</f>
        <v>cam kết</v>
      </c>
      <c r="P44" s="1"/>
      <c r="Q44" s="1"/>
      <c r="R44" s="1" t="str">
        <f ca="1">IFERROR(__xludf.DUMMYFUNCTION("""COMPUTED_VALUE"""),"18/12/2025")</f>
        <v>18/12/2025</v>
      </c>
      <c r="S44" s="1" t="str">
        <f ca="1">IFERROR(__xludf.DUMMYFUNCTION("""COMPUTED_VALUE"""),"thực tập TN, Thi TN")</f>
        <v>thực tập TN, Thi TN</v>
      </c>
      <c r="T44" s="1" t="str">
        <f ca="1">IFERROR(__xludf.DUMMYFUNCTION("""COMPUTED_VALUE"""),"Đã email cấp giấy giới thiệu ngày 18/12/2025")</f>
        <v>Đã email cấp giấy giới thiệu ngày 18/12/2025</v>
      </c>
      <c r="U44" s="1"/>
      <c r="V44" s="1"/>
      <c r="W44" s="1" t="str">
        <f ca="1">IFERROR(__xludf.DUMMYFUNCTION("""COMPUTED_VALUE"""),"K28DLK5")</f>
        <v>K28DLK5</v>
      </c>
      <c r="X44" s="1"/>
      <c r="Y44" s="1" t="str">
        <f ca="1">IFERROR(__xludf.DUMMYFUNCTION("""COMPUTED_VALUE"""),"Hilton Garden Inn Đà Nẵng")</f>
        <v>Hilton Garden Inn Đà Nẵng</v>
      </c>
      <c r="Z44" s="1" t="str">
        <f ca="1">IFERROR(__xludf.DUMMYFUNCTION("""COMPUTED_VALUE"""),"Nhà hàng")</f>
        <v>Nhà hàng</v>
      </c>
      <c r="AA44" s="1" t="str">
        <f ca="1">IFERROR(__xludf.DUMMYFUNCTION("""COMPUTED_VALUE"""),"DUYỆT")</f>
        <v>DUYỆT</v>
      </c>
      <c r="AB44" s="1" t="str">
        <f ca="1">IFERROR(__xludf.DUMMYFUNCTION("""COMPUTED_VALUE"""),"19/01/2026")</f>
        <v>19/01/2026</v>
      </c>
      <c r="AC44" s="1" t="str">
        <f ca="1">IFERROR(__xludf.DUMMYFUNCTION("""COMPUTED_VALUE"""),"BÁO CÁO THỰC TẬP TỐT NGHIỆP")</f>
        <v>BÁO CÁO THỰC TẬP TỐT NGHIỆP</v>
      </c>
      <c r="AD44" s="1" t="str">
        <f ca="1">IFERROR(__xludf.DUMMYFUNCTION("""COMPUTED_VALUE"""),"Trần Hoàng Anh")</f>
        <v>Trần Hoàng Anh</v>
      </c>
      <c r="AE44" s="1" t="str">
        <f ca="1">IFERROR(__xludf.DUMMYFUNCTION("""COMPUTED_VALUE"""),"Thạc sĩ")</f>
        <v>Thạc sĩ</v>
      </c>
      <c r="AF44" s="1" t="str">
        <f ca="1">IFERROR(__xludf.DUMMYFUNCTION("""COMPUTED_VALUE"""),"0906 029 602")</f>
        <v>0906 029 602</v>
      </c>
      <c r="AG44" s="1" t="str">
        <f ca="1">IFERROR(__xludf.DUMMYFUNCTION("""COMPUTED_VALUE"""),"tranhoanganh@dtu-hti.edu.vn")</f>
        <v>tranhoanganh@dtu-hti.edu.vn</v>
      </c>
      <c r="AH44" s="1" t="str">
        <f ca="1">IFERROR(__xludf.DUMMYFUNCTION("""COMPUTED_VALUE""")," Báo cáo kết quả thực tập và  thực trạng quy trình phục vụ buffet sáng tại nhà hàng Together &amp; Co tại khách sạn Hilton Garden Inn Đà Nẵng")</f>
        <v xml:space="preserve"> Báo cáo kết quả thực tập và  thực trạng quy trình phục vụ buffet sáng tại nhà hàng Together &amp; Co tại khách sạn Hilton Garden Inn Đà Nẵng</v>
      </c>
      <c r="AI44" s="1"/>
    </row>
    <row r="45" spans="1:35" x14ac:dyDescent="0.2">
      <c r="A45" s="3">
        <f ca="1">IFERROR(__xludf.DUMMYFUNCTION("""COMPUTED_VALUE"""),45994.6357720601)</f>
        <v>45994.635772060101</v>
      </c>
      <c r="B45" s="1" t="str">
        <f ca="1">IFERROR(__xludf.DUMMYFUNCTION("""COMPUTED_VALUE"""),"vothuhoai510@gmail.com")</f>
        <v>vothuhoai510@gmail.com</v>
      </c>
      <c r="C45" s="1">
        <f ca="1">IFERROR(__xludf.DUMMYFUNCTION("""COMPUTED_VALUE"""),27202141732)</f>
        <v>27202141732</v>
      </c>
      <c r="D45" s="1" t="str">
        <f ca="1">IFERROR(__xludf.DUMMYFUNCTION("""COMPUTED_VALUE"""),"Võ Thái Thu Hoài")</f>
        <v>Võ Thái Thu Hoài</v>
      </c>
      <c r="E45" s="1"/>
      <c r="F45" s="1" t="str">
        <f ca="1">IFERROR(__xludf.DUMMYFUNCTION("""COMPUTED_VALUE"""),"K27DLK6")</f>
        <v>K27DLK6</v>
      </c>
      <c r="G45" s="1" t="str">
        <f ca="1">IFERROR(__xludf.DUMMYFUNCTION("""COMPUTED_VALUE"""),"Quản trị Du lịch &amp; Khách sạn")</f>
        <v>Quản trị Du lịch &amp; Khách sạn</v>
      </c>
      <c r="H45" s="1" t="str">
        <f ca="1">IFERROR(__xludf.DUMMYFUNCTION("""COMPUTED_VALUE"""),"K27")</f>
        <v>K27</v>
      </c>
      <c r="I45" s="1" t="str">
        <f ca="1">IFERROR(__xludf.DUMMYFUNCTION("""COMPUTED_VALUE"""),"0793595971")</f>
        <v>0793595971</v>
      </c>
      <c r="J45" s="1">
        <f ca="1">IFERROR(__xludf.DUMMYFUNCTION("""COMPUTED_VALUE"""),2.09)</f>
        <v>2.09</v>
      </c>
      <c r="K45" s="1">
        <f ca="1">IFERROR(__xludf.DUMMYFUNCTION("""COMPUTED_VALUE"""),119)</f>
        <v>119</v>
      </c>
      <c r="L45" s="1" t="str">
        <f ca="1">IFERROR(__xludf.DUMMYFUNCTION("""COMPUTED_VALUE"""),"Rồi")</f>
        <v>Rồi</v>
      </c>
      <c r="M45" s="1" t="str">
        <f ca="1">IFERROR(__xludf.DUMMYFUNCTION("""COMPUTED_VALUE"""),"Thực tập tốt nghiệp, Thi tốt nghiệp")</f>
        <v>Thực tập tốt nghiệp, Thi tốt nghiệp</v>
      </c>
      <c r="N45" s="1">
        <f ca="1">IFERROR(__xludf.DUMMYFUNCTION("""COMPUTED_VALUE"""),7)</f>
        <v>7</v>
      </c>
      <c r="O45" s="1" t="str">
        <f ca="1">IFERROR(__xludf.DUMMYFUNCTION("""COMPUTED_VALUE"""),"cam kết")</f>
        <v>cam kết</v>
      </c>
      <c r="P45" s="1" t="str">
        <f ca="1">IFERROR(__xludf.DUMMYFUNCTION("""COMPUTED_VALUE"""),"ĐÃ NỘP")</f>
        <v>ĐÃ NỘP</v>
      </c>
      <c r="Q45" s="1">
        <f ca="1">IFERROR(__xludf.DUMMYFUNCTION("""COMPUTED_VALUE"""),4)</f>
        <v>4</v>
      </c>
      <c r="R45" s="1" t="str">
        <f ca="1">IFERROR(__xludf.DUMMYFUNCTION("""COMPUTED_VALUE"""),"18/12/2025")</f>
        <v>18/12/2025</v>
      </c>
      <c r="S45" s="1" t="str">
        <f ca="1">IFERROR(__xludf.DUMMYFUNCTION("""COMPUTED_VALUE"""),"thực tập TN, Thi TN")</f>
        <v>thực tập TN, Thi TN</v>
      </c>
      <c r="T45" s="1" t="str">
        <f ca="1">IFERROR(__xludf.DUMMYFUNCTION("""COMPUTED_VALUE"""),"Đã email cấp giấy giới thiệu ngày 18/12/2025")</f>
        <v>Đã email cấp giấy giới thiệu ngày 18/12/2025</v>
      </c>
      <c r="U45" s="1"/>
      <c r="V45" s="1"/>
      <c r="W45" s="1" t="str">
        <f ca="1">IFERROR(__xludf.DUMMYFUNCTION("""COMPUTED_VALUE"""),"K27DLK6")</f>
        <v>K27DLK6</v>
      </c>
      <c r="X45" s="1"/>
      <c r="Y45" s="1" t="str">
        <f ca="1">IFERROR(__xludf.DUMMYFUNCTION("""COMPUTED_VALUE"""),"Hilton Da Nang")</f>
        <v>Hilton Da Nang</v>
      </c>
      <c r="Z45" s="1" t="str">
        <f ca="1">IFERROR(__xludf.DUMMYFUNCTION("""COMPUTED_VALUE"""),"Buồng phòng")</f>
        <v>Buồng phòng</v>
      </c>
      <c r="AA45" s="1" t="str">
        <f ca="1">IFERROR(__xludf.DUMMYFUNCTION("""COMPUTED_VALUE"""),"DUYỆT")</f>
        <v>DUYỆT</v>
      </c>
      <c r="AB45" s="1" t="str">
        <f ca="1">IFERROR(__xludf.DUMMYFUNCTION("""COMPUTED_VALUE"""),"14/01/2026")</f>
        <v>14/01/2026</v>
      </c>
      <c r="AC45" s="1" t="str">
        <f ca="1">IFERROR(__xludf.DUMMYFUNCTION("""COMPUTED_VALUE"""),"BÁO CÁO THỰC TẬP TỐT NGHIỆP")</f>
        <v>BÁO CÁO THỰC TẬP TỐT NGHIỆP</v>
      </c>
      <c r="AD45" s="1" t="str">
        <f ca="1">IFERROR(__xludf.DUMMYFUNCTION("""COMPUTED_VALUE"""),"Hồ Minh Phúc")</f>
        <v>Hồ Minh Phúc</v>
      </c>
      <c r="AE45" s="1" t="str">
        <f ca="1">IFERROR(__xludf.DUMMYFUNCTION("""COMPUTED_VALUE"""),"Thạc sĩ")</f>
        <v>Thạc sĩ</v>
      </c>
      <c r="AF45" s="1" t="str">
        <f ca="1">IFERROR(__xludf.DUMMYFUNCTION("""COMPUTED_VALUE"""),"0935336716")</f>
        <v>0935336716</v>
      </c>
      <c r="AG45" s="1" t="str">
        <f ca="1">IFERROR(__xludf.DUMMYFUNCTION("""COMPUTED_VALUE"""),"hominhphuc@dtu-hti.edu.vn")</f>
        <v>hominhphuc@dtu-hti.edu.vn</v>
      </c>
      <c r="AH45" s="1" t="str">
        <f ca="1">IFERROR(__xludf.DUMMYFUNCTION("""COMPUTED_VALUE"""),"Báo cáo kết quả thực tập và thực trạng quy trình vệ sinh buồng khách tại bộ phận Buồng phòng của khách sạn Hilton Danang")</f>
        <v>Báo cáo kết quả thực tập và thực trạng quy trình vệ sinh buồng khách tại bộ phận Buồng phòng của khách sạn Hilton Danang</v>
      </c>
      <c r="AI45" s="1"/>
    </row>
    <row r="46" spans="1:35" x14ac:dyDescent="0.2">
      <c r="A46" s="3">
        <f ca="1">IFERROR(__xludf.DUMMYFUNCTION("""COMPUTED_VALUE"""),45994.640420625)</f>
        <v>45994.640420625001</v>
      </c>
      <c r="B46" s="1" t="str">
        <f ca="1">IFERROR(__xludf.DUMMYFUNCTION("""COMPUTED_VALUE"""),"vy203585@gmail.com")</f>
        <v>vy203585@gmail.com</v>
      </c>
      <c r="C46" s="1">
        <f ca="1">IFERROR(__xludf.DUMMYFUNCTION("""COMPUTED_VALUE"""),28208027313)</f>
        <v>28208027313</v>
      </c>
      <c r="D46" s="1" t="str">
        <f ca="1">IFERROR(__xludf.DUMMYFUNCTION("""COMPUTED_VALUE"""),"Hoàng Thị Bích Vy")</f>
        <v>Hoàng Thị Bích Vy</v>
      </c>
      <c r="E46" s="1"/>
      <c r="F46" s="1" t="str">
        <f ca="1">IFERROR(__xludf.DUMMYFUNCTION("""COMPUTED_VALUE"""),"K28DLK2")</f>
        <v>K28DLK2</v>
      </c>
      <c r="G46" s="1" t="str">
        <f ca="1">IFERROR(__xludf.DUMMYFUNCTION("""COMPUTED_VALUE"""),"Quản trị Du lịch &amp; Khách sạn")</f>
        <v>Quản trị Du lịch &amp; Khách sạn</v>
      </c>
      <c r="H46" s="1" t="str">
        <f ca="1">IFERROR(__xludf.DUMMYFUNCTION("""COMPUTED_VALUE"""),"K28")</f>
        <v>K28</v>
      </c>
      <c r="I46" s="1" t="str">
        <f ca="1">IFERROR(__xludf.DUMMYFUNCTION("""COMPUTED_VALUE"""),"0898203585")</f>
        <v>0898203585</v>
      </c>
      <c r="J46" s="1">
        <f ca="1">IFERROR(__xludf.DUMMYFUNCTION("""COMPUTED_VALUE"""),2.74)</f>
        <v>2.74</v>
      </c>
      <c r="K46" s="1">
        <f ca="1">IFERROR(__xludf.DUMMYFUNCTION("""COMPUTED_VALUE"""),117)</f>
        <v>117</v>
      </c>
      <c r="L46" s="1" t="str">
        <f ca="1">IFERROR(__xludf.DUMMYFUNCTION("""COMPUTED_VALUE"""),"Rồi")</f>
        <v>Rồi</v>
      </c>
      <c r="M46" s="1" t="str">
        <f ca="1">IFERROR(__xludf.DUMMYFUNCTION("""COMPUTED_VALUE"""),"Thực tập tốt nghiệp, Thi tốt nghiệp, Công nhận tốt nghiệp")</f>
        <v>Thực tập tốt nghiệp, Thi tốt nghiệp, Công nhận tốt nghiệp</v>
      </c>
      <c r="N46" s="1">
        <f ca="1">IFERROR(__xludf.DUMMYFUNCTION("""COMPUTED_VALUE"""),0)</f>
        <v>0</v>
      </c>
      <c r="O46" s="1" t="str">
        <f ca="1">IFERROR(__xludf.DUMMYFUNCTION("""COMPUTED_VALUE"""),"cam kết")</f>
        <v>cam kết</v>
      </c>
      <c r="P46" s="1"/>
      <c r="Q46" s="1"/>
      <c r="R46" s="1" t="str">
        <f ca="1">IFERROR(__xludf.DUMMYFUNCTION("""COMPUTED_VALUE"""),"18/12/2025")</f>
        <v>18/12/2025</v>
      </c>
      <c r="S46" s="1" t="str">
        <f ca="1">IFERROR(__xludf.DUMMYFUNCTION("""COMPUTED_VALUE"""),"thực tập TN, Thi TN")</f>
        <v>thực tập TN, Thi TN</v>
      </c>
      <c r="T46" s="1" t="str">
        <f ca="1">IFERROR(__xludf.DUMMYFUNCTION("""COMPUTED_VALUE"""),"Đã email cấp giấy giới thiệu ngày 18/12/2025")</f>
        <v>Đã email cấp giấy giới thiệu ngày 18/12/2025</v>
      </c>
      <c r="U46" s="1"/>
      <c r="V46" s="1"/>
      <c r="W46" s="1" t="str">
        <f ca="1">IFERROR(__xludf.DUMMYFUNCTION("""COMPUTED_VALUE"""),"K28DLK2")</f>
        <v>K28DLK2</v>
      </c>
      <c r="X46" s="1"/>
      <c r="Y46" s="1" t="str">
        <f ca="1">IFERROR(__xludf.DUMMYFUNCTION("""COMPUTED_VALUE"""),"Radisson Hotel Danang")</f>
        <v>Radisson Hotel Danang</v>
      </c>
      <c r="Z46" s="1" t="str">
        <f ca="1">IFERROR(__xludf.DUMMYFUNCTION("""COMPUTED_VALUE"""),"Buồng phòng")</f>
        <v>Buồng phòng</v>
      </c>
      <c r="AA46" s="1" t="str">
        <f ca="1">IFERROR(__xludf.DUMMYFUNCTION("""COMPUTED_VALUE"""),"DUYỆT")</f>
        <v>DUYỆT</v>
      </c>
      <c r="AB46" s="1" t="str">
        <f ca="1">IFERROR(__xludf.DUMMYFUNCTION("""COMPUTED_VALUE"""),"22/01/2026")</f>
        <v>22/01/2026</v>
      </c>
      <c r="AC46" s="1" t="str">
        <f ca="1">IFERROR(__xludf.DUMMYFUNCTION("""COMPUTED_VALUE"""),"BÁO CÁO THỰC TẬP TỐT NGHIỆP")</f>
        <v>BÁO CÁO THỰC TẬP TỐT NGHIỆP</v>
      </c>
      <c r="AD46" s="1" t="str">
        <f ca="1">IFERROR(__xludf.DUMMYFUNCTION("""COMPUTED_VALUE"""),"Phạm Thị Thu Thủy")</f>
        <v>Phạm Thị Thu Thủy</v>
      </c>
      <c r="AE46" s="1" t="str">
        <f ca="1">IFERROR(__xludf.DUMMYFUNCTION("""COMPUTED_VALUE"""),"Thạc sĩ")</f>
        <v>Thạc sĩ</v>
      </c>
      <c r="AF46" s="1" t="str">
        <f ca="1">IFERROR(__xludf.DUMMYFUNCTION("""COMPUTED_VALUE"""),"0938290678")</f>
        <v>0938290678</v>
      </c>
      <c r="AG46" s="1" t="str">
        <f ca="1">IFERROR(__xludf.DUMMYFUNCTION("""COMPUTED_VALUE"""),"phamtthuthuy2@dtu-hti.edu.vn")</f>
        <v>phamtthuthuy2@dtu-hti.edu.vn</v>
      </c>
      <c r="AH46" s="1" t="str">
        <f ca="1">IFERROR(__xludf.DUMMYFUNCTION("""COMPUTED_VALUE"""),"Báo cáo kết quả thực tập và thực trạng quy trình phục vụ khách trong thời gian lưu trú tại bộ phận buồng khách sạn Radisson Danang")</f>
        <v>Báo cáo kết quả thực tập và thực trạng quy trình phục vụ khách trong thời gian lưu trú tại bộ phận buồng khách sạn Radisson Danang</v>
      </c>
      <c r="AI46" s="1"/>
    </row>
    <row r="47" spans="1:35" x14ac:dyDescent="0.2">
      <c r="A47" s="3">
        <f ca="1">IFERROR(__xludf.DUMMYFUNCTION("""COMPUTED_VALUE"""),45994.6656228703)</f>
        <v>45994.6656228703</v>
      </c>
      <c r="B47" s="1" t="str">
        <f ca="1">IFERROR(__xludf.DUMMYFUNCTION("""COMPUTED_VALUE"""),"vothimovtqs@gmail.com")</f>
        <v>vothimovtqs@gmail.com</v>
      </c>
      <c r="C47" s="1">
        <f ca="1">IFERROR(__xludf.DUMMYFUNCTION("""COMPUTED_VALUE"""),28208300036)</f>
        <v>28208300036</v>
      </c>
      <c r="D47" s="1" t="str">
        <f ca="1">IFERROR(__xludf.DUMMYFUNCTION("""COMPUTED_VALUE"""),"Võ Thị Mơ")</f>
        <v>Võ Thị Mơ</v>
      </c>
      <c r="E47" s="1"/>
      <c r="F47" s="1" t="str">
        <f ca="1">IFERROR(__xludf.DUMMYFUNCTION("""COMPUTED_VALUE"""),"K28PSUDLH")</f>
        <v>K28PSUDLH</v>
      </c>
      <c r="G47" s="1" t="str">
        <f ca="1">IFERROR(__xludf.DUMMYFUNCTION("""COMPUTED_VALUE"""),"Quản trị Du lịch &amp; Nhà hàng chuẩn PSU")</f>
        <v>Quản trị Du lịch &amp; Nhà hàng chuẩn PSU</v>
      </c>
      <c r="H47" s="1" t="str">
        <f ca="1">IFERROR(__xludf.DUMMYFUNCTION("""COMPUTED_VALUE"""),"K28")</f>
        <v>K28</v>
      </c>
      <c r="I47" s="1" t="str">
        <f ca="1">IFERROR(__xludf.DUMMYFUNCTION("""COMPUTED_VALUE"""),"0914488480")</f>
        <v>0914488480</v>
      </c>
      <c r="J47" s="1">
        <f ca="1">IFERROR(__xludf.DUMMYFUNCTION("""COMPUTED_VALUE"""),3.27)</f>
        <v>3.27</v>
      </c>
      <c r="K47" s="1">
        <f ca="1">IFERROR(__xludf.DUMMYFUNCTION("""COMPUTED_VALUE"""),117)</f>
        <v>117</v>
      </c>
      <c r="L47" s="1" t="str">
        <f ca="1">IFERROR(__xludf.DUMMYFUNCTION("""COMPUTED_VALUE"""),"Rồi")</f>
        <v>Rồi</v>
      </c>
      <c r="M47" s="1" t="str">
        <f ca="1">IFERROR(__xludf.DUMMYFUNCTION("""COMPUTED_VALUE"""),"Thực tập tốt nghiệp, Thi tốt nghiệp, Công nhận tốt nghiệp")</f>
        <v>Thực tập tốt nghiệp, Thi tốt nghiệp, Công nhận tốt nghiệp</v>
      </c>
      <c r="N47" s="1">
        <f ca="1">IFERROR(__xludf.DUMMYFUNCTION("""COMPUTED_VALUE"""),11)</f>
        <v>11</v>
      </c>
      <c r="O47" s="1" t="str">
        <f ca="1">IFERROR(__xludf.DUMMYFUNCTION("""COMPUTED_VALUE"""),"cam kết")</f>
        <v>cam kết</v>
      </c>
      <c r="P47" s="1"/>
      <c r="Q47" s="1"/>
      <c r="R47" s="1" t="str">
        <f ca="1">IFERROR(__xludf.DUMMYFUNCTION("""COMPUTED_VALUE"""),"18/12/2025")</f>
        <v>18/12/2025</v>
      </c>
      <c r="S47" s="1" t="str">
        <f ca="1">IFERROR(__xludf.DUMMYFUNCTION("""COMPUTED_VALUE"""),"khóa luận TN")</f>
        <v>khóa luận TN</v>
      </c>
      <c r="T47" s="1" t="str">
        <f ca="1">IFERROR(__xludf.DUMMYFUNCTION("""COMPUTED_VALUE"""),"đã email cấp giấy giới thiệu ngày 25/12/2025")</f>
        <v>đã email cấp giấy giới thiệu ngày 25/12/2025</v>
      </c>
      <c r="U47" s="1"/>
      <c r="V47" s="1"/>
      <c r="W47" s="1" t="str">
        <f ca="1">IFERROR(__xludf.DUMMYFUNCTION("""COMPUTED_VALUE"""),"K28PSU-DLH")</f>
        <v>K28PSU-DLH</v>
      </c>
      <c r="X47" s="1"/>
      <c r="Y47" s="1" t="str">
        <f ca="1">IFERROR(__xludf.DUMMYFUNCTION("""COMPUTED_VALUE"""),"Pullman Danang Beach Resort")</f>
        <v>Pullman Danang Beach Resort</v>
      </c>
      <c r="Z47" s="1" t="str">
        <f ca="1">IFERROR(__xludf.DUMMYFUNCTION("""COMPUTED_VALUE"""),"Nhà hàng")</f>
        <v>Nhà hàng</v>
      </c>
      <c r="AA47" s="1" t="str">
        <f ca="1">IFERROR(__xludf.DUMMYFUNCTION("""COMPUTED_VALUE"""),"DUYỆT")</f>
        <v>DUYỆT</v>
      </c>
      <c r="AB47" s="1" t="str">
        <f ca="1">IFERROR(__xludf.DUMMYFUNCTION("""COMPUTED_VALUE"""),"22/01/2026")</f>
        <v>22/01/2026</v>
      </c>
      <c r="AC47" s="1" t="str">
        <f ca="1">IFERROR(__xludf.DUMMYFUNCTION("""COMPUTED_VALUE"""),"KHÓA LUẬN")</f>
        <v>KHÓA LUẬN</v>
      </c>
      <c r="AD47" s="1" t="str">
        <f ca="1">IFERROR(__xludf.DUMMYFUNCTION("""COMPUTED_VALUE"""),"Trần Thị Mỹ Linh")</f>
        <v>Trần Thị Mỹ Linh</v>
      </c>
      <c r="AE47" s="1" t="str">
        <f ca="1">IFERROR(__xludf.DUMMYFUNCTION("""COMPUTED_VALUE"""),"Tiến sĩ")</f>
        <v>Tiến sĩ</v>
      </c>
      <c r="AF47" s="1" t="str">
        <f ca="1">IFERROR(__xludf.DUMMYFUNCTION("""COMPUTED_VALUE"""),"0975718029")</f>
        <v>0975718029</v>
      </c>
      <c r="AG47" s="1" t="str">
        <f ca="1">IFERROR(__xludf.DUMMYFUNCTION("""COMPUTED_VALUE"""),"trantmylinh5@duytan.edu.vn")</f>
        <v>trantmylinh5@duytan.edu.vn</v>
      </c>
      <c r="AH47" s="1" t="str">
        <f ca="1">IFERROR(__xludf.DUMMYFUNCTION("""COMPUTED_VALUE"""),"""Khám phá các yếu tố ảnh hưởng đến ý định sử dụng ChatGPT của khách hàng trong lĩnh vực du lịch và khách sạn"".")</f>
        <v>"Khám phá các yếu tố ảnh hưởng đến ý định sử dụng ChatGPT của khách hàng trong lĩnh vực du lịch và khách sạn".</v>
      </c>
      <c r="AI47" s="1"/>
    </row>
    <row r="48" spans="1:35" x14ac:dyDescent="0.2">
      <c r="A48" s="3">
        <f ca="1">IFERROR(__xludf.DUMMYFUNCTION("""COMPUTED_VALUE"""),45994.6698289699)</f>
        <v>45994.669828969898</v>
      </c>
      <c r="B48" s="1" t="str">
        <f ca="1">IFERROR(__xludf.DUMMYFUNCTION("""COMPUTED_VALUE"""),"trankimthuy1542004@gmail.com")</f>
        <v>trankimthuy1542004@gmail.com</v>
      </c>
      <c r="C48" s="1">
        <f ca="1">IFERROR(__xludf.DUMMYFUNCTION("""COMPUTED_VALUE"""),28208003995)</f>
        <v>28208003995</v>
      </c>
      <c r="D48" s="1" t="str">
        <f ca="1">IFERROR(__xludf.DUMMYFUNCTION("""COMPUTED_VALUE"""),"Trần Thị Kim Thùy ")</f>
        <v xml:space="preserve">Trần Thị Kim Thùy </v>
      </c>
      <c r="E48" s="1"/>
      <c r="F48" s="1" t="str">
        <f ca="1">IFERROR(__xludf.DUMMYFUNCTION("""COMPUTED_VALUE"""),"K28DLK1")</f>
        <v>K28DLK1</v>
      </c>
      <c r="G48" s="1" t="str">
        <f ca="1">IFERROR(__xludf.DUMMYFUNCTION("""COMPUTED_VALUE"""),"Quản trị Du lịch &amp; Khách sạn")</f>
        <v>Quản trị Du lịch &amp; Khách sạn</v>
      </c>
      <c r="H48" s="1" t="str">
        <f ca="1">IFERROR(__xludf.DUMMYFUNCTION("""COMPUTED_VALUE"""),"K28")</f>
        <v>K28</v>
      </c>
      <c r="I48" s="1" t="str">
        <f ca="1">IFERROR(__xludf.DUMMYFUNCTION("""COMPUTED_VALUE"""),"0905704514")</f>
        <v>0905704514</v>
      </c>
      <c r="J48" s="1">
        <f ca="1">IFERROR(__xludf.DUMMYFUNCTION("""COMPUTED_VALUE"""),3.04)</f>
        <v>3.04</v>
      </c>
      <c r="K48" s="1">
        <f ca="1">IFERROR(__xludf.DUMMYFUNCTION("""COMPUTED_VALUE"""),104)</f>
        <v>104</v>
      </c>
      <c r="L48" s="1" t="str">
        <f ca="1">IFERROR(__xludf.DUMMYFUNCTION("""COMPUTED_VALUE"""),"Rồi")</f>
        <v>Rồi</v>
      </c>
      <c r="M48" s="1" t="str">
        <f ca="1">IFERROR(__xludf.DUMMYFUNCTION("""COMPUTED_VALUE"""),"Thực tập tốt nghiệp")</f>
        <v>Thực tập tốt nghiệp</v>
      </c>
      <c r="N48" s="1" t="str">
        <f ca="1">IFERROR(__xludf.DUMMYFUNCTION("""COMPUTED_VALUE"""),"19 đang học, 5 chưa học")</f>
        <v>19 đang học, 5 chưa học</v>
      </c>
      <c r="O48" s="1" t="str">
        <f ca="1">IFERROR(__xludf.DUMMYFUNCTION("""COMPUTED_VALUE"""),"cam kết")</f>
        <v>cam kết</v>
      </c>
      <c r="P48" s="1"/>
      <c r="Q48" s="1"/>
      <c r="R48" s="1" t="str">
        <f ca="1">IFERROR(__xludf.DUMMYFUNCTION("""COMPUTED_VALUE"""),"18/12/2025")</f>
        <v>18/12/2025</v>
      </c>
      <c r="S48" s="1" t="str">
        <f ca="1">IFERROR(__xludf.DUMMYFUNCTION("""COMPUTED_VALUE"""),"thực tập TN, Thi TN")</f>
        <v>thực tập TN, Thi TN</v>
      </c>
      <c r="T48" s="1" t="str">
        <f ca="1">IFERROR(__xludf.DUMMYFUNCTION("""COMPUTED_VALUE"""),"Đã email cấp giấy giới thiệu ngày 18/12/2025")</f>
        <v>Đã email cấp giấy giới thiệu ngày 18/12/2025</v>
      </c>
      <c r="U48" s="1"/>
      <c r="V48" s="1"/>
      <c r="W48" s="1" t="str">
        <f ca="1">IFERROR(__xludf.DUMMYFUNCTION("""COMPUTED_VALUE"""),"K28DLK1")</f>
        <v>K28DLK1</v>
      </c>
      <c r="X48" s="1"/>
      <c r="Y48" s="1" t="str">
        <f ca="1">IFERROR(__xludf.DUMMYFUNCTION("""COMPUTED_VALUE"""),"Novotel Danang Premier")</f>
        <v>Novotel Danang Premier</v>
      </c>
      <c r="Z48" s="1" t="str">
        <f ca="1">IFERROR(__xludf.DUMMYFUNCTION("""COMPUTED_VALUE"""),"Buồng phòng")</f>
        <v>Buồng phòng</v>
      </c>
      <c r="AA48" s="1" t="str">
        <f ca="1">IFERROR(__xludf.DUMMYFUNCTION("""COMPUTED_VALUE"""),"DUYỆT")</f>
        <v>DUYỆT</v>
      </c>
      <c r="AB48" s="1" t="str">
        <f ca="1">IFERROR(__xludf.DUMMYFUNCTION("""COMPUTED_VALUE"""),"20/01/2026")</f>
        <v>20/01/2026</v>
      </c>
      <c r="AC48" s="1" t="str">
        <f ca="1">IFERROR(__xludf.DUMMYFUNCTION("""COMPUTED_VALUE"""),"BÁO CÁO THỰC TẬP TỐT NGHIỆP")</f>
        <v>BÁO CÁO THỰC TẬP TỐT NGHIỆP</v>
      </c>
      <c r="AD48" s="1" t="str">
        <f ca="1">IFERROR(__xludf.DUMMYFUNCTION("""COMPUTED_VALUE"""),"Phạm Thị Thu Thủy")</f>
        <v>Phạm Thị Thu Thủy</v>
      </c>
      <c r="AE48" s="1" t="str">
        <f ca="1">IFERROR(__xludf.DUMMYFUNCTION("""COMPUTED_VALUE"""),"Thạc sĩ")</f>
        <v>Thạc sĩ</v>
      </c>
      <c r="AF48" s="1" t="str">
        <f ca="1">IFERROR(__xludf.DUMMYFUNCTION("""COMPUTED_VALUE"""),"0938290678")</f>
        <v>0938290678</v>
      </c>
      <c r="AG48" s="1" t="str">
        <f ca="1">IFERROR(__xludf.DUMMYFUNCTION("""COMPUTED_VALUE"""),"phamtthuthuy2@dtu-hti.edu.vn")</f>
        <v>phamtthuthuy2@dtu-hti.edu.vn</v>
      </c>
      <c r="AH48" s="1" t="str">
        <f ca="1">IFERROR(__xludf.DUMMYFUNCTION("""COMPUTED_VALUE"""),"Báo cáo kết quả thực tập và thực trạng quy trình phục vụ buồng tại bộ phận buồng khách sạn Novotel Danang Premier")</f>
        <v>Báo cáo kết quả thực tập và thực trạng quy trình phục vụ buồng tại bộ phận buồng khách sạn Novotel Danang Premier</v>
      </c>
      <c r="AI48" s="1"/>
    </row>
    <row r="49" spans="1:35" x14ac:dyDescent="0.2">
      <c r="A49" s="3">
        <f ca="1">IFERROR(__xludf.DUMMYFUNCTION("""COMPUTED_VALUE"""),45994.6670899421)</f>
        <v>45994.667089942101</v>
      </c>
      <c r="B49" s="1" t="str">
        <f ca="1">IFERROR(__xludf.DUMMYFUNCTION("""COMPUTED_VALUE"""),"hathanhthaoqn273@gmail.com")</f>
        <v>hathanhthaoqn273@gmail.com</v>
      </c>
      <c r="C49" s="1">
        <f ca="1">IFERROR(__xludf.DUMMYFUNCTION("""COMPUTED_VALUE"""),28208005673)</f>
        <v>28208005673</v>
      </c>
      <c r="D49" s="1" t="str">
        <f ca="1">IFERROR(__xludf.DUMMYFUNCTION("""COMPUTED_VALUE"""),"Hà Thanh Thảo ")</f>
        <v xml:space="preserve">Hà Thanh Thảo </v>
      </c>
      <c r="E49" s="1"/>
      <c r="F49" s="1" t="str">
        <f ca="1">IFERROR(__xludf.DUMMYFUNCTION("""COMPUTED_VALUE"""),"K28DLK5")</f>
        <v>K28DLK5</v>
      </c>
      <c r="G49" s="1" t="str">
        <f ca="1">IFERROR(__xludf.DUMMYFUNCTION("""COMPUTED_VALUE"""),"Quản trị Du lịch &amp; Khách sạn")</f>
        <v>Quản trị Du lịch &amp; Khách sạn</v>
      </c>
      <c r="H49" s="1" t="str">
        <f ca="1">IFERROR(__xludf.DUMMYFUNCTION("""COMPUTED_VALUE"""),"K28")</f>
        <v>K28</v>
      </c>
      <c r="I49" s="1" t="str">
        <f ca="1">IFERROR(__xludf.DUMMYFUNCTION("""COMPUTED_VALUE"""),"0934842294")</f>
        <v>0934842294</v>
      </c>
      <c r="J49" s="1">
        <f ca="1">IFERROR(__xludf.DUMMYFUNCTION("""COMPUTED_VALUE"""),3.05)</f>
        <v>3.05</v>
      </c>
      <c r="K49" s="1">
        <f ca="1">IFERROR(__xludf.DUMMYFUNCTION("""COMPUTED_VALUE"""),117)</f>
        <v>117</v>
      </c>
      <c r="L49" s="1" t="str">
        <f ca="1">IFERROR(__xludf.DUMMYFUNCTION("""COMPUTED_VALUE"""),"Rồi")</f>
        <v>Rồi</v>
      </c>
      <c r="M49" s="1" t="str">
        <f ca="1">IFERROR(__xludf.DUMMYFUNCTION("""COMPUTED_VALUE"""),"Thực tập tốt nghiệp, Thi tốt nghiệp, Công nhận tốt nghiệp")</f>
        <v>Thực tập tốt nghiệp, Thi tốt nghiệp, Công nhận tốt nghiệp</v>
      </c>
      <c r="N49" s="1">
        <f ca="1">IFERROR(__xludf.DUMMYFUNCTION("""COMPUTED_VALUE"""),6)</f>
        <v>6</v>
      </c>
      <c r="O49" s="1" t="str">
        <f ca="1">IFERROR(__xludf.DUMMYFUNCTION("""COMPUTED_VALUE"""),"cam kết")</f>
        <v>cam kết</v>
      </c>
      <c r="P49" s="1"/>
      <c r="Q49" s="1"/>
      <c r="R49" s="1" t="str">
        <f ca="1">IFERROR(__xludf.DUMMYFUNCTION("""COMPUTED_VALUE"""),"18/12/2025")</f>
        <v>18/12/2025</v>
      </c>
      <c r="S49" s="1" t="str">
        <f ca="1">IFERROR(__xludf.DUMMYFUNCTION("""COMPUTED_VALUE"""),"thực tập TN, Thi TN")</f>
        <v>thực tập TN, Thi TN</v>
      </c>
      <c r="T49" s="1" t="str">
        <f ca="1">IFERROR(__xludf.DUMMYFUNCTION("""COMPUTED_VALUE"""),"Đã email cấp giấy giới thiệu ngày 18/12/2025")</f>
        <v>Đã email cấp giấy giới thiệu ngày 18/12/2025</v>
      </c>
      <c r="U49" s="1"/>
      <c r="V49" s="1"/>
      <c r="W49" s="1" t="str">
        <f ca="1">IFERROR(__xludf.DUMMYFUNCTION("""COMPUTED_VALUE"""),"K28DLK5")</f>
        <v>K28DLK5</v>
      </c>
      <c r="X49" s="1"/>
      <c r="Y49" s="1" t="str">
        <f ca="1">IFERROR(__xludf.DUMMYFUNCTION("""COMPUTED_VALUE"""),"Shilla Monogram Danang")</f>
        <v>Shilla Monogram Danang</v>
      </c>
      <c r="Z49" s="1" t="str">
        <f ca="1">IFERROR(__xludf.DUMMYFUNCTION("""COMPUTED_VALUE"""),"Buồng phòng")</f>
        <v>Buồng phòng</v>
      </c>
      <c r="AA49" s="1" t="str">
        <f ca="1">IFERROR(__xludf.DUMMYFUNCTION("""COMPUTED_VALUE"""),"DUYỆT")</f>
        <v>DUYỆT</v>
      </c>
      <c r="AB49" s="1" t="str">
        <f ca="1">IFERROR(__xludf.DUMMYFUNCTION("""COMPUTED_VALUE"""),"23/01/2026")</f>
        <v>23/01/2026</v>
      </c>
      <c r="AC49" s="1" t="str">
        <f ca="1">IFERROR(__xludf.DUMMYFUNCTION("""COMPUTED_VALUE"""),"BÁO CÁO THỰC TẬP TỐT NGHIỆP")</f>
        <v>BÁO CÁO THỰC TẬP TỐT NGHIỆP</v>
      </c>
      <c r="AD49" s="1" t="str">
        <f ca="1">IFERROR(__xludf.DUMMYFUNCTION("""COMPUTED_VALUE"""),"Hồ Minh Phúc")</f>
        <v>Hồ Minh Phúc</v>
      </c>
      <c r="AE49" s="1" t="str">
        <f ca="1">IFERROR(__xludf.DUMMYFUNCTION("""COMPUTED_VALUE"""),"Thạc sĩ")</f>
        <v>Thạc sĩ</v>
      </c>
      <c r="AF49" s="1" t="str">
        <f ca="1">IFERROR(__xludf.DUMMYFUNCTION("""COMPUTED_VALUE"""),"0935336716")</f>
        <v>0935336716</v>
      </c>
      <c r="AG49" s="1" t="str">
        <f ca="1">IFERROR(__xludf.DUMMYFUNCTION("""COMPUTED_VALUE"""),"hominhphuc@dtu-hti.edu.vn")</f>
        <v>hominhphuc@dtu-hti.edu.vn</v>
      </c>
      <c r="AH49" s="1" t="str">
        <f ca="1">IFERROR(__xludf.DUMMYFUNCTION("""COMPUTED_VALUE"""),"Báo cáo kết quả thực tập và thực trạng quy trình chuẩn bị buồng đón tiếp khách VIP tại bộ phận Buồng phòng của Shilla Monogram Danang Resort")</f>
        <v>Báo cáo kết quả thực tập và thực trạng quy trình chuẩn bị buồng đón tiếp khách VIP tại bộ phận Buồng phòng của Shilla Monogram Danang Resort</v>
      </c>
      <c r="AI49" s="1"/>
    </row>
    <row r="50" spans="1:35" x14ac:dyDescent="0.2">
      <c r="A50" s="3">
        <f ca="1">IFERROR(__xludf.DUMMYFUNCTION("""COMPUTED_VALUE"""),45994.6724794212)</f>
        <v>45994.672479421199</v>
      </c>
      <c r="B50" s="1" t="str">
        <f ca="1">IFERROR(__xludf.DUMMYFUNCTION("""COMPUTED_VALUE"""),"buithiatien@gmail.com")</f>
        <v>buithiatien@gmail.com</v>
      </c>
      <c r="C50" s="1">
        <f ca="1">IFERROR(__xludf.DUMMYFUNCTION("""COMPUTED_VALUE"""),28208321233)</f>
        <v>28208321233</v>
      </c>
      <c r="D50" s="1" t="str">
        <f ca="1">IFERROR(__xludf.DUMMYFUNCTION("""COMPUTED_VALUE"""),"Bùi Thị Á Tiên")</f>
        <v>Bùi Thị Á Tiên</v>
      </c>
      <c r="E50" s="1"/>
      <c r="F50" s="1" t="str">
        <f ca="1">IFERROR(__xludf.DUMMYFUNCTION("""COMPUTED_VALUE"""),"K28PSUDLH")</f>
        <v>K28PSUDLH</v>
      </c>
      <c r="G50" s="1" t="str">
        <f ca="1">IFERROR(__xludf.DUMMYFUNCTION("""COMPUTED_VALUE"""),"Quản trị Du lịch &amp; Nhà hàng chuẩn PSU")</f>
        <v>Quản trị Du lịch &amp; Nhà hàng chuẩn PSU</v>
      </c>
      <c r="H50" s="1" t="str">
        <f ca="1">IFERROR(__xludf.DUMMYFUNCTION("""COMPUTED_VALUE"""),"K28")</f>
        <v>K28</v>
      </c>
      <c r="I50" s="1" t="str">
        <f ca="1">IFERROR(__xludf.DUMMYFUNCTION("""COMPUTED_VALUE"""),"0935266708")</f>
        <v>0935266708</v>
      </c>
      <c r="J50" s="1">
        <f ca="1">IFERROR(__xludf.DUMMYFUNCTION("""COMPUTED_VALUE"""),2.65)</f>
        <v>2.65</v>
      </c>
      <c r="K50" s="1">
        <f ca="1">IFERROR(__xludf.DUMMYFUNCTION("""COMPUTED_VALUE"""),119)</f>
        <v>119</v>
      </c>
      <c r="L50" s="1" t="str">
        <f ca="1">IFERROR(__xludf.DUMMYFUNCTION("""COMPUTED_VALUE"""),"Rồi")</f>
        <v>Rồi</v>
      </c>
      <c r="M50" s="1" t="str">
        <f ca="1">IFERROR(__xludf.DUMMYFUNCTION("""COMPUTED_VALUE"""),"Thực tập tốt nghiệp, Thi tốt nghiệp, Công nhận tốt nghiệp")</f>
        <v>Thực tập tốt nghiệp, Thi tốt nghiệp, Công nhận tốt nghiệp</v>
      </c>
      <c r="N50" s="1" t="str">
        <f ca="1">IFERROR(__xludf.DUMMYFUNCTION("""COMPUTED_VALUE"""),"12 tín ")</f>
        <v xml:space="preserve">12 tín </v>
      </c>
      <c r="O50" s="1" t="str">
        <f ca="1">IFERROR(__xludf.DUMMYFUNCTION("""COMPUTED_VALUE"""),"cam kết")</f>
        <v>cam kết</v>
      </c>
      <c r="P50" s="1"/>
      <c r="Q50" s="1"/>
      <c r="R50" s="1" t="str">
        <f ca="1">IFERROR(__xludf.DUMMYFUNCTION("""COMPUTED_VALUE"""),"18/12/2025")</f>
        <v>18/12/2025</v>
      </c>
      <c r="S50" s="1" t="str">
        <f ca="1">IFERROR(__xludf.DUMMYFUNCTION("""COMPUTED_VALUE"""),"khóa luận TN")</f>
        <v>khóa luận TN</v>
      </c>
      <c r="T50" s="1" t="str">
        <f ca="1">IFERROR(__xludf.DUMMYFUNCTION("""COMPUTED_VALUE"""),"đã email cấp giấy giới thiệu ngày 25/12/2025")</f>
        <v>đã email cấp giấy giới thiệu ngày 25/12/2025</v>
      </c>
      <c r="U50" s="1"/>
      <c r="V50" s="1"/>
      <c r="W50" s="1" t="str">
        <f ca="1">IFERROR(__xludf.DUMMYFUNCTION("""COMPUTED_VALUE"""),"K28PSU-DLH")</f>
        <v>K28PSU-DLH</v>
      </c>
      <c r="X50" s="1"/>
      <c r="Y50" s="1" t="str">
        <f ca="1">IFERROR(__xludf.DUMMYFUNCTION("""COMPUTED_VALUE"""),"Pullman Danang Beach Resort")</f>
        <v>Pullman Danang Beach Resort</v>
      </c>
      <c r="Z50" s="1" t="str">
        <f ca="1">IFERROR(__xludf.DUMMYFUNCTION("""COMPUTED_VALUE"""),"Nhà hàng")</f>
        <v>Nhà hàng</v>
      </c>
      <c r="AA50" s="1" t="str">
        <f ca="1">IFERROR(__xludf.DUMMYFUNCTION("""COMPUTED_VALUE"""),"DUYỆT")</f>
        <v>DUYỆT</v>
      </c>
      <c r="AB50" s="1" t="str">
        <f ca="1">IFERROR(__xludf.DUMMYFUNCTION("""COMPUTED_VALUE"""),"21/01/2026")</f>
        <v>21/01/2026</v>
      </c>
      <c r="AC50" s="1" t="str">
        <f ca="1">IFERROR(__xludf.DUMMYFUNCTION("""COMPUTED_VALUE"""),"KHÓA LUẬN")</f>
        <v>KHÓA LUẬN</v>
      </c>
      <c r="AD50" s="1" t="str">
        <f ca="1">IFERROR(__xludf.DUMMYFUNCTION("""COMPUTED_VALUE"""),"Phạm Thị Hoàng Dung")</f>
        <v>Phạm Thị Hoàng Dung</v>
      </c>
      <c r="AE50" s="1" t="str">
        <f ca="1">IFERROR(__xludf.DUMMYFUNCTION("""COMPUTED_VALUE"""),"Tiến sĩ")</f>
        <v>Tiến sĩ</v>
      </c>
      <c r="AF50" s="1" t="str">
        <f ca="1">IFERROR(__xludf.DUMMYFUNCTION("""COMPUTED_VALUE"""),"0935 141614")</f>
        <v>0935 141614</v>
      </c>
      <c r="AG50" s="1" t="str">
        <f ca="1">IFERROR(__xludf.DUMMYFUNCTION("""COMPUTED_VALUE"""),"phamthoangdung@duytan.edu.vn")</f>
        <v>phamthoangdung@duytan.edu.vn</v>
      </c>
      <c r="AH50" s="1" t="str">
        <f ca="1">IFERROR(__xludf.DUMMYFUNCTION("""COMPUTED_VALUE"""),"Giải pháp nâng cao chất lượng dịch vụ ăn uống tại nhà hàng Epice Restaurant - Khách sạn Pullman Danang Beach Resort")</f>
        <v>Giải pháp nâng cao chất lượng dịch vụ ăn uống tại nhà hàng Epice Restaurant - Khách sạn Pullman Danang Beach Resort</v>
      </c>
      <c r="AI50" s="1"/>
    </row>
    <row r="51" spans="1:35" x14ac:dyDescent="0.2">
      <c r="A51" s="3">
        <f ca="1">IFERROR(__xludf.DUMMYFUNCTION("""COMPUTED_VALUE"""),45994.675644699)</f>
        <v>45994.675644698997</v>
      </c>
      <c r="B51" s="1" t="str">
        <f ca="1">IFERROR(__xludf.DUMMYFUNCTION("""COMPUTED_VALUE"""),"loanphuongnguyen.2004@gmail.com")</f>
        <v>loanphuongnguyen.2004@gmail.com</v>
      </c>
      <c r="C51" s="1">
        <f ca="1">IFERROR(__xludf.DUMMYFUNCTION("""COMPUTED_VALUE"""),28208005423)</f>
        <v>28208005423</v>
      </c>
      <c r="D51" s="1" t="str">
        <f ca="1">IFERROR(__xludf.DUMMYFUNCTION("""COMPUTED_VALUE"""),"Nguyễn Thị Loan Phương")</f>
        <v>Nguyễn Thị Loan Phương</v>
      </c>
      <c r="E51" s="1"/>
      <c r="F51" s="1" t="str">
        <f ca="1">IFERROR(__xludf.DUMMYFUNCTION("""COMPUTED_VALUE"""),"K28DLK6")</f>
        <v>K28DLK6</v>
      </c>
      <c r="G51" s="1" t="str">
        <f ca="1">IFERROR(__xludf.DUMMYFUNCTION("""COMPUTED_VALUE"""),"Quản trị Du lịch &amp; Khách sạn")</f>
        <v>Quản trị Du lịch &amp; Khách sạn</v>
      </c>
      <c r="H51" s="1" t="str">
        <f ca="1">IFERROR(__xludf.DUMMYFUNCTION("""COMPUTED_VALUE"""),"K28")</f>
        <v>K28</v>
      </c>
      <c r="I51" s="1" t="str">
        <f ca="1">IFERROR(__xludf.DUMMYFUNCTION("""COMPUTED_VALUE"""),"0388420271")</f>
        <v>0388420271</v>
      </c>
      <c r="J51" s="1">
        <f ca="1">IFERROR(__xludf.DUMMYFUNCTION("""COMPUTED_VALUE"""),3.27)</f>
        <v>3.27</v>
      </c>
      <c r="K51" s="1">
        <f ca="1">IFERROR(__xludf.DUMMYFUNCTION("""COMPUTED_VALUE"""),117)</f>
        <v>117</v>
      </c>
      <c r="L51" s="1" t="str">
        <f ca="1">IFERROR(__xludf.DUMMYFUNCTION("""COMPUTED_VALUE"""),"Rồi")</f>
        <v>Rồi</v>
      </c>
      <c r="M51" s="1" t="str">
        <f ca="1">IFERROR(__xludf.DUMMYFUNCTION("""COMPUTED_VALUE"""),"Thực tập tốt nghiệp, Thi tốt nghiệp, Công nhận tốt nghiệp")</f>
        <v>Thực tập tốt nghiệp, Thi tốt nghiệp, Công nhận tốt nghiệp</v>
      </c>
      <c r="N51" s="1">
        <f ca="1">IFERROR(__xludf.DUMMYFUNCTION("""COMPUTED_VALUE"""),6)</f>
        <v>6</v>
      </c>
      <c r="O51" s="1" t="str">
        <f ca="1">IFERROR(__xludf.DUMMYFUNCTION("""COMPUTED_VALUE"""),"cam kết")</f>
        <v>cam kết</v>
      </c>
      <c r="P51" s="1"/>
      <c r="Q51" s="1"/>
      <c r="R51" s="1" t="str">
        <f ca="1">IFERROR(__xludf.DUMMYFUNCTION("""COMPUTED_VALUE"""),"18/12/2025")</f>
        <v>18/12/2025</v>
      </c>
      <c r="S51" s="1" t="str">
        <f ca="1">IFERROR(__xludf.DUMMYFUNCTION("""COMPUTED_VALUE"""),"thực tập TN, Thi TN")</f>
        <v>thực tập TN, Thi TN</v>
      </c>
      <c r="T51" s="1" t="str">
        <f ca="1">IFERROR(__xludf.DUMMYFUNCTION("""COMPUTED_VALUE"""),"Đã email cấp giấy giới thiệu ngày 18/12/2025")</f>
        <v>Đã email cấp giấy giới thiệu ngày 18/12/2025</v>
      </c>
      <c r="U51" s="1"/>
      <c r="V51" s="1"/>
      <c r="W51" s="1" t="str">
        <f ca="1">IFERROR(__xludf.DUMMYFUNCTION("""COMPUTED_VALUE"""),"K28DLK6")</f>
        <v>K28DLK6</v>
      </c>
      <c r="X51" s="1"/>
      <c r="Y51" s="1" t="str">
        <f ca="1">IFERROR(__xludf.DUMMYFUNCTION("""COMPUTED_VALUE"""),"Shilla Monogram Danang")</f>
        <v>Shilla Monogram Danang</v>
      </c>
      <c r="Z51" s="1" t="str">
        <f ca="1">IFERROR(__xludf.DUMMYFUNCTION("""COMPUTED_VALUE"""),"Buồng phòng")</f>
        <v>Buồng phòng</v>
      </c>
      <c r="AA51" s="1" t="str">
        <f ca="1">IFERROR(__xludf.DUMMYFUNCTION("""COMPUTED_VALUE"""),"DUYỆT")</f>
        <v>DUYỆT</v>
      </c>
      <c r="AB51" s="1" t="str">
        <f ca="1">IFERROR(__xludf.DUMMYFUNCTION("""COMPUTED_VALUE"""),"23/01/2026")</f>
        <v>23/01/2026</v>
      </c>
      <c r="AC51" s="1" t="str">
        <f ca="1">IFERROR(__xludf.DUMMYFUNCTION("""COMPUTED_VALUE"""),"BÁO CÁO THỰC TẬP TỐT NGHIỆP")</f>
        <v>BÁO CÁO THỰC TẬP TỐT NGHIỆP</v>
      </c>
      <c r="AD51" s="1" t="str">
        <f ca="1">IFERROR(__xludf.DUMMYFUNCTION("""COMPUTED_VALUE"""),"Hồ Minh Phúc")</f>
        <v>Hồ Minh Phúc</v>
      </c>
      <c r="AE51" s="1" t="str">
        <f ca="1">IFERROR(__xludf.DUMMYFUNCTION("""COMPUTED_VALUE"""),"Thạc sĩ")</f>
        <v>Thạc sĩ</v>
      </c>
      <c r="AF51" s="1" t="str">
        <f ca="1">IFERROR(__xludf.DUMMYFUNCTION("""COMPUTED_VALUE"""),"0935336716")</f>
        <v>0935336716</v>
      </c>
      <c r="AG51" s="1" t="str">
        <f ca="1">IFERROR(__xludf.DUMMYFUNCTION("""COMPUTED_VALUE"""),"hominhphuc@dtu-hti.edu.vn")</f>
        <v>hominhphuc@dtu-hti.edu.vn</v>
      </c>
      <c r="AH51" s="1" t="str">
        <f ca="1">IFERROR(__xludf.DUMMYFUNCTION("""COMPUTED_VALUE"""),"Báo cáo kết quả thực tập và thực trạng quy trình phục vụ khách lưu trú tại bộ phận Buồng phòng của Shilla Monogram Danang Resort")</f>
        <v>Báo cáo kết quả thực tập và thực trạng quy trình phục vụ khách lưu trú tại bộ phận Buồng phòng của Shilla Monogram Danang Resort</v>
      </c>
      <c r="AI51" s="1"/>
    </row>
    <row r="52" spans="1:35" x14ac:dyDescent="0.2">
      <c r="A52" s="3">
        <f ca="1">IFERROR(__xludf.DUMMYFUNCTION("""COMPUTED_VALUE"""),46037.3973616666)</f>
        <v>46037.397361666597</v>
      </c>
      <c r="B52" s="1" t="str">
        <f ca="1">IFERROR(__xludf.DUMMYFUNCTION("""COMPUTED_VALUE"""),"hongphann264@gmail.com")</f>
        <v>hongphann264@gmail.com</v>
      </c>
      <c r="C52" s="1">
        <f ca="1">IFERROR(__xludf.DUMMYFUNCTION("""COMPUTED_VALUE"""),28208002909)</f>
        <v>28208002909</v>
      </c>
      <c r="D52" s="1" t="str">
        <f ca="1">IFERROR(__xludf.DUMMYFUNCTION("""COMPUTED_VALUE"""),"Nguyễn Thị Hồng Phấn")</f>
        <v>Nguyễn Thị Hồng Phấn</v>
      </c>
      <c r="E52" s="1"/>
      <c r="F52" s="1" t="str">
        <f ca="1">IFERROR(__xludf.DUMMYFUNCTION("""COMPUTED_VALUE"""),"K28DLK3")</f>
        <v>K28DLK3</v>
      </c>
      <c r="G52" s="1" t="str">
        <f ca="1">IFERROR(__xludf.DUMMYFUNCTION("""COMPUTED_VALUE"""),"Quản trị Du lịch &amp; Khách sạn")</f>
        <v>Quản trị Du lịch &amp; Khách sạn</v>
      </c>
      <c r="H52" s="1" t="str">
        <f ca="1">IFERROR(__xludf.DUMMYFUNCTION("""COMPUTED_VALUE"""),"K28")</f>
        <v>K28</v>
      </c>
      <c r="I52" s="1" t="str">
        <f ca="1">IFERROR(__xludf.DUMMYFUNCTION("""COMPUTED_VALUE"""),"0343970384")</f>
        <v>0343970384</v>
      </c>
      <c r="J52" s="1">
        <f ca="1">IFERROR(__xludf.DUMMYFUNCTION("""COMPUTED_VALUE"""),2.62)</f>
        <v>2.62</v>
      </c>
      <c r="K52" s="1">
        <f ca="1">IFERROR(__xludf.DUMMYFUNCTION("""COMPUTED_VALUE"""),121)</f>
        <v>121</v>
      </c>
      <c r="L52" s="1" t="str">
        <f ca="1">IFERROR(__xludf.DUMMYFUNCTION("""COMPUTED_VALUE"""),"Rồi")</f>
        <v>Rồi</v>
      </c>
      <c r="M52" s="1" t="str">
        <f ca="1">IFERROR(__xludf.DUMMYFUNCTION("""COMPUTED_VALUE"""),"Thực tập tốt nghiệp, Thi tốt nghiệp, Công nhận tốt nghiệp")</f>
        <v>Thực tập tốt nghiệp, Thi tốt nghiệp, Công nhận tốt nghiệp</v>
      </c>
      <c r="N52" s="1">
        <f ca="1">IFERROR(__xludf.DUMMYFUNCTION("""COMPUTED_VALUE"""),11)</f>
        <v>11</v>
      </c>
      <c r="O52" s="1" t="str">
        <f ca="1">IFERROR(__xludf.DUMMYFUNCTION("""COMPUTED_VALUE"""),"cam kết")</f>
        <v>cam kết</v>
      </c>
      <c r="P52" s="1"/>
      <c r="Q52" s="1"/>
      <c r="R52" s="1" t="str">
        <f ca="1">IFERROR(__xludf.DUMMYFUNCTION("""COMPUTED_VALUE"""),"18/12/2025")</f>
        <v>18/12/2025</v>
      </c>
      <c r="S52" s="1" t="str">
        <f ca="1">IFERROR(__xludf.DUMMYFUNCTION("""COMPUTED_VALUE"""),"thực tập TN, Thi TN")</f>
        <v>thực tập TN, Thi TN</v>
      </c>
      <c r="T52" s="1" t="str">
        <f ca="1">IFERROR(__xludf.DUMMYFUNCTION("""COMPUTED_VALUE"""),"Đã email cấp giấy giới thiệu ngày 18/12/2025")</f>
        <v>Đã email cấp giấy giới thiệu ngày 18/12/2025</v>
      </c>
      <c r="U52" s="1"/>
      <c r="V52" s="1"/>
      <c r="W52" s="1" t="str">
        <f ca="1">IFERROR(__xludf.DUMMYFUNCTION("""COMPUTED_VALUE"""),"K28DLK3")</f>
        <v>K28DLK3</v>
      </c>
      <c r="X52" s="1"/>
      <c r="Y52" s="1" t="str">
        <f ca="1">IFERROR(__xludf.DUMMYFUNCTION("""COMPUTED_VALUE"""),"Grand Mercure Danang")</f>
        <v>Grand Mercure Danang</v>
      </c>
      <c r="Z52" s="1" t="str">
        <f ca="1">IFERROR(__xludf.DUMMYFUNCTION("""COMPUTED_VALUE"""),"Buồng phòng")</f>
        <v>Buồng phòng</v>
      </c>
      <c r="AA52" s="1" t="str">
        <f ca="1">IFERROR(__xludf.DUMMYFUNCTION("""COMPUTED_VALUE"""),"DUYỆT")</f>
        <v>DUYỆT</v>
      </c>
      <c r="AB52" s="1" t="str">
        <f ca="1">IFERROR(__xludf.DUMMYFUNCTION("""COMPUTED_VALUE"""),"22/01/2026")</f>
        <v>22/01/2026</v>
      </c>
      <c r="AC52" s="1" t="str">
        <f ca="1">IFERROR(__xludf.DUMMYFUNCTION("""COMPUTED_VALUE"""),"BÁO CÁO THỰC TẬP TỐT NGHIỆP")</f>
        <v>BÁO CÁO THỰC TẬP TỐT NGHIỆP</v>
      </c>
      <c r="AD52" s="1" t="str">
        <f ca="1">IFERROR(__xludf.DUMMYFUNCTION("""COMPUTED_VALUE"""),"Phạm Thị Thu Thủy")</f>
        <v>Phạm Thị Thu Thủy</v>
      </c>
      <c r="AE52" s="1" t="str">
        <f ca="1">IFERROR(__xludf.DUMMYFUNCTION("""COMPUTED_VALUE"""),"Thạc sĩ")</f>
        <v>Thạc sĩ</v>
      </c>
      <c r="AF52" s="1" t="str">
        <f ca="1">IFERROR(__xludf.DUMMYFUNCTION("""COMPUTED_VALUE"""),"0938290678")</f>
        <v>0938290678</v>
      </c>
      <c r="AG52" s="1" t="str">
        <f ca="1">IFERROR(__xludf.DUMMYFUNCTION("""COMPUTED_VALUE"""),"phamtthuthuy2@dtu-hti.edu.vn")</f>
        <v>phamtthuthuy2@dtu-hti.edu.vn</v>
      </c>
      <c r="AH52" s="1" t="str">
        <f ca="1">IFERROR(__xludf.DUMMYFUNCTION("""COMPUTED_VALUE""")," Báo cáo kết quả thực tập và thực trạng quy trình phục vụ khách trong thời gian lưu trú tại bộ phận buồng phòng khách sạn Grand Mercure Danang")</f>
        <v xml:space="preserve"> Báo cáo kết quả thực tập và thực trạng quy trình phục vụ khách trong thời gian lưu trú tại bộ phận buồng phòng khách sạn Grand Mercure Danang</v>
      </c>
      <c r="AI52" s="1"/>
    </row>
    <row r="53" spans="1:35" x14ac:dyDescent="0.2">
      <c r="A53" s="3">
        <f ca="1">IFERROR(__xludf.DUMMYFUNCTION("""COMPUTED_VALUE"""),45994.6822794328)</f>
        <v>45994.682279432804</v>
      </c>
      <c r="B53" s="1" t="str">
        <f ca="1">IFERROR(__xludf.DUMMYFUNCTION("""COMPUTED_VALUE"""),"huynhthikimngoc260504@gmail.com")</f>
        <v>huynhthikimngoc260504@gmail.com</v>
      </c>
      <c r="C53" s="1">
        <f ca="1">IFERROR(__xludf.DUMMYFUNCTION("""COMPUTED_VALUE"""),28208032409)</f>
        <v>28208032409</v>
      </c>
      <c r="D53" s="1" t="str">
        <f ca="1">IFERROR(__xludf.DUMMYFUNCTION("""COMPUTED_VALUE"""),"Huỳnh Thị Kim Ngọc ")</f>
        <v xml:space="preserve">Huỳnh Thị Kim Ngọc </v>
      </c>
      <c r="E53" s="1"/>
      <c r="F53" s="1" t="str">
        <f ca="1">IFERROR(__xludf.DUMMYFUNCTION("""COMPUTED_VALUE"""),"K28DLK4")</f>
        <v>K28DLK4</v>
      </c>
      <c r="G53" s="1" t="str">
        <f ca="1">IFERROR(__xludf.DUMMYFUNCTION("""COMPUTED_VALUE"""),"Quản trị Du lịch &amp; Khách sạn")</f>
        <v>Quản trị Du lịch &amp; Khách sạn</v>
      </c>
      <c r="H53" s="1" t="str">
        <f ca="1">IFERROR(__xludf.DUMMYFUNCTION("""COMPUTED_VALUE"""),"K28")</f>
        <v>K28</v>
      </c>
      <c r="I53" s="1" t="str">
        <f ca="1">IFERROR(__xludf.DUMMYFUNCTION("""COMPUTED_VALUE"""),"0836939652")</f>
        <v>0836939652</v>
      </c>
      <c r="J53" s="1">
        <f ca="1">IFERROR(__xludf.DUMMYFUNCTION("""COMPUTED_VALUE"""),3.22)</f>
        <v>3.22</v>
      </c>
      <c r="K53" s="1">
        <f ca="1">IFERROR(__xludf.DUMMYFUNCTION("""COMPUTED_VALUE"""),110)</f>
        <v>110</v>
      </c>
      <c r="L53" s="1" t="str">
        <f ca="1">IFERROR(__xludf.DUMMYFUNCTION("""COMPUTED_VALUE"""),"Rồi")</f>
        <v>Rồi</v>
      </c>
      <c r="M53" s="1" t="str">
        <f ca="1">IFERROR(__xludf.DUMMYFUNCTION("""COMPUTED_VALUE"""),"Thực tập tốt nghiệp, Thi tốt nghiệp, Công nhận tốt nghiệp")</f>
        <v>Thực tập tốt nghiệp, Thi tốt nghiệp, Công nhận tốt nghiệp</v>
      </c>
      <c r="N53" s="1" t="str">
        <f ca="1">IFERROR(__xludf.DUMMYFUNCTION("""COMPUTED_VALUE"""),"14 tín")</f>
        <v>14 tín</v>
      </c>
      <c r="O53" s="1" t="str">
        <f ca="1">IFERROR(__xludf.DUMMYFUNCTION("""COMPUTED_VALUE"""),"cam kết")</f>
        <v>cam kết</v>
      </c>
      <c r="P53" s="1"/>
      <c r="Q53" s="1"/>
      <c r="R53" s="1" t="str">
        <f ca="1">IFERROR(__xludf.DUMMYFUNCTION("""COMPUTED_VALUE"""),"18/12/2025")</f>
        <v>18/12/2025</v>
      </c>
      <c r="S53" s="1" t="str">
        <f ca="1">IFERROR(__xludf.DUMMYFUNCTION("""COMPUTED_VALUE"""),"thực tập TN, Thi TN")</f>
        <v>thực tập TN, Thi TN</v>
      </c>
      <c r="T53" s="1" t="str">
        <f ca="1">IFERROR(__xludf.DUMMYFUNCTION("""COMPUTED_VALUE"""),"Đã email cấp giấy giới thiệu ngày 18/12/2025")</f>
        <v>Đã email cấp giấy giới thiệu ngày 18/12/2025</v>
      </c>
      <c r="U53" s="1"/>
      <c r="V53" s="1"/>
      <c r="W53" s="1" t="str">
        <f ca="1">IFERROR(__xludf.DUMMYFUNCTION("""COMPUTED_VALUE"""),"K28DLK4")</f>
        <v>K28DLK4</v>
      </c>
      <c r="X53" s="1"/>
      <c r="Y53" s="1" t="str">
        <f ca="1">IFERROR(__xludf.DUMMYFUNCTION("""COMPUTED_VALUE"""),"Meliá Danang Beach Resort")</f>
        <v>Meliá Danang Beach Resort</v>
      </c>
      <c r="Z53" s="1" t="str">
        <f ca="1">IFERROR(__xludf.DUMMYFUNCTION("""COMPUTED_VALUE"""),"Nhà hàng")</f>
        <v>Nhà hàng</v>
      </c>
      <c r="AA53" s="1" t="str">
        <f ca="1">IFERROR(__xludf.DUMMYFUNCTION("""COMPUTED_VALUE"""),"DUYỆT")</f>
        <v>DUYỆT</v>
      </c>
      <c r="AB53" s="1" t="str">
        <f ca="1">IFERROR(__xludf.DUMMYFUNCTION("""COMPUTED_VALUE"""),"23/01/2026")</f>
        <v>23/01/2026</v>
      </c>
      <c r="AC53" s="1" t="str">
        <f ca="1">IFERROR(__xludf.DUMMYFUNCTION("""COMPUTED_VALUE"""),"BÁO CÁO THỰC TẬP TỐT NGHIỆP")</f>
        <v>BÁO CÁO THỰC TẬP TỐT NGHIỆP</v>
      </c>
      <c r="AD53" s="1" t="str">
        <f ca="1">IFERROR(__xludf.DUMMYFUNCTION("""COMPUTED_VALUE"""),"Huỳnh Lý Thùy Linh")</f>
        <v>Huỳnh Lý Thùy Linh</v>
      </c>
      <c r="AE53" s="1" t="str">
        <f ca="1">IFERROR(__xludf.DUMMYFUNCTION("""COMPUTED_VALUE"""),"Thạc sĩ")</f>
        <v>Thạc sĩ</v>
      </c>
      <c r="AF53" s="1" t="str">
        <f ca="1">IFERROR(__xludf.DUMMYFUNCTION("""COMPUTED_VALUE"""),"0702605664")</f>
        <v>0702605664</v>
      </c>
      <c r="AG53" s="1" t="str">
        <f ca="1">IFERROR(__xludf.DUMMYFUNCTION("""COMPUTED_VALUE"""),"huynhlthuylinh@dtu-hti.edu.vn")</f>
        <v>huynhlthuylinh@dtu-hti.edu.vn</v>
      </c>
      <c r="AH53" s="1" t="str">
        <f ca="1">IFERROR(__xludf.DUMMYFUNCTION("""COMPUTED_VALUE""")," Báo cáo kết quả thực tập và thực trạng quy trình phục vụ set menu tại nhà hàng Sa Sa thuộc Meliá Danang Beach Resort")</f>
        <v xml:space="preserve"> Báo cáo kết quả thực tập và thực trạng quy trình phục vụ set menu tại nhà hàng Sa Sa thuộc Meliá Danang Beach Resort</v>
      </c>
      <c r="AI53" s="1"/>
    </row>
    <row r="54" spans="1:35" x14ac:dyDescent="0.2">
      <c r="A54" s="3">
        <f ca="1">IFERROR(__xludf.DUMMYFUNCTION("""COMPUTED_VALUE"""),45994.6952459722)</f>
        <v>45994.695245972202</v>
      </c>
      <c r="B54" s="1" t="str">
        <f ca="1">IFERROR(__xludf.DUMMYFUNCTION("""COMPUTED_VALUE"""),"lenghiaxuanhuyen@gmail.com")</f>
        <v>lenghiaxuanhuyen@gmail.com</v>
      </c>
      <c r="C54" s="1">
        <f ca="1">IFERROR(__xludf.DUMMYFUNCTION("""COMPUTED_VALUE"""),28208034773)</f>
        <v>28208034773</v>
      </c>
      <c r="D54" s="1" t="str">
        <f ca="1">IFERROR(__xludf.DUMMYFUNCTION("""COMPUTED_VALUE"""),"Lê Thị Thanh Huyền")</f>
        <v>Lê Thị Thanh Huyền</v>
      </c>
      <c r="E54" s="1"/>
      <c r="F54" s="1" t="str">
        <f ca="1">IFERROR(__xludf.DUMMYFUNCTION("""COMPUTED_VALUE"""),"K28-DLK2")</f>
        <v>K28-DLK2</v>
      </c>
      <c r="G54" s="1" t="str">
        <f ca="1">IFERROR(__xludf.DUMMYFUNCTION("""COMPUTED_VALUE"""),"Quản trị Du lịch &amp; Khách sạn")</f>
        <v>Quản trị Du lịch &amp; Khách sạn</v>
      </c>
      <c r="H54" s="1" t="str">
        <f ca="1">IFERROR(__xludf.DUMMYFUNCTION("""COMPUTED_VALUE"""),"K28")</f>
        <v>K28</v>
      </c>
      <c r="I54" s="1" t="str">
        <f ca="1">IFERROR(__xludf.DUMMYFUNCTION("""COMPUTED_VALUE"""),"0935394109")</f>
        <v>0935394109</v>
      </c>
      <c r="J54" s="1">
        <f ca="1">IFERROR(__xludf.DUMMYFUNCTION("""COMPUTED_VALUE"""),3.13)</f>
        <v>3.13</v>
      </c>
      <c r="K54" s="1">
        <f ca="1">IFERROR(__xludf.DUMMYFUNCTION("""COMPUTED_VALUE"""),116)</f>
        <v>116</v>
      </c>
      <c r="L54" s="1" t="str">
        <f ca="1">IFERROR(__xludf.DUMMYFUNCTION("""COMPUTED_VALUE"""),"Rồi")</f>
        <v>Rồi</v>
      </c>
      <c r="M54" s="1" t="str">
        <f ca="1">IFERROR(__xludf.DUMMYFUNCTION("""COMPUTED_VALUE"""),"Thực tập tốt nghiệp, Thi tốt nghiệp, Công nhận tốt nghiệp")</f>
        <v>Thực tập tốt nghiệp, Thi tốt nghiệp, Công nhận tốt nghiệp</v>
      </c>
      <c r="N54" s="1">
        <f ca="1">IFERROR(__xludf.DUMMYFUNCTION("""COMPUTED_VALUE"""),6)</f>
        <v>6</v>
      </c>
      <c r="O54" s="1" t="str">
        <f ca="1">IFERROR(__xludf.DUMMYFUNCTION("""COMPUTED_VALUE"""),"cam kết")</f>
        <v>cam kết</v>
      </c>
      <c r="P54" s="1"/>
      <c r="Q54" s="1"/>
      <c r="R54" s="1" t="str">
        <f ca="1">IFERROR(__xludf.DUMMYFUNCTION("""COMPUTED_VALUE"""),"18/12/2025")</f>
        <v>18/12/2025</v>
      </c>
      <c r="S54" s="1" t="str">
        <f ca="1">IFERROR(__xludf.DUMMYFUNCTION("""COMPUTED_VALUE"""),"thực tập TN, Thi TN")</f>
        <v>thực tập TN, Thi TN</v>
      </c>
      <c r="T54" s="1" t="str">
        <f ca="1">IFERROR(__xludf.DUMMYFUNCTION("""COMPUTED_VALUE"""),"Đã email cấp giấy giới thiệu ngày 18/12/2025")</f>
        <v>Đã email cấp giấy giới thiệu ngày 18/12/2025</v>
      </c>
      <c r="U54" s="1"/>
      <c r="V54" s="1"/>
      <c r="W54" s="1" t="str">
        <f ca="1">IFERROR(__xludf.DUMMYFUNCTION("""COMPUTED_VALUE"""),"K28DLK2")</f>
        <v>K28DLK2</v>
      </c>
      <c r="X54" s="1"/>
      <c r="Y54" s="1" t="str">
        <f ca="1">IFERROR(__xludf.DUMMYFUNCTION("""COMPUTED_VALUE"""),"Hyatt Regency Danang Resort and Spa")</f>
        <v>Hyatt Regency Danang Resort and Spa</v>
      </c>
      <c r="Z54" s="1" t="str">
        <f ca="1">IFERROR(__xludf.DUMMYFUNCTION("""COMPUTED_VALUE"""),"Buồng phòng")</f>
        <v>Buồng phòng</v>
      </c>
      <c r="AA54" s="1" t="str">
        <f ca="1">IFERROR(__xludf.DUMMYFUNCTION("""COMPUTED_VALUE"""),"DUYỆT")</f>
        <v>DUYỆT</v>
      </c>
      <c r="AB54" s="4">
        <f ca="1">IFERROR(__xludf.DUMMYFUNCTION("""COMPUTED_VALUE"""),46296)</f>
        <v>46296</v>
      </c>
      <c r="AC54" s="1" t="str">
        <f ca="1">IFERROR(__xludf.DUMMYFUNCTION("""COMPUTED_VALUE"""),"BÁO CÁO THỰC TẬP TỐT NGHIỆP")</f>
        <v>BÁO CÁO THỰC TẬP TỐT NGHIỆP</v>
      </c>
      <c r="AD54" s="1" t="str">
        <f ca="1">IFERROR(__xludf.DUMMYFUNCTION("""COMPUTED_VALUE"""),"Phạm Thị Thu Thủy")</f>
        <v>Phạm Thị Thu Thủy</v>
      </c>
      <c r="AE54" s="1" t="str">
        <f ca="1">IFERROR(__xludf.DUMMYFUNCTION("""COMPUTED_VALUE"""),"Thạc sĩ")</f>
        <v>Thạc sĩ</v>
      </c>
      <c r="AF54" s="1" t="str">
        <f ca="1">IFERROR(__xludf.DUMMYFUNCTION("""COMPUTED_VALUE"""),"0938290678")</f>
        <v>0938290678</v>
      </c>
      <c r="AG54" s="1" t="str">
        <f ca="1">IFERROR(__xludf.DUMMYFUNCTION("""COMPUTED_VALUE"""),"phamtthuthuy2@dtu-hti.edu.vn")</f>
        <v>phamtthuthuy2@dtu-hti.edu.vn</v>
      </c>
      <c r="AH54" s="1" t="str">
        <f ca="1">IFERROR(__xludf.DUMMYFUNCTION("""COMPUTED_VALUE"""),"Báo cáo kết quả thực tập và thực trạng quy trình vệ sinh buồng tại bộ phận buồng Hyatt Regency Danang Resort and Spa")</f>
        <v>Báo cáo kết quả thực tập và thực trạng quy trình vệ sinh buồng tại bộ phận buồng Hyatt Regency Danang Resort and Spa</v>
      </c>
      <c r="AI54" s="1"/>
    </row>
    <row r="55" spans="1:35" x14ac:dyDescent="0.2">
      <c r="A55" s="3">
        <f ca="1">IFERROR(__xludf.DUMMYFUNCTION("""COMPUTED_VALUE"""),45994.687423287)</f>
        <v>45994.687423287003</v>
      </c>
      <c r="B55" s="1" t="str">
        <f ca="1">IFERROR(__xludf.DUMMYFUNCTION("""COMPUTED_VALUE"""),"nguyenthibichqua2409@gmail.com")</f>
        <v>nguyenthibichqua2409@gmail.com</v>
      </c>
      <c r="C55" s="1">
        <f ca="1">IFERROR(__xludf.DUMMYFUNCTION("""COMPUTED_VALUE"""),28207237757)</f>
        <v>28207237757</v>
      </c>
      <c r="D55" s="1" t="str">
        <f ca="1">IFERROR(__xludf.DUMMYFUNCTION("""COMPUTED_VALUE"""),"Nguyễn Thị Bích Quá")</f>
        <v>Nguyễn Thị Bích Quá</v>
      </c>
      <c r="E55" s="1"/>
      <c r="F55" s="1" t="str">
        <f ca="1">IFERROR(__xludf.DUMMYFUNCTION("""COMPUTED_VALUE"""),"K28PSUDLH")</f>
        <v>K28PSUDLH</v>
      </c>
      <c r="G55" s="1" t="str">
        <f ca="1">IFERROR(__xludf.DUMMYFUNCTION("""COMPUTED_VALUE"""),"Quản trị Du lịch &amp; Nhà hàng chuẩn PSU")</f>
        <v>Quản trị Du lịch &amp; Nhà hàng chuẩn PSU</v>
      </c>
      <c r="H55" s="1" t="str">
        <f ca="1">IFERROR(__xludf.DUMMYFUNCTION("""COMPUTED_VALUE"""),"K28")</f>
        <v>K28</v>
      </c>
      <c r="I55" s="1" t="str">
        <f ca="1">IFERROR(__xludf.DUMMYFUNCTION("""COMPUTED_VALUE"""),"0944706092")</f>
        <v>0944706092</v>
      </c>
      <c r="J55" s="1">
        <f ca="1">IFERROR(__xludf.DUMMYFUNCTION("""COMPUTED_VALUE"""),3.55)</f>
        <v>3.55</v>
      </c>
      <c r="K55" s="1">
        <f ca="1">IFERROR(__xludf.DUMMYFUNCTION("""COMPUTED_VALUE"""),119)</f>
        <v>119</v>
      </c>
      <c r="L55" s="1" t="str">
        <f ca="1">IFERROR(__xludf.DUMMYFUNCTION("""COMPUTED_VALUE"""),"Rồi")</f>
        <v>Rồi</v>
      </c>
      <c r="M55" s="1" t="str">
        <f ca="1">IFERROR(__xludf.DUMMYFUNCTION("""COMPUTED_VALUE"""),"Thực tập tốt nghiệp")</f>
        <v>Thực tập tốt nghiệp</v>
      </c>
      <c r="N55" s="1">
        <f ca="1">IFERROR(__xludf.DUMMYFUNCTION("""COMPUTED_VALUE"""),9)</f>
        <v>9</v>
      </c>
      <c r="O55" s="1" t="str">
        <f ca="1">IFERROR(__xludf.DUMMYFUNCTION("""COMPUTED_VALUE"""),"cam kết")</f>
        <v>cam kết</v>
      </c>
      <c r="P55" s="1"/>
      <c r="Q55" s="1"/>
      <c r="R55" s="1" t="str">
        <f ca="1">IFERROR(__xludf.DUMMYFUNCTION("""COMPUTED_VALUE"""),"18/12/2025")</f>
        <v>18/12/2025</v>
      </c>
      <c r="S55" s="1" t="str">
        <f ca="1">IFERROR(__xludf.DUMMYFUNCTION("""COMPUTED_VALUE"""),"khóa luận TN")</f>
        <v>khóa luận TN</v>
      </c>
      <c r="T55" s="1" t="str">
        <f ca="1">IFERROR(__xludf.DUMMYFUNCTION("""COMPUTED_VALUE"""),"đã email cấp giấy giới thiệu ngày 25/12/2025")</f>
        <v>đã email cấp giấy giới thiệu ngày 25/12/2025</v>
      </c>
      <c r="U55" s="1"/>
      <c r="V55" s="1"/>
      <c r="W55" s="1" t="str">
        <f ca="1">IFERROR(__xludf.DUMMYFUNCTION("""COMPUTED_VALUE"""),"K28PSU-DLH")</f>
        <v>K28PSU-DLH</v>
      </c>
      <c r="X55" s="1"/>
      <c r="Y55" s="1" t="str">
        <f ca="1">IFERROR(__xludf.DUMMYFUNCTION("""COMPUTED_VALUE"""),"Sheraton Phu Quoc Long Beach Resort")</f>
        <v>Sheraton Phu Quoc Long Beach Resort</v>
      </c>
      <c r="Z55" s="1" t="str">
        <f ca="1">IFERROR(__xludf.DUMMYFUNCTION("""COMPUTED_VALUE"""),"Nhà hàng")</f>
        <v>Nhà hàng</v>
      </c>
      <c r="AA55" s="1" t="str">
        <f ca="1">IFERROR(__xludf.DUMMYFUNCTION("""COMPUTED_VALUE"""),"DUYỆT")</f>
        <v>DUYỆT</v>
      </c>
      <c r="AB55" s="1" t="str">
        <f ca="1">IFERROR(__xludf.DUMMYFUNCTION("""COMPUTED_VALUE"""),"xin nộp trễ: 06/02/2026")</f>
        <v>xin nộp trễ: 06/02/2026</v>
      </c>
      <c r="AC55" s="1" t="str">
        <f ca="1">IFERROR(__xludf.DUMMYFUNCTION("""COMPUTED_VALUE"""),"KHÓA LUẬN")</f>
        <v>KHÓA LUẬN</v>
      </c>
      <c r="AD55" s="1" t="str">
        <f ca="1">IFERROR(__xludf.DUMMYFUNCTION("""COMPUTED_VALUE"""),"Bùi Lê Anh Phương")</f>
        <v>Bùi Lê Anh Phương</v>
      </c>
      <c r="AE55" s="1" t="str">
        <f ca="1">IFERROR(__xludf.DUMMYFUNCTION("""COMPUTED_VALUE"""),"Tiến sĩ")</f>
        <v>Tiến sĩ</v>
      </c>
      <c r="AF55" s="1" t="str">
        <f ca="1">IFERROR(__xludf.DUMMYFUNCTION("""COMPUTED_VALUE"""),"0904646092")</f>
        <v>0904646092</v>
      </c>
      <c r="AG55" s="1" t="str">
        <f ca="1">IFERROR(__xludf.DUMMYFUNCTION("""COMPUTED_VALUE"""),"anhphuong@duytan.edu.vn")</f>
        <v>anhphuong@duytan.edu.vn</v>
      </c>
      <c r="AH55" s="1" t="str">
        <f ca="1">IFERROR(__xludf.DUMMYFUNCTION("""COMPUTED_VALUE"""),"Giải pháp nâng cao chất lượng dịch vụ ăn uống tại Nhà hàng Daily Social - Sheraton Phu Quoc Long Beach Resort")</f>
        <v>Giải pháp nâng cao chất lượng dịch vụ ăn uống tại Nhà hàng Daily Social - Sheraton Phu Quoc Long Beach Resort</v>
      </c>
      <c r="AI55" s="1"/>
    </row>
    <row r="56" spans="1:35" x14ac:dyDescent="0.2">
      <c r="A56" s="3">
        <f ca="1">IFERROR(__xludf.DUMMYFUNCTION("""COMPUTED_VALUE"""),45994.6896351157)</f>
        <v>45994.689635115697</v>
      </c>
      <c r="B56" s="1" t="str">
        <f ca="1">IFERROR(__xludf.DUMMYFUNCTION("""COMPUTED_VALUE"""),"hoaian011219@gmail.com")</f>
        <v>hoaian011219@gmail.com</v>
      </c>
      <c r="C56" s="1">
        <f ca="1">IFERROR(__xludf.DUMMYFUNCTION("""COMPUTED_VALUE"""),28203502896)</f>
        <v>28203502896</v>
      </c>
      <c r="D56" s="1" t="str">
        <f ca="1">IFERROR(__xludf.DUMMYFUNCTION("""COMPUTED_VALUE"""),"Trần Thị Phương Trinh ")</f>
        <v xml:space="preserve">Trần Thị Phương Trinh </v>
      </c>
      <c r="E56" s="1"/>
      <c r="F56" s="1" t="str">
        <f ca="1">IFERROR(__xludf.DUMMYFUNCTION("""COMPUTED_VALUE"""),"K28PSUDLH")</f>
        <v>K28PSUDLH</v>
      </c>
      <c r="G56" s="1" t="str">
        <f ca="1">IFERROR(__xludf.DUMMYFUNCTION("""COMPUTED_VALUE"""),"Quản trị Du lịch &amp; Nhà hàng chuẩn PSU")</f>
        <v>Quản trị Du lịch &amp; Nhà hàng chuẩn PSU</v>
      </c>
      <c r="H56" s="1" t="str">
        <f ca="1">IFERROR(__xludf.DUMMYFUNCTION("""COMPUTED_VALUE"""),"K28")</f>
        <v>K28</v>
      </c>
      <c r="I56" s="1" t="str">
        <f ca="1">IFERROR(__xludf.DUMMYFUNCTION("""COMPUTED_VALUE"""),"0347212538")</f>
        <v>0347212538</v>
      </c>
      <c r="J56" s="1">
        <f ca="1">IFERROR(__xludf.DUMMYFUNCTION("""COMPUTED_VALUE"""),3.38)</f>
        <v>3.38</v>
      </c>
      <c r="K56" s="1">
        <f ca="1">IFERROR(__xludf.DUMMYFUNCTION("""COMPUTED_VALUE"""),117)</f>
        <v>117</v>
      </c>
      <c r="L56" s="1" t="str">
        <f ca="1">IFERROR(__xludf.DUMMYFUNCTION("""COMPUTED_VALUE"""),"Rồi")</f>
        <v>Rồi</v>
      </c>
      <c r="M56" s="1" t="str">
        <f ca="1">IFERROR(__xludf.DUMMYFUNCTION("""COMPUTED_VALUE"""),"Thực tập tốt nghiệp")</f>
        <v>Thực tập tốt nghiệp</v>
      </c>
      <c r="N56" s="1">
        <f ca="1">IFERROR(__xludf.DUMMYFUNCTION("""COMPUTED_VALUE"""),11)</f>
        <v>11</v>
      </c>
      <c r="O56" s="1" t="str">
        <f ca="1">IFERROR(__xludf.DUMMYFUNCTION("""COMPUTED_VALUE"""),"cam kết")</f>
        <v>cam kết</v>
      </c>
      <c r="P56" s="1"/>
      <c r="Q56" s="1"/>
      <c r="R56" s="1" t="str">
        <f ca="1">IFERROR(__xludf.DUMMYFUNCTION("""COMPUTED_VALUE"""),"18/12/2025")</f>
        <v>18/12/2025</v>
      </c>
      <c r="S56" s="1" t="str">
        <f ca="1">IFERROR(__xludf.DUMMYFUNCTION("""COMPUTED_VALUE"""),"khóa luận TN")</f>
        <v>khóa luận TN</v>
      </c>
      <c r="T56" s="1" t="str">
        <f ca="1">IFERROR(__xludf.DUMMYFUNCTION("""COMPUTED_VALUE"""),"đã email cấp giấy giới thiệu ngày 25/12/2025")</f>
        <v>đã email cấp giấy giới thiệu ngày 25/12/2025</v>
      </c>
      <c r="U56" s="1"/>
      <c r="V56" s="1"/>
      <c r="W56" s="1" t="str">
        <f ca="1">IFERROR(__xludf.DUMMYFUNCTION("""COMPUTED_VALUE"""),"K28PSU-DLH")</f>
        <v>K28PSU-DLH</v>
      </c>
      <c r="X56" s="1"/>
      <c r="Y56" s="1" t="str">
        <f ca="1">IFERROR(__xludf.DUMMYFUNCTION("""COMPUTED_VALUE"""),"Sheraton Phu Quoc Long Beach Resort")</f>
        <v>Sheraton Phu Quoc Long Beach Resort</v>
      </c>
      <c r="Z56" s="1" t="str">
        <f ca="1">IFERROR(__xludf.DUMMYFUNCTION("""COMPUTED_VALUE"""),"Nhà hàng")</f>
        <v>Nhà hàng</v>
      </c>
      <c r="AA56" s="1" t="str">
        <f ca="1">IFERROR(__xludf.DUMMYFUNCTION("""COMPUTED_VALUE"""),"DUYỆT")</f>
        <v>DUYỆT</v>
      </c>
      <c r="AB56" s="1" t="str">
        <f ca="1">IFERROR(__xludf.DUMMYFUNCTION("""COMPUTED_VALUE"""),"xin nộp trễ: 06/02/2026")</f>
        <v>xin nộp trễ: 06/02/2026</v>
      </c>
      <c r="AC56" s="1" t="str">
        <f ca="1">IFERROR(__xludf.DUMMYFUNCTION("""COMPUTED_VALUE"""),"KHÓA LUẬN")</f>
        <v>KHÓA LUẬN</v>
      </c>
      <c r="AD56" s="1" t="str">
        <f ca="1">IFERROR(__xludf.DUMMYFUNCTION("""COMPUTED_VALUE"""),"Bùi Lê Anh Phương")</f>
        <v>Bùi Lê Anh Phương</v>
      </c>
      <c r="AE56" s="1" t="str">
        <f ca="1">IFERROR(__xludf.DUMMYFUNCTION("""COMPUTED_VALUE"""),"Tiến sĩ")</f>
        <v>Tiến sĩ</v>
      </c>
      <c r="AF56" s="1" t="str">
        <f ca="1">IFERROR(__xludf.DUMMYFUNCTION("""COMPUTED_VALUE"""),"0904646092")</f>
        <v>0904646092</v>
      </c>
      <c r="AG56" s="1" t="str">
        <f ca="1">IFERROR(__xludf.DUMMYFUNCTION("""COMPUTED_VALUE"""),"anhphuong@duytan.edu.vn")</f>
        <v>anhphuong@duytan.edu.vn</v>
      </c>
      <c r="AH56" s="1" t="str">
        <f ca="1">IFERROR(__xludf.DUMMYFUNCTION("""COMPUTED_VALUE"""),"Nâng cao chất lượng dịch vụ quầy Bar thông qua hoàn thiện quy trình phục vụ tại Sheraton Phu Quoc Long Beach Resort.")</f>
        <v>Nâng cao chất lượng dịch vụ quầy Bar thông qua hoàn thiện quy trình phục vụ tại Sheraton Phu Quoc Long Beach Resort.</v>
      </c>
      <c r="AI56" s="1"/>
    </row>
    <row r="57" spans="1:35" x14ac:dyDescent="0.2">
      <c r="A57" s="3">
        <f ca="1">IFERROR(__xludf.DUMMYFUNCTION("""COMPUTED_VALUE"""),45994.690087662)</f>
        <v>45994.690087661998</v>
      </c>
      <c r="B57" s="1" t="str">
        <f ca="1">IFERROR(__xludf.DUMMYFUNCTION("""COMPUTED_VALUE"""),"tramnguyen.210104@gmail.com")</f>
        <v>tramnguyen.210104@gmail.com</v>
      </c>
      <c r="C57" s="1">
        <f ca="1">IFERROR(__xludf.DUMMYFUNCTION("""COMPUTED_VALUE"""),28218050646)</f>
        <v>28218050646</v>
      </c>
      <c r="D57" s="1" t="str">
        <f ca="1">IFERROR(__xludf.DUMMYFUNCTION("""COMPUTED_VALUE"""),"Nguyễn Thị Bảo Trâm")</f>
        <v>Nguyễn Thị Bảo Trâm</v>
      </c>
      <c r="E57" s="1"/>
      <c r="F57" s="1" t="str">
        <f ca="1">IFERROR(__xludf.DUMMYFUNCTION("""COMPUTED_VALUE"""),"K28DLK 1 ")</f>
        <v xml:space="preserve">K28DLK 1 </v>
      </c>
      <c r="G57" s="1" t="str">
        <f ca="1">IFERROR(__xludf.DUMMYFUNCTION("""COMPUTED_VALUE"""),"Quản trị Du lịch &amp; Khách sạn")</f>
        <v>Quản trị Du lịch &amp; Khách sạn</v>
      </c>
      <c r="H57" s="1" t="str">
        <f ca="1">IFERROR(__xludf.DUMMYFUNCTION("""COMPUTED_VALUE"""),"K28")</f>
        <v>K28</v>
      </c>
      <c r="I57" s="1" t="str">
        <f ca="1">IFERROR(__xludf.DUMMYFUNCTION("""COMPUTED_VALUE"""),"0766729731")</f>
        <v>0766729731</v>
      </c>
      <c r="J57" s="1">
        <f ca="1">IFERROR(__xludf.DUMMYFUNCTION("""COMPUTED_VALUE"""),3.31)</f>
        <v>3.31</v>
      </c>
      <c r="K57" s="1">
        <f ca="1">IFERROR(__xludf.DUMMYFUNCTION("""COMPUTED_VALUE"""),110)</f>
        <v>110</v>
      </c>
      <c r="L57" s="1" t="str">
        <f ca="1">IFERROR(__xludf.DUMMYFUNCTION("""COMPUTED_VALUE"""),"Rồi")</f>
        <v>Rồi</v>
      </c>
      <c r="M57" s="1" t="str">
        <f ca="1">IFERROR(__xludf.DUMMYFUNCTION("""COMPUTED_VALUE"""),"Thực tập tốt nghiệp, Thi tốt nghiệp, Công nhận tốt nghiệp")</f>
        <v>Thực tập tốt nghiệp, Thi tốt nghiệp, Công nhận tốt nghiệp</v>
      </c>
      <c r="N57" s="1">
        <f ca="1">IFERROR(__xludf.DUMMYFUNCTION("""COMPUTED_VALUE"""),13)</f>
        <v>13</v>
      </c>
      <c r="O57" s="1" t="str">
        <f ca="1">IFERROR(__xludf.DUMMYFUNCTION("""COMPUTED_VALUE"""),"cam kết")</f>
        <v>cam kết</v>
      </c>
      <c r="P57" s="1"/>
      <c r="Q57" s="1"/>
      <c r="R57" s="1" t="str">
        <f ca="1">IFERROR(__xludf.DUMMYFUNCTION("""COMPUTED_VALUE"""),"18/12/2025")</f>
        <v>18/12/2025</v>
      </c>
      <c r="S57" s="1" t="str">
        <f ca="1">IFERROR(__xludf.DUMMYFUNCTION("""COMPUTED_VALUE"""),"thực tập TN, Thi TN")</f>
        <v>thực tập TN, Thi TN</v>
      </c>
      <c r="T57" s="1" t="str">
        <f ca="1">IFERROR(__xludf.DUMMYFUNCTION("""COMPUTED_VALUE"""),"Đã email cấp giấy giới thiệu ngày 18/12/2025")</f>
        <v>Đã email cấp giấy giới thiệu ngày 18/12/2025</v>
      </c>
      <c r="U57" s="1"/>
      <c r="V57" s="1"/>
      <c r="W57" s="1" t="str">
        <f ca="1">IFERROR(__xludf.DUMMYFUNCTION("""COMPUTED_VALUE"""),"K28DLK1")</f>
        <v>K28DLK1</v>
      </c>
      <c r="X57" s="1"/>
      <c r="Y57" s="1" t="str">
        <f ca="1">IFERROR(__xludf.DUMMYFUNCTION("""COMPUTED_VALUE"""),"Shilla Monogram Danang")</f>
        <v>Shilla Monogram Danang</v>
      </c>
      <c r="Z57" s="1" t="str">
        <f ca="1">IFERROR(__xludf.DUMMYFUNCTION("""COMPUTED_VALUE"""),"Buồng phòng")</f>
        <v>Buồng phòng</v>
      </c>
      <c r="AA57" s="1" t="str">
        <f ca="1">IFERROR(__xludf.DUMMYFUNCTION("""COMPUTED_VALUE"""),"DUYỆT")</f>
        <v>DUYỆT</v>
      </c>
      <c r="AB57" s="1" t="str">
        <f ca="1">IFERROR(__xludf.DUMMYFUNCTION("""COMPUTED_VALUE"""),"23/01/2026")</f>
        <v>23/01/2026</v>
      </c>
      <c r="AC57" s="1" t="str">
        <f ca="1">IFERROR(__xludf.DUMMYFUNCTION("""COMPUTED_VALUE"""),"BÁO CÁO THỰC TẬP TỐT NGHIỆP")</f>
        <v>BÁO CÁO THỰC TẬP TỐT NGHIỆP</v>
      </c>
      <c r="AD57" s="1" t="str">
        <f ca="1">IFERROR(__xludf.DUMMYFUNCTION("""COMPUTED_VALUE"""),"Hồ Minh Phúc")</f>
        <v>Hồ Minh Phúc</v>
      </c>
      <c r="AE57" s="1" t="str">
        <f ca="1">IFERROR(__xludf.DUMMYFUNCTION("""COMPUTED_VALUE"""),"Thạc sĩ")</f>
        <v>Thạc sĩ</v>
      </c>
      <c r="AF57" s="1" t="str">
        <f ca="1">IFERROR(__xludf.DUMMYFUNCTION("""COMPUTED_VALUE"""),"0935336716")</f>
        <v>0935336716</v>
      </c>
      <c r="AG57" s="1" t="str">
        <f ca="1">IFERROR(__xludf.DUMMYFUNCTION("""COMPUTED_VALUE"""),"hominhphuc@dtu-hti.edu.vn")</f>
        <v>hominhphuc@dtu-hti.edu.vn</v>
      </c>
      <c r="AH57" s="1" t="str">
        <f ca="1">IFERROR(__xludf.DUMMYFUNCTION("""COMPUTED_VALUE""")," Báo cáo kết quả thực tập và thực trạng các yếu tố ảnh hưởng đến chất lượng phục vụ tại bộ phận Buồng phòng của Shilla Monogram Danang Resort")</f>
        <v xml:space="preserve"> Báo cáo kết quả thực tập và thực trạng các yếu tố ảnh hưởng đến chất lượng phục vụ tại bộ phận Buồng phòng của Shilla Monogram Danang Resort</v>
      </c>
      <c r="AI57" s="1"/>
    </row>
    <row r="58" spans="1:35" x14ac:dyDescent="0.2">
      <c r="A58" s="3">
        <f ca="1">IFERROR(__xludf.DUMMYFUNCTION("""COMPUTED_VALUE"""),45994.6916225)</f>
        <v>45994.691622500002</v>
      </c>
      <c r="B58" s="1" t="str">
        <f ca="1">IFERROR(__xludf.DUMMYFUNCTION("""COMPUTED_VALUE"""),"tangngochuynh1007@gmail.com")</f>
        <v>tangngochuynh1007@gmail.com</v>
      </c>
      <c r="C58" s="1">
        <f ca="1">IFERROR(__xludf.DUMMYFUNCTION("""COMPUTED_VALUE"""),28204600357)</f>
        <v>28204600357</v>
      </c>
      <c r="D58" s="1" t="str">
        <f ca="1">IFERROR(__xludf.DUMMYFUNCTION("""COMPUTED_VALUE"""),"Phạm Thị Thuý Tâm")</f>
        <v>Phạm Thị Thuý Tâm</v>
      </c>
      <c r="E58" s="1"/>
      <c r="F58" s="1" t="str">
        <f ca="1">IFERROR(__xludf.DUMMYFUNCTION("""COMPUTED_VALUE"""),"K28DLK1")</f>
        <v>K28DLK1</v>
      </c>
      <c r="G58" s="1" t="str">
        <f ca="1">IFERROR(__xludf.DUMMYFUNCTION("""COMPUTED_VALUE"""),"Quản trị Du lịch &amp; Khách sạn")</f>
        <v>Quản trị Du lịch &amp; Khách sạn</v>
      </c>
      <c r="H58" s="1" t="str">
        <f ca="1">IFERROR(__xludf.DUMMYFUNCTION("""COMPUTED_VALUE"""),"K28")</f>
        <v>K28</v>
      </c>
      <c r="I58" s="1" t="str">
        <f ca="1">IFERROR(__xludf.DUMMYFUNCTION("""COMPUTED_VALUE"""),"0949938226")</f>
        <v>0949938226</v>
      </c>
      <c r="J58" s="1">
        <f ca="1">IFERROR(__xludf.DUMMYFUNCTION("""COMPUTED_VALUE"""),3.37)</f>
        <v>3.37</v>
      </c>
      <c r="K58" s="1">
        <f ca="1">IFERROR(__xludf.DUMMYFUNCTION("""COMPUTED_VALUE"""),108)</f>
        <v>108</v>
      </c>
      <c r="L58" s="1" t="str">
        <f ca="1">IFERROR(__xludf.DUMMYFUNCTION("""COMPUTED_VALUE"""),"Rồi")</f>
        <v>Rồi</v>
      </c>
      <c r="M58" s="1" t="str">
        <f ca="1">IFERROR(__xludf.DUMMYFUNCTION("""COMPUTED_VALUE"""),"Thực tập tốt nghiệp, Thi tốt nghiệp, Công nhận tốt nghiệp")</f>
        <v>Thực tập tốt nghiệp, Thi tốt nghiệp, Công nhận tốt nghiệp</v>
      </c>
      <c r="N58" s="1" t="str">
        <f ca="1">IFERROR(__xludf.DUMMYFUNCTION("""COMPUTED_VALUE"""),"15 (đang học 10 tín)")</f>
        <v>15 (đang học 10 tín)</v>
      </c>
      <c r="O58" s="1" t="str">
        <f ca="1">IFERROR(__xludf.DUMMYFUNCTION("""COMPUTED_VALUE"""),"cam kết")</f>
        <v>cam kết</v>
      </c>
      <c r="P58" s="1"/>
      <c r="Q58" s="1"/>
      <c r="R58" s="1" t="str">
        <f ca="1">IFERROR(__xludf.DUMMYFUNCTION("""COMPUTED_VALUE"""),"18/12/2025")</f>
        <v>18/12/2025</v>
      </c>
      <c r="S58" s="1" t="str">
        <f ca="1">IFERROR(__xludf.DUMMYFUNCTION("""COMPUTED_VALUE"""),"thực tập TN, Thi TN")</f>
        <v>thực tập TN, Thi TN</v>
      </c>
      <c r="T58" s="1" t="str">
        <f ca="1">IFERROR(__xludf.DUMMYFUNCTION("""COMPUTED_VALUE"""),"Đã email cấp giấy giới thiệu ngày 18/12/2025")</f>
        <v>Đã email cấp giấy giới thiệu ngày 18/12/2025</v>
      </c>
      <c r="U58" s="1"/>
      <c r="V58" s="1"/>
      <c r="W58" s="1" t="str">
        <f ca="1">IFERROR(__xludf.DUMMYFUNCTION("""COMPUTED_VALUE"""),"K28DLK1")</f>
        <v>K28DLK1</v>
      </c>
      <c r="X58" s="1"/>
      <c r="Y58" s="1" t="str">
        <f ca="1">IFERROR(__xludf.DUMMYFUNCTION("""COMPUTED_VALUE"""),"Danang Marriott Resort &amp; Spa")</f>
        <v>Danang Marriott Resort &amp; Spa</v>
      </c>
      <c r="Z58" s="1" t="str">
        <f ca="1">IFERROR(__xludf.DUMMYFUNCTION("""COMPUTED_VALUE"""),"Buồng phòng")</f>
        <v>Buồng phòng</v>
      </c>
      <c r="AA58" s="1" t="str">
        <f ca="1">IFERROR(__xludf.DUMMYFUNCTION("""COMPUTED_VALUE"""),"DUYỆT")</f>
        <v>DUYỆT</v>
      </c>
      <c r="AB58" s="1" t="str">
        <f ca="1">IFERROR(__xludf.DUMMYFUNCTION("""COMPUTED_VALUE"""),"14/01/2026")</f>
        <v>14/01/2026</v>
      </c>
      <c r="AC58" s="1" t="str">
        <f ca="1">IFERROR(__xludf.DUMMYFUNCTION("""COMPUTED_VALUE"""),"BÁO CÁO THỰC TẬP TỐT NGHIỆP")</f>
        <v>BÁO CÁO THỰC TẬP TỐT NGHIỆP</v>
      </c>
      <c r="AD58" s="1" t="str">
        <f ca="1">IFERROR(__xludf.DUMMYFUNCTION("""COMPUTED_VALUE"""),"Phạm Thị Thu Thủy")</f>
        <v>Phạm Thị Thu Thủy</v>
      </c>
      <c r="AE58" s="1" t="str">
        <f ca="1">IFERROR(__xludf.DUMMYFUNCTION("""COMPUTED_VALUE"""),"Thạc sĩ")</f>
        <v>Thạc sĩ</v>
      </c>
      <c r="AF58" s="1" t="str">
        <f ca="1">IFERROR(__xludf.DUMMYFUNCTION("""COMPUTED_VALUE"""),"0938290678")</f>
        <v>0938290678</v>
      </c>
      <c r="AG58" s="1" t="str">
        <f ca="1">IFERROR(__xludf.DUMMYFUNCTION("""COMPUTED_VALUE"""),"phamtthuthuy2@dtu-hti.edu.vn")</f>
        <v>phamtthuthuy2@dtu-hti.edu.vn</v>
      </c>
      <c r="AH58" s="1" t="str">
        <f ca="1">IFERROR(__xludf.DUMMYFUNCTION("""COMPUTED_VALUE"""),"Báo cáo kết quả thực tập và thực trạng quy trình chuần bị buồng đón khách VIP tại bộ phận buồng Danang Marriott Resort &amp; Spa")</f>
        <v>Báo cáo kết quả thực tập và thực trạng quy trình chuần bị buồng đón khách VIP tại bộ phận buồng Danang Marriott Resort &amp; Spa</v>
      </c>
      <c r="AI58" s="1"/>
    </row>
    <row r="59" spans="1:35" x14ac:dyDescent="0.2">
      <c r="A59" s="3">
        <f ca="1">IFERROR(__xludf.DUMMYFUNCTION("""COMPUTED_VALUE"""),45994.6914846527)</f>
        <v>45994.6914846527</v>
      </c>
      <c r="B59" s="1" t="str">
        <f ca="1">IFERROR(__xludf.DUMMYFUNCTION("""COMPUTED_VALUE"""),"homyh5009@gmail.com")</f>
        <v>homyh5009@gmail.com</v>
      </c>
      <c r="C59" s="1">
        <f ca="1">IFERROR(__xludf.DUMMYFUNCTION("""COMPUTED_VALUE"""),28208051685)</f>
        <v>28208051685</v>
      </c>
      <c r="D59" s="1" t="str">
        <f ca="1">IFERROR(__xludf.DUMMYFUNCTION("""COMPUTED_VALUE"""),"Hồ Thị Mỹ Hạnh")</f>
        <v>Hồ Thị Mỹ Hạnh</v>
      </c>
      <c r="E59" s="1"/>
      <c r="F59" s="1" t="str">
        <f ca="1">IFERROR(__xludf.DUMMYFUNCTION("""COMPUTED_VALUE"""),"K28DLK3")</f>
        <v>K28DLK3</v>
      </c>
      <c r="G59" s="1" t="str">
        <f ca="1">IFERROR(__xludf.DUMMYFUNCTION("""COMPUTED_VALUE"""),"Quản trị Du lịch &amp; Khách sạn")</f>
        <v>Quản trị Du lịch &amp; Khách sạn</v>
      </c>
      <c r="H59" s="1" t="str">
        <f ca="1">IFERROR(__xludf.DUMMYFUNCTION("""COMPUTED_VALUE"""),"K28")</f>
        <v>K28</v>
      </c>
      <c r="I59" s="1" t="str">
        <f ca="1">IFERROR(__xludf.DUMMYFUNCTION("""COMPUTED_VALUE"""),"0817827774")</f>
        <v>0817827774</v>
      </c>
      <c r="J59" s="1">
        <f ca="1">IFERROR(__xludf.DUMMYFUNCTION("""COMPUTED_VALUE"""),3.33)</f>
        <v>3.33</v>
      </c>
      <c r="K59" s="1">
        <f ca="1">IFERROR(__xludf.DUMMYFUNCTION("""COMPUTED_VALUE"""),116)</f>
        <v>116</v>
      </c>
      <c r="L59" s="1" t="str">
        <f ca="1">IFERROR(__xludf.DUMMYFUNCTION("""COMPUTED_VALUE"""),"Rồi")</f>
        <v>Rồi</v>
      </c>
      <c r="M59" s="1" t="str">
        <f ca="1">IFERROR(__xludf.DUMMYFUNCTION("""COMPUTED_VALUE"""),"Thực tập tốt nghiệp, Thi tốt nghiệp, Công nhận tốt nghiệp")</f>
        <v>Thực tập tốt nghiệp, Thi tốt nghiệp, Công nhận tốt nghiệp</v>
      </c>
      <c r="N59" s="1">
        <f ca="1">IFERROR(__xludf.DUMMYFUNCTION("""COMPUTED_VALUE"""),10)</f>
        <v>10</v>
      </c>
      <c r="O59" s="1" t="str">
        <f ca="1">IFERROR(__xludf.DUMMYFUNCTION("""COMPUTED_VALUE"""),"cam kết")</f>
        <v>cam kết</v>
      </c>
      <c r="P59" s="1"/>
      <c r="Q59" s="1"/>
      <c r="R59" s="1" t="str">
        <f ca="1">IFERROR(__xludf.DUMMYFUNCTION("""COMPUTED_VALUE"""),"18/12/2025")</f>
        <v>18/12/2025</v>
      </c>
      <c r="S59" s="1" t="str">
        <f ca="1">IFERROR(__xludf.DUMMYFUNCTION("""COMPUTED_VALUE"""),"thực tập TN, Thi TN")</f>
        <v>thực tập TN, Thi TN</v>
      </c>
      <c r="T59" s="1" t="str">
        <f ca="1">IFERROR(__xludf.DUMMYFUNCTION("""COMPUTED_VALUE"""),"Đã email cấp giấy giới thiệu ngày 18/12/2025")</f>
        <v>Đã email cấp giấy giới thiệu ngày 18/12/2025</v>
      </c>
      <c r="U59" s="1"/>
      <c r="V59" s="1"/>
      <c r="W59" s="1" t="str">
        <f ca="1">IFERROR(__xludf.DUMMYFUNCTION("""COMPUTED_VALUE"""),"K28DLK3")</f>
        <v>K28DLK3</v>
      </c>
      <c r="X59" s="1"/>
      <c r="Y59" s="1" t="str">
        <f ca="1">IFERROR(__xludf.DUMMYFUNCTION("""COMPUTED_VALUE"""),"Meliá Vinpearl Danang Riverfront")</f>
        <v>Meliá Vinpearl Danang Riverfront</v>
      </c>
      <c r="Z59" s="1" t="str">
        <f ca="1">IFERROR(__xludf.DUMMYFUNCTION("""COMPUTED_VALUE"""),"Nhà hàng")</f>
        <v>Nhà hàng</v>
      </c>
      <c r="AA59" s="1" t="str">
        <f ca="1">IFERROR(__xludf.DUMMYFUNCTION("""COMPUTED_VALUE"""),"DUYỆT")</f>
        <v>DUYỆT</v>
      </c>
      <c r="AB59" s="1" t="str">
        <f ca="1">IFERROR(__xludf.DUMMYFUNCTION("""COMPUTED_VALUE"""),"22/01/2026")</f>
        <v>22/01/2026</v>
      </c>
      <c r="AC59" s="1" t="str">
        <f ca="1">IFERROR(__xludf.DUMMYFUNCTION("""COMPUTED_VALUE"""),"BÁO CÁO THỰC TẬP TỐT NGHIỆP")</f>
        <v>BÁO CÁO THỰC TẬP TỐT NGHIỆP</v>
      </c>
      <c r="AD59" s="1" t="str">
        <f ca="1">IFERROR(__xludf.DUMMYFUNCTION("""COMPUTED_VALUE"""),"Huỳnh Lý Thùy Linh")</f>
        <v>Huỳnh Lý Thùy Linh</v>
      </c>
      <c r="AE59" s="1" t="str">
        <f ca="1">IFERROR(__xludf.DUMMYFUNCTION("""COMPUTED_VALUE"""),"Thạc sĩ")</f>
        <v>Thạc sĩ</v>
      </c>
      <c r="AF59" s="1" t="str">
        <f ca="1">IFERROR(__xludf.DUMMYFUNCTION("""COMPUTED_VALUE"""),"0702605664")</f>
        <v>0702605664</v>
      </c>
      <c r="AG59" s="1" t="str">
        <f ca="1">IFERROR(__xludf.DUMMYFUNCTION("""COMPUTED_VALUE"""),"huynhlthuylinh@dtu-hti.edu.vn")</f>
        <v>huynhlthuylinh@dtu-hti.edu.vn</v>
      </c>
      <c r="AH59" s="1" t="str">
        <f ca="1">IFERROR(__xludf.DUMMYFUNCTION("""COMPUTED_VALUE"""),"Báo cáo kết quả thực tập và thực trạng về các yếu tố ảnh hưởng đến chất lượng phục vụ tại nhà hàng Rumba thuộc Meliá Vinpearl Danang Riverfront")</f>
        <v>Báo cáo kết quả thực tập và thực trạng về các yếu tố ảnh hưởng đến chất lượng phục vụ tại nhà hàng Rumba thuộc Meliá Vinpearl Danang Riverfront</v>
      </c>
      <c r="AI59" s="1"/>
    </row>
    <row r="60" spans="1:35" x14ac:dyDescent="0.2">
      <c r="A60" s="3">
        <f ca="1">IFERROR(__xludf.DUMMYFUNCTION("""COMPUTED_VALUE"""),46008.4838204976)</f>
        <v>46008.483820497597</v>
      </c>
      <c r="B60" s="1" t="str">
        <f ca="1">IFERROR(__xludf.DUMMYFUNCTION("""COMPUTED_VALUE"""),"truongthoangnhi@gmail.com")</f>
        <v>truongthoangnhi@gmail.com</v>
      </c>
      <c r="C60" s="1">
        <f ca="1">IFERROR(__xludf.DUMMYFUNCTION("""COMPUTED_VALUE"""),28208037364)</f>
        <v>28208037364</v>
      </c>
      <c r="D60" s="1" t="str">
        <f ca="1">IFERROR(__xludf.DUMMYFUNCTION("""COMPUTED_VALUE"""),"Trương Thị Hoàng Nhi")</f>
        <v>Trương Thị Hoàng Nhi</v>
      </c>
      <c r="E60" s="1"/>
      <c r="F60" s="1" t="str">
        <f ca="1">IFERROR(__xludf.DUMMYFUNCTION("""COMPUTED_VALUE"""),"K28DLK3")</f>
        <v>K28DLK3</v>
      </c>
      <c r="G60" s="1" t="str">
        <f ca="1">IFERROR(__xludf.DUMMYFUNCTION("""COMPUTED_VALUE"""),"Quản trị Du lịch &amp; Khách sạn")</f>
        <v>Quản trị Du lịch &amp; Khách sạn</v>
      </c>
      <c r="H60" s="1" t="str">
        <f ca="1">IFERROR(__xludf.DUMMYFUNCTION("""COMPUTED_VALUE"""),"K28")</f>
        <v>K28</v>
      </c>
      <c r="I60" s="1" t="str">
        <f ca="1">IFERROR(__xludf.DUMMYFUNCTION("""COMPUTED_VALUE"""),"0364456675")</f>
        <v>0364456675</v>
      </c>
      <c r="J60" s="1">
        <f ca="1">IFERROR(__xludf.DUMMYFUNCTION("""COMPUTED_VALUE"""),2.86)</f>
        <v>2.86</v>
      </c>
      <c r="K60" s="1">
        <f ca="1">IFERROR(__xludf.DUMMYFUNCTION("""COMPUTED_VALUE"""),115)</f>
        <v>115</v>
      </c>
      <c r="L60" s="1" t="str">
        <f ca="1">IFERROR(__xludf.DUMMYFUNCTION("""COMPUTED_VALUE"""),"Rồi")</f>
        <v>Rồi</v>
      </c>
      <c r="M60" s="1" t="str">
        <f ca="1">IFERROR(__xludf.DUMMYFUNCTION("""COMPUTED_VALUE"""),"Thực tập tốt nghiệp, Thi tốt nghiệp, Công nhận tốt nghiệp")</f>
        <v>Thực tập tốt nghiệp, Thi tốt nghiệp, Công nhận tốt nghiệp</v>
      </c>
      <c r="N60" s="1" t="str">
        <f ca="1">IFERROR(__xludf.DUMMYFUNCTION("""COMPUTED_VALUE"""),"9 ( cbi thi 4 tín)")</f>
        <v>9 ( cbi thi 4 tín)</v>
      </c>
      <c r="O60" s="1" t="str">
        <f ca="1">IFERROR(__xludf.DUMMYFUNCTION("""COMPUTED_VALUE"""),"cam kết")</f>
        <v>cam kết</v>
      </c>
      <c r="P60" s="1"/>
      <c r="Q60" s="1"/>
      <c r="R60" s="1" t="str">
        <f ca="1">IFERROR(__xludf.DUMMYFUNCTION("""COMPUTED_VALUE"""),"18/12/2025")</f>
        <v>18/12/2025</v>
      </c>
      <c r="S60" s="1" t="str">
        <f ca="1">IFERROR(__xludf.DUMMYFUNCTION("""COMPUTED_VALUE"""),"thực tập TN, Thi TN")</f>
        <v>thực tập TN, Thi TN</v>
      </c>
      <c r="T60" s="1" t="str">
        <f ca="1">IFERROR(__xludf.DUMMYFUNCTION("""COMPUTED_VALUE"""),"Đã email cấp giấy giới thiệu ngày 18/12/2025")</f>
        <v>Đã email cấp giấy giới thiệu ngày 18/12/2025</v>
      </c>
      <c r="U60" s="1"/>
      <c r="V60" s="1"/>
      <c r="W60" s="1" t="str">
        <f ca="1">IFERROR(__xludf.DUMMYFUNCTION("""COMPUTED_VALUE"""),"K28DLK3")</f>
        <v>K28DLK3</v>
      </c>
      <c r="X60" s="1"/>
      <c r="Y60" s="1" t="str">
        <f ca="1">IFERROR(__xludf.DUMMYFUNCTION("""COMPUTED_VALUE"""),"Da Nang Mikazuki Japanese Resorts and Spa")</f>
        <v>Da Nang Mikazuki Japanese Resorts and Spa</v>
      </c>
      <c r="Z60" s="1" t="str">
        <f ca="1">IFERROR(__xludf.DUMMYFUNCTION("""COMPUTED_VALUE"""),"Tiền sảnh")</f>
        <v>Tiền sảnh</v>
      </c>
      <c r="AA60" s="1" t="str">
        <f ca="1">IFERROR(__xludf.DUMMYFUNCTION("""COMPUTED_VALUE"""),"DUYỆT")</f>
        <v>DUYỆT</v>
      </c>
      <c r="AB60" s="1" t="str">
        <f ca="1">IFERROR(__xludf.DUMMYFUNCTION("""COMPUTED_VALUE"""),"14/01/2026")</f>
        <v>14/01/2026</v>
      </c>
      <c r="AC60" s="1" t="str">
        <f ca="1">IFERROR(__xludf.DUMMYFUNCTION("""COMPUTED_VALUE"""),"BÁO CÁO THỰC TẬP TỐT NGHIỆP")</f>
        <v>BÁO CÁO THỰC TẬP TỐT NGHIỆP</v>
      </c>
      <c r="AD60" s="1" t="str">
        <f ca="1">IFERROR(__xludf.DUMMYFUNCTION("""COMPUTED_VALUE"""),"Trịnh Thị Kim Chung")</f>
        <v>Trịnh Thị Kim Chung</v>
      </c>
      <c r="AE60" s="1" t="str">
        <f ca="1">IFERROR(__xludf.DUMMYFUNCTION("""COMPUTED_VALUE"""),"Thạc sĩ")</f>
        <v>Thạc sĩ</v>
      </c>
      <c r="AF60" s="1" t="str">
        <f ca="1">IFERROR(__xludf.DUMMYFUNCTION("""COMPUTED_VALUE"""),"0375658728")</f>
        <v>0375658728</v>
      </c>
      <c r="AG60" s="1" t="str">
        <f ca="1">IFERROR(__xludf.DUMMYFUNCTION("""COMPUTED_VALUE"""),"trinhtkimchung@dtu-hti.edu.vn")</f>
        <v>trinhtkimchung@dtu-hti.edu.vn</v>
      </c>
      <c r="AH60" s="1" t="str">
        <f ca="1">IFERROR(__xludf.DUMMYFUNCTION("""COMPUTED_VALUE"""),"Báo cáo kết quả thực tập và thực trạng về các yếu tố ảnh hưởng đến chất lượng phục vụ tại bộ phận tiền sảnh thuộc Danang Mikazuki Japanese Resorts&amp; Spa")</f>
        <v>Báo cáo kết quả thực tập và thực trạng về các yếu tố ảnh hưởng đến chất lượng phục vụ tại bộ phận tiền sảnh thuộc Danang Mikazuki Japanese Resorts&amp; Spa</v>
      </c>
      <c r="AI60" s="1"/>
    </row>
    <row r="61" spans="1:35" x14ac:dyDescent="0.2">
      <c r="A61" s="3">
        <f ca="1">IFERROR(__xludf.DUMMYFUNCTION("""COMPUTED_VALUE"""),45994.6917583564)</f>
        <v>45994.691758356399</v>
      </c>
      <c r="B61" s="1" t="str">
        <f ca="1">IFERROR(__xludf.DUMMYFUNCTION("""COMPUTED_VALUE"""),"lsdnh041004@gmail.com")</f>
        <v>lsdnh041004@gmail.com</v>
      </c>
      <c r="C61" s="1">
        <f ca="1">IFERROR(__xludf.DUMMYFUNCTION("""COMPUTED_VALUE"""),28208036232)</f>
        <v>28208036232</v>
      </c>
      <c r="D61" s="1" t="str">
        <f ca="1">IFERROR(__xludf.DUMMYFUNCTION("""COMPUTED_VALUE"""),"Lê Song Diệu Hiền")</f>
        <v>Lê Song Diệu Hiền</v>
      </c>
      <c r="E61" s="1"/>
      <c r="F61" s="1" t="str">
        <f ca="1">IFERROR(__xludf.DUMMYFUNCTION("""COMPUTED_VALUE"""),"K28DLK 1")</f>
        <v>K28DLK 1</v>
      </c>
      <c r="G61" s="1" t="str">
        <f ca="1">IFERROR(__xludf.DUMMYFUNCTION("""COMPUTED_VALUE"""),"Quản trị Du lịch &amp; Khách sạn")</f>
        <v>Quản trị Du lịch &amp; Khách sạn</v>
      </c>
      <c r="H61" s="1" t="str">
        <f ca="1">IFERROR(__xludf.DUMMYFUNCTION("""COMPUTED_VALUE"""),"K28")</f>
        <v>K28</v>
      </c>
      <c r="I61" s="1" t="str">
        <f ca="1">IFERROR(__xludf.DUMMYFUNCTION("""COMPUTED_VALUE"""),"0935326193")</f>
        <v>0935326193</v>
      </c>
      <c r="J61" s="1">
        <f ca="1">IFERROR(__xludf.DUMMYFUNCTION("""COMPUTED_VALUE"""),3.26)</f>
        <v>3.26</v>
      </c>
      <c r="K61" s="1">
        <f ca="1">IFERROR(__xludf.DUMMYFUNCTION("""COMPUTED_VALUE"""),109)</f>
        <v>109</v>
      </c>
      <c r="L61" s="1" t="str">
        <f ca="1">IFERROR(__xludf.DUMMYFUNCTION("""COMPUTED_VALUE"""),"Rồi")</f>
        <v>Rồi</v>
      </c>
      <c r="M61" s="1" t="str">
        <f ca="1">IFERROR(__xludf.DUMMYFUNCTION("""COMPUTED_VALUE"""),"Thực tập tốt nghiệp, Thi tốt nghiệp")</f>
        <v>Thực tập tốt nghiệp, Thi tốt nghiệp</v>
      </c>
      <c r="N61" s="1">
        <f ca="1">IFERROR(__xludf.DUMMYFUNCTION("""COMPUTED_VALUE"""),14)</f>
        <v>14</v>
      </c>
      <c r="O61" s="1" t="str">
        <f ca="1">IFERROR(__xludf.DUMMYFUNCTION("""COMPUTED_VALUE"""),"cam kết")</f>
        <v>cam kết</v>
      </c>
      <c r="P61" s="1"/>
      <c r="Q61" s="1"/>
      <c r="R61" s="1" t="str">
        <f ca="1">IFERROR(__xludf.DUMMYFUNCTION("""COMPUTED_VALUE"""),"18/12/2025")</f>
        <v>18/12/2025</v>
      </c>
      <c r="S61" s="1" t="str">
        <f ca="1">IFERROR(__xludf.DUMMYFUNCTION("""COMPUTED_VALUE"""),"thực tập TN, Thi TN")</f>
        <v>thực tập TN, Thi TN</v>
      </c>
      <c r="T61" s="1" t="str">
        <f ca="1">IFERROR(__xludf.DUMMYFUNCTION("""COMPUTED_VALUE"""),"Đã email cấp giấy giới thiệu ngày 18/12/2025")</f>
        <v>Đã email cấp giấy giới thiệu ngày 18/12/2025</v>
      </c>
      <c r="U61" s="1"/>
      <c r="V61" s="1"/>
      <c r="W61" s="1" t="str">
        <f ca="1">IFERROR(__xludf.DUMMYFUNCTION("""COMPUTED_VALUE"""),"K28DLK1")</f>
        <v>K28DLK1</v>
      </c>
      <c r="X61" s="1"/>
      <c r="Y61" s="1" t="str">
        <f ca="1">IFERROR(__xludf.DUMMYFUNCTION("""COMPUTED_VALUE"""),"Da Nang Mikazuki Japanese Resorts and Spa")</f>
        <v>Da Nang Mikazuki Japanese Resorts and Spa</v>
      </c>
      <c r="Z61" s="1" t="str">
        <f ca="1">IFERROR(__xludf.DUMMYFUNCTION("""COMPUTED_VALUE"""),"Nhà hàng")</f>
        <v>Nhà hàng</v>
      </c>
      <c r="AA61" s="1" t="str">
        <f ca="1">IFERROR(__xludf.DUMMYFUNCTION("""COMPUTED_VALUE"""),"DUYỆT")</f>
        <v>DUYỆT</v>
      </c>
      <c r="AB61" s="1" t="str">
        <f ca="1">IFERROR(__xludf.DUMMYFUNCTION("""COMPUTED_VALUE"""),"15/01/2026")</f>
        <v>15/01/2026</v>
      </c>
      <c r="AC61" s="1" t="str">
        <f ca="1">IFERROR(__xludf.DUMMYFUNCTION("""COMPUTED_VALUE"""),"BÁO CÁO THỰC TẬP TỐT NGHIỆP")</f>
        <v>BÁO CÁO THỰC TẬP TỐT NGHIỆP</v>
      </c>
      <c r="AD61" s="1" t="str">
        <f ca="1">IFERROR(__xludf.DUMMYFUNCTION("""COMPUTED_VALUE"""),"Nguyễn Thị Minh Thư")</f>
        <v>Nguyễn Thị Minh Thư</v>
      </c>
      <c r="AE61" s="1" t="str">
        <f ca="1">IFERROR(__xludf.DUMMYFUNCTION("""COMPUTED_VALUE"""),"Thạc sĩ")</f>
        <v>Thạc sĩ</v>
      </c>
      <c r="AF61" s="1" t="str">
        <f ca="1">IFERROR(__xludf.DUMMYFUNCTION("""COMPUTED_VALUE"""),"0396.153.687")</f>
        <v>0396.153.687</v>
      </c>
      <c r="AG61" s="1" t="str">
        <f ca="1">IFERROR(__xludf.DUMMYFUNCTION("""COMPUTED_VALUE"""),"nguyentminhthu@dtu-hti.edu.vn")</f>
        <v>nguyentminhthu@dtu-hti.edu.vn</v>
      </c>
      <c r="AH61" s="1" t="str">
        <f ca="1">IFERROR(__xludf.DUMMYFUNCTION("""COMPUTED_VALUE"""),"Báo cáo kết quả thực tập và thực trạng về các yếu tố ảnh hưởng đến chất lượng phục vụ tại nhà hàng The Blue thuộc Da Nang Mikazuki Japanese Resorts &amp; Spa")</f>
        <v>Báo cáo kết quả thực tập và thực trạng về các yếu tố ảnh hưởng đến chất lượng phục vụ tại nhà hàng The Blue thuộc Da Nang Mikazuki Japanese Resorts &amp; Spa</v>
      </c>
      <c r="AI61" s="1"/>
    </row>
    <row r="62" spans="1:35" x14ac:dyDescent="0.2">
      <c r="A62" s="3">
        <f ca="1">IFERROR(__xludf.DUMMYFUNCTION("""COMPUTED_VALUE"""),45994.694045625)</f>
        <v>45994.694045625001</v>
      </c>
      <c r="B62" s="1" t="str">
        <f ca="1">IFERROR(__xludf.DUMMYFUNCTION("""COMPUTED_VALUE"""),"thangtranhuu.4404@gmail.com")</f>
        <v>thangtranhuu.4404@gmail.com</v>
      </c>
      <c r="C62" s="1">
        <f ca="1">IFERROR(__xludf.DUMMYFUNCTION("""COMPUTED_VALUE"""),28218002858)</f>
        <v>28218002858</v>
      </c>
      <c r="D62" s="1" t="str">
        <f ca="1">IFERROR(__xludf.DUMMYFUNCTION("""COMPUTED_VALUE"""),"TRẦN HỮU THẮNG")</f>
        <v>TRẦN HỮU THẮNG</v>
      </c>
      <c r="E62" s="1"/>
      <c r="F62" s="1" t="str">
        <f ca="1">IFERROR(__xludf.DUMMYFUNCTION("""COMPUTED_VALUE"""),"K28DLK3")</f>
        <v>K28DLK3</v>
      </c>
      <c r="G62" s="1" t="str">
        <f ca="1">IFERROR(__xludf.DUMMYFUNCTION("""COMPUTED_VALUE"""),"Quản trị Du lịch &amp; Khách sạn")</f>
        <v>Quản trị Du lịch &amp; Khách sạn</v>
      </c>
      <c r="H62" s="1" t="str">
        <f ca="1">IFERROR(__xludf.DUMMYFUNCTION("""COMPUTED_VALUE"""),"K28")</f>
        <v>K28</v>
      </c>
      <c r="I62" s="1" t="str">
        <f ca="1">IFERROR(__xludf.DUMMYFUNCTION("""COMPUTED_VALUE"""),"0387811820")</f>
        <v>0387811820</v>
      </c>
      <c r="J62" s="1">
        <f ca="1">IFERROR(__xludf.DUMMYFUNCTION("""COMPUTED_VALUE"""),2.88)</f>
        <v>2.88</v>
      </c>
      <c r="K62" s="1">
        <f ca="1">IFERROR(__xludf.DUMMYFUNCTION("""COMPUTED_VALUE"""),116)</f>
        <v>116</v>
      </c>
      <c r="L62" s="1" t="str">
        <f ca="1">IFERROR(__xludf.DUMMYFUNCTION("""COMPUTED_VALUE"""),"Rồi")</f>
        <v>Rồi</v>
      </c>
      <c r="M62" s="1" t="str">
        <f ca="1">IFERROR(__xludf.DUMMYFUNCTION("""COMPUTED_VALUE"""),"Thực tập tốt nghiệp, Thi tốt nghiệp, Công nhận tốt nghiệp")</f>
        <v>Thực tập tốt nghiệp, Thi tốt nghiệp, Công nhận tốt nghiệp</v>
      </c>
      <c r="N62" s="1">
        <f ca="1">IFERROR(__xludf.DUMMYFUNCTION("""COMPUTED_VALUE"""),7)</f>
        <v>7</v>
      </c>
      <c r="O62" s="1" t="str">
        <f ca="1">IFERROR(__xludf.DUMMYFUNCTION("""COMPUTED_VALUE"""),"cam kết")</f>
        <v>cam kết</v>
      </c>
      <c r="P62" s="1"/>
      <c r="Q62" s="1"/>
      <c r="R62" s="1" t="str">
        <f ca="1">IFERROR(__xludf.DUMMYFUNCTION("""COMPUTED_VALUE"""),"18/12/2025")</f>
        <v>18/12/2025</v>
      </c>
      <c r="S62" s="1" t="str">
        <f ca="1">IFERROR(__xludf.DUMMYFUNCTION("""COMPUTED_VALUE"""),"thực tập TN, Thi TN")</f>
        <v>thực tập TN, Thi TN</v>
      </c>
      <c r="T62" s="1" t="str">
        <f ca="1">IFERROR(__xludf.DUMMYFUNCTION("""COMPUTED_VALUE"""),"Đã email cấp giấy giới thiệu ngày 18/12/2025")</f>
        <v>Đã email cấp giấy giới thiệu ngày 18/12/2025</v>
      </c>
      <c r="U62" s="1"/>
      <c r="V62" s="1"/>
      <c r="W62" s="1" t="str">
        <f ca="1">IFERROR(__xludf.DUMMYFUNCTION("""COMPUTED_VALUE"""),"K28DLK3")</f>
        <v>K28DLK3</v>
      </c>
      <c r="X62" s="1"/>
      <c r="Y62" s="1" t="str">
        <f ca="1">IFERROR(__xludf.DUMMYFUNCTION("""COMPUTED_VALUE"""),"Peninsula Hotel Danang")</f>
        <v>Peninsula Hotel Danang</v>
      </c>
      <c r="Z62" s="1" t="str">
        <f ca="1">IFERROR(__xludf.DUMMYFUNCTION("""COMPUTED_VALUE"""),"Tiền sảnh")</f>
        <v>Tiền sảnh</v>
      </c>
      <c r="AA62" s="1" t="str">
        <f ca="1">IFERROR(__xludf.DUMMYFUNCTION("""COMPUTED_VALUE"""),"DUYỆT")</f>
        <v>DUYỆT</v>
      </c>
      <c r="AB62" s="1" t="str">
        <f ca="1">IFERROR(__xludf.DUMMYFUNCTION("""COMPUTED_VALUE"""),"26/01/2026")</f>
        <v>26/01/2026</v>
      </c>
      <c r="AC62" s="1" t="str">
        <f ca="1">IFERROR(__xludf.DUMMYFUNCTION("""COMPUTED_VALUE"""),"BÁO CÁO THỰC TẬP TỐT NGHIỆP")</f>
        <v>BÁO CÁO THỰC TẬP TỐT NGHIỆP</v>
      </c>
      <c r="AD62" s="1" t="str">
        <f ca="1">IFERROR(__xludf.DUMMYFUNCTION("""COMPUTED_VALUE"""),"Trần Hoàng Anh")</f>
        <v>Trần Hoàng Anh</v>
      </c>
      <c r="AE62" s="1" t="str">
        <f ca="1">IFERROR(__xludf.DUMMYFUNCTION("""COMPUTED_VALUE"""),"Thạc sĩ")</f>
        <v>Thạc sĩ</v>
      </c>
      <c r="AF62" s="1" t="str">
        <f ca="1">IFERROR(__xludf.DUMMYFUNCTION("""COMPUTED_VALUE"""),"0906 029 602")</f>
        <v>0906 029 602</v>
      </c>
      <c r="AG62" s="1" t="str">
        <f ca="1">IFERROR(__xludf.DUMMYFUNCTION("""COMPUTED_VALUE"""),"tranhoanganh@dtu-hti.edu.vn")</f>
        <v>tranhoanganh@dtu-hti.edu.vn</v>
      </c>
      <c r="AH62" s="1" t="str">
        <f ca="1">IFERROR(__xludf.DUMMYFUNCTION("""COMPUTED_VALUE"""),"Báo cáo kết quả thực tập và thực trạng quy trình đăng ký khách sạn tại bộ phận lễ tân thuộc Peninsula Hotel DaNang.")</f>
        <v>Báo cáo kết quả thực tập và thực trạng quy trình đăng ký khách sạn tại bộ phận lễ tân thuộc Peninsula Hotel DaNang.</v>
      </c>
      <c r="AI62" s="1"/>
    </row>
    <row r="63" spans="1:35" x14ac:dyDescent="0.2">
      <c r="A63" s="3">
        <f ca="1">IFERROR(__xludf.DUMMYFUNCTION("""COMPUTED_VALUE"""),45994.6942950115)</f>
        <v>45994.694295011497</v>
      </c>
      <c r="B63" s="1" t="str">
        <f ca="1">IFERROR(__xludf.DUMMYFUNCTION("""COMPUTED_VALUE"""),"chauquyen2708@gmail.com")</f>
        <v>chauquyen2708@gmail.com</v>
      </c>
      <c r="C63" s="1">
        <f ca="1">IFERROR(__xludf.DUMMYFUNCTION("""COMPUTED_VALUE"""),28200402882)</f>
        <v>28200402882</v>
      </c>
      <c r="D63" s="1" t="str">
        <f ca="1">IFERROR(__xludf.DUMMYFUNCTION("""COMPUTED_VALUE"""),"Lê Châu Quyên")</f>
        <v>Lê Châu Quyên</v>
      </c>
      <c r="E63" s="1"/>
      <c r="F63" s="1" t="str">
        <f ca="1">IFERROR(__xludf.DUMMYFUNCTION("""COMPUTED_VALUE"""),"K28DLK2")</f>
        <v>K28DLK2</v>
      </c>
      <c r="G63" s="1" t="str">
        <f ca="1">IFERROR(__xludf.DUMMYFUNCTION("""COMPUTED_VALUE"""),"Quản trị Du lịch &amp; Khách sạn")</f>
        <v>Quản trị Du lịch &amp; Khách sạn</v>
      </c>
      <c r="H63" s="1" t="str">
        <f ca="1">IFERROR(__xludf.DUMMYFUNCTION("""COMPUTED_VALUE"""),"K28")</f>
        <v>K28</v>
      </c>
      <c r="I63" s="1" t="str">
        <f ca="1">IFERROR(__xludf.DUMMYFUNCTION("""COMPUTED_VALUE"""),"0941450487")</f>
        <v>0941450487</v>
      </c>
      <c r="J63" s="1">
        <f ca="1">IFERROR(__xludf.DUMMYFUNCTION("""COMPUTED_VALUE"""),3.39)</f>
        <v>3.39</v>
      </c>
      <c r="K63" s="1">
        <f ca="1">IFERROR(__xludf.DUMMYFUNCTION("""COMPUTED_VALUE"""),116)</f>
        <v>116</v>
      </c>
      <c r="L63" s="1" t="str">
        <f ca="1">IFERROR(__xludf.DUMMYFUNCTION("""COMPUTED_VALUE"""),"Rồi")</f>
        <v>Rồi</v>
      </c>
      <c r="M63" s="1" t="str">
        <f ca="1">IFERROR(__xludf.DUMMYFUNCTION("""COMPUTED_VALUE"""),"Thực tập tốt nghiệp, Thi tốt nghiệp, Công nhận tốt nghiệp")</f>
        <v>Thực tập tốt nghiệp, Thi tốt nghiệp, Công nhận tốt nghiệp</v>
      </c>
      <c r="N63" s="1">
        <f ca="1">IFERROR(__xludf.DUMMYFUNCTION("""COMPUTED_VALUE"""),7)</f>
        <v>7</v>
      </c>
      <c r="O63" s="1" t="str">
        <f ca="1">IFERROR(__xludf.DUMMYFUNCTION("""COMPUTED_VALUE"""),"cam kết")</f>
        <v>cam kết</v>
      </c>
      <c r="P63" s="1"/>
      <c r="Q63" s="1"/>
      <c r="R63" s="1" t="str">
        <f ca="1">IFERROR(__xludf.DUMMYFUNCTION("""COMPUTED_VALUE"""),"18/12/2025")</f>
        <v>18/12/2025</v>
      </c>
      <c r="S63" s="1" t="str">
        <f ca="1">IFERROR(__xludf.DUMMYFUNCTION("""COMPUTED_VALUE"""),"thực tập TN, Thi TN")</f>
        <v>thực tập TN, Thi TN</v>
      </c>
      <c r="T63" s="1" t="str">
        <f ca="1">IFERROR(__xludf.DUMMYFUNCTION("""COMPUTED_VALUE"""),"Đã email cấp giấy giới thiệu ngày 18/12/2025")</f>
        <v>Đã email cấp giấy giới thiệu ngày 18/12/2025</v>
      </c>
      <c r="U63" s="1" t="str">
        <f ca="1">IFERROR(__xludf.DUMMYFUNCTION("""COMPUTED_VALUE"""),"Sv đã nộp đơn chuyển KL - CĐ")</f>
        <v>Sv đã nộp đơn chuyển KL - CĐ</v>
      </c>
      <c r="V63" s="1"/>
      <c r="W63" s="1" t="str">
        <f ca="1">IFERROR(__xludf.DUMMYFUNCTION("""COMPUTED_VALUE"""),"K28DLK2")</f>
        <v>K28DLK2</v>
      </c>
      <c r="X63" s="1"/>
      <c r="Y63" s="1" t="str">
        <f ca="1">IFERROR(__xludf.DUMMYFUNCTION("""COMPUTED_VALUE"""),"Four Points by Sheraton Danang")</f>
        <v>Four Points by Sheraton Danang</v>
      </c>
      <c r="Z63" s="1" t="str">
        <f ca="1">IFERROR(__xludf.DUMMYFUNCTION("""COMPUTED_VALUE"""),"Nhà hàng")</f>
        <v>Nhà hàng</v>
      </c>
      <c r="AA63" s="1" t="str">
        <f ca="1">IFERROR(__xludf.DUMMYFUNCTION("""COMPUTED_VALUE"""),"DUYỆT")</f>
        <v>DUYỆT</v>
      </c>
      <c r="AB63" s="1" t="str">
        <f ca="1">IFERROR(__xludf.DUMMYFUNCTION("""COMPUTED_VALUE"""),"16/01/2026")</f>
        <v>16/01/2026</v>
      </c>
      <c r="AC63" s="1" t="str">
        <f ca="1">IFERROR(__xludf.DUMMYFUNCTION("""COMPUTED_VALUE"""),"BÁO CÁO THỰC TẬP TỐT NGHIỆP")</f>
        <v>BÁO CÁO THỰC TẬP TỐT NGHIỆP</v>
      </c>
      <c r="AD63" s="1" t="str">
        <f ca="1">IFERROR(__xludf.DUMMYFUNCTION("""COMPUTED_VALUE"""),"Dương Thị Xuân Diệu")</f>
        <v>Dương Thị Xuân Diệu</v>
      </c>
      <c r="AE63" s="1" t="str">
        <f ca="1">IFERROR(__xludf.DUMMYFUNCTION("""COMPUTED_VALUE"""),"Thạc sĩ")</f>
        <v>Thạc sĩ</v>
      </c>
      <c r="AF63" s="1" t="str">
        <f ca="1">IFERROR(__xludf.DUMMYFUNCTION("""COMPUTED_VALUE"""),"0905938748")</f>
        <v>0905938748</v>
      </c>
      <c r="AG63" s="1" t="str">
        <f ca="1">IFERROR(__xludf.DUMMYFUNCTION("""COMPUTED_VALUE"""),"duongtxuandieu@dtu-hti.edu.vn")</f>
        <v>duongtxuandieu@dtu-hti.edu.vn</v>
      </c>
      <c r="AH63" s="1" t="str">
        <f ca="1">IFERROR(__xludf.DUMMYFUNCTION("""COMPUTED_VALUE"""),"Báo cáo kết quả thực tập và thực trạng quy trình phục vụ Buffet sáng tại nhà hàng The Eatery thuộc Four Points by Sheraton Danang")</f>
        <v>Báo cáo kết quả thực tập và thực trạng quy trình phục vụ Buffet sáng tại nhà hàng The Eatery thuộc Four Points by Sheraton Danang</v>
      </c>
      <c r="AI63" s="1"/>
    </row>
    <row r="64" spans="1:35" x14ac:dyDescent="0.2">
      <c r="A64" s="3">
        <f ca="1">IFERROR(__xludf.DUMMYFUNCTION("""COMPUTED_VALUE"""),45994.6962949189)</f>
        <v>45994.696294918896</v>
      </c>
      <c r="B64" s="1" t="str">
        <f ca="1">IFERROR(__xludf.DUMMYFUNCTION("""COMPUTED_VALUE"""),"dangthithaoly789@gmail.com")</f>
        <v>dangthithaoly789@gmail.com</v>
      </c>
      <c r="C64" s="1">
        <f ca="1">IFERROR(__xludf.DUMMYFUNCTION("""COMPUTED_VALUE"""),28216204311)</f>
        <v>28216204311</v>
      </c>
      <c r="D64" s="1" t="str">
        <f ca="1">IFERROR(__xludf.DUMMYFUNCTION("""COMPUTED_VALUE"""),"Đặng Thị Thảo Ly")</f>
        <v>Đặng Thị Thảo Ly</v>
      </c>
      <c r="E64" s="1"/>
      <c r="F64" s="1" t="str">
        <f ca="1">IFERROR(__xludf.DUMMYFUNCTION("""COMPUTED_VALUE"""),"K28 DLK1")</f>
        <v>K28 DLK1</v>
      </c>
      <c r="G64" s="1" t="str">
        <f ca="1">IFERROR(__xludf.DUMMYFUNCTION("""COMPUTED_VALUE"""),"Quản trị Du lịch &amp; Khách sạn")</f>
        <v>Quản trị Du lịch &amp; Khách sạn</v>
      </c>
      <c r="H64" s="1" t="str">
        <f ca="1">IFERROR(__xludf.DUMMYFUNCTION("""COMPUTED_VALUE"""),"K28")</f>
        <v>K28</v>
      </c>
      <c r="I64" s="1" t="str">
        <f ca="1">IFERROR(__xludf.DUMMYFUNCTION("""COMPUTED_VALUE"""),"0708108724")</f>
        <v>0708108724</v>
      </c>
      <c r="J64" s="1">
        <f ca="1">IFERROR(__xludf.DUMMYFUNCTION("""COMPUTED_VALUE"""),2.9)</f>
        <v>2.9</v>
      </c>
      <c r="K64" s="1">
        <f ca="1">IFERROR(__xludf.DUMMYFUNCTION("""COMPUTED_VALUE"""),110)</f>
        <v>110</v>
      </c>
      <c r="L64" s="1" t="str">
        <f ca="1">IFERROR(__xludf.DUMMYFUNCTION("""COMPUTED_VALUE"""),"Rồi")</f>
        <v>Rồi</v>
      </c>
      <c r="M64" s="1" t="str">
        <f ca="1">IFERROR(__xludf.DUMMYFUNCTION("""COMPUTED_VALUE"""),"Thực tập tốt nghiệp, Thi tốt nghiệp, Công nhận tốt nghiệp")</f>
        <v>Thực tập tốt nghiệp, Thi tốt nghiệp, Công nhận tốt nghiệp</v>
      </c>
      <c r="N64" s="1">
        <f ca="1">IFERROR(__xludf.DUMMYFUNCTION("""COMPUTED_VALUE"""),13)</f>
        <v>13</v>
      </c>
      <c r="O64" s="1" t="str">
        <f ca="1">IFERROR(__xludf.DUMMYFUNCTION("""COMPUTED_VALUE"""),"cam kết")</f>
        <v>cam kết</v>
      </c>
      <c r="P64" s="1"/>
      <c r="Q64" s="1"/>
      <c r="R64" s="1" t="str">
        <f ca="1">IFERROR(__xludf.DUMMYFUNCTION("""COMPUTED_VALUE"""),"18/12/2025")</f>
        <v>18/12/2025</v>
      </c>
      <c r="S64" s="1" t="str">
        <f ca="1">IFERROR(__xludf.DUMMYFUNCTION("""COMPUTED_VALUE"""),"thực tập TN, Thi TN")</f>
        <v>thực tập TN, Thi TN</v>
      </c>
      <c r="T64" s="1" t="str">
        <f ca="1">IFERROR(__xludf.DUMMYFUNCTION("""COMPUTED_VALUE"""),"Đã email cấp giấy giới thiệu ngày 18/12/2025")</f>
        <v>Đã email cấp giấy giới thiệu ngày 18/12/2025</v>
      </c>
      <c r="U64" s="1"/>
      <c r="V64" s="1"/>
      <c r="W64" s="1" t="str">
        <f ca="1">IFERROR(__xludf.DUMMYFUNCTION("""COMPUTED_VALUE"""),"K28DLK1")</f>
        <v>K28DLK1</v>
      </c>
      <c r="X64" s="1"/>
      <c r="Y64" s="1" t="str">
        <f ca="1">IFERROR(__xludf.DUMMYFUNCTION("""COMPUTED_VALUE"""),"Da Nang Mikazuki Japanese Resorts and Spa")</f>
        <v>Da Nang Mikazuki Japanese Resorts and Spa</v>
      </c>
      <c r="Z64" s="1" t="str">
        <f ca="1">IFERROR(__xludf.DUMMYFUNCTION("""COMPUTED_VALUE"""),"Nhà hàng")</f>
        <v>Nhà hàng</v>
      </c>
      <c r="AA64" s="1" t="str">
        <f ca="1">IFERROR(__xludf.DUMMYFUNCTION("""COMPUTED_VALUE"""),"DUYỆT")</f>
        <v>DUYỆT</v>
      </c>
      <c r="AB64" s="1" t="str">
        <f ca="1">IFERROR(__xludf.DUMMYFUNCTION("""COMPUTED_VALUE"""),"15/01/2026")</f>
        <v>15/01/2026</v>
      </c>
      <c r="AC64" s="1" t="str">
        <f ca="1">IFERROR(__xludf.DUMMYFUNCTION("""COMPUTED_VALUE"""),"BÁO CÁO THỰC TẬP TỐT NGHIỆP")</f>
        <v>BÁO CÁO THỰC TẬP TỐT NGHIỆP</v>
      </c>
      <c r="AD64" s="1" t="str">
        <f ca="1">IFERROR(__xludf.DUMMYFUNCTION("""COMPUTED_VALUE"""),"Nguyễn Thị Minh Thư")</f>
        <v>Nguyễn Thị Minh Thư</v>
      </c>
      <c r="AE64" s="1" t="str">
        <f ca="1">IFERROR(__xludf.DUMMYFUNCTION("""COMPUTED_VALUE"""),"Thạc sĩ")</f>
        <v>Thạc sĩ</v>
      </c>
      <c r="AF64" s="1" t="str">
        <f ca="1">IFERROR(__xludf.DUMMYFUNCTION("""COMPUTED_VALUE"""),"0396.153.687")</f>
        <v>0396.153.687</v>
      </c>
      <c r="AG64" s="1" t="str">
        <f ca="1">IFERROR(__xludf.DUMMYFUNCTION("""COMPUTED_VALUE"""),"nguyentminhthu@dtu-hti.edu.vn")</f>
        <v>nguyentminhthu@dtu-hti.edu.vn</v>
      </c>
      <c r="AH64" s="1" t="str">
        <f ca="1">IFERROR(__xludf.DUMMYFUNCTION("""COMPUTED_VALUE"""),"Báo cáo kết quả thực tập và thực trạng quy trình phục vụ tại nhà hàng The Blue thuộc Da Nang Mikazuki Japanese Resorts &amp; Spa")</f>
        <v>Báo cáo kết quả thực tập và thực trạng quy trình phục vụ tại nhà hàng The Blue thuộc Da Nang Mikazuki Japanese Resorts &amp; Spa</v>
      </c>
      <c r="AI64" s="1"/>
    </row>
    <row r="65" spans="1:35" x14ac:dyDescent="0.2">
      <c r="A65" s="3">
        <f ca="1">IFERROR(__xludf.DUMMYFUNCTION("""COMPUTED_VALUE"""),45994.6963767476)</f>
        <v>45994.696376747597</v>
      </c>
      <c r="B65" s="1" t="str">
        <f ca="1">IFERROR(__xludf.DUMMYFUNCTION("""COMPUTED_VALUE"""),"diemtamtran2004@gmail.com")</f>
        <v>diemtamtran2004@gmail.com</v>
      </c>
      <c r="C65" s="1">
        <f ca="1">IFERROR(__xludf.DUMMYFUNCTION("""COMPUTED_VALUE"""),28204650785)</f>
        <v>28204650785</v>
      </c>
      <c r="D65" s="1" t="str">
        <f ca="1">IFERROR(__xludf.DUMMYFUNCTION("""COMPUTED_VALUE"""),"Trần Lê Diễm Tâm")</f>
        <v>Trần Lê Diễm Tâm</v>
      </c>
      <c r="E65" s="1"/>
      <c r="F65" s="1" t="str">
        <f ca="1">IFERROR(__xludf.DUMMYFUNCTION("""COMPUTED_VALUE"""),"K28DLK1")</f>
        <v>K28DLK1</v>
      </c>
      <c r="G65" s="1" t="str">
        <f ca="1">IFERROR(__xludf.DUMMYFUNCTION("""COMPUTED_VALUE"""),"Quản trị Du lịch &amp; Khách sạn")</f>
        <v>Quản trị Du lịch &amp; Khách sạn</v>
      </c>
      <c r="H65" s="1" t="str">
        <f ca="1">IFERROR(__xludf.DUMMYFUNCTION("""COMPUTED_VALUE"""),"K28")</f>
        <v>K28</v>
      </c>
      <c r="I65" s="1" t="str">
        <f ca="1">IFERROR(__xludf.DUMMYFUNCTION("""COMPUTED_VALUE"""),"0777590574")</f>
        <v>0777590574</v>
      </c>
      <c r="J65" s="1">
        <f ca="1">IFERROR(__xludf.DUMMYFUNCTION("""COMPUTED_VALUE"""),2.78)</f>
        <v>2.78</v>
      </c>
      <c r="K65" s="1">
        <f ca="1">IFERROR(__xludf.DUMMYFUNCTION("""COMPUTED_VALUE"""),116)</f>
        <v>116</v>
      </c>
      <c r="L65" s="1" t="str">
        <f ca="1">IFERROR(__xludf.DUMMYFUNCTION("""COMPUTED_VALUE"""),"Rồi")</f>
        <v>Rồi</v>
      </c>
      <c r="M65" s="1" t="str">
        <f ca="1">IFERROR(__xludf.DUMMYFUNCTION("""COMPUTED_VALUE"""),"Thực tập tốt nghiệp, Thi tốt nghiệp, Công nhận tốt nghiệp")</f>
        <v>Thực tập tốt nghiệp, Thi tốt nghiệp, Công nhận tốt nghiệp</v>
      </c>
      <c r="N65" s="1" t="str">
        <f ca="1">IFERROR(__xludf.DUMMYFUNCTION("""COMPUTED_VALUE"""),"7 tín ( sắp thi)")</f>
        <v>7 tín ( sắp thi)</v>
      </c>
      <c r="O65" s="1" t="str">
        <f ca="1">IFERROR(__xludf.DUMMYFUNCTION("""COMPUTED_VALUE"""),"cam kết")</f>
        <v>cam kết</v>
      </c>
      <c r="P65" s="1"/>
      <c r="Q65" s="1"/>
      <c r="R65" s="1" t="str">
        <f ca="1">IFERROR(__xludf.DUMMYFUNCTION("""COMPUTED_VALUE"""),"18/12/2025")</f>
        <v>18/12/2025</v>
      </c>
      <c r="S65" s="1" t="str">
        <f ca="1">IFERROR(__xludf.DUMMYFUNCTION("""COMPUTED_VALUE"""),"thực tập TN, Thi TN")</f>
        <v>thực tập TN, Thi TN</v>
      </c>
      <c r="T65" s="1" t="str">
        <f ca="1">IFERROR(__xludf.DUMMYFUNCTION("""COMPUTED_VALUE"""),"Đã email cấp giấy giới thiệu ngày 18/12/2025")</f>
        <v>Đã email cấp giấy giới thiệu ngày 18/12/2025</v>
      </c>
      <c r="U65" s="1"/>
      <c r="V65" s="1"/>
      <c r="W65" s="1" t="str">
        <f ca="1">IFERROR(__xludf.DUMMYFUNCTION("""COMPUTED_VALUE"""),"K28DLK1")</f>
        <v>K28DLK1</v>
      </c>
      <c r="X65" s="1"/>
      <c r="Y65" s="1" t="str">
        <f ca="1">IFERROR(__xludf.DUMMYFUNCTION("""COMPUTED_VALUE"""),"Peninsula Hotel Danang")</f>
        <v>Peninsula Hotel Danang</v>
      </c>
      <c r="Z65" s="1" t="str">
        <f ca="1">IFERROR(__xludf.DUMMYFUNCTION("""COMPUTED_VALUE"""),"Nhà hàng")</f>
        <v>Nhà hàng</v>
      </c>
      <c r="AA65" s="1" t="str">
        <f ca="1">IFERROR(__xludf.DUMMYFUNCTION("""COMPUTED_VALUE"""),"DUYỆT")</f>
        <v>DUYỆT</v>
      </c>
      <c r="AB65" s="1" t="str">
        <f ca="1">IFERROR(__xludf.DUMMYFUNCTION("""COMPUTED_VALUE"""),"26/01/2026")</f>
        <v>26/01/2026</v>
      </c>
      <c r="AC65" s="1" t="str">
        <f ca="1">IFERROR(__xludf.DUMMYFUNCTION("""COMPUTED_VALUE"""),"BÁO CÁO THỰC TẬP TỐT NGHIỆP")</f>
        <v>BÁO CÁO THỰC TẬP TỐT NGHIỆP</v>
      </c>
      <c r="AD65" s="1" t="str">
        <f ca="1">IFERROR(__xludf.DUMMYFUNCTION("""COMPUTED_VALUE"""),"Đặng Thị Thùy Trang")</f>
        <v>Đặng Thị Thùy Trang</v>
      </c>
      <c r="AE65" s="1" t="str">
        <f ca="1">IFERROR(__xludf.DUMMYFUNCTION("""COMPUTED_VALUE"""),"Thạc sĩ")</f>
        <v>Thạc sĩ</v>
      </c>
      <c r="AF65" s="1" t="str">
        <f ca="1">IFERROR(__xludf.DUMMYFUNCTION("""COMPUTED_VALUE"""),"0327892117")</f>
        <v>0327892117</v>
      </c>
      <c r="AG65" s="1" t="str">
        <f ca="1">IFERROR(__xludf.DUMMYFUNCTION("""COMPUTED_VALUE"""),"dangtthuytrang3@dtu-hti.edu.vn")</f>
        <v>dangtthuytrang3@dtu-hti.edu.vn</v>
      </c>
      <c r="AH65" s="1" t="str">
        <f ca="1">IFERROR(__xludf.DUMMYFUNCTION("""COMPUTED_VALUE"""),"Báo cáo kết quả thực tập và thực trạng cơ sở vật chất tại nhà hàng Veranda thuộc Peninsula Hotel Danang")</f>
        <v>Báo cáo kết quả thực tập và thực trạng cơ sở vật chất tại nhà hàng Veranda thuộc Peninsula Hotel Danang</v>
      </c>
      <c r="AI65" s="1"/>
    </row>
    <row r="66" spans="1:35" x14ac:dyDescent="0.2">
      <c r="A66" s="3">
        <f ca="1">IFERROR(__xludf.DUMMYFUNCTION("""COMPUTED_VALUE"""),45994.6982373611)</f>
        <v>45994.698237361103</v>
      </c>
      <c r="B66" s="1" t="str">
        <f ca="1">IFERROR(__xludf.DUMMYFUNCTION("""COMPUTED_VALUE"""),"Thuyvy.qqqq@gmail.com")</f>
        <v>Thuyvy.qqqq@gmail.com</v>
      </c>
      <c r="C66" s="1">
        <f ca="1">IFERROR(__xludf.DUMMYFUNCTION("""COMPUTED_VALUE"""),28208052811)</f>
        <v>28208052811</v>
      </c>
      <c r="D66" s="1" t="str">
        <f ca="1">IFERROR(__xludf.DUMMYFUNCTION("""COMPUTED_VALUE"""),"Phạm Nguyễn Thuỳ Vy")</f>
        <v>Phạm Nguyễn Thuỳ Vy</v>
      </c>
      <c r="E66" s="1"/>
      <c r="F66" s="1" t="str">
        <f ca="1">IFERROR(__xludf.DUMMYFUNCTION("""COMPUTED_VALUE"""),"K28DLK 8")</f>
        <v>K28DLK 8</v>
      </c>
      <c r="G66" s="1" t="str">
        <f ca="1">IFERROR(__xludf.DUMMYFUNCTION("""COMPUTED_VALUE"""),"Quản trị Du lịch &amp; Khách sạn")</f>
        <v>Quản trị Du lịch &amp; Khách sạn</v>
      </c>
      <c r="H66" s="1" t="str">
        <f ca="1">IFERROR(__xludf.DUMMYFUNCTION("""COMPUTED_VALUE"""),"K28")</f>
        <v>K28</v>
      </c>
      <c r="I66" s="1" t="str">
        <f ca="1">IFERROR(__xludf.DUMMYFUNCTION("""COMPUTED_VALUE"""),"0868200542")</f>
        <v>0868200542</v>
      </c>
      <c r="J66" s="1">
        <f ca="1">IFERROR(__xludf.DUMMYFUNCTION("""COMPUTED_VALUE"""),3.16)</f>
        <v>3.16</v>
      </c>
      <c r="K66" s="1">
        <f ca="1">IFERROR(__xludf.DUMMYFUNCTION("""COMPUTED_VALUE"""),115)</f>
        <v>115</v>
      </c>
      <c r="L66" s="1" t="str">
        <f ca="1">IFERROR(__xludf.DUMMYFUNCTION("""COMPUTED_VALUE"""),"Rồi")</f>
        <v>Rồi</v>
      </c>
      <c r="M66" s="1" t="str">
        <f ca="1">IFERROR(__xludf.DUMMYFUNCTION("""COMPUTED_VALUE"""),"Thực tập tốt nghiệp, Thi tốt nghiệp, Công nhận tốt nghiệp")</f>
        <v>Thực tập tốt nghiệp, Thi tốt nghiệp, Công nhận tốt nghiệp</v>
      </c>
      <c r="N66" s="1">
        <f ca="1">IFERROR(__xludf.DUMMYFUNCTION("""COMPUTED_VALUE"""),3)</f>
        <v>3</v>
      </c>
      <c r="O66" s="1" t="str">
        <f ca="1">IFERROR(__xludf.DUMMYFUNCTION("""COMPUTED_VALUE"""),"cam kết")</f>
        <v>cam kết</v>
      </c>
      <c r="P66" s="1"/>
      <c r="Q66" s="1"/>
      <c r="R66" s="1" t="str">
        <f ca="1">IFERROR(__xludf.DUMMYFUNCTION("""COMPUTED_VALUE"""),"18/12/2025")</f>
        <v>18/12/2025</v>
      </c>
      <c r="S66" s="1" t="str">
        <f ca="1">IFERROR(__xludf.DUMMYFUNCTION("""COMPUTED_VALUE"""),"thực tập TN, Thi TN")</f>
        <v>thực tập TN, Thi TN</v>
      </c>
      <c r="T66" s="1" t="str">
        <f ca="1">IFERROR(__xludf.DUMMYFUNCTION("""COMPUTED_VALUE"""),"Đã email cấp giấy giới thiệu ngày 18/12/2025")</f>
        <v>Đã email cấp giấy giới thiệu ngày 18/12/2025</v>
      </c>
      <c r="U66" s="1"/>
      <c r="V66" s="1"/>
      <c r="W66" s="1" t="str">
        <f ca="1">IFERROR(__xludf.DUMMYFUNCTION("""COMPUTED_VALUE"""),"K28DLK8")</f>
        <v>K28DLK8</v>
      </c>
      <c r="X66" s="1"/>
      <c r="Y66" s="1" t="str">
        <f ca="1">IFERROR(__xludf.DUMMYFUNCTION("""COMPUTED_VALUE"""),"Wyndham Danang Golden Bay Hotel")</f>
        <v>Wyndham Danang Golden Bay Hotel</v>
      </c>
      <c r="Z66" s="1" t="str">
        <f ca="1">IFERROR(__xludf.DUMMYFUNCTION("""COMPUTED_VALUE"""),"Tiền sảnh")</f>
        <v>Tiền sảnh</v>
      </c>
      <c r="AA66" s="1" t="str">
        <f ca="1">IFERROR(__xludf.DUMMYFUNCTION("""COMPUTED_VALUE"""),"DUYỆT")</f>
        <v>DUYỆT</v>
      </c>
      <c r="AB66" s="1" t="str">
        <f ca="1">IFERROR(__xludf.DUMMYFUNCTION("""COMPUTED_VALUE"""),"25/12/2025")</f>
        <v>25/12/2025</v>
      </c>
      <c r="AC66" s="1" t="str">
        <f ca="1">IFERROR(__xludf.DUMMYFUNCTION("""COMPUTED_VALUE"""),"BÁO CÁO THỰC TẬP TỐT NGHIỆP")</f>
        <v>BÁO CÁO THỰC TẬP TỐT NGHIỆP</v>
      </c>
      <c r="AD66" s="1" t="str">
        <f ca="1">IFERROR(__xludf.DUMMYFUNCTION("""COMPUTED_VALUE"""),"Mai Thị Thương")</f>
        <v>Mai Thị Thương</v>
      </c>
      <c r="AE66" s="1" t="str">
        <f ca="1">IFERROR(__xludf.DUMMYFUNCTION("""COMPUTED_VALUE"""),"Thạc sĩ")</f>
        <v>Thạc sĩ</v>
      </c>
      <c r="AF66" s="1" t="str">
        <f ca="1">IFERROR(__xludf.DUMMYFUNCTION("""COMPUTED_VALUE"""),"0905767050")</f>
        <v>0905767050</v>
      </c>
      <c r="AG66" s="1" t="str">
        <f ca="1">IFERROR(__xludf.DUMMYFUNCTION("""COMPUTED_VALUE"""),"maithithuong@dtu-hti.edu.vn")</f>
        <v>maithithuong@dtu-hti.edu.vn</v>
      </c>
      <c r="AH66" s="1" t="str">
        <f ca="1">IFERROR(__xludf.DUMMYFUNCTION("""COMPUTED_VALUE""")," Báo cáo kết quả thực tập và thực trạng về quy trình phục vụ tại bộ phận tiền sảnh thuộc Wyndham Danang Golden Bay Hotel")</f>
        <v xml:space="preserve"> Báo cáo kết quả thực tập và thực trạng về quy trình phục vụ tại bộ phận tiền sảnh thuộc Wyndham Danang Golden Bay Hotel</v>
      </c>
      <c r="AI66" s="1"/>
    </row>
    <row r="67" spans="1:35" x14ac:dyDescent="0.2">
      <c r="A67" s="3">
        <f ca="1">IFERROR(__xludf.DUMMYFUNCTION("""COMPUTED_VALUE"""),45994.7773655902)</f>
        <v>45994.777365590198</v>
      </c>
      <c r="B67" s="1" t="str">
        <f ca="1">IFERROR(__xludf.DUMMYFUNCTION("""COMPUTED_VALUE"""),"myhanhduong1309@gmail.com")</f>
        <v>myhanhduong1309@gmail.com</v>
      </c>
      <c r="C67" s="1">
        <f ca="1">IFERROR(__xludf.DUMMYFUNCTION("""COMPUTED_VALUE"""),28208020522)</f>
        <v>28208020522</v>
      </c>
      <c r="D67" s="1" t="str">
        <f ca="1">IFERROR(__xludf.DUMMYFUNCTION("""COMPUTED_VALUE"""),"Dương Thị Mỹ hạnh ")</f>
        <v xml:space="preserve">Dương Thị Mỹ hạnh </v>
      </c>
      <c r="E67" s="1"/>
      <c r="F67" s="1" t="str">
        <f ca="1">IFERROR(__xludf.DUMMYFUNCTION("""COMPUTED_VALUE"""),"DLK3 ")</f>
        <v xml:space="preserve">DLK3 </v>
      </c>
      <c r="G67" s="1" t="str">
        <f ca="1">IFERROR(__xludf.DUMMYFUNCTION("""COMPUTED_VALUE"""),"Quản trị Du lịch &amp; Khách sạn")</f>
        <v>Quản trị Du lịch &amp; Khách sạn</v>
      </c>
      <c r="H67" s="1" t="str">
        <f ca="1">IFERROR(__xludf.DUMMYFUNCTION("""COMPUTED_VALUE"""),"K28")</f>
        <v>K28</v>
      </c>
      <c r="I67" s="1" t="str">
        <f ca="1">IFERROR(__xludf.DUMMYFUNCTION("""COMPUTED_VALUE"""),"0394048030")</f>
        <v>0394048030</v>
      </c>
      <c r="J67" s="1">
        <f ca="1">IFERROR(__xludf.DUMMYFUNCTION("""COMPUTED_VALUE"""),2.32)</f>
        <v>2.3199999999999998</v>
      </c>
      <c r="K67" s="1">
        <f ca="1">IFERROR(__xludf.DUMMYFUNCTION("""COMPUTED_VALUE"""),110)</f>
        <v>110</v>
      </c>
      <c r="L67" s="1" t="str">
        <f ca="1">IFERROR(__xludf.DUMMYFUNCTION("""COMPUTED_VALUE"""),"Rồi")</f>
        <v>Rồi</v>
      </c>
      <c r="M67" s="1" t="str">
        <f ca="1">IFERROR(__xludf.DUMMYFUNCTION("""COMPUTED_VALUE"""),"Thực tập tốt nghiệp, Thi tốt nghiệp")</f>
        <v>Thực tập tốt nghiệp, Thi tốt nghiệp</v>
      </c>
      <c r="N67" s="1" t="str">
        <f ca="1">IFERROR(__xludf.DUMMYFUNCTION("""COMPUTED_VALUE"""),"18 (11 tín đang học, 5 tín chưa học)")</f>
        <v>18 (11 tín đang học, 5 tín chưa học)</v>
      </c>
      <c r="O67" s="1" t="str">
        <f ca="1">IFERROR(__xludf.DUMMYFUNCTION("""COMPUTED_VALUE"""),"cam kết")</f>
        <v>cam kết</v>
      </c>
      <c r="P67" s="1"/>
      <c r="Q67" s="1"/>
      <c r="R67" s="1" t="str">
        <f ca="1">IFERROR(__xludf.DUMMYFUNCTION("""COMPUTED_VALUE"""),"18/12/2025")</f>
        <v>18/12/2025</v>
      </c>
      <c r="S67" s="1" t="str">
        <f ca="1">IFERROR(__xludf.DUMMYFUNCTION("""COMPUTED_VALUE"""),"thực tập TN, Thi TN")</f>
        <v>thực tập TN, Thi TN</v>
      </c>
      <c r="T67" s="1" t="str">
        <f ca="1">IFERROR(__xludf.DUMMYFUNCTION("""COMPUTED_VALUE"""),"Đã email cấp giấy giới thiệu ngày 18/12/2025")</f>
        <v>Đã email cấp giấy giới thiệu ngày 18/12/2025</v>
      </c>
      <c r="U67" s="1"/>
      <c r="V67" s="1"/>
      <c r="W67" s="1" t="str">
        <f ca="1">IFERROR(__xludf.DUMMYFUNCTION("""COMPUTED_VALUE"""),"K28DLK3")</f>
        <v>K28DLK3</v>
      </c>
      <c r="X67" s="1"/>
      <c r="Y67" s="1" t="str">
        <f ca="1">IFERROR(__xludf.DUMMYFUNCTION("""COMPUTED_VALUE"""),"Grand Mercure Danang")</f>
        <v>Grand Mercure Danang</v>
      </c>
      <c r="Z67" s="1" t="str">
        <f ca="1">IFERROR(__xludf.DUMMYFUNCTION("""COMPUTED_VALUE"""),"Nhà hàng")</f>
        <v>Nhà hàng</v>
      </c>
      <c r="AA67" s="1" t="str">
        <f ca="1">IFERROR(__xludf.DUMMYFUNCTION("""COMPUTED_VALUE"""),"DUYỆT")</f>
        <v>DUYỆT</v>
      </c>
      <c r="AB67" s="1" t="str">
        <f ca="1">IFERROR(__xludf.DUMMYFUNCTION("""COMPUTED_VALUE"""),"26/01/2026")</f>
        <v>26/01/2026</v>
      </c>
      <c r="AC67" s="1" t="str">
        <f ca="1">IFERROR(__xludf.DUMMYFUNCTION("""COMPUTED_VALUE"""),"BÁO CÁO THỰC TẬP TỐT NGHIỆP")</f>
        <v>BÁO CÁO THỰC TẬP TỐT NGHIỆP</v>
      </c>
      <c r="AD67" s="1" t="str">
        <f ca="1">IFERROR(__xludf.DUMMYFUNCTION("""COMPUTED_VALUE"""),"Trần Hoàng Anh")</f>
        <v>Trần Hoàng Anh</v>
      </c>
      <c r="AE67" s="1" t="str">
        <f ca="1">IFERROR(__xludf.DUMMYFUNCTION("""COMPUTED_VALUE"""),"Thạc sĩ")</f>
        <v>Thạc sĩ</v>
      </c>
      <c r="AF67" s="1" t="str">
        <f ca="1">IFERROR(__xludf.DUMMYFUNCTION("""COMPUTED_VALUE"""),"0906 029 602")</f>
        <v>0906 029 602</v>
      </c>
      <c r="AG67" s="1" t="str">
        <f ca="1">IFERROR(__xludf.DUMMYFUNCTION("""COMPUTED_VALUE"""),"tranhoanganh@dtu-hti.edu.vn")</f>
        <v>tranhoanganh@dtu-hti.edu.vn</v>
      </c>
      <c r="AH67" s="1" t="str">
        <f ca="1">IFERROR(__xludf.DUMMYFUNCTION("""COMPUTED_VALUE"""),"Báo cáo kết quả thực tập và thực trạng các yếu tố ảnh hưởng đến chất lượng phục vụ buffet sáng tại nhà hàng La Rive Gauche tại khách sạn Grand Mercure Danang")</f>
        <v>Báo cáo kết quả thực tập và thực trạng các yếu tố ảnh hưởng đến chất lượng phục vụ buffet sáng tại nhà hàng La Rive Gauche tại khách sạn Grand Mercure Danang</v>
      </c>
      <c r="AI67" s="1"/>
    </row>
    <row r="68" spans="1:35" x14ac:dyDescent="0.2">
      <c r="A68" s="3">
        <f ca="1">IFERROR(__xludf.DUMMYFUNCTION("""COMPUTED_VALUE"""),45994.7085724768)</f>
        <v>45994.708572476797</v>
      </c>
      <c r="B68" s="1" t="str">
        <f ca="1">IFERROR(__xludf.DUMMYFUNCTION("""COMPUTED_VALUE"""),"thuy862004@gmail.com")</f>
        <v>thuy862004@gmail.com</v>
      </c>
      <c r="C68" s="1">
        <f ca="1">IFERROR(__xludf.DUMMYFUNCTION("""COMPUTED_VALUE"""),28208352857)</f>
        <v>28208352857</v>
      </c>
      <c r="D68" s="1" t="str">
        <f ca="1">IFERROR(__xludf.DUMMYFUNCTION("""COMPUTED_VALUE"""),"Đinh Phan Thanh Thuý")</f>
        <v>Đinh Phan Thanh Thuý</v>
      </c>
      <c r="E68" s="1"/>
      <c r="F68" s="1" t="str">
        <f ca="1">IFERROR(__xludf.DUMMYFUNCTION("""COMPUTED_VALUE"""),"K28PSUDLH")</f>
        <v>K28PSUDLH</v>
      </c>
      <c r="G68" s="1" t="str">
        <f ca="1">IFERROR(__xludf.DUMMYFUNCTION("""COMPUTED_VALUE"""),"Quản trị Du lịch &amp; Nhà hàng chuẩn PSU")</f>
        <v>Quản trị Du lịch &amp; Nhà hàng chuẩn PSU</v>
      </c>
      <c r="H68" s="1" t="str">
        <f ca="1">IFERROR(__xludf.DUMMYFUNCTION("""COMPUTED_VALUE"""),"K28")</f>
        <v>K28</v>
      </c>
      <c r="I68" s="1" t="str">
        <f ca="1">IFERROR(__xludf.DUMMYFUNCTION("""COMPUTED_VALUE"""),"0931799864")</f>
        <v>0931799864</v>
      </c>
      <c r="J68" s="1">
        <f ca="1">IFERROR(__xludf.DUMMYFUNCTION("""COMPUTED_VALUE"""),3)</f>
        <v>3</v>
      </c>
      <c r="K68" s="1">
        <f ca="1">IFERROR(__xludf.DUMMYFUNCTION("""COMPUTED_VALUE"""),117)</f>
        <v>117</v>
      </c>
      <c r="L68" s="1" t="str">
        <f ca="1">IFERROR(__xludf.DUMMYFUNCTION("""COMPUTED_VALUE"""),"Rồi")</f>
        <v>Rồi</v>
      </c>
      <c r="M68" s="1" t="str">
        <f ca="1">IFERROR(__xludf.DUMMYFUNCTION("""COMPUTED_VALUE"""),"Thực tập tốt nghiệp, Thi tốt nghiệp, Công nhận tốt nghiệp")</f>
        <v>Thực tập tốt nghiệp, Thi tốt nghiệp, Công nhận tốt nghiệp</v>
      </c>
      <c r="N68" s="1">
        <f ca="1">IFERROR(__xludf.DUMMYFUNCTION("""COMPUTED_VALUE"""),11)</f>
        <v>11</v>
      </c>
      <c r="O68" s="1" t="str">
        <f ca="1">IFERROR(__xludf.DUMMYFUNCTION("""COMPUTED_VALUE"""),"cam kết")</f>
        <v>cam kết</v>
      </c>
      <c r="P68" s="1"/>
      <c r="Q68" s="1"/>
      <c r="R68" s="1" t="str">
        <f ca="1">IFERROR(__xludf.DUMMYFUNCTION("""COMPUTED_VALUE"""),"18/12/2025")</f>
        <v>18/12/2025</v>
      </c>
      <c r="S68" s="1" t="str">
        <f ca="1">IFERROR(__xludf.DUMMYFUNCTION("""COMPUTED_VALUE"""),"Sinh viên BLKQHT theo diện Tham gia thực tập tại Hồng Kông, Trung Quốc kể từ HK2 - 2025-2026, Theo QĐ số: 387/QĐ-ĐHDT ngày 21/01/2026")</f>
        <v>Sinh viên BLKQHT theo diện Tham gia thực tập tại Hồng Kông, Trung Quốc kể từ HK2 - 2025-2026, Theo QĐ số: 387/QĐ-ĐHDT ngày 21/01/2026</v>
      </c>
      <c r="T68" s="1" t="str">
        <f ca="1">IFERROR(__xludf.DUMMYFUNCTION("""COMPUTED_VALUE"""),"đã email cấp giấy giới thiệu ngày 25/12/2025")</f>
        <v>đã email cấp giấy giới thiệu ngày 25/12/2025</v>
      </c>
      <c r="U68" s="1"/>
      <c r="V68" s="1"/>
      <c r="W68" s="1" t="str">
        <f ca="1">IFERROR(__xludf.DUMMYFUNCTION("""COMPUTED_VALUE"""),"K28PSU-DLH")</f>
        <v>K28PSU-DLH</v>
      </c>
      <c r="X68" s="1"/>
      <c r="Y68" s="1" t="str">
        <f ca="1">IFERROR(__xludf.DUMMYFUNCTION("""COMPUTED_VALUE"""),"Renaissance Harbour View Hotel Hong Kong")</f>
        <v>Renaissance Harbour View Hotel Hong Kong</v>
      </c>
      <c r="Z68" s="1" t="str">
        <f ca="1">IFERROR(__xludf.DUMMYFUNCTION("""COMPUTED_VALUE"""),"Nhà hàng")</f>
        <v>Nhà hàng</v>
      </c>
      <c r="AA68" s="1" t="str">
        <f ca="1">IFERROR(__xludf.DUMMYFUNCTION("""COMPUTED_VALUE"""),"DUYỆT")</f>
        <v>DUYỆT</v>
      </c>
      <c r="AB68" s="1"/>
      <c r="AC68" s="1" t="str">
        <f ca="1">IFERROR(__xludf.DUMMYFUNCTION("""COMPUTED_VALUE""")," ")</f>
        <v xml:space="preserve"> </v>
      </c>
      <c r="AD68" s="1"/>
      <c r="AE68" s="1" t="str">
        <f ca="1">IFERROR(__xludf.DUMMYFUNCTION("""COMPUTED_VALUE"""),"#N/A")</f>
        <v>#N/A</v>
      </c>
      <c r="AF68" s="1" t="str">
        <f ca="1">IFERROR(__xludf.DUMMYFUNCTION("""COMPUTED_VALUE"""),"#N/A")</f>
        <v>#N/A</v>
      </c>
      <c r="AG68" s="1" t="str">
        <f ca="1">IFERROR(__xludf.DUMMYFUNCTION("""COMPUTED_VALUE"""),"#N/A")</f>
        <v>#N/A</v>
      </c>
      <c r="AH68" s="1"/>
      <c r="AI68" s="1"/>
    </row>
    <row r="69" spans="1:35" x14ac:dyDescent="0.2">
      <c r="A69" s="3">
        <f ca="1">IFERROR(__xludf.DUMMYFUNCTION("""COMPUTED_VALUE"""),45994.713519537)</f>
        <v>45994.713519536999</v>
      </c>
      <c r="B69" s="1" t="str">
        <f ca="1">IFERROR(__xludf.DUMMYFUNCTION("""COMPUTED_VALUE"""),"nguyenanhvu12@dtu.edu.vn")</f>
        <v>nguyenanhvu12@dtu.edu.vn</v>
      </c>
      <c r="C69" s="1">
        <f ca="1">IFERROR(__xludf.DUMMYFUNCTION("""COMPUTED_VALUE"""),28218049647)</f>
        <v>28218049647</v>
      </c>
      <c r="D69" s="1" t="str">
        <f ca="1">IFERROR(__xludf.DUMMYFUNCTION("""COMPUTED_VALUE"""),"NGUYỄN ANH VŨ")</f>
        <v>NGUYỄN ANH VŨ</v>
      </c>
      <c r="E69" s="1"/>
      <c r="F69" s="1" t="str">
        <f ca="1">IFERROR(__xludf.DUMMYFUNCTION("""COMPUTED_VALUE"""),"K28DLK4")</f>
        <v>K28DLK4</v>
      </c>
      <c r="G69" s="1" t="str">
        <f ca="1">IFERROR(__xludf.DUMMYFUNCTION("""COMPUTED_VALUE"""),"Quản trị Du lịch &amp; Khách sạn")</f>
        <v>Quản trị Du lịch &amp; Khách sạn</v>
      </c>
      <c r="H69" s="1" t="str">
        <f ca="1">IFERROR(__xludf.DUMMYFUNCTION("""COMPUTED_VALUE"""),"K28")</f>
        <v>K28</v>
      </c>
      <c r="I69" s="1" t="str">
        <f ca="1">IFERROR(__xludf.DUMMYFUNCTION("""COMPUTED_VALUE"""),"0931951182")</f>
        <v>0931951182</v>
      </c>
      <c r="J69" s="1">
        <f ca="1">IFERROR(__xludf.DUMMYFUNCTION("""COMPUTED_VALUE"""),2.52)</f>
        <v>2.52</v>
      </c>
      <c r="K69" s="1">
        <f ca="1">IFERROR(__xludf.DUMMYFUNCTION("""COMPUTED_VALUE"""),114)</f>
        <v>114</v>
      </c>
      <c r="L69" s="1" t="str">
        <f ca="1">IFERROR(__xludf.DUMMYFUNCTION("""COMPUTED_VALUE"""),"Rồi")</f>
        <v>Rồi</v>
      </c>
      <c r="M69" s="1" t="str">
        <f ca="1">IFERROR(__xludf.DUMMYFUNCTION("""COMPUTED_VALUE"""),"Thực tập tốt nghiệp, Thi tốt nghiệp, Công nhận tốt nghiệp")</f>
        <v>Thực tập tốt nghiệp, Thi tốt nghiệp, Công nhận tốt nghiệp</v>
      </c>
      <c r="N69" s="1">
        <f ca="1">IFERROR(__xludf.DUMMYFUNCTION("""COMPUTED_VALUE"""),10)</f>
        <v>10</v>
      </c>
      <c r="O69" s="1" t="str">
        <f ca="1">IFERROR(__xludf.DUMMYFUNCTION("""COMPUTED_VALUE"""),"cam kết")</f>
        <v>cam kết</v>
      </c>
      <c r="P69" s="1"/>
      <c r="Q69" s="1"/>
      <c r="R69" s="1" t="str">
        <f ca="1">IFERROR(__xludf.DUMMYFUNCTION("""COMPUTED_VALUE"""),"18/12/2025")</f>
        <v>18/12/2025</v>
      </c>
      <c r="S69" s="1" t="str">
        <f ca="1">IFERROR(__xludf.DUMMYFUNCTION("""COMPUTED_VALUE"""),"thực tập TN, Thi TN")</f>
        <v>thực tập TN, Thi TN</v>
      </c>
      <c r="T69" s="1" t="str">
        <f ca="1">IFERROR(__xludf.DUMMYFUNCTION("""COMPUTED_VALUE"""),"Đã email cấp giấy giới thiệu ngày 18/12/2025")</f>
        <v>Đã email cấp giấy giới thiệu ngày 18/12/2025</v>
      </c>
      <c r="U69" s="1"/>
      <c r="V69" s="1"/>
      <c r="W69" s="1" t="str">
        <f ca="1">IFERROR(__xludf.DUMMYFUNCTION("""COMPUTED_VALUE"""),"K28DLK4")</f>
        <v>K28DLK4</v>
      </c>
      <c r="X69" s="1"/>
      <c r="Y69" s="1" t="str">
        <f ca="1">IFERROR(__xludf.DUMMYFUNCTION("""COMPUTED_VALUE"""),"Novotel Danang Premier")</f>
        <v>Novotel Danang Premier</v>
      </c>
      <c r="Z69" s="1" t="str">
        <f ca="1">IFERROR(__xludf.DUMMYFUNCTION("""COMPUTED_VALUE"""),"Nhà hàng")</f>
        <v>Nhà hàng</v>
      </c>
      <c r="AA69" s="1" t="str">
        <f ca="1">IFERROR(__xludf.DUMMYFUNCTION("""COMPUTED_VALUE"""),"DUYỆT")</f>
        <v>DUYỆT</v>
      </c>
      <c r="AB69" s="4">
        <f ca="1">IFERROR(__xludf.DUMMYFUNCTION("""COMPUTED_VALUE"""),46266)</f>
        <v>46266</v>
      </c>
      <c r="AC69" s="1" t="str">
        <f ca="1">IFERROR(__xludf.DUMMYFUNCTION("""COMPUTED_VALUE"""),"BÁO CÁO THỰC TẬP TỐT NGHIỆP")</f>
        <v>BÁO CÁO THỰC TẬP TỐT NGHIỆP</v>
      </c>
      <c r="AD69" s="1" t="str">
        <f ca="1">IFERROR(__xludf.DUMMYFUNCTION("""COMPUTED_VALUE"""),"Huỳnh Lý Thùy Linh")</f>
        <v>Huỳnh Lý Thùy Linh</v>
      </c>
      <c r="AE69" s="1" t="str">
        <f ca="1">IFERROR(__xludf.DUMMYFUNCTION("""COMPUTED_VALUE"""),"Thạc sĩ")</f>
        <v>Thạc sĩ</v>
      </c>
      <c r="AF69" s="1" t="str">
        <f ca="1">IFERROR(__xludf.DUMMYFUNCTION("""COMPUTED_VALUE"""),"0702605664")</f>
        <v>0702605664</v>
      </c>
      <c r="AG69" s="1" t="str">
        <f ca="1">IFERROR(__xludf.DUMMYFUNCTION("""COMPUTED_VALUE"""),"huynhlthuylinh@dtu-hti.edu.vn")</f>
        <v>huynhlthuylinh@dtu-hti.edu.vn</v>
      </c>
      <c r="AH69" s="1" t="str">
        <f ca="1">IFERROR(__xludf.DUMMYFUNCTION("""COMPUTED_VALUE"""),"Báo cáo kết quả thực tập và thực trạng về các yếu tố ảnh hưởng đến chất lượng phục vụ tại nhà hàng Gourmet Bar thuộc Novotel Danang Premeir Han River")</f>
        <v>Báo cáo kết quả thực tập và thực trạng về các yếu tố ảnh hưởng đến chất lượng phục vụ tại nhà hàng Gourmet Bar thuộc Novotel Danang Premeir Han River</v>
      </c>
      <c r="AI69" s="1"/>
    </row>
    <row r="70" spans="1:35" x14ac:dyDescent="0.2">
      <c r="A70" s="3">
        <f ca="1">IFERROR(__xludf.DUMMYFUNCTION("""COMPUTED_VALUE"""),45994.7402591435)</f>
        <v>45994.740259143502</v>
      </c>
      <c r="B70" s="1" t="str">
        <f ca="1">IFERROR(__xludf.DUMMYFUNCTION("""COMPUTED_VALUE"""),"huynhtyennhi9@dtu.edu.vn")</f>
        <v>huynhtyennhi9@dtu.edu.vn</v>
      </c>
      <c r="C70" s="1">
        <f ca="1">IFERROR(__xludf.DUMMYFUNCTION("""COMPUTED_VALUE"""),28204905341)</f>
        <v>28204905341</v>
      </c>
      <c r="D70" s="1" t="str">
        <f ca="1">IFERROR(__xludf.DUMMYFUNCTION("""COMPUTED_VALUE"""),"Huỳnh Thị Yến Nhi")</f>
        <v>Huỳnh Thị Yến Nhi</v>
      </c>
      <c r="E70" s="1"/>
      <c r="F70" s="1" t="str">
        <f ca="1">IFERROR(__xludf.DUMMYFUNCTION("""COMPUTED_VALUE"""),"K28DLK5")</f>
        <v>K28DLK5</v>
      </c>
      <c r="G70" s="1" t="str">
        <f ca="1">IFERROR(__xludf.DUMMYFUNCTION("""COMPUTED_VALUE"""),"Quản trị Du lịch &amp; Khách sạn")</f>
        <v>Quản trị Du lịch &amp; Khách sạn</v>
      </c>
      <c r="H70" s="1" t="str">
        <f ca="1">IFERROR(__xludf.DUMMYFUNCTION("""COMPUTED_VALUE"""),"K28")</f>
        <v>K28</v>
      </c>
      <c r="I70" s="1" t="str">
        <f ca="1">IFERROR(__xludf.DUMMYFUNCTION("""COMPUTED_VALUE"""),"0867463147")</f>
        <v>0867463147</v>
      </c>
      <c r="J70" s="1">
        <f ca="1">IFERROR(__xludf.DUMMYFUNCTION("""COMPUTED_VALUE"""),2.9)</f>
        <v>2.9</v>
      </c>
      <c r="K70" s="1">
        <f ca="1">IFERROR(__xludf.DUMMYFUNCTION("""COMPUTED_VALUE"""),113)</f>
        <v>113</v>
      </c>
      <c r="L70" s="1" t="str">
        <f ca="1">IFERROR(__xludf.DUMMYFUNCTION("""COMPUTED_VALUE"""),"Rồi")</f>
        <v>Rồi</v>
      </c>
      <c r="M70" s="1" t="str">
        <f ca="1">IFERROR(__xludf.DUMMYFUNCTION("""COMPUTED_VALUE"""),"Thực tập tốt nghiệp, Thi tốt nghiệp, Công nhận tốt nghiệp")</f>
        <v>Thực tập tốt nghiệp, Thi tốt nghiệp, Công nhận tốt nghiệp</v>
      </c>
      <c r="N70" s="1">
        <f ca="1">IFERROR(__xludf.DUMMYFUNCTION("""COMPUTED_VALUE"""),13)</f>
        <v>13</v>
      </c>
      <c r="O70" s="1" t="str">
        <f ca="1">IFERROR(__xludf.DUMMYFUNCTION("""COMPUTED_VALUE"""),"cam kết")</f>
        <v>cam kết</v>
      </c>
      <c r="P70" s="1"/>
      <c r="Q70" s="1"/>
      <c r="R70" s="1" t="str">
        <f ca="1">IFERROR(__xludf.DUMMYFUNCTION("""COMPUTED_VALUE"""),"18/12/2025")</f>
        <v>18/12/2025</v>
      </c>
      <c r="S70" s="1" t="str">
        <f ca="1">IFERROR(__xludf.DUMMYFUNCTION("""COMPUTED_VALUE"""),"thực tập TN, Thi TN")</f>
        <v>thực tập TN, Thi TN</v>
      </c>
      <c r="T70" s="1" t="str">
        <f ca="1">IFERROR(__xludf.DUMMYFUNCTION("""COMPUTED_VALUE"""),"Đã email cấp giấy giới thiệu ngày 18/12/2025")</f>
        <v>Đã email cấp giấy giới thiệu ngày 18/12/2025</v>
      </c>
      <c r="U70" s="1"/>
      <c r="V70" s="1"/>
      <c r="W70" s="1" t="str">
        <f ca="1">IFERROR(__xludf.DUMMYFUNCTION("""COMPUTED_VALUE"""),"K28DLK5")</f>
        <v>K28DLK5</v>
      </c>
      <c r="X70" s="1"/>
      <c r="Y70" s="1" t="str">
        <f ca="1">IFERROR(__xludf.DUMMYFUNCTION("""COMPUTED_VALUE"""),"Radisson Hotel Danang")</f>
        <v>Radisson Hotel Danang</v>
      </c>
      <c r="Z70" s="1" t="str">
        <f ca="1">IFERROR(__xludf.DUMMYFUNCTION("""COMPUTED_VALUE"""),"Buồng phòng")</f>
        <v>Buồng phòng</v>
      </c>
      <c r="AA70" s="1" t="str">
        <f ca="1">IFERROR(__xludf.DUMMYFUNCTION("""COMPUTED_VALUE"""),"DUYỆT")</f>
        <v>DUYỆT</v>
      </c>
      <c r="AB70" s="1" t="str">
        <f ca="1">IFERROR(__xludf.DUMMYFUNCTION("""COMPUTED_VALUE"""),"23/01/2026")</f>
        <v>23/01/2026</v>
      </c>
      <c r="AC70" s="1" t="str">
        <f ca="1">IFERROR(__xludf.DUMMYFUNCTION("""COMPUTED_VALUE"""),"BÁO CÁO THỰC TẬP TỐT NGHIỆP")</f>
        <v>BÁO CÁO THỰC TẬP TỐT NGHIỆP</v>
      </c>
      <c r="AD70" s="1" t="str">
        <f ca="1">IFERROR(__xludf.DUMMYFUNCTION("""COMPUTED_VALUE"""),"Phạm Thị Thu Thủy")</f>
        <v>Phạm Thị Thu Thủy</v>
      </c>
      <c r="AE70" s="1" t="str">
        <f ca="1">IFERROR(__xludf.DUMMYFUNCTION("""COMPUTED_VALUE"""),"Thạc sĩ")</f>
        <v>Thạc sĩ</v>
      </c>
      <c r="AF70" s="1" t="str">
        <f ca="1">IFERROR(__xludf.DUMMYFUNCTION("""COMPUTED_VALUE"""),"0938290678")</f>
        <v>0938290678</v>
      </c>
      <c r="AG70" s="1" t="str">
        <f ca="1">IFERROR(__xludf.DUMMYFUNCTION("""COMPUTED_VALUE"""),"phamtthuthuy2@dtu-hti.edu.vn")</f>
        <v>phamtthuthuy2@dtu-hti.edu.vn</v>
      </c>
      <c r="AH70" s="1" t="str">
        <f ca="1">IFERROR(__xludf.DUMMYFUNCTION("""COMPUTED_VALUE"""),"Báo cáo kết quả thực tập và thực trạng quy trình chuẩn bị buồng đón khách VIP tại bộ phận buồng khách sạn Radisson Danang")</f>
        <v>Báo cáo kết quả thực tập và thực trạng quy trình chuẩn bị buồng đón khách VIP tại bộ phận buồng khách sạn Radisson Danang</v>
      </c>
      <c r="AI70" s="1"/>
    </row>
    <row r="71" spans="1:35" x14ac:dyDescent="0.2">
      <c r="A71" s="3">
        <f ca="1">IFERROR(__xludf.DUMMYFUNCTION("""COMPUTED_VALUE"""),45994.7453066782)</f>
        <v>45994.745306678204</v>
      </c>
      <c r="B71" s="1" t="str">
        <f ca="1">IFERROR(__xludf.DUMMYFUNCTION("""COMPUTED_VALUE"""),"giangbmt2k4@gmail.com")</f>
        <v>giangbmt2k4@gmail.com</v>
      </c>
      <c r="C71" s="1">
        <f ca="1">IFERROR(__xludf.DUMMYFUNCTION("""COMPUTED_VALUE"""),28218005182)</f>
        <v>28218005182</v>
      </c>
      <c r="D71" s="1" t="str">
        <f ca="1">IFERROR(__xludf.DUMMYFUNCTION("""COMPUTED_VALUE"""),"Phạm trường giang")</f>
        <v>Phạm trường giang</v>
      </c>
      <c r="E71" s="1"/>
      <c r="F71" s="1" t="str">
        <f ca="1">IFERROR(__xludf.DUMMYFUNCTION("""COMPUTED_VALUE"""),"K28DlK7")</f>
        <v>K28DlK7</v>
      </c>
      <c r="G71" s="1" t="str">
        <f ca="1">IFERROR(__xludf.DUMMYFUNCTION("""COMPUTED_VALUE"""),"Quản trị Du lịch &amp; Khách sạn")</f>
        <v>Quản trị Du lịch &amp; Khách sạn</v>
      </c>
      <c r="H71" s="1" t="str">
        <f ca="1">IFERROR(__xludf.DUMMYFUNCTION("""COMPUTED_VALUE"""),"K28")</f>
        <v>K28</v>
      </c>
      <c r="I71" s="1" t="str">
        <f ca="1">IFERROR(__xludf.DUMMYFUNCTION("""COMPUTED_VALUE"""),"0707040681")</f>
        <v>0707040681</v>
      </c>
      <c r="J71" s="1">
        <f ca="1">IFERROR(__xludf.DUMMYFUNCTION("""COMPUTED_VALUE"""),2.56)</f>
        <v>2.56</v>
      </c>
      <c r="K71" s="1">
        <f ca="1">IFERROR(__xludf.DUMMYFUNCTION("""COMPUTED_VALUE"""),107)</f>
        <v>107</v>
      </c>
      <c r="L71" s="1" t="str">
        <f ca="1">IFERROR(__xludf.DUMMYFUNCTION("""COMPUTED_VALUE"""),"Rồi")</f>
        <v>Rồi</v>
      </c>
      <c r="M71" s="1" t="str">
        <f ca="1">IFERROR(__xludf.DUMMYFUNCTION("""COMPUTED_VALUE"""),"Thực tập tốt nghiệp, Thi tốt nghiệp, Công nhận tốt nghiệp")</f>
        <v>Thực tập tốt nghiệp, Thi tốt nghiệp, Công nhận tốt nghiệp</v>
      </c>
      <c r="N71" s="1">
        <f ca="1">IFERROR(__xludf.DUMMYFUNCTION("""COMPUTED_VALUE"""),16)</f>
        <v>16</v>
      </c>
      <c r="O71" s="1" t="str">
        <f ca="1">IFERROR(__xludf.DUMMYFUNCTION("""COMPUTED_VALUE"""),"cam kết")</f>
        <v>cam kết</v>
      </c>
      <c r="P71" s="1"/>
      <c r="Q71" s="1"/>
      <c r="R71" s="1" t="str">
        <f ca="1">IFERROR(__xludf.DUMMYFUNCTION("""COMPUTED_VALUE"""),"18/12/2025")</f>
        <v>18/12/2025</v>
      </c>
      <c r="S71" s="1" t="str">
        <f ca="1">IFERROR(__xludf.DUMMYFUNCTION("""COMPUTED_VALUE"""),"thực tập TN, Thi TN")</f>
        <v>thực tập TN, Thi TN</v>
      </c>
      <c r="T71" s="1" t="str">
        <f ca="1">IFERROR(__xludf.DUMMYFUNCTION("""COMPUTED_VALUE"""),"Đã email cấp giấy giới thiệu ngày 18/12/2025")</f>
        <v>Đã email cấp giấy giới thiệu ngày 18/12/2025</v>
      </c>
      <c r="U71" s="1"/>
      <c r="V71" s="1"/>
      <c r="W71" s="1" t="str">
        <f ca="1">IFERROR(__xludf.DUMMYFUNCTION("""COMPUTED_VALUE"""),"K28DLK7")</f>
        <v>K28DLK7</v>
      </c>
      <c r="X71" s="1"/>
      <c r="Y71" s="1" t="str">
        <f ca="1">IFERROR(__xludf.DUMMYFUNCTION("""COMPUTED_VALUE"""),"Wyndham Danang Golden Bay Hotel")</f>
        <v>Wyndham Danang Golden Bay Hotel</v>
      </c>
      <c r="Z71" s="1" t="str">
        <f ca="1">IFERROR(__xludf.DUMMYFUNCTION("""COMPUTED_VALUE"""),"Tiền sảnh")</f>
        <v>Tiền sảnh</v>
      </c>
      <c r="AA71" s="1" t="str">
        <f ca="1">IFERROR(__xludf.DUMMYFUNCTION("""COMPUTED_VALUE"""),"DUYỆT")</f>
        <v>DUYỆT</v>
      </c>
      <c r="AB71" s="1" t="str">
        <f ca="1">IFERROR(__xludf.DUMMYFUNCTION("""COMPUTED_VALUE"""),"16/01/2026")</f>
        <v>16/01/2026</v>
      </c>
      <c r="AC71" s="1" t="str">
        <f ca="1">IFERROR(__xludf.DUMMYFUNCTION("""COMPUTED_VALUE"""),"BÁO CÁO THỰC TẬP TỐT NGHIỆP")</f>
        <v>BÁO CÁO THỰC TẬP TỐT NGHIỆP</v>
      </c>
      <c r="AD71" s="1" t="str">
        <f ca="1">IFERROR(__xludf.DUMMYFUNCTION("""COMPUTED_VALUE"""),"Mai Thị Thương")</f>
        <v>Mai Thị Thương</v>
      </c>
      <c r="AE71" s="1" t="str">
        <f ca="1">IFERROR(__xludf.DUMMYFUNCTION("""COMPUTED_VALUE"""),"Thạc sĩ")</f>
        <v>Thạc sĩ</v>
      </c>
      <c r="AF71" s="1" t="str">
        <f ca="1">IFERROR(__xludf.DUMMYFUNCTION("""COMPUTED_VALUE"""),"0905767050")</f>
        <v>0905767050</v>
      </c>
      <c r="AG71" s="1" t="str">
        <f ca="1">IFERROR(__xludf.DUMMYFUNCTION("""COMPUTED_VALUE"""),"maithithuong@dtu-hti.edu.vn")</f>
        <v>maithithuong@dtu-hti.edu.vn</v>
      </c>
      <c r="AH71" s="1" t="str">
        <f ca="1">IFERROR(__xludf.DUMMYFUNCTION("""COMPUTED_VALUE"""),"Báo cáo kết quả thực tập và thực trạng về chất lượng đội ngũ lao động tại bộ phận tiền sảnh thuộc Wyndham Danang Golden Bay Hotel")</f>
        <v>Báo cáo kết quả thực tập và thực trạng về chất lượng đội ngũ lao động tại bộ phận tiền sảnh thuộc Wyndham Danang Golden Bay Hotel</v>
      </c>
      <c r="AI71" s="1"/>
    </row>
    <row r="72" spans="1:35" x14ac:dyDescent="0.2">
      <c r="A72" s="3">
        <f ca="1">IFERROR(__xludf.DUMMYFUNCTION("""COMPUTED_VALUE"""),45994.7567602777)</f>
        <v>45994.756760277698</v>
      </c>
      <c r="B72" s="1" t="str">
        <f ca="1">IFERROR(__xludf.DUMMYFUNCTION("""COMPUTED_VALUE"""),"phanthiminhtrang29@gmail.com")</f>
        <v>phanthiminhtrang29@gmail.com</v>
      </c>
      <c r="C72" s="1">
        <f ca="1">IFERROR(__xludf.DUMMYFUNCTION("""COMPUTED_VALUE"""),27207130900)</f>
        <v>27207130900</v>
      </c>
      <c r="D72" s="1" t="str">
        <f ca="1">IFERROR(__xludf.DUMMYFUNCTION("""COMPUTED_VALUE"""),"Phan Thị Minh Trang ")</f>
        <v xml:space="preserve">Phan Thị Minh Trang </v>
      </c>
      <c r="E72" s="1"/>
      <c r="F72" s="1" t="str">
        <f ca="1">IFERROR(__xludf.DUMMYFUNCTION("""COMPUTED_VALUE"""),"K27DLK5")</f>
        <v>K27DLK5</v>
      </c>
      <c r="G72" s="1" t="str">
        <f ca="1">IFERROR(__xludf.DUMMYFUNCTION("""COMPUTED_VALUE"""),"Quản trị Du lịch &amp; Khách sạn")</f>
        <v>Quản trị Du lịch &amp; Khách sạn</v>
      </c>
      <c r="H72" s="1" t="str">
        <f ca="1">IFERROR(__xludf.DUMMYFUNCTION("""COMPUTED_VALUE"""),"K28")</f>
        <v>K28</v>
      </c>
      <c r="I72" s="1" t="str">
        <f ca="1">IFERROR(__xludf.DUMMYFUNCTION("""COMPUTED_VALUE"""),"0796552415")</f>
        <v>0796552415</v>
      </c>
      <c r="J72" s="1">
        <f ca="1">IFERROR(__xludf.DUMMYFUNCTION("""COMPUTED_VALUE"""),3.1)</f>
        <v>3.1</v>
      </c>
      <c r="K72" s="1">
        <f ca="1">IFERROR(__xludf.DUMMYFUNCTION("""COMPUTED_VALUE"""),126)</f>
        <v>126</v>
      </c>
      <c r="L72" s="1" t="str">
        <f ca="1">IFERROR(__xludf.DUMMYFUNCTION("""COMPUTED_VALUE"""),"Rồi")</f>
        <v>Rồi</v>
      </c>
      <c r="M72" s="1" t="str">
        <f ca="1">IFERROR(__xludf.DUMMYFUNCTION("""COMPUTED_VALUE"""),"Thực tập tốt nghiệp")</f>
        <v>Thực tập tốt nghiệp</v>
      </c>
      <c r="N72" s="1">
        <f ca="1">IFERROR(__xludf.DUMMYFUNCTION("""COMPUTED_VALUE"""),0)</f>
        <v>0</v>
      </c>
      <c r="O72" s="1" t="str">
        <f ca="1">IFERROR(__xludf.DUMMYFUNCTION("""COMPUTED_VALUE"""),"cam kết")</f>
        <v>cam kết</v>
      </c>
      <c r="P72" s="1"/>
      <c r="Q72" s="1"/>
      <c r="R72" s="1" t="str">
        <f ca="1">IFERROR(__xludf.DUMMYFUNCTION("""COMPUTED_VALUE"""),"18/12/2025")</f>
        <v>18/12/2025</v>
      </c>
      <c r="S72" s="1" t="str">
        <f ca="1">IFERROR(__xludf.DUMMYFUNCTION("""COMPUTED_VALUE"""),"thực tập TN, Thi TN")</f>
        <v>thực tập TN, Thi TN</v>
      </c>
      <c r="T72" s="1" t="str">
        <f ca="1">IFERROR(__xludf.DUMMYFUNCTION("""COMPUTED_VALUE"""),"Đã email cấp giấy giới thiệu ngày 18/12/2025")</f>
        <v>Đã email cấp giấy giới thiệu ngày 18/12/2025</v>
      </c>
      <c r="U72" s="1"/>
      <c r="V72" s="1"/>
      <c r="W72" s="1" t="str">
        <f ca="1">IFERROR(__xludf.DUMMYFUNCTION("""COMPUTED_VALUE"""),"K28DLK5")</f>
        <v>K28DLK5</v>
      </c>
      <c r="X72" s="1"/>
      <c r="Y72" s="1" t="str">
        <f ca="1">IFERROR(__xludf.DUMMYFUNCTION("""COMPUTED_VALUE"""),"Palm Garden Resort")</f>
        <v>Palm Garden Resort</v>
      </c>
      <c r="Z72" s="1" t="str">
        <f ca="1">IFERROR(__xludf.DUMMYFUNCTION("""COMPUTED_VALUE"""),"Tiền sảnh")</f>
        <v>Tiền sảnh</v>
      </c>
      <c r="AA72" s="1" t="str">
        <f ca="1">IFERROR(__xludf.DUMMYFUNCTION("""COMPUTED_VALUE"""),"DUYỆT")</f>
        <v>DUYỆT</v>
      </c>
      <c r="AB72" s="1" t="str">
        <f ca="1">IFERROR(__xludf.DUMMYFUNCTION("""COMPUTED_VALUE"""),"20/01/2026")</f>
        <v>20/01/2026</v>
      </c>
      <c r="AC72" s="1" t="str">
        <f ca="1">IFERROR(__xludf.DUMMYFUNCTION("""COMPUTED_VALUE"""),"BÁO CÁO THỰC TẬP TỐT NGHIỆP")</f>
        <v>BÁO CÁO THỰC TẬP TỐT NGHIỆP</v>
      </c>
      <c r="AD72" s="1" t="str">
        <f ca="1">IFERROR(__xludf.DUMMYFUNCTION("""COMPUTED_VALUE"""),"Trịnh Thị Kim Chung")</f>
        <v>Trịnh Thị Kim Chung</v>
      </c>
      <c r="AE72" s="1" t="str">
        <f ca="1">IFERROR(__xludf.DUMMYFUNCTION("""COMPUTED_VALUE"""),"Thạc sĩ")</f>
        <v>Thạc sĩ</v>
      </c>
      <c r="AF72" s="1" t="str">
        <f ca="1">IFERROR(__xludf.DUMMYFUNCTION("""COMPUTED_VALUE"""),"0375658728")</f>
        <v>0375658728</v>
      </c>
      <c r="AG72" s="1" t="str">
        <f ca="1">IFERROR(__xludf.DUMMYFUNCTION("""COMPUTED_VALUE"""),"trinhtkimchung@dtu-hti.edu.vn")</f>
        <v>trinhtkimchung@dtu-hti.edu.vn</v>
      </c>
      <c r="AH72" s="1" t="str">
        <f ca="1">IFERROR(__xludf.DUMMYFUNCTION("""COMPUTED_VALUE"""),"Báo cáo kết quả thực tập và thực trạng về các yếu tố ảnh hưởng đến chất lượng phục vụ tại bộ phận tiền sảnh thuộc Palm Garden Resort")</f>
        <v>Báo cáo kết quả thực tập và thực trạng về các yếu tố ảnh hưởng đến chất lượng phục vụ tại bộ phận tiền sảnh thuộc Palm Garden Resort</v>
      </c>
      <c r="AI72" s="1"/>
    </row>
    <row r="73" spans="1:35" x14ac:dyDescent="0.2">
      <c r="A73" s="3">
        <f ca="1">IFERROR(__xludf.DUMMYFUNCTION("""COMPUTED_VALUE"""),45994.7750077199)</f>
        <v>45994.775007719902</v>
      </c>
      <c r="B73" s="1" t="str">
        <f ca="1">IFERROR(__xludf.DUMMYFUNCTION("""COMPUTED_VALUE"""),"nguyendongocyenqn@gmail.com")</f>
        <v>nguyendongocyenqn@gmail.com</v>
      </c>
      <c r="C73" s="1">
        <f ca="1">IFERROR(__xludf.DUMMYFUNCTION("""COMPUTED_VALUE"""),28208100741)</f>
        <v>28208100741</v>
      </c>
      <c r="D73" s="1" t="str">
        <f ca="1">IFERROR(__xludf.DUMMYFUNCTION("""COMPUTED_VALUE"""),"Nguyễn Đỗ Ngọc Yến")</f>
        <v>Nguyễn Đỗ Ngọc Yến</v>
      </c>
      <c r="E73" s="1"/>
      <c r="F73" s="1" t="str">
        <f ca="1">IFERROR(__xludf.DUMMYFUNCTION("""COMPUTED_VALUE"""),"K28DLK2")</f>
        <v>K28DLK2</v>
      </c>
      <c r="G73" s="1" t="str">
        <f ca="1">IFERROR(__xludf.DUMMYFUNCTION("""COMPUTED_VALUE"""),"Quản trị Du lịch &amp; Khách sạn")</f>
        <v>Quản trị Du lịch &amp; Khách sạn</v>
      </c>
      <c r="H73" s="1" t="str">
        <f ca="1">IFERROR(__xludf.DUMMYFUNCTION("""COMPUTED_VALUE"""),"K28")</f>
        <v>K28</v>
      </c>
      <c r="I73" s="1" t="str">
        <f ca="1">IFERROR(__xludf.DUMMYFUNCTION("""COMPUTED_VALUE"""),"0836809518")</f>
        <v>0836809518</v>
      </c>
      <c r="J73" s="1">
        <f ca="1">IFERROR(__xludf.DUMMYFUNCTION("""COMPUTED_VALUE"""),3.29)</f>
        <v>3.29</v>
      </c>
      <c r="K73" s="1">
        <f ca="1">IFERROR(__xludf.DUMMYFUNCTION("""COMPUTED_VALUE"""),116)</f>
        <v>116</v>
      </c>
      <c r="L73" s="1" t="str">
        <f ca="1">IFERROR(__xludf.DUMMYFUNCTION("""COMPUTED_VALUE"""),"Rồi")</f>
        <v>Rồi</v>
      </c>
      <c r="M73" s="1" t="str">
        <f ca="1">IFERROR(__xludf.DUMMYFUNCTION("""COMPUTED_VALUE"""),"Thực tập tốt nghiệp, Thi tốt nghiệp, Công nhận tốt nghiệp")</f>
        <v>Thực tập tốt nghiệp, Thi tốt nghiệp, Công nhận tốt nghiệp</v>
      </c>
      <c r="N73" s="1">
        <f ca="1">IFERROR(__xludf.DUMMYFUNCTION("""COMPUTED_VALUE"""),6)</f>
        <v>6</v>
      </c>
      <c r="O73" s="1" t="str">
        <f ca="1">IFERROR(__xludf.DUMMYFUNCTION("""COMPUTED_VALUE"""),"cam kết")</f>
        <v>cam kết</v>
      </c>
      <c r="P73" s="1"/>
      <c r="Q73" s="1"/>
      <c r="R73" s="1" t="str">
        <f ca="1">IFERROR(__xludf.DUMMYFUNCTION("""COMPUTED_VALUE"""),"18/12/2025")</f>
        <v>18/12/2025</v>
      </c>
      <c r="S73" s="1" t="str">
        <f ca="1">IFERROR(__xludf.DUMMYFUNCTION("""COMPUTED_VALUE"""),"thực tập TN, Thi TN")</f>
        <v>thực tập TN, Thi TN</v>
      </c>
      <c r="T73" s="1" t="str">
        <f ca="1">IFERROR(__xludf.DUMMYFUNCTION("""COMPUTED_VALUE"""),"Đã email cấp giấy giới thiệu ngày 18/12/2025")</f>
        <v>Đã email cấp giấy giới thiệu ngày 18/12/2025</v>
      </c>
      <c r="U73" s="1" t="str">
        <f ca="1">IFERROR(__xludf.DUMMYFUNCTION("""COMPUTED_VALUE"""),"Sv đã nộp đơn chuyển KL - CĐ")</f>
        <v>Sv đã nộp đơn chuyển KL - CĐ</v>
      </c>
      <c r="V73" s="1"/>
      <c r="W73" s="1" t="str">
        <f ca="1">IFERROR(__xludf.DUMMYFUNCTION("""COMPUTED_VALUE"""),"K28DLK2")</f>
        <v>K28DLK2</v>
      </c>
      <c r="X73" s="1"/>
      <c r="Y73" s="1" t="str">
        <f ca="1">IFERROR(__xludf.DUMMYFUNCTION("""COMPUTED_VALUE"""),"Risemount Premier Resort Đà Nẵng")</f>
        <v>Risemount Premier Resort Đà Nẵng</v>
      </c>
      <c r="Z73" s="1" t="str">
        <f ca="1">IFERROR(__xludf.DUMMYFUNCTION("""COMPUTED_VALUE"""),"Nhà hàng")</f>
        <v>Nhà hàng</v>
      </c>
      <c r="AA73" s="1" t="str">
        <f ca="1">IFERROR(__xludf.DUMMYFUNCTION("""COMPUTED_VALUE"""),"DUYỆT")</f>
        <v>DUYỆT</v>
      </c>
      <c r="AB73" s="1" t="str">
        <f ca="1">IFERROR(__xludf.DUMMYFUNCTION("""COMPUTED_VALUE"""),"26/12/2025")</f>
        <v>26/12/2025</v>
      </c>
      <c r="AC73" s="1" t="str">
        <f ca="1">IFERROR(__xludf.DUMMYFUNCTION("""COMPUTED_VALUE"""),"BÁO CÁO THỰC TẬP TỐT NGHIỆP")</f>
        <v>BÁO CÁO THỰC TẬP TỐT NGHIỆP</v>
      </c>
      <c r="AD73" s="1" t="str">
        <f ca="1">IFERROR(__xludf.DUMMYFUNCTION("""COMPUTED_VALUE"""),"Đặng Thị Thùy Trang")</f>
        <v>Đặng Thị Thùy Trang</v>
      </c>
      <c r="AE73" s="1" t="str">
        <f ca="1">IFERROR(__xludf.DUMMYFUNCTION("""COMPUTED_VALUE"""),"Thạc sĩ")</f>
        <v>Thạc sĩ</v>
      </c>
      <c r="AF73" s="1" t="str">
        <f ca="1">IFERROR(__xludf.DUMMYFUNCTION("""COMPUTED_VALUE"""),"0327892117")</f>
        <v>0327892117</v>
      </c>
      <c r="AG73" s="1" t="str">
        <f ca="1">IFERROR(__xludf.DUMMYFUNCTION("""COMPUTED_VALUE"""),"dangtthuytrang3@dtu-hti.edu.vn")</f>
        <v>dangtthuytrang3@dtu-hti.edu.vn</v>
      </c>
      <c r="AH73" s="1" t="str">
        <f ca="1">IFERROR(__xludf.DUMMYFUNCTION("""COMPUTED_VALUE"""),"Báo cáo kết quả thực tập và thực trạng về chất lượng đội ngũ nhân lực tại nhà hàng La Maison thuộc Risemount Premier Resort Đà Nẵng ")</f>
        <v xml:space="preserve">Báo cáo kết quả thực tập và thực trạng về chất lượng đội ngũ nhân lực tại nhà hàng La Maison thuộc Risemount Premier Resort Đà Nẵng </v>
      </c>
      <c r="AI73" s="1"/>
    </row>
    <row r="74" spans="1:35" x14ac:dyDescent="0.2">
      <c r="A74" s="3">
        <f ca="1">IFERROR(__xludf.DUMMYFUNCTION("""COMPUTED_VALUE"""),45998.4484815509)</f>
        <v>45998.448481550899</v>
      </c>
      <c r="B74" s="1" t="str">
        <f ca="1">IFERROR(__xludf.DUMMYFUNCTION("""COMPUTED_VALUE"""),"quynhtruong.200904@gmail.com")</f>
        <v>quynhtruong.200904@gmail.com</v>
      </c>
      <c r="C74" s="1">
        <f ca="1">IFERROR(__xludf.DUMMYFUNCTION("""COMPUTED_VALUE"""),28204526427)</f>
        <v>28204526427</v>
      </c>
      <c r="D74" s="1" t="str">
        <f ca="1">IFERROR(__xludf.DUMMYFUNCTION("""COMPUTED_VALUE"""),"Trương Thị Diễm Quỳnh")</f>
        <v>Trương Thị Diễm Quỳnh</v>
      </c>
      <c r="E74" s="1"/>
      <c r="F74" s="1" t="str">
        <f ca="1">IFERROR(__xludf.DUMMYFUNCTION("""COMPUTED_VALUE"""),"K28DLK3")</f>
        <v>K28DLK3</v>
      </c>
      <c r="G74" s="1" t="str">
        <f ca="1">IFERROR(__xludf.DUMMYFUNCTION("""COMPUTED_VALUE"""),"Quản trị Du lịch &amp; Khách sạn")</f>
        <v>Quản trị Du lịch &amp; Khách sạn</v>
      </c>
      <c r="H74" s="1" t="str">
        <f ca="1">IFERROR(__xludf.DUMMYFUNCTION("""COMPUTED_VALUE"""),"K28")</f>
        <v>K28</v>
      </c>
      <c r="I74" s="1" t="str">
        <f ca="1">IFERROR(__xludf.DUMMYFUNCTION("""COMPUTED_VALUE"""),"0905013804")</f>
        <v>0905013804</v>
      </c>
      <c r="J74" s="1">
        <f ca="1">IFERROR(__xludf.DUMMYFUNCTION("""COMPUTED_VALUE"""),2.6)</f>
        <v>2.6</v>
      </c>
      <c r="K74" s="1">
        <f ca="1">IFERROR(__xludf.DUMMYFUNCTION("""COMPUTED_VALUE"""),114)</f>
        <v>114</v>
      </c>
      <c r="L74" s="1" t="str">
        <f ca="1">IFERROR(__xludf.DUMMYFUNCTION("""COMPUTED_VALUE"""),"Rồi")</f>
        <v>Rồi</v>
      </c>
      <c r="M74" s="1" t="str">
        <f ca="1">IFERROR(__xludf.DUMMYFUNCTION("""COMPUTED_VALUE"""),"Thực tập tốt nghiệp, Thi tốt nghiệp, Công nhận tốt nghiệp")</f>
        <v>Thực tập tốt nghiệp, Thi tốt nghiệp, Công nhận tốt nghiệp</v>
      </c>
      <c r="N74" s="1">
        <f ca="1">IFERROR(__xludf.DUMMYFUNCTION("""COMPUTED_VALUE"""),10)</f>
        <v>10</v>
      </c>
      <c r="O74" s="1" t="str">
        <f ca="1">IFERROR(__xludf.DUMMYFUNCTION("""COMPUTED_VALUE"""),"cam kết")</f>
        <v>cam kết</v>
      </c>
      <c r="P74" s="1"/>
      <c r="Q74" s="1"/>
      <c r="R74" s="1" t="str">
        <f ca="1">IFERROR(__xludf.DUMMYFUNCTION("""COMPUTED_VALUE"""),"18/12/2025")</f>
        <v>18/12/2025</v>
      </c>
      <c r="S74" s="1" t="str">
        <f ca="1">IFERROR(__xludf.DUMMYFUNCTION("""COMPUTED_VALUE"""),"thực tập TN, Thi TN")</f>
        <v>thực tập TN, Thi TN</v>
      </c>
      <c r="T74" s="1" t="str">
        <f ca="1">IFERROR(__xludf.DUMMYFUNCTION("""COMPUTED_VALUE"""),"Đã email cấp giấy giới thiệu ngày 18/12/2025")</f>
        <v>Đã email cấp giấy giới thiệu ngày 18/12/2025</v>
      </c>
      <c r="U74" s="1"/>
      <c r="V74" s="1"/>
      <c r="W74" s="1" t="str">
        <f ca="1">IFERROR(__xludf.DUMMYFUNCTION("""COMPUTED_VALUE"""),"K28DLK3")</f>
        <v>K28DLK3</v>
      </c>
      <c r="X74" s="1"/>
      <c r="Y74" s="1" t="str">
        <f ca="1">IFERROR(__xludf.DUMMYFUNCTION("""COMPUTED_VALUE"""),"Meliá Danang Beach Resort")</f>
        <v>Meliá Danang Beach Resort</v>
      </c>
      <c r="Z74" s="1" t="str">
        <f ca="1">IFERROR(__xludf.DUMMYFUNCTION("""COMPUTED_VALUE"""),"Nhà hàng")</f>
        <v>Nhà hàng</v>
      </c>
      <c r="AA74" s="1" t="str">
        <f ca="1">IFERROR(__xludf.DUMMYFUNCTION("""COMPUTED_VALUE"""),"DUYỆT")</f>
        <v>DUYỆT</v>
      </c>
      <c r="AB74" s="1" t="str">
        <f ca="1">IFERROR(__xludf.DUMMYFUNCTION("""COMPUTED_VALUE"""),"26/12/2025")</f>
        <v>26/12/2025</v>
      </c>
      <c r="AC74" s="1" t="str">
        <f ca="1">IFERROR(__xludf.DUMMYFUNCTION("""COMPUTED_VALUE"""),"BÁO CÁO THỰC TẬP TỐT NGHIỆP")</f>
        <v>BÁO CÁO THỰC TẬP TỐT NGHIỆP</v>
      </c>
      <c r="AD74" s="1" t="str">
        <f ca="1">IFERROR(__xludf.DUMMYFUNCTION("""COMPUTED_VALUE"""),"Huỳnh Lý Thùy Linh")</f>
        <v>Huỳnh Lý Thùy Linh</v>
      </c>
      <c r="AE74" s="1" t="str">
        <f ca="1">IFERROR(__xludf.DUMMYFUNCTION("""COMPUTED_VALUE"""),"Thạc sĩ")</f>
        <v>Thạc sĩ</v>
      </c>
      <c r="AF74" s="1" t="str">
        <f ca="1">IFERROR(__xludf.DUMMYFUNCTION("""COMPUTED_VALUE"""),"0702605664")</f>
        <v>0702605664</v>
      </c>
      <c r="AG74" s="1" t="str">
        <f ca="1">IFERROR(__xludf.DUMMYFUNCTION("""COMPUTED_VALUE"""),"huynhlthuylinh@dtu-hti.edu.vn")</f>
        <v>huynhlthuylinh@dtu-hti.edu.vn</v>
      </c>
      <c r="AH74" s="1" t="str">
        <f ca="1">IFERROR(__xludf.DUMMYFUNCTION("""COMPUTED_VALUE"""),"Báo cáo kết quả thực tập và thực trạng quy trình phục vụ A La Carte tại nhà hàng Sa Sa thuộc Meliá Danang Beach Resort")</f>
        <v>Báo cáo kết quả thực tập và thực trạng quy trình phục vụ A La Carte tại nhà hàng Sa Sa thuộc Meliá Danang Beach Resort</v>
      </c>
      <c r="AI74" s="1"/>
    </row>
    <row r="75" spans="1:35" x14ac:dyDescent="0.2">
      <c r="A75" s="3">
        <f ca="1">IFERROR(__xludf.DUMMYFUNCTION("""COMPUTED_VALUE"""),45994.8079729513)</f>
        <v>45994.807972951297</v>
      </c>
      <c r="B75" s="1" t="str">
        <f ca="1">IFERROR(__xludf.DUMMYFUNCTION("""COMPUTED_VALUE"""),"ngoq5081@gmail.com")</f>
        <v>ngoq5081@gmail.com</v>
      </c>
      <c r="C75" s="1">
        <f ca="1">IFERROR(__xludf.DUMMYFUNCTION("""COMPUTED_VALUE"""),28208003853)</f>
        <v>28208003853</v>
      </c>
      <c r="D75" s="1" t="str">
        <f ca="1">IFERROR(__xludf.DUMMYFUNCTION("""COMPUTED_VALUE"""),"Ngô Thị Quý")</f>
        <v>Ngô Thị Quý</v>
      </c>
      <c r="E75" s="1"/>
      <c r="F75" s="1" t="str">
        <f ca="1">IFERROR(__xludf.DUMMYFUNCTION("""COMPUTED_VALUE"""),"K28DLK5")</f>
        <v>K28DLK5</v>
      </c>
      <c r="G75" s="1" t="str">
        <f ca="1">IFERROR(__xludf.DUMMYFUNCTION("""COMPUTED_VALUE"""),"Quản trị Du lịch &amp; Khách sạn")</f>
        <v>Quản trị Du lịch &amp; Khách sạn</v>
      </c>
      <c r="H75" s="1" t="str">
        <f ca="1">IFERROR(__xludf.DUMMYFUNCTION("""COMPUTED_VALUE"""),"K28")</f>
        <v>K28</v>
      </c>
      <c r="I75" s="1" t="str">
        <f ca="1">IFERROR(__xludf.DUMMYFUNCTION("""COMPUTED_VALUE"""),"0395436630")</f>
        <v>0395436630</v>
      </c>
      <c r="J75" s="1">
        <f ca="1">IFERROR(__xludf.DUMMYFUNCTION("""COMPUTED_VALUE"""),2.86)</f>
        <v>2.86</v>
      </c>
      <c r="K75" s="1">
        <f ca="1">IFERROR(__xludf.DUMMYFUNCTION("""COMPUTED_VALUE"""),114)</f>
        <v>114</v>
      </c>
      <c r="L75" s="1" t="str">
        <f ca="1">IFERROR(__xludf.DUMMYFUNCTION("""COMPUTED_VALUE"""),"Rồi")</f>
        <v>Rồi</v>
      </c>
      <c r="M75" s="1" t="str">
        <f ca="1">IFERROR(__xludf.DUMMYFUNCTION("""COMPUTED_VALUE"""),"Thực tập tốt nghiệp, Thi tốt nghiệp, Công nhận tốt nghiệp")</f>
        <v>Thực tập tốt nghiệp, Thi tốt nghiệp, Công nhận tốt nghiệp</v>
      </c>
      <c r="N75" s="1">
        <f ca="1">IFERROR(__xludf.DUMMYFUNCTION("""COMPUTED_VALUE"""),17)</f>
        <v>17</v>
      </c>
      <c r="O75" s="1" t="str">
        <f ca="1">IFERROR(__xludf.DUMMYFUNCTION("""COMPUTED_VALUE"""),"cam kết")</f>
        <v>cam kết</v>
      </c>
      <c r="P75" s="1"/>
      <c r="Q75" s="1"/>
      <c r="R75" s="1" t="str">
        <f ca="1">IFERROR(__xludf.DUMMYFUNCTION("""COMPUTED_VALUE"""),"18/12/2025")</f>
        <v>18/12/2025</v>
      </c>
      <c r="S75" s="1" t="str">
        <f ca="1">IFERROR(__xludf.DUMMYFUNCTION("""COMPUTED_VALUE"""),"thực tập TN, Thi TN")</f>
        <v>thực tập TN, Thi TN</v>
      </c>
      <c r="T75" s="1" t="str">
        <f ca="1">IFERROR(__xludf.DUMMYFUNCTION("""COMPUTED_VALUE"""),"Đã email cấp giấy giới thiệu ngày 18/12/2025")</f>
        <v>Đã email cấp giấy giới thiệu ngày 18/12/2025</v>
      </c>
      <c r="U75" s="1"/>
      <c r="V75" s="1"/>
      <c r="W75" s="1" t="str">
        <f ca="1">IFERROR(__xludf.DUMMYFUNCTION("""COMPUTED_VALUE"""),"K28DLK5")</f>
        <v>K28DLK5</v>
      </c>
      <c r="X75" s="1"/>
      <c r="Y75" s="1" t="str">
        <f ca="1">IFERROR(__xludf.DUMMYFUNCTION("""COMPUTED_VALUE"""),"Mường Thanh Luxury Đà Nẵng Hotel")</f>
        <v>Mường Thanh Luxury Đà Nẵng Hotel</v>
      </c>
      <c r="Z75" s="1" t="str">
        <f ca="1">IFERROR(__xludf.DUMMYFUNCTION("""COMPUTED_VALUE"""),"Nhà hàng")</f>
        <v>Nhà hàng</v>
      </c>
      <c r="AA75" s="1" t="str">
        <f ca="1">IFERROR(__xludf.DUMMYFUNCTION("""COMPUTED_VALUE"""),"DUYỆT")</f>
        <v>DUYỆT</v>
      </c>
      <c r="AB75" s="1" t="str">
        <f ca="1">IFERROR(__xludf.DUMMYFUNCTION("""COMPUTED_VALUE"""),"27/12/2025")</f>
        <v>27/12/2025</v>
      </c>
      <c r="AC75" s="1" t="str">
        <f ca="1">IFERROR(__xludf.DUMMYFUNCTION("""COMPUTED_VALUE"""),"BÁO CÁO THỰC TẬP TỐT NGHIỆP")</f>
        <v>BÁO CÁO THỰC TẬP TỐT NGHIỆP</v>
      </c>
      <c r="AD75" s="1" t="str">
        <f ca="1">IFERROR(__xludf.DUMMYFUNCTION("""COMPUTED_VALUE"""),"Đặng Thị Thùy Trang")</f>
        <v>Đặng Thị Thùy Trang</v>
      </c>
      <c r="AE75" s="1" t="str">
        <f ca="1">IFERROR(__xludf.DUMMYFUNCTION("""COMPUTED_VALUE"""),"Thạc sĩ")</f>
        <v>Thạc sĩ</v>
      </c>
      <c r="AF75" s="1" t="str">
        <f ca="1">IFERROR(__xludf.DUMMYFUNCTION("""COMPUTED_VALUE"""),"0327892117")</f>
        <v>0327892117</v>
      </c>
      <c r="AG75" s="1" t="str">
        <f ca="1">IFERROR(__xludf.DUMMYFUNCTION("""COMPUTED_VALUE"""),"dangtthuytrang3@dtu-hti.edu.vn")</f>
        <v>dangtthuytrang3@dtu-hti.edu.vn</v>
      </c>
      <c r="AH75" s="1" t="str">
        <f ca="1">IFERROR(__xludf.DUMMYFUNCTION("""COMPUTED_VALUE"""),"Báo cáo kết quả thực tập và thực trạng về cơ sở vật chất của bộ phận nhà hàng tại khách sạn Mường Thanh Luxury Đà Nẵng")</f>
        <v>Báo cáo kết quả thực tập và thực trạng về cơ sở vật chất của bộ phận nhà hàng tại khách sạn Mường Thanh Luxury Đà Nẵng</v>
      </c>
      <c r="AI75" s="1"/>
    </row>
    <row r="76" spans="1:35" x14ac:dyDescent="0.2">
      <c r="A76" s="3">
        <f ca="1">IFERROR(__xludf.DUMMYFUNCTION("""COMPUTED_VALUE"""),45994.836482905)</f>
        <v>45994.836482904997</v>
      </c>
      <c r="B76" s="1" t="str">
        <f ca="1">IFERROR(__xludf.DUMMYFUNCTION("""COMPUTED_VALUE"""),"huynhthuhien2804gl@gmail.com")</f>
        <v>huynhthuhien2804gl@gmail.com</v>
      </c>
      <c r="C76" s="1">
        <f ca="1">IFERROR(__xludf.DUMMYFUNCTION("""COMPUTED_VALUE"""),28208034537)</f>
        <v>28208034537</v>
      </c>
      <c r="D76" s="1" t="str">
        <f ca="1">IFERROR(__xludf.DUMMYFUNCTION("""COMPUTED_VALUE"""),"Huỳnh Thị Thu Hiền")</f>
        <v>Huỳnh Thị Thu Hiền</v>
      </c>
      <c r="E76" s="1"/>
      <c r="F76" s="1" t="str">
        <f ca="1">IFERROR(__xludf.DUMMYFUNCTION("""COMPUTED_VALUE"""),"K28DLK5")</f>
        <v>K28DLK5</v>
      </c>
      <c r="G76" s="1" t="str">
        <f ca="1">IFERROR(__xludf.DUMMYFUNCTION("""COMPUTED_VALUE"""),"Quản trị Du lịch &amp; Khách sạn")</f>
        <v>Quản trị Du lịch &amp; Khách sạn</v>
      </c>
      <c r="H76" s="1" t="str">
        <f ca="1">IFERROR(__xludf.DUMMYFUNCTION("""COMPUTED_VALUE"""),"K28")</f>
        <v>K28</v>
      </c>
      <c r="I76" s="1" t="str">
        <f ca="1">IFERROR(__xludf.DUMMYFUNCTION("""COMPUTED_VALUE"""),"0397726914")</f>
        <v>0397726914</v>
      </c>
      <c r="J76" s="1" t="str">
        <f ca="1">IFERROR(__xludf.DUMMYFUNCTION("""COMPUTED_VALUE"""),"2,41")</f>
        <v>2,41</v>
      </c>
      <c r="K76" s="1">
        <f ca="1">IFERROR(__xludf.DUMMYFUNCTION("""COMPUTED_VALUE"""),118)</f>
        <v>118</v>
      </c>
      <c r="L76" s="1" t="str">
        <f ca="1">IFERROR(__xludf.DUMMYFUNCTION("""COMPUTED_VALUE"""),"Rồi")</f>
        <v>Rồi</v>
      </c>
      <c r="M76" s="1" t="str">
        <f ca="1">IFERROR(__xludf.DUMMYFUNCTION("""COMPUTED_VALUE"""),"Thực tập tốt nghiệp, Thi tốt nghiệp, Công nhận tốt nghiệp")</f>
        <v>Thực tập tốt nghiệp, Thi tốt nghiệp, Công nhận tốt nghiệp</v>
      </c>
      <c r="N76" s="1">
        <f ca="1">IFERROR(__xludf.DUMMYFUNCTION("""COMPUTED_VALUE"""),6)</f>
        <v>6</v>
      </c>
      <c r="O76" s="1" t="str">
        <f ca="1">IFERROR(__xludf.DUMMYFUNCTION("""COMPUTED_VALUE"""),"cam kết")</f>
        <v>cam kết</v>
      </c>
      <c r="P76" s="1"/>
      <c r="Q76" s="1"/>
      <c r="R76" s="1" t="str">
        <f ca="1">IFERROR(__xludf.DUMMYFUNCTION("""COMPUTED_VALUE"""),"18/12/2025")</f>
        <v>18/12/2025</v>
      </c>
      <c r="S76" s="1" t="str">
        <f ca="1">IFERROR(__xludf.DUMMYFUNCTION("""COMPUTED_VALUE"""),"thực tập TN, Thi TN")</f>
        <v>thực tập TN, Thi TN</v>
      </c>
      <c r="T76" s="1" t="str">
        <f ca="1">IFERROR(__xludf.DUMMYFUNCTION("""COMPUTED_VALUE"""),"Đã email cấp giấy giới thiệu ngày 18/12/2025")</f>
        <v>Đã email cấp giấy giới thiệu ngày 18/12/2025</v>
      </c>
      <c r="U76" s="1"/>
      <c r="V76" s="1"/>
      <c r="W76" s="1" t="str">
        <f ca="1">IFERROR(__xludf.DUMMYFUNCTION("""COMPUTED_VALUE"""),"K28DLK5")</f>
        <v>K28DLK5</v>
      </c>
      <c r="X76" s="1"/>
      <c r="Y76" s="1" t="str">
        <f ca="1">IFERROR(__xludf.DUMMYFUNCTION("""COMPUTED_VALUE"""),"Wyndham Danang Golden Bay Hotel")</f>
        <v>Wyndham Danang Golden Bay Hotel</v>
      </c>
      <c r="Z76" s="1" t="str">
        <f ca="1">IFERROR(__xludf.DUMMYFUNCTION("""COMPUTED_VALUE"""),"Nhà hàng")</f>
        <v>Nhà hàng</v>
      </c>
      <c r="AA76" s="1" t="str">
        <f ca="1">IFERROR(__xludf.DUMMYFUNCTION("""COMPUTED_VALUE"""),"DUYỆT")</f>
        <v>DUYỆT</v>
      </c>
      <c r="AB76" s="1" t="str">
        <f ca="1">IFERROR(__xludf.DUMMYFUNCTION("""COMPUTED_VALUE"""),"23/12/2025")</f>
        <v>23/12/2025</v>
      </c>
      <c r="AC76" s="1" t="str">
        <f ca="1">IFERROR(__xludf.DUMMYFUNCTION("""COMPUTED_VALUE"""),"BÁO CÁO THỰC TẬP TỐT NGHIỆP")</f>
        <v>BÁO CÁO THỰC TẬP TỐT NGHIỆP</v>
      </c>
      <c r="AD76" s="1" t="str">
        <f ca="1">IFERROR(__xludf.DUMMYFUNCTION("""COMPUTED_VALUE"""),"Trần Hoàng Anh")</f>
        <v>Trần Hoàng Anh</v>
      </c>
      <c r="AE76" s="1" t="str">
        <f ca="1">IFERROR(__xludf.DUMMYFUNCTION("""COMPUTED_VALUE"""),"Thạc sĩ")</f>
        <v>Thạc sĩ</v>
      </c>
      <c r="AF76" s="1" t="str">
        <f ca="1">IFERROR(__xludf.DUMMYFUNCTION("""COMPUTED_VALUE"""),"0906 029 602")</f>
        <v>0906 029 602</v>
      </c>
      <c r="AG76" s="1" t="str">
        <f ca="1">IFERROR(__xludf.DUMMYFUNCTION("""COMPUTED_VALUE"""),"tranhoanganh@dtu-hti.edu.vn")</f>
        <v>tranhoanganh@dtu-hti.edu.vn</v>
      </c>
      <c r="AH76" s="1" t="str">
        <f ca="1">IFERROR(__xludf.DUMMYFUNCTION("""COMPUTED_VALUE"""),"Báo cáo thực tập và thực trạng các yếu tố ảnh hưởng đến chất lượng phục vụ đồ uống tại quầy Bar nhà hàng Horizon tại Khách sạn Wyndham Danang Golden Bay")</f>
        <v>Báo cáo thực tập và thực trạng các yếu tố ảnh hưởng đến chất lượng phục vụ đồ uống tại quầy Bar nhà hàng Horizon tại Khách sạn Wyndham Danang Golden Bay</v>
      </c>
      <c r="AI76" s="1"/>
    </row>
    <row r="77" spans="1:35" x14ac:dyDescent="0.2">
      <c r="A77" s="3">
        <f ca="1">IFERROR(__xludf.DUMMYFUNCTION("""COMPUTED_VALUE"""),45994.8295559143)</f>
        <v>45994.829555914301</v>
      </c>
      <c r="B77" s="1" t="str">
        <f ca="1">IFERROR(__xludf.DUMMYFUNCTION("""COMPUTED_VALUE"""),"lengoctri25112004@gmail.com")</f>
        <v>lengoctri25112004@gmail.com</v>
      </c>
      <c r="C77" s="1">
        <f ca="1">IFERROR(__xludf.DUMMYFUNCTION("""COMPUTED_VALUE"""),28218005018)</f>
        <v>28218005018</v>
      </c>
      <c r="D77" s="1" t="str">
        <f ca="1">IFERROR(__xludf.DUMMYFUNCTION("""COMPUTED_VALUE"""),"Lê Ngọc Trí ")</f>
        <v xml:space="preserve">Lê Ngọc Trí </v>
      </c>
      <c r="E77" s="1"/>
      <c r="F77" s="1" t="str">
        <f ca="1">IFERROR(__xludf.DUMMYFUNCTION("""COMPUTED_VALUE"""),"K28DLK5")</f>
        <v>K28DLK5</v>
      </c>
      <c r="G77" s="1" t="str">
        <f ca="1">IFERROR(__xludf.DUMMYFUNCTION("""COMPUTED_VALUE"""),"Quản trị Du lịch &amp; Khách sạn")</f>
        <v>Quản trị Du lịch &amp; Khách sạn</v>
      </c>
      <c r="H77" s="1" t="str">
        <f ca="1">IFERROR(__xludf.DUMMYFUNCTION("""COMPUTED_VALUE"""),"K28")</f>
        <v>K28</v>
      </c>
      <c r="I77" s="1" t="str">
        <f ca="1">IFERROR(__xludf.DUMMYFUNCTION("""COMPUTED_VALUE"""),"0774494883")</f>
        <v>0774494883</v>
      </c>
      <c r="J77" s="1">
        <f ca="1">IFERROR(__xludf.DUMMYFUNCTION("""COMPUTED_VALUE"""),2.01)</f>
        <v>2.0099999999999998</v>
      </c>
      <c r="K77" s="1">
        <f ca="1">IFERROR(__xludf.DUMMYFUNCTION("""COMPUTED_VALUE"""),109)</f>
        <v>109</v>
      </c>
      <c r="L77" s="1" t="str">
        <f ca="1">IFERROR(__xludf.DUMMYFUNCTION("""COMPUTED_VALUE"""),"Rồi")</f>
        <v>Rồi</v>
      </c>
      <c r="M77" s="1" t="str">
        <f ca="1">IFERROR(__xludf.DUMMYFUNCTION("""COMPUTED_VALUE"""),"Thực tập tốt nghiệp, Thi tốt nghiệp, Công nhận tốt nghiệp")</f>
        <v>Thực tập tốt nghiệp, Thi tốt nghiệp, Công nhận tốt nghiệp</v>
      </c>
      <c r="N77" s="1">
        <f ca="1">IFERROR(__xludf.DUMMYFUNCTION("""COMPUTED_VALUE"""),23)</f>
        <v>23</v>
      </c>
      <c r="O77" s="1" t="str">
        <f ca="1">IFERROR(__xludf.DUMMYFUNCTION("""COMPUTED_VALUE"""),"cam kết")</f>
        <v>cam kết</v>
      </c>
      <c r="P77" s="1"/>
      <c r="Q77" s="1"/>
      <c r="R77" s="1" t="str">
        <f ca="1">IFERROR(__xludf.DUMMYFUNCTION("""COMPUTED_VALUE"""),"18/12/2025")</f>
        <v>18/12/2025</v>
      </c>
      <c r="S77" s="1" t="str">
        <f ca="1">IFERROR(__xludf.DUMMYFUNCTION("""COMPUTED_VALUE"""),"không đủ điều kiện thực tập")</f>
        <v>không đủ điều kiện thực tập</v>
      </c>
      <c r="T77" s="1" t="str">
        <f ca="1">IFERROR(__xludf.DUMMYFUNCTION("""COMPUTED_VALUE"""),"Đã email cấp giấy giới thiệu ngày 18/12/2025")</f>
        <v>Đã email cấp giấy giới thiệu ngày 18/12/2025</v>
      </c>
      <c r="U77" s="1"/>
      <c r="V77" s="1"/>
      <c r="W77" s="1" t="str">
        <f ca="1">IFERROR(__xludf.DUMMYFUNCTION("""COMPUTED_VALUE"""),"K28DLK5")</f>
        <v>K28DLK5</v>
      </c>
      <c r="X77" s="1"/>
      <c r="Y77" s="1" t="str">
        <f ca="1">IFERROR(__xludf.DUMMYFUNCTION("""COMPUTED_VALUE"""),"#N/A")</f>
        <v>#N/A</v>
      </c>
      <c r="Z77" s="1" t="str">
        <f ca="1">IFERROR(__xludf.DUMMYFUNCTION("""COMPUTED_VALUE"""),"#N/A")</f>
        <v>#N/A</v>
      </c>
      <c r="AA77" s="1" t="str">
        <f ca="1">IFERROR(__xludf.DUMMYFUNCTION("""COMPUTED_VALUE"""),"#N/A")</f>
        <v>#N/A</v>
      </c>
      <c r="AB77" s="1" t="str">
        <f ca="1">IFERROR(__xludf.DUMMYFUNCTION("""COMPUTED_VALUE"""),"#N/A")</f>
        <v>#N/A</v>
      </c>
      <c r="AC77" s="1" t="str">
        <f ca="1">IFERROR(__xludf.DUMMYFUNCTION("""COMPUTED_VALUE""")," ")</f>
        <v xml:space="preserve"> </v>
      </c>
      <c r="AD77" s="1"/>
      <c r="AE77" s="1" t="str">
        <f ca="1">IFERROR(__xludf.DUMMYFUNCTION("""COMPUTED_VALUE"""),"#N/A")</f>
        <v>#N/A</v>
      </c>
      <c r="AF77" s="1" t="str">
        <f ca="1">IFERROR(__xludf.DUMMYFUNCTION("""COMPUTED_VALUE"""),"#N/A")</f>
        <v>#N/A</v>
      </c>
      <c r="AG77" s="1" t="str">
        <f ca="1">IFERROR(__xludf.DUMMYFUNCTION("""COMPUTED_VALUE"""),"#N/A")</f>
        <v>#N/A</v>
      </c>
      <c r="AH77" s="1"/>
      <c r="AI77" s="1"/>
    </row>
    <row r="78" spans="1:35" x14ac:dyDescent="0.2">
      <c r="A78" s="3">
        <f ca="1">IFERROR(__xludf.DUMMYFUNCTION("""COMPUTED_VALUE"""),45994.8396627199)</f>
        <v>45994.839662719904</v>
      </c>
      <c r="B78" s="1" t="str">
        <f ca="1">IFERROR(__xludf.DUMMYFUNCTION("""COMPUTED_VALUE"""),"hatrandnang@gmail.com")</f>
        <v>hatrandnang@gmail.com</v>
      </c>
      <c r="C78" s="1">
        <f ca="1">IFERROR(__xludf.DUMMYFUNCTION("""COMPUTED_VALUE"""),28208048776)</f>
        <v>28208048776</v>
      </c>
      <c r="D78" s="1" t="str">
        <f ca="1">IFERROR(__xludf.DUMMYFUNCTION("""COMPUTED_VALUE"""),"Trần Thị Thu Hà ")</f>
        <v xml:space="preserve">Trần Thị Thu Hà </v>
      </c>
      <c r="E78" s="1"/>
      <c r="F78" s="1" t="str">
        <f ca="1">IFERROR(__xludf.DUMMYFUNCTION("""COMPUTED_VALUE"""),"K28DLK1")</f>
        <v>K28DLK1</v>
      </c>
      <c r="G78" s="1" t="str">
        <f ca="1">IFERROR(__xludf.DUMMYFUNCTION("""COMPUTED_VALUE"""),"Quản trị Du lịch &amp; Khách sạn")</f>
        <v>Quản trị Du lịch &amp; Khách sạn</v>
      </c>
      <c r="H78" s="1" t="str">
        <f ca="1">IFERROR(__xludf.DUMMYFUNCTION("""COMPUTED_VALUE"""),"K28")</f>
        <v>K28</v>
      </c>
      <c r="I78" s="1" t="str">
        <f ca="1">IFERROR(__xludf.DUMMYFUNCTION("""COMPUTED_VALUE"""),"0362118430")</f>
        <v>0362118430</v>
      </c>
      <c r="J78" s="1">
        <f ca="1">IFERROR(__xludf.DUMMYFUNCTION("""COMPUTED_VALUE"""),2.95)</f>
        <v>2.95</v>
      </c>
      <c r="K78" s="1">
        <f ca="1">IFERROR(__xludf.DUMMYFUNCTION("""COMPUTED_VALUE"""),108)</f>
        <v>108</v>
      </c>
      <c r="L78" s="1" t="str">
        <f ca="1">IFERROR(__xludf.DUMMYFUNCTION("""COMPUTED_VALUE"""),"Rồi")</f>
        <v>Rồi</v>
      </c>
      <c r="M78" s="1" t="str">
        <f ca="1">IFERROR(__xludf.DUMMYFUNCTION("""COMPUTED_VALUE"""),"Thực tập tốt nghiệp, Thi tốt nghiệp")</f>
        <v>Thực tập tốt nghiệp, Thi tốt nghiệp</v>
      </c>
      <c r="N78" s="1">
        <f ca="1">IFERROR(__xludf.DUMMYFUNCTION("""COMPUTED_VALUE"""),14)</f>
        <v>14</v>
      </c>
      <c r="O78" s="1" t="str">
        <f ca="1">IFERROR(__xludf.DUMMYFUNCTION("""COMPUTED_VALUE"""),"cam kết")</f>
        <v>cam kết</v>
      </c>
      <c r="P78" s="1"/>
      <c r="Q78" s="1"/>
      <c r="R78" s="1" t="str">
        <f ca="1">IFERROR(__xludf.DUMMYFUNCTION("""COMPUTED_VALUE"""),"18/12/2025")</f>
        <v>18/12/2025</v>
      </c>
      <c r="S78" s="1" t="str">
        <f ca="1">IFERROR(__xludf.DUMMYFUNCTION("""COMPUTED_VALUE"""),"thực tập TN, Thi TN")</f>
        <v>thực tập TN, Thi TN</v>
      </c>
      <c r="T78" s="1" t="str">
        <f ca="1">IFERROR(__xludf.DUMMYFUNCTION("""COMPUTED_VALUE"""),"Đã email cấp giấy giới thiệu ngày 18/12/2025")</f>
        <v>Đã email cấp giấy giới thiệu ngày 18/12/2025</v>
      </c>
      <c r="U78" s="1"/>
      <c r="V78" s="1"/>
      <c r="W78" s="1" t="str">
        <f ca="1">IFERROR(__xludf.DUMMYFUNCTION("""COMPUTED_VALUE"""),"K28DLK1")</f>
        <v>K28DLK1</v>
      </c>
      <c r="X78" s="1"/>
      <c r="Y78" s="1" t="str">
        <f ca="1">IFERROR(__xludf.DUMMYFUNCTION("""COMPUTED_VALUE"""),"Meliá Vinpearl Danang Riverfront")</f>
        <v>Meliá Vinpearl Danang Riverfront</v>
      </c>
      <c r="Z78" s="1" t="str">
        <f ca="1">IFERROR(__xludf.DUMMYFUNCTION("""COMPUTED_VALUE"""),"Buồng phòng")</f>
        <v>Buồng phòng</v>
      </c>
      <c r="AA78" s="1" t="str">
        <f ca="1">IFERROR(__xludf.DUMMYFUNCTION("""COMPUTED_VALUE"""),"DUYỆT")</f>
        <v>DUYỆT</v>
      </c>
      <c r="AB78" s="1" t="str">
        <f ca="1">IFERROR(__xludf.DUMMYFUNCTION("""COMPUTED_VALUE"""),"20/01/2026")</f>
        <v>20/01/2026</v>
      </c>
      <c r="AC78" s="1" t="str">
        <f ca="1">IFERROR(__xludf.DUMMYFUNCTION("""COMPUTED_VALUE"""),"BÁO CÁO THỰC TẬP TỐT NGHIỆP")</f>
        <v>BÁO CÁO THỰC TẬP TỐT NGHIỆP</v>
      </c>
      <c r="AD78" s="1" t="str">
        <f ca="1">IFERROR(__xludf.DUMMYFUNCTION("""COMPUTED_VALUE"""),"Phạm Thị Thu Thủy")</f>
        <v>Phạm Thị Thu Thủy</v>
      </c>
      <c r="AE78" s="1" t="str">
        <f ca="1">IFERROR(__xludf.DUMMYFUNCTION("""COMPUTED_VALUE"""),"Thạc sĩ")</f>
        <v>Thạc sĩ</v>
      </c>
      <c r="AF78" s="1" t="str">
        <f ca="1">IFERROR(__xludf.DUMMYFUNCTION("""COMPUTED_VALUE"""),"0938290678")</f>
        <v>0938290678</v>
      </c>
      <c r="AG78" s="1" t="str">
        <f ca="1">IFERROR(__xludf.DUMMYFUNCTION("""COMPUTED_VALUE"""),"phamtthuthuy2@dtu-hti.edu.vn")</f>
        <v>phamtthuthuy2@dtu-hti.edu.vn</v>
      </c>
      <c r="AH78" s="1" t="str">
        <f ca="1">IFERROR(__xludf.DUMMYFUNCTION("""COMPUTED_VALUE"""),"Báo cáo kết quả thực tập và thực trạng quy trình chuẩn bị buồng đón khách VIP tại bộ phận buồng tại khách sạn  Meliá Vinpearl Danang Riverfront ")</f>
        <v xml:space="preserve">Báo cáo kết quả thực tập và thực trạng quy trình chuẩn bị buồng đón khách VIP tại bộ phận buồng tại khách sạn  Meliá Vinpearl Danang Riverfront </v>
      </c>
      <c r="AI78" s="1"/>
    </row>
    <row r="79" spans="1:35" x14ac:dyDescent="0.2">
      <c r="A79" s="3">
        <f ca="1">IFERROR(__xludf.DUMMYFUNCTION("""COMPUTED_VALUE"""),45994.8400919444)</f>
        <v>45994.840091944403</v>
      </c>
      <c r="B79" s="1" t="str">
        <f ca="1">IFERROR(__xludf.DUMMYFUNCTION("""COMPUTED_VALUE"""),"hat28520@gmail.com")</f>
        <v>hat28520@gmail.com</v>
      </c>
      <c r="C79" s="1">
        <f ca="1">IFERROR(__xludf.DUMMYFUNCTION("""COMPUTED_VALUE"""),28208004114)</f>
        <v>28208004114</v>
      </c>
      <c r="D79" s="1" t="str">
        <f ca="1">IFERROR(__xludf.DUMMYFUNCTION("""COMPUTED_VALUE"""),"Đỗ Thị Như Quỳnh")</f>
        <v>Đỗ Thị Như Quỳnh</v>
      </c>
      <c r="E79" s="1"/>
      <c r="F79" s="1" t="str">
        <f ca="1">IFERROR(__xludf.DUMMYFUNCTION("""COMPUTED_VALUE"""),"K28DLK2")</f>
        <v>K28DLK2</v>
      </c>
      <c r="G79" s="1" t="str">
        <f ca="1">IFERROR(__xludf.DUMMYFUNCTION("""COMPUTED_VALUE"""),"Quản trị Du lịch &amp; Khách sạn")</f>
        <v>Quản trị Du lịch &amp; Khách sạn</v>
      </c>
      <c r="H79" s="1" t="str">
        <f ca="1">IFERROR(__xludf.DUMMYFUNCTION("""COMPUTED_VALUE"""),"K28")</f>
        <v>K28</v>
      </c>
      <c r="I79" s="1" t="str">
        <f ca="1">IFERROR(__xludf.DUMMYFUNCTION("""COMPUTED_VALUE"""),"0817680819")</f>
        <v>0817680819</v>
      </c>
      <c r="J79" s="1">
        <f ca="1">IFERROR(__xludf.DUMMYFUNCTION("""COMPUTED_VALUE"""),3.17)</f>
        <v>3.17</v>
      </c>
      <c r="K79" s="1">
        <f ca="1">IFERROR(__xludf.DUMMYFUNCTION("""COMPUTED_VALUE"""),110)</f>
        <v>110</v>
      </c>
      <c r="L79" s="1" t="str">
        <f ca="1">IFERROR(__xludf.DUMMYFUNCTION("""COMPUTED_VALUE"""),"Rồi")</f>
        <v>Rồi</v>
      </c>
      <c r="M79" s="1" t="str">
        <f ca="1">IFERROR(__xludf.DUMMYFUNCTION("""COMPUTED_VALUE"""),"Thực tập tốt nghiệp, Thi tốt nghiệp, Công nhận tốt nghiệp")</f>
        <v>Thực tập tốt nghiệp, Thi tốt nghiệp, Công nhận tốt nghiệp</v>
      </c>
      <c r="N79" s="1">
        <f ca="1">IFERROR(__xludf.DUMMYFUNCTION("""COMPUTED_VALUE"""),13)</f>
        <v>13</v>
      </c>
      <c r="O79" s="1" t="str">
        <f ca="1">IFERROR(__xludf.DUMMYFUNCTION("""COMPUTED_VALUE"""),"cam kết")</f>
        <v>cam kết</v>
      </c>
      <c r="P79" s="1"/>
      <c r="Q79" s="1"/>
      <c r="R79" s="1" t="str">
        <f ca="1">IFERROR(__xludf.DUMMYFUNCTION("""COMPUTED_VALUE"""),"18/12/2025")</f>
        <v>18/12/2025</v>
      </c>
      <c r="S79" s="1" t="str">
        <f ca="1">IFERROR(__xludf.DUMMYFUNCTION("""COMPUTED_VALUE"""),"thực tập TN, Thi TN")</f>
        <v>thực tập TN, Thi TN</v>
      </c>
      <c r="T79" s="1" t="str">
        <f ca="1">IFERROR(__xludf.DUMMYFUNCTION("""COMPUTED_VALUE"""),"Đã email cấp giấy giới thiệu ngày 18/12/2025")</f>
        <v>Đã email cấp giấy giới thiệu ngày 18/12/2025</v>
      </c>
      <c r="U79" s="1"/>
      <c r="V79" s="1"/>
      <c r="W79" s="1" t="str">
        <f ca="1">IFERROR(__xludf.DUMMYFUNCTION("""COMPUTED_VALUE"""),"K28DLK2")</f>
        <v>K28DLK2</v>
      </c>
      <c r="X79" s="1"/>
      <c r="Y79" s="1" t="str">
        <f ca="1">IFERROR(__xludf.DUMMYFUNCTION("""COMPUTED_VALUE"""),"Risemount Premier Resort Đà Nẵng")</f>
        <v>Risemount Premier Resort Đà Nẵng</v>
      </c>
      <c r="Z79" s="1" t="str">
        <f ca="1">IFERROR(__xludf.DUMMYFUNCTION("""COMPUTED_VALUE"""),"Nhà hàng")</f>
        <v>Nhà hàng</v>
      </c>
      <c r="AA79" s="1" t="str">
        <f ca="1">IFERROR(__xludf.DUMMYFUNCTION("""COMPUTED_VALUE"""),"DUYỆT")</f>
        <v>DUYỆT</v>
      </c>
      <c r="AB79" s="1" t="str">
        <f ca="1">IFERROR(__xludf.DUMMYFUNCTION("""COMPUTED_VALUE"""),"26/12/2025")</f>
        <v>26/12/2025</v>
      </c>
      <c r="AC79" s="1" t="str">
        <f ca="1">IFERROR(__xludf.DUMMYFUNCTION("""COMPUTED_VALUE"""),"BÁO CÁO THỰC TẬP TỐT NGHIỆP")</f>
        <v>BÁO CÁO THỰC TẬP TỐT NGHIỆP</v>
      </c>
      <c r="AD79" s="1" t="str">
        <f ca="1">IFERROR(__xludf.DUMMYFUNCTION("""COMPUTED_VALUE"""),"Đặng Thị Thùy Trang")</f>
        <v>Đặng Thị Thùy Trang</v>
      </c>
      <c r="AE79" s="1" t="str">
        <f ca="1">IFERROR(__xludf.DUMMYFUNCTION("""COMPUTED_VALUE"""),"Thạc sĩ")</f>
        <v>Thạc sĩ</v>
      </c>
      <c r="AF79" s="1" t="str">
        <f ca="1">IFERROR(__xludf.DUMMYFUNCTION("""COMPUTED_VALUE"""),"0327892117")</f>
        <v>0327892117</v>
      </c>
      <c r="AG79" s="1" t="str">
        <f ca="1">IFERROR(__xludf.DUMMYFUNCTION("""COMPUTED_VALUE"""),"dangtthuytrang3@dtu-hti.edu.vn")</f>
        <v>dangtthuytrang3@dtu-hti.edu.vn</v>
      </c>
      <c r="AH79" s="1" t="str">
        <f ca="1">IFERROR(__xludf.DUMMYFUNCTION("""COMPUTED_VALUE"""),"Báo cáo kết quả thực tập và thực trạng cơ sở vật chất tại nhà hàng La Maison thuộc Risemount Premier Resort Đà Nẵng")</f>
        <v>Báo cáo kết quả thực tập và thực trạng cơ sở vật chất tại nhà hàng La Maison thuộc Risemount Premier Resort Đà Nẵng</v>
      </c>
      <c r="AI79" s="1"/>
    </row>
    <row r="80" spans="1:35" x14ac:dyDescent="0.2">
      <c r="A80" s="3">
        <f ca="1">IFERROR(__xludf.DUMMYFUNCTION("""COMPUTED_VALUE"""),45994.9309489583)</f>
        <v>45994.930948958303</v>
      </c>
      <c r="B80" s="1" t="str">
        <f ca="1">IFERROR(__xludf.DUMMYFUNCTION("""COMPUTED_VALUE"""),"doanthanhtra@dtu.edu.vn")</f>
        <v>doanthanhtra@dtu.edu.vn</v>
      </c>
      <c r="C80" s="1">
        <f ca="1">IFERROR(__xludf.DUMMYFUNCTION("""COMPUTED_VALUE"""),28218003900)</f>
        <v>28218003900</v>
      </c>
      <c r="D80" s="1" t="str">
        <f ca="1">IFERROR(__xludf.DUMMYFUNCTION("""COMPUTED_VALUE"""),"Đoàn Thanh Trà")</f>
        <v>Đoàn Thanh Trà</v>
      </c>
      <c r="E80" s="1"/>
      <c r="F80" s="1" t="str">
        <f ca="1">IFERROR(__xludf.DUMMYFUNCTION("""COMPUTED_VALUE"""),"K28DLK7")</f>
        <v>K28DLK7</v>
      </c>
      <c r="G80" s="1" t="str">
        <f ca="1">IFERROR(__xludf.DUMMYFUNCTION("""COMPUTED_VALUE"""),"Quản trị Du lịch &amp; Khách sạn")</f>
        <v>Quản trị Du lịch &amp; Khách sạn</v>
      </c>
      <c r="H80" s="1" t="str">
        <f ca="1">IFERROR(__xludf.DUMMYFUNCTION("""COMPUTED_VALUE"""),"K28")</f>
        <v>K28</v>
      </c>
      <c r="I80" s="1" t="str">
        <f ca="1">IFERROR(__xludf.DUMMYFUNCTION("""COMPUTED_VALUE"""),"0383806388")</f>
        <v>0383806388</v>
      </c>
      <c r="J80" s="1">
        <f ca="1">IFERROR(__xludf.DUMMYFUNCTION("""COMPUTED_VALUE"""),2.39)</f>
        <v>2.39</v>
      </c>
      <c r="K80" s="1">
        <f ca="1">IFERROR(__xludf.DUMMYFUNCTION("""COMPUTED_VALUE"""),122)</f>
        <v>122</v>
      </c>
      <c r="L80" s="1" t="str">
        <f ca="1">IFERROR(__xludf.DUMMYFUNCTION("""COMPUTED_VALUE"""),"Rồi")</f>
        <v>Rồi</v>
      </c>
      <c r="M80" s="1" t="str">
        <f ca="1">IFERROR(__xludf.DUMMYFUNCTION("""COMPUTED_VALUE"""),"Thực tập tốt nghiệp")</f>
        <v>Thực tập tốt nghiệp</v>
      </c>
      <c r="N80" s="1">
        <f ca="1">IFERROR(__xludf.DUMMYFUNCTION("""COMPUTED_VALUE"""),2)</f>
        <v>2</v>
      </c>
      <c r="O80" s="1" t="str">
        <f ca="1">IFERROR(__xludf.DUMMYFUNCTION("""COMPUTED_VALUE"""),"cam kết")</f>
        <v>cam kết</v>
      </c>
      <c r="P80" s="1"/>
      <c r="Q80" s="1"/>
      <c r="R80" s="1" t="str">
        <f ca="1">IFERROR(__xludf.DUMMYFUNCTION("""COMPUTED_VALUE"""),"18/12/2025")</f>
        <v>18/12/2025</v>
      </c>
      <c r="S80" s="1" t="str">
        <f ca="1">IFERROR(__xludf.DUMMYFUNCTION("""COMPUTED_VALUE"""),"thực tập TN, Thi TN")</f>
        <v>thực tập TN, Thi TN</v>
      </c>
      <c r="T80" s="1" t="str">
        <f ca="1">IFERROR(__xludf.DUMMYFUNCTION("""COMPUTED_VALUE"""),"Đã email cấp giấy giới thiệu ngày 18/12/2025")</f>
        <v>Đã email cấp giấy giới thiệu ngày 18/12/2025</v>
      </c>
      <c r="U80" s="1"/>
      <c r="V80" s="1"/>
      <c r="W80" s="1" t="str">
        <f ca="1">IFERROR(__xludf.DUMMYFUNCTION("""COMPUTED_VALUE"""),"K28DLK7")</f>
        <v>K28DLK7</v>
      </c>
      <c r="X80" s="1"/>
      <c r="Y80" s="1" t="str">
        <f ca="1">IFERROR(__xludf.DUMMYFUNCTION("""COMPUTED_VALUE"""),"Peninsula Hotel Danang")</f>
        <v>Peninsula Hotel Danang</v>
      </c>
      <c r="Z80" s="1" t="str">
        <f ca="1">IFERROR(__xludf.DUMMYFUNCTION("""COMPUTED_VALUE"""),"Nhà hàng")</f>
        <v>Nhà hàng</v>
      </c>
      <c r="AA80" s="1" t="str">
        <f ca="1">IFERROR(__xludf.DUMMYFUNCTION("""COMPUTED_VALUE"""),"DUYỆT")</f>
        <v>DUYỆT</v>
      </c>
      <c r="AB80" s="1" t="str">
        <f ca="1">IFERROR(__xludf.DUMMYFUNCTION("""COMPUTED_VALUE"""),"26/01/2026")</f>
        <v>26/01/2026</v>
      </c>
      <c r="AC80" s="1" t="str">
        <f ca="1">IFERROR(__xludf.DUMMYFUNCTION("""COMPUTED_VALUE"""),"BÁO CÁO THỰC TẬP TỐT NGHIỆP")</f>
        <v>BÁO CÁO THỰC TẬP TỐT NGHIỆP</v>
      </c>
      <c r="AD80" s="1" t="str">
        <f ca="1">IFERROR(__xludf.DUMMYFUNCTION("""COMPUTED_VALUE"""),"Đặng Thị Thùy Trang")</f>
        <v>Đặng Thị Thùy Trang</v>
      </c>
      <c r="AE80" s="1" t="str">
        <f ca="1">IFERROR(__xludf.DUMMYFUNCTION("""COMPUTED_VALUE"""),"Thạc sĩ")</f>
        <v>Thạc sĩ</v>
      </c>
      <c r="AF80" s="1" t="str">
        <f ca="1">IFERROR(__xludf.DUMMYFUNCTION("""COMPUTED_VALUE"""),"0327892117")</f>
        <v>0327892117</v>
      </c>
      <c r="AG80" s="1" t="str">
        <f ca="1">IFERROR(__xludf.DUMMYFUNCTION("""COMPUTED_VALUE"""),"dangtthuytrang3@dtu-hti.edu.vn")</f>
        <v>dangtthuytrang3@dtu-hti.edu.vn</v>
      </c>
      <c r="AH80" s="1" t="str">
        <f ca="1">IFERROR(__xludf.DUMMYFUNCTION("""COMPUTED_VALUE"""),"Báo cáo kết quả thực tập và thực trạng chất lượng phục vụ room service của nhà hàng The Veranda thuộc Peninsula Hotel Danang")</f>
        <v>Báo cáo kết quả thực tập và thực trạng chất lượng phục vụ room service của nhà hàng The Veranda thuộc Peninsula Hotel Danang</v>
      </c>
      <c r="AI80" s="1"/>
    </row>
    <row r="81" spans="1:35" x14ac:dyDescent="0.2">
      <c r="A81" s="3">
        <f ca="1">IFERROR(__xludf.DUMMYFUNCTION("""COMPUTED_VALUE"""),46002.8866226735)</f>
        <v>46002.886622673497</v>
      </c>
      <c r="B81" s="1" t="str">
        <f ca="1">IFERROR(__xludf.DUMMYFUNCTION("""COMPUTED_VALUE"""),"phamlamvu8888@gmail.com")</f>
        <v>phamlamvu8888@gmail.com</v>
      </c>
      <c r="C81" s="1">
        <f ca="1">IFERROR(__xludf.DUMMYFUNCTION("""COMPUTED_VALUE"""),28212304132)</f>
        <v>28212304132</v>
      </c>
      <c r="D81" s="1" t="str">
        <f ca="1">IFERROR(__xludf.DUMMYFUNCTION("""COMPUTED_VALUE"""),"Phạm Lâm Vũ")</f>
        <v>Phạm Lâm Vũ</v>
      </c>
      <c r="E81" s="1"/>
      <c r="F81" s="1" t="str">
        <f ca="1">IFERROR(__xludf.DUMMYFUNCTION("""COMPUTED_VALUE"""),"K28DLK5")</f>
        <v>K28DLK5</v>
      </c>
      <c r="G81" s="1" t="str">
        <f ca="1">IFERROR(__xludf.DUMMYFUNCTION("""COMPUTED_VALUE"""),"Quản trị Du lịch &amp; Khách sạn")</f>
        <v>Quản trị Du lịch &amp; Khách sạn</v>
      </c>
      <c r="H81" s="1" t="str">
        <f ca="1">IFERROR(__xludf.DUMMYFUNCTION("""COMPUTED_VALUE"""),"K28")</f>
        <v>K28</v>
      </c>
      <c r="I81" s="1" t="str">
        <f ca="1">IFERROR(__xludf.DUMMYFUNCTION("""COMPUTED_VALUE"""),"0867420445")</f>
        <v>0867420445</v>
      </c>
      <c r="J81" s="1">
        <f ca="1">IFERROR(__xludf.DUMMYFUNCTION("""COMPUTED_VALUE"""),2.63)</f>
        <v>2.63</v>
      </c>
      <c r="K81" s="1">
        <f ca="1">IFERROR(__xludf.DUMMYFUNCTION("""COMPUTED_VALUE"""),109)</f>
        <v>109</v>
      </c>
      <c r="L81" s="1" t="str">
        <f ca="1">IFERROR(__xludf.DUMMYFUNCTION("""COMPUTED_VALUE"""),"Rồi")</f>
        <v>Rồi</v>
      </c>
      <c r="M81" s="1" t="str">
        <f ca="1">IFERROR(__xludf.DUMMYFUNCTION("""COMPUTED_VALUE"""),"Thực tập tốt nghiệp, Thi tốt nghiệp")</f>
        <v>Thực tập tốt nghiệp, Thi tốt nghiệp</v>
      </c>
      <c r="N81" s="1">
        <f ca="1">IFERROR(__xludf.DUMMYFUNCTION("""COMPUTED_VALUE"""),15)</f>
        <v>15</v>
      </c>
      <c r="O81" s="1" t="str">
        <f ca="1">IFERROR(__xludf.DUMMYFUNCTION("""COMPUTED_VALUE"""),"cam kết")</f>
        <v>cam kết</v>
      </c>
      <c r="P81" s="1"/>
      <c r="Q81" s="1"/>
      <c r="R81" s="1" t="str">
        <f ca="1">IFERROR(__xludf.DUMMYFUNCTION("""COMPUTED_VALUE"""),"18/12/2025")</f>
        <v>18/12/2025</v>
      </c>
      <c r="S81" s="1" t="str">
        <f ca="1">IFERROR(__xludf.DUMMYFUNCTION("""COMPUTED_VALUE"""),"thực tập TN, Thi TN")</f>
        <v>thực tập TN, Thi TN</v>
      </c>
      <c r="T81" s="1" t="str">
        <f ca="1">IFERROR(__xludf.DUMMYFUNCTION("""COMPUTED_VALUE"""),"Đã email cấp giấy giới thiệu ngày 18/12/2025")</f>
        <v>Đã email cấp giấy giới thiệu ngày 18/12/2025</v>
      </c>
      <c r="U81" s="1"/>
      <c r="V81" s="1"/>
      <c r="W81" s="1" t="str">
        <f ca="1">IFERROR(__xludf.DUMMYFUNCTION("""COMPUTED_VALUE"""),"K28DLK5")</f>
        <v>K28DLK5</v>
      </c>
      <c r="X81" s="1"/>
      <c r="Y81" s="1" t="str">
        <f ca="1">IFERROR(__xludf.DUMMYFUNCTION("""COMPUTED_VALUE"""),"#N/A")</f>
        <v>#N/A</v>
      </c>
      <c r="Z81" s="1" t="str">
        <f ca="1">IFERROR(__xludf.DUMMYFUNCTION("""COMPUTED_VALUE"""),"#N/A")</f>
        <v>#N/A</v>
      </c>
      <c r="AA81" s="1" t="str">
        <f ca="1">IFERROR(__xludf.DUMMYFUNCTION("""COMPUTED_VALUE"""),"#N/A")</f>
        <v>#N/A</v>
      </c>
      <c r="AB81" s="1" t="str">
        <f ca="1">IFERROR(__xludf.DUMMYFUNCTION("""COMPUTED_VALUE"""),"#N/A")</f>
        <v>#N/A</v>
      </c>
      <c r="AC81" s="1" t="str">
        <f ca="1">IFERROR(__xludf.DUMMYFUNCTION("""COMPUTED_VALUE"""),"BÁO CÁO THỰC TẬP TỐT NGHIỆP")</f>
        <v>BÁO CÁO THỰC TẬP TỐT NGHIỆP</v>
      </c>
      <c r="AD81" s="1">
        <f ca="1">IFERROR(__xludf.DUMMYFUNCTION("""COMPUTED_VALUE"""),0)</f>
        <v>0</v>
      </c>
      <c r="AE81" s="1" t="str">
        <f ca="1">IFERROR(__xludf.DUMMYFUNCTION("""COMPUTED_VALUE"""),"#N/A")</f>
        <v>#N/A</v>
      </c>
      <c r="AF81" s="1" t="str">
        <f ca="1">IFERROR(__xludf.DUMMYFUNCTION("""COMPUTED_VALUE"""),"#N/A")</f>
        <v>#N/A</v>
      </c>
      <c r="AG81" s="1" t="str">
        <f ca="1">IFERROR(__xludf.DUMMYFUNCTION("""COMPUTED_VALUE"""),"#N/A")</f>
        <v>#N/A</v>
      </c>
      <c r="AH81" s="1" t="str">
        <f ca="1">IFERROR(__xludf.DUMMYFUNCTION("""COMPUTED_VALUE"""),"#N/A")</f>
        <v>#N/A</v>
      </c>
      <c r="AI81" s="1"/>
    </row>
    <row r="82" spans="1:35" x14ac:dyDescent="0.2">
      <c r="A82" s="3">
        <f ca="1">IFERROR(__xludf.DUMMYFUNCTION("""COMPUTED_VALUE"""),45995.0564201504)</f>
        <v>45995.056420150402</v>
      </c>
      <c r="B82" s="1" t="str">
        <f ca="1">IFERROR(__xludf.DUMMYFUNCTION("""COMPUTED_VALUE"""),"minhtttthu2214@gmail.com")</f>
        <v>minhtttthu2214@gmail.com</v>
      </c>
      <c r="C82" s="1">
        <f ca="1">IFERROR(__xludf.DUMMYFUNCTION("""COMPUTED_VALUE"""),28208303439)</f>
        <v>28208303439</v>
      </c>
      <c r="D82" s="1" t="str">
        <f ca="1">IFERROR(__xludf.DUMMYFUNCTION("""COMPUTED_VALUE"""),"Nguyễn Minh Thư")</f>
        <v>Nguyễn Minh Thư</v>
      </c>
      <c r="E82" s="1"/>
      <c r="F82" s="1" t="str">
        <f ca="1">IFERROR(__xludf.DUMMYFUNCTION("""COMPUTED_VALUE"""),"K28PSU DLH")</f>
        <v>K28PSU DLH</v>
      </c>
      <c r="G82" s="1" t="str">
        <f ca="1">IFERROR(__xludf.DUMMYFUNCTION("""COMPUTED_VALUE"""),"Quản trị Du lịch &amp; Nhà hàng chuẩn PSU")</f>
        <v>Quản trị Du lịch &amp; Nhà hàng chuẩn PSU</v>
      </c>
      <c r="H82" s="1" t="str">
        <f ca="1">IFERROR(__xludf.DUMMYFUNCTION("""COMPUTED_VALUE"""),"K28")</f>
        <v>K28</v>
      </c>
      <c r="I82" s="1" t="str">
        <f ca="1">IFERROR(__xludf.DUMMYFUNCTION("""COMPUTED_VALUE"""),"0337267680")</f>
        <v>0337267680</v>
      </c>
      <c r="J82" s="1">
        <f ca="1">IFERROR(__xludf.DUMMYFUNCTION("""COMPUTED_VALUE"""),2.79)</f>
        <v>2.79</v>
      </c>
      <c r="K82" s="1">
        <f ca="1">IFERROR(__xludf.DUMMYFUNCTION("""COMPUTED_VALUE"""),117)</f>
        <v>117</v>
      </c>
      <c r="L82" s="1" t="str">
        <f ca="1">IFERROR(__xludf.DUMMYFUNCTION("""COMPUTED_VALUE"""),"Rồi")</f>
        <v>Rồi</v>
      </c>
      <c r="M82" s="1" t="str">
        <f ca="1">IFERROR(__xludf.DUMMYFUNCTION("""COMPUTED_VALUE"""),"Thực tập tốt nghiệp, Thi tốt nghiệp, Công nhận tốt nghiệp")</f>
        <v>Thực tập tốt nghiệp, Thi tốt nghiệp, Công nhận tốt nghiệp</v>
      </c>
      <c r="N82" s="1">
        <f ca="1">IFERROR(__xludf.DUMMYFUNCTION("""COMPUTED_VALUE"""),11)</f>
        <v>11</v>
      </c>
      <c r="O82" s="1" t="str">
        <f ca="1">IFERROR(__xludf.DUMMYFUNCTION("""COMPUTED_VALUE"""),"cam kết")</f>
        <v>cam kết</v>
      </c>
      <c r="P82" s="1"/>
      <c r="Q82" s="1"/>
      <c r="R82" s="1" t="str">
        <f ca="1">IFERROR(__xludf.DUMMYFUNCTION("""COMPUTED_VALUE"""),"18/12/2025")</f>
        <v>18/12/2025</v>
      </c>
      <c r="S82" s="1" t="str">
        <f ca="1">IFERROR(__xludf.DUMMYFUNCTION("""COMPUTED_VALUE"""),"khóa luận TN")</f>
        <v>khóa luận TN</v>
      </c>
      <c r="T82" s="1" t="str">
        <f ca="1">IFERROR(__xludf.DUMMYFUNCTION("""COMPUTED_VALUE"""),"đã email cấp giấy giới thiệu ngày 25/12/2025")</f>
        <v>đã email cấp giấy giới thiệu ngày 25/12/2025</v>
      </c>
      <c r="U82" s="1"/>
      <c r="V82" s="1"/>
      <c r="W82" s="1" t="str">
        <f ca="1">IFERROR(__xludf.DUMMYFUNCTION("""COMPUTED_VALUE"""),"K28PSU-DLH")</f>
        <v>K28PSU-DLH</v>
      </c>
      <c r="X82" s="1"/>
      <c r="Y82" s="1" t="str">
        <f ca="1">IFERROR(__xludf.DUMMYFUNCTION("""COMPUTED_VALUE"""),"Fusion Resort &amp; Villas Da Nang")</f>
        <v>Fusion Resort &amp; Villas Da Nang</v>
      </c>
      <c r="Z82" s="1" t="str">
        <f ca="1">IFERROR(__xludf.DUMMYFUNCTION("""COMPUTED_VALUE"""),"Nhà hàng")</f>
        <v>Nhà hàng</v>
      </c>
      <c r="AA82" s="1" t="str">
        <f ca="1">IFERROR(__xludf.DUMMYFUNCTION("""COMPUTED_VALUE"""),"DUYỆT")</f>
        <v>DUYỆT</v>
      </c>
      <c r="AB82" s="1" t="str">
        <f ca="1">IFERROR(__xludf.DUMMYFUNCTION("""COMPUTED_VALUE"""),"xin nộp trễ 02/02/2026")</f>
        <v>xin nộp trễ 02/02/2026</v>
      </c>
      <c r="AC82" s="1" t="str">
        <f ca="1">IFERROR(__xludf.DUMMYFUNCTION("""COMPUTED_VALUE"""),"KHÓA LUẬN")</f>
        <v>KHÓA LUẬN</v>
      </c>
      <c r="AD82" s="1" t="str">
        <f ca="1">IFERROR(__xludf.DUMMYFUNCTION("""COMPUTED_VALUE"""),"Trần Thị Mỹ Linh")</f>
        <v>Trần Thị Mỹ Linh</v>
      </c>
      <c r="AE82" s="1" t="str">
        <f ca="1">IFERROR(__xludf.DUMMYFUNCTION("""COMPUTED_VALUE"""),"Tiến sĩ")</f>
        <v>Tiến sĩ</v>
      </c>
      <c r="AF82" s="1" t="str">
        <f ca="1">IFERROR(__xludf.DUMMYFUNCTION("""COMPUTED_VALUE"""),"0975718029")</f>
        <v>0975718029</v>
      </c>
      <c r="AG82" s="1" t="str">
        <f ca="1">IFERROR(__xludf.DUMMYFUNCTION("""COMPUTED_VALUE"""),"trantmylinh5@duytan.edu.vn")</f>
        <v>trantmylinh5@duytan.edu.vn</v>
      </c>
      <c r="AH82" s="1" t="str">
        <f ca="1">IFERROR(__xludf.DUMMYFUNCTION("""COMPUTED_VALUE"""),"Các nhân tố định hình sự kháng cự của khách du lịch đối với AI trong lĩnh vực du lịch và khách sạn")</f>
        <v>Các nhân tố định hình sự kháng cự của khách du lịch đối với AI trong lĩnh vực du lịch và khách sạn</v>
      </c>
      <c r="AI82" s="1"/>
    </row>
    <row r="83" spans="1:35" x14ac:dyDescent="0.2">
      <c r="A83" s="3">
        <f ca="1">IFERROR(__xludf.DUMMYFUNCTION("""COMPUTED_VALUE"""),45995.2545641319)</f>
        <v>45995.254564131901</v>
      </c>
      <c r="B83" s="1" t="str">
        <f ca="1">IFERROR(__xludf.DUMMYFUNCTION("""COMPUTED_VALUE"""),"nttn8112004@gmail.com")</f>
        <v>nttn8112004@gmail.com</v>
      </c>
      <c r="C83" s="1">
        <f ca="1">IFERROR(__xludf.DUMMYFUNCTION("""COMPUTED_VALUE"""),28208001590)</f>
        <v>28208001590</v>
      </c>
      <c r="D83" s="1" t="str">
        <f ca="1">IFERROR(__xludf.DUMMYFUNCTION("""COMPUTED_VALUE"""),"Nguyễn Thị Thuỳ Nhung")</f>
        <v>Nguyễn Thị Thuỳ Nhung</v>
      </c>
      <c r="E83" s="1"/>
      <c r="F83" s="1" t="str">
        <f ca="1">IFERROR(__xludf.DUMMYFUNCTION("""COMPUTED_VALUE"""),"K28DLK3")</f>
        <v>K28DLK3</v>
      </c>
      <c r="G83" s="1" t="str">
        <f ca="1">IFERROR(__xludf.DUMMYFUNCTION("""COMPUTED_VALUE"""),"Quản trị Du lịch &amp; Khách sạn")</f>
        <v>Quản trị Du lịch &amp; Khách sạn</v>
      </c>
      <c r="H83" s="1" t="str">
        <f ca="1">IFERROR(__xludf.DUMMYFUNCTION("""COMPUTED_VALUE"""),"K28")</f>
        <v>K28</v>
      </c>
      <c r="I83" s="1" t="str">
        <f ca="1">IFERROR(__xludf.DUMMYFUNCTION("""COMPUTED_VALUE"""),"0363969366")</f>
        <v>0363969366</v>
      </c>
      <c r="J83" s="1">
        <f ca="1">IFERROR(__xludf.DUMMYFUNCTION("""COMPUTED_VALUE"""),2.51)</f>
        <v>2.5099999999999998</v>
      </c>
      <c r="K83" s="1">
        <f ca="1">IFERROR(__xludf.DUMMYFUNCTION("""COMPUTED_VALUE"""),114)</f>
        <v>114</v>
      </c>
      <c r="L83" s="1" t="str">
        <f ca="1">IFERROR(__xludf.DUMMYFUNCTION("""COMPUTED_VALUE"""),"Rồi")</f>
        <v>Rồi</v>
      </c>
      <c r="M83" s="1" t="str">
        <f ca="1">IFERROR(__xludf.DUMMYFUNCTION("""COMPUTED_VALUE"""),"Thực tập tốt nghiệp, Thi tốt nghiệp, Công nhận tốt nghiệp")</f>
        <v>Thực tập tốt nghiệp, Thi tốt nghiệp, Công nhận tốt nghiệp</v>
      </c>
      <c r="N83" s="1">
        <f ca="1">IFERROR(__xludf.DUMMYFUNCTION("""COMPUTED_VALUE"""),14)</f>
        <v>14</v>
      </c>
      <c r="O83" s="1" t="str">
        <f ca="1">IFERROR(__xludf.DUMMYFUNCTION("""COMPUTED_VALUE"""),"cam kết")</f>
        <v>cam kết</v>
      </c>
      <c r="P83" s="1"/>
      <c r="Q83" s="1"/>
      <c r="R83" s="1" t="str">
        <f ca="1">IFERROR(__xludf.DUMMYFUNCTION("""COMPUTED_VALUE"""),"18/12/2025")</f>
        <v>18/12/2025</v>
      </c>
      <c r="S83" s="1" t="str">
        <f ca="1">IFERROR(__xludf.DUMMYFUNCTION("""COMPUTED_VALUE"""),"thực tập TN, Thi TN")</f>
        <v>thực tập TN, Thi TN</v>
      </c>
      <c r="T83" s="1" t="str">
        <f ca="1">IFERROR(__xludf.DUMMYFUNCTION("""COMPUTED_VALUE"""),"Đã email cấp giấy giới thiệu ngày 18/12/2025")</f>
        <v>Đã email cấp giấy giới thiệu ngày 18/12/2025</v>
      </c>
      <c r="U83" s="1"/>
      <c r="V83" s="1"/>
      <c r="W83" s="1" t="str">
        <f ca="1">IFERROR(__xludf.DUMMYFUNCTION("""COMPUTED_VALUE"""),"K28DLK3")</f>
        <v>K28DLK3</v>
      </c>
      <c r="X83" s="1"/>
      <c r="Y83" s="1" t="str">
        <f ca="1">IFERROR(__xludf.DUMMYFUNCTION("""COMPUTED_VALUE"""),"Da Nang Mikazuki Japanese Resorts and Spa")</f>
        <v>Da Nang Mikazuki Japanese Resorts and Spa</v>
      </c>
      <c r="Z83" s="1" t="str">
        <f ca="1">IFERROR(__xludf.DUMMYFUNCTION("""COMPUTED_VALUE"""),"Nhà hàng")</f>
        <v>Nhà hàng</v>
      </c>
      <c r="AA83" s="1" t="str">
        <f ca="1">IFERROR(__xludf.DUMMYFUNCTION("""COMPUTED_VALUE"""),"DUYỆT")</f>
        <v>DUYỆT</v>
      </c>
      <c r="AB83" s="1" t="str">
        <f ca="1">IFERROR(__xludf.DUMMYFUNCTION("""COMPUTED_VALUE"""),"14/01/2026")</f>
        <v>14/01/2026</v>
      </c>
      <c r="AC83" s="1" t="str">
        <f ca="1">IFERROR(__xludf.DUMMYFUNCTION("""COMPUTED_VALUE"""),"BÁO CÁO THỰC TẬP TỐT NGHIỆP")</f>
        <v>BÁO CÁO THỰC TẬP TỐT NGHIỆP</v>
      </c>
      <c r="AD83" s="1" t="str">
        <f ca="1">IFERROR(__xludf.DUMMYFUNCTION("""COMPUTED_VALUE"""),"Nguyễn Thị Minh Thư")</f>
        <v>Nguyễn Thị Minh Thư</v>
      </c>
      <c r="AE83" s="1" t="str">
        <f ca="1">IFERROR(__xludf.DUMMYFUNCTION("""COMPUTED_VALUE"""),"Thạc sĩ")</f>
        <v>Thạc sĩ</v>
      </c>
      <c r="AF83" s="1" t="str">
        <f ca="1">IFERROR(__xludf.DUMMYFUNCTION("""COMPUTED_VALUE"""),"0396.153.687")</f>
        <v>0396.153.687</v>
      </c>
      <c r="AG83" s="1" t="str">
        <f ca="1">IFERROR(__xludf.DUMMYFUNCTION("""COMPUTED_VALUE"""),"nguyentminhthu@dtu-hti.edu.vn")</f>
        <v>nguyentminhthu@dtu-hti.edu.vn</v>
      </c>
      <c r="AH83" s="1" t="str">
        <f ca="1">IFERROR(__xludf.DUMMYFUNCTION("""COMPUTED_VALUE"""),"Báo cáo kết quả thực tập và thực trạng về chất lượng đội ngũ lao động tại bộ phận nhà hàng Matsuri thuộc Da Nang Mikazuki Japanese Resorts and Spa")</f>
        <v>Báo cáo kết quả thực tập và thực trạng về chất lượng đội ngũ lao động tại bộ phận nhà hàng Matsuri thuộc Da Nang Mikazuki Japanese Resorts and Spa</v>
      </c>
      <c r="AI83" s="1"/>
    </row>
    <row r="84" spans="1:35" x14ac:dyDescent="0.2">
      <c r="A84" s="3">
        <f ca="1">IFERROR(__xludf.DUMMYFUNCTION("""COMPUTED_VALUE"""),45995.3105213888)</f>
        <v>45995.310521388797</v>
      </c>
      <c r="B84" s="1" t="str">
        <f ca="1">IFERROR(__xludf.DUMMYFUNCTION("""COMPUTED_VALUE"""),"hongnhung17111711@gmail.com")</f>
        <v>hongnhung17111711@gmail.com</v>
      </c>
      <c r="C84" s="1">
        <f ca="1">IFERROR(__xludf.DUMMYFUNCTION("""COMPUTED_VALUE"""),28204337515)</f>
        <v>28204337515</v>
      </c>
      <c r="D84" s="1" t="str">
        <f ca="1">IFERROR(__xludf.DUMMYFUNCTION("""COMPUTED_VALUE"""),"Lê Thị Hồng Nhung")</f>
        <v>Lê Thị Hồng Nhung</v>
      </c>
      <c r="E84" s="1"/>
      <c r="F84" s="1" t="str">
        <f ca="1">IFERROR(__xludf.DUMMYFUNCTION("""COMPUTED_VALUE"""),"K28DLK4")</f>
        <v>K28DLK4</v>
      </c>
      <c r="G84" s="1" t="str">
        <f ca="1">IFERROR(__xludf.DUMMYFUNCTION("""COMPUTED_VALUE"""),"Quản trị Du lịch &amp; Khách sạn")</f>
        <v>Quản trị Du lịch &amp; Khách sạn</v>
      </c>
      <c r="H84" s="1" t="str">
        <f ca="1">IFERROR(__xludf.DUMMYFUNCTION("""COMPUTED_VALUE"""),"K28")</f>
        <v>K28</v>
      </c>
      <c r="I84" s="1" t="str">
        <f ca="1">IFERROR(__xludf.DUMMYFUNCTION("""COMPUTED_VALUE"""),"0799388929")</f>
        <v>0799388929</v>
      </c>
      <c r="J84" s="1">
        <f ca="1">IFERROR(__xludf.DUMMYFUNCTION("""COMPUTED_VALUE"""),3.15)</f>
        <v>3.15</v>
      </c>
      <c r="K84" s="1">
        <f ca="1">IFERROR(__xludf.DUMMYFUNCTION("""COMPUTED_VALUE"""),114)</f>
        <v>114</v>
      </c>
      <c r="L84" s="1" t="str">
        <f ca="1">IFERROR(__xludf.DUMMYFUNCTION("""COMPUTED_VALUE"""),"Rồi")</f>
        <v>Rồi</v>
      </c>
      <c r="M84" s="1" t="str">
        <f ca="1">IFERROR(__xludf.DUMMYFUNCTION("""COMPUTED_VALUE"""),"Thực tập tốt nghiệp, Thi tốt nghiệp, Công nhận tốt nghiệp")</f>
        <v>Thực tập tốt nghiệp, Thi tốt nghiệp, Công nhận tốt nghiệp</v>
      </c>
      <c r="N84" s="1" t="str">
        <f ca="1">IFERROR(__xludf.DUMMYFUNCTION("""COMPUTED_VALUE"""),"10 tín chỉ đang học")</f>
        <v>10 tín chỉ đang học</v>
      </c>
      <c r="O84" s="1" t="str">
        <f ca="1">IFERROR(__xludf.DUMMYFUNCTION("""COMPUTED_VALUE"""),"cam kết")</f>
        <v>cam kết</v>
      </c>
      <c r="P84" s="1"/>
      <c r="Q84" s="1"/>
      <c r="R84" s="1" t="str">
        <f ca="1">IFERROR(__xludf.DUMMYFUNCTION("""COMPUTED_VALUE"""),"18/12/2025")</f>
        <v>18/12/2025</v>
      </c>
      <c r="S84" s="1" t="str">
        <f ca="1">IFERROR(__xludf.DUMMYFUNCTION("""COMPUTED_VALUE"""),"thực tập TN, Thi TN")</f>
        <v>thực tập TN, Thi TN</v>
      </c>
      <c r="T84" s="1" t="str">
        <f ca="1">IFERROR(__xludf.DUMMYFUNCTION("""COMPUTED_VALUE"""),"Đã email cấp giấy giới thiệu ngày 18/12/2025")</f>
        <v>Đã email cấp giấy giới thiệu ngày 18/12/2025</v>
      </c>
      <c r="U84" s="1"/>
      <c r="V84" s="1"/>
      <c r="W84" s="1" t="str">
        <f ca="1">IFERROR(__xludf.DUMMYFUNCTION("""COMPUTED_VALUE"""),"K28DLK4")</f>
        <v>K28DLK4</v>
      </c>
      <c r="X84" s="1"/>
      <c r="Y84" s="1" t="str">
        <f ca="1">IFERROR(__xludf.DUMMYFUNCTION("""COMPUTED_VALUE"""),"Almanity Hoi An Resort &amp; Spa")</f>
        <v>Almanity Hoi An Resort &amp; Spa</v>
      </c>
      <c r="Z84" s="1" t="str">
        <f ca="1">IFERROR(__xludf.DUMMYFUNCTION("""COMPUTED_VALUE"""),"Nhà hàng")</f>
        <v>Nhà hàng</v>
      </c>
      <c r="AA84" s="1" t="str">
        <f ca="1">IFERROR(__xludf.DUMMYFUNCTION("""COMPUTED_VALUE"""),"DUYỆT")</f>
        <v>DUYỆT</v>
      </c>
      <c r="AB84" s="1" t="str">
        <f ca="1">IFERROR(__xludf.DUMMYFUNCTION("""COMPUTED_VALUE"""),"14/01/2026")</f>
        <v>14/01/2026</v>
      </c>
      <c r="AC84" s="1" t="str">
        <f ca="1">IFERROR(__xludf.DUMMYFUNCTION("""COMPUTED_VALUE"""),"BÁO CÁO THỰC TẬP TỐT NGHIỆP")</f>
        <v>BÁO CÁO THỰC TẬP TỐT NGHIỆP</v>
      </c>
      <c r="AD84" s="1" t="str">
        <f ca="1">IFERROR(__xludf.DUMMYFUNCTION("""COMPUTED_VALUE"""),"Đặng Thị Thùy Trang")</f>
        <v>Đặng Thị Thùy Trang</v>
      </c>
      <c r="AE84" s="1" t="str">
        <f ca="1">IFERROR(__xludf.DUMMYFUNCTION("""COMPUTED_VALUE"""),"Thạc sĩ")</f>
        <v>Thạc sĩ</v>
      </c>
      <c r="AF84" s="1" t="str">
        <f ca="1">IFERROR(__xludf.DUMMYFUNCTION("""COMPUTED_VALUE"""),"0327892117")</f>
        <v>0327892117</v>
      </c>
      <c r="AG84" s="1" t="str">
        <f ca="1">IFERROR(__xludf.DUMMYFUNCTION("""COMPUTED_VALUE"""),"dangtthuytrang3@dtu-hti.edu.vn")</f>
        <v>dangtthuytrang3@dtu-hti.edu.vn</v>
      </c>
      <c r="AH84" s="1" t="str">
        <f ca="1">IFERROR(__xludf.DUMMYFUNCTION("""COMPUTED_VALUE"""),"Báo cáo kết quả thực tập và thực trạng quy trình phục vụ  A La Carte tại nhà hàng Mộc Garden thuộc Khách sạn Almanity Hoi An Resort &amp; Spa")</f>
        <v>Báo cáo kết quả thực tập và thực trạng quy trình phục vụ  A La Carte tại nhà hàng Mộc Garden thuộc Khách sạn Almanity Hoi An Resort &amp; Spa</v>
      </c>
      <c r="AI84" s="1"/>
    </row>
    <row r="85" spans="1:35" x14ac:dyDescent="0.2">
      <c r="A85" s="3">
        <f ca="1">IFERROR(__xludf.DUMMYFUNCTION("""COMPUTED_VALUE"""),45995.3873428935)</f>
        <v>45995.387342893497</v>
      </c>
      <c r="B85" s="1" t="str">
        <f ca="1">IFERROR(__xludf.DUMMYFUNCTION("""COMPUTED_VALUE"""),"phamthonghanh5@dtu.edu.vn")</f>
        <v>phamthonghanh5@dtu.edu.vn</v>
      </c>
      <c r="C85" s="1">
        <f ca="1">IFERROR(__xludf.DUMMYFUNCTION("""COMPUTED_VALUE"""),28206546317)</f>
        <v>28206546317</v>
      </c>
      <c r="D85" s="1" t="str">
        <f ca="1">IFERROR(__xludf.DUMMYFUNCTION("""COMPUTED_VALUE"""),"Phạm Thị Hồng Hạnh ")</f>
        <v xml:space="preserve">Phạm Thị Hồng Hạnh </v>
      </c>
      <c r="E85" s="1"/>
      <c r="F85" s="1" t="str">
        <f ca="1">IFERROR(__xludf.DUMMYFUNCTION("""COMPUTED_VALUE"""),"K28DLK5")</f>
        <v>K28DLK5</v>
      </c>
      <c r="G85" s="1" t="str">
        <f ca="1">IFERROR(__xludf.DUMMYFUNCTION("""COMPUTED_VALUE"""),"Quản trị Du lịch &amp; Khách sạn")</f>
        <v>Quản trị Du lịch &amp; Khách sạn</v>
      </c>
      <c r="H85" s="1" t="str">
        <f ca="1">IFERROR(__xludf.DUMMYFUNCTION("""COMPUTED_VALUE"""),"K28")</f>
        <v>K28</v>
      </c>
      <c r="I85" s="1" t="str">
        <f ca="1">IFERROR(__xludf.DUMMYFUNCTION("""COMPUTED_VALUE"""),"0367863745")</f>
        <v>0367863745</v>
      </c>
      <c r="J85" s="1">
        <f ca="1">IFERROR(__xludf.DUMMYFUNCTION("""COMPUTED_VALUE"""),3.2)</f>
        <v>3.2</v>
      </c>
      <c r="K85" s="1">
        <f ca="1">IFERROR(__xludf.DUMMYFUNCTION("""COMPUTED_VALUE"""),114)</f>
        <v>114</v>
      </c>
      <c r="L85" s="1" t="str">
        <f ca="1">IFERROR(__xludf.DUMMYFUNCTION("""COMPUTED_VALUE"""),"Rồi")</f>
        <v>Rồi</v>
      </c>
      <c r="M85" s="1" t="str">
        <f ca="1">IFERROR(__xludf.DUMMYFUNCTION("""COMPUTED_VALUE"""),"Thực tập tốt nghiệp, Thi tốt nghiệp, Công nhận tốt nghiệp")</f>
        <v>Thực tập tốt nghiệp, Thi tốt nghiệp, Công nhận tốt nghiệp</v>
      </c>
      <c r="N85" s="1" t="str">
        <f ca="1">IFERROR(__xludf.DUMMYFUNCTION("""COMPUTED_VALUE"""),"10tc")</f>
        <v>10tc</v>
      </c>
      <c r="O85" s="1" t="str">
        <f ca="1">IFERROR(__xludf.DUMMYFUNCTION("""COMPUTED_VALUE"""),"cam kết")</f>
        <v>cam kết</v>
      </c>
      <c r="P85" s="1"/>
      <c r="Q85" s="1"/>
      <c r="R85" s="1" t="str">
        <f ca="1">IFERROR(__xludf.DUMMYFUNCTION("""COMPUTED_VALUE"""),"18/12/2025")</f>
        <v>18/12/2025</v>
      </c>
      <c r="S85" s="1" t="str">
        <f ca="1">IFERROR(__xludf.DUMMYFUNCTION("""COMPUTED_VALUE"""),"thực tập TN, Thi TN")</f>
        <v>thực tập TN, Thi TN</v>
      </c>
      <c r="T85" s="1" t="str">
        <f ca="1">IFERROR(__xludf.DUMMYFUNCTION("""COMPUTED_VALUE"""),"Đã email cấp giấy giới thiệu ngày 18/12/2025")</f>
        <v>Đã email cấp giấy giới thiệu ngày 18/12/2025</v>
      </c>
      <c r="U85" s="1" t="str">
        <f ca="1">IFERROR(__xludf.DUMMYFUNCTION("""COMPUTED_VALUE"""),"Sv đã nộp đơn chuyển KL - CĐ")</f>
        <v>Sv đã nộp đơn chuyển KL - CĐ</v>
      </c>
      <c r="V85" s="1"/>
      <c r="W85" s="1" t="str">
        <f ca="1">IFERROR(__xludf.DUMMYFUNCTION("""COMPUTED_VALUE"""),"K28DLK5")</f>
        <v>K28DLK5</v>
      </c>
      <c r="X85" s="1"/>
      <c r="Y85" s="1" t="str">
        <f ca="1">IFERROR(__xludf.DUMMYFUNCTION("""COMPUTED_VALUE"""),"Peninsula Hotel Danang")</f>
        <v>Peninsula Hotel Danang</v>
      </c>
      <c r="Z85" s="1" t="str">
        <f ca="1">IFERROR(__xludf.DUMMYFUNCTION("""COMPUTED_VALUE"""),"Tiền sảnh")</f>
        <v>Tiền sảnh</v>
      </c>
      <c r="AA85" s="1" t="str">
        <f ca="1">IFERROR(__xludf.DUMMYFUNCTION("""COMPUTED_VALUE"""),"DUYỆT")</f>
        <v>DUYỆT</v>
      </c>
      <c r="AB85" s="5">
        <f ca="1">IFERROR(__xludf.DUMMYFUNCTION("""COMPUTED_VALUE"""),46143)</f>
        <v>46143</v>
      </c>
      <c r="AC85" s="1" t="str">
        <f ca="1">IFERROR(__xludf.DUMMYFUNCTION("""COMPUTED_VALUE"""),"BÁO CÁO THỰC TẬP TỐT NGHIỆP")</f>
        <v>BÁO CÁO THỰC TẬP TỐT NGHIỆP</v>
      </c>
      <c r="AD85" s="1" t="str">
        <f ca="1">IFERROR(__xludf.DUMMYFUNCTION("""COMPUTED_VALUE"""),"Trần Hoàng Anh")</f>
        <v>Trần Hoàng Anh</v>
      </c>
      <c r="AE85" s="1" t="str">
        <f ca="1">IFERROR(__xludf.DUMMYFUNCTION("""COMPUTED_VALUE"""),"Thạc sĩ")</f>
        <v>Thạc sĩ</v>
      </c>
      <c r="AF85" s="1" t="str">
        <f ca="1">IFERROR(__xludf.DUMMYFUNCTION("""COMPUTED_VALUE"""),"0906 029 602")</f>
        <v>0906 029 602</v>
      </c>
      <c r="AG85" s="1" t="str">
        <f ca="1">IFERROR(__xludf.DUMMYFUNCTION("""COMPUTED_VALUE"""),"tranhoanganh@dtu-hti.edu.vn")</f>
        <v>tranhoanganh@dtu-hti.edu.vn</v>
      </c>
      <c r="AH85" s="1" t="str">
        <f ca="1">IFERROR(__xludf.DUMMYFUNCTION("""COMPUTED_VALUE"""),"Báo cáo kết quả thực tập và thực trạng chất lượng đội ngũ lao động tại bộ phận lễ tân Peninsula Hotel Da Nang")</f>
        <v>Báo cáo kết quả thực tập và thực trạng chất lượng đội ngũ lao động tại bộ phận lễ tân Peninsula Hotel Da Nang</v>
      </c>
      <c r="AI85" s="1"/>
    </row>
    <row r="86" spans="1:35" x14ac:dyDescent="0.2">
      <c r="A86" s="3">
        <f ca="1">IFERROR(__xludf.DUMMYFUNCTION("""COMPUTED_VALUE"""),45995.4533053587)</f>
        <v>45995.4533053587</v>
      </c>
      <c r="B86" s="1" t="str">
        <f ca="1">IFERROR(__xludf.DUMMYFUNCTION("""COMPUTED_VALUE"""),"lhogtien@gmail.com")</f>
        <v>lhogtien@gmail.com</v>
      </c>
      <c r="C86" s="1">
        <f ca="1">IFERROR(__xludf.DUMMYFUNCTION("""COMPUTED_VALUE"""),28208039850)</f>
        <v>28208039850</v>
      </c>
      <c r="D86" s="1" t="str">
        <f ca="1">IFERROR(__xludf.DUMMYFUNCTION("""COMPUTED_VALUE"""),"Lê Hồng Tiên")</f>
        <v>Lê Hồng Tiên</v>
      </c>
      <c r="E86" s="1"/>
      <c r="F86" s="1" t="str">
        <f ca="1">IFERROR(__xludf.DUMMYFUNCTION("""COMPUTED_VALUE"""),"K28DLK3")</f>
        <v>K28DLK3</v>
      </c>
      <c r="G86" s="1" t="str">
        <f ca="1">IFERROR(__xludf.DUMMYFUNCTION("""COMPUTED_VALUE"""),"Quản trị Du lịch &amp; Khách sạn")</f>
        <v>Quản trị Du lịch &amp; Khách sạn</v>
      </c>
      <c r="H86" s="1" t="str">
        <f ca="1">IFERROR(__xludf.DUMMYFUNCTION("""COMPUTED_VALUE"""),"K28")</f>
        <v>K28</v>
      </c>
      <c r="I86" s="1" t="str">
        <f ca="1">IFERROR(__xludf.DUMMYFUNCTION("""COMPUTED_VALUE"""),"0945374253")</f>
        <v>0945374253</v>
      </c>
      <c r="J86" s="1">
        <f ca="1">IFERROR(__xludf.DUMMYFUNCTION("""COMPUTED_VALUE"""),3.41)</f>
        <v>3.41</v>
      </c>
      <c r="K86" s="1">
        <f ca="1">IFERROR(__xludf.DUMMYFUNCTION("""COMPUTED_VALUE"""),113)</f>
        <v>113</v>
      </c>
      <c r="L86" s="1" t="str">
        <f ca="1">IFERROR(__xludf.DUMMYFUNCTION("""COMPUTED_VALUE"""),"Rồi")</f>
        <v>Rồi</v>
      </c>
      <c r="M86" s="1" t="str">
        <f ca="1">IFERROR(__xludf.DUMMYFUNCTION("""COMPUTED_VALUE"""),"Thực tập tốt nghiệp, Thi tốt nghiệp, Công nhận tốt nghiệp")</f>
        <v>Thực tập tốt nghiệp, Thi tốt nghiệp, Công nhận tốt nghiệp</v>
      </c>
      <c r="N86" s="1">
        <f ca="1">IFERROR(__xludf.DUMMYFUNCTION("""COMPUTED_VALUE"""),11)</f>
        <v>11</v>
      </c>
      <c r="O86" s="1" t="str">
        <f ca="1">IFERROR(__xludf.DUMMYFUNCTION("""COMPUTED_VALUE"""),"cam kết")</f>
        <v>cam kết</v>
      </c>
      <c r="P86" s="1"/>
      <c r="Q86" s="1"/>
      <c r="R86" s="1" t="str">
        <f ca="1">IFERROR(__xludf.DUMMYFUNCTION("""COMPUTED_VALUE"""),"18/12/2025")</f>
        <v>18/12/2025</v>
      </c>
      <c r="S86" s="1" t="str">
        <f ca="1">IFERROR(__xludf.DUMMYFUNCTION("""COMPUTED_VALUE"""),"thực tập TN, Thi TN")</f>
        <v>thực tập TN, Thi TN</v>
      </c>
      <c r="T86" s="1" t="str">
        <f ca="1">IFERROR(__xludf.DUMMYFUNCTION("""COMPUTED_VALUE"""),"Đã email cấp giấy giới thiệu ngày 18/12/2025")</f>
        <v>Đã email cấp giấy giới thiệu ngày 18/12/2025</v>
      </c>
      <c r="U86" s="1"/>
      <c r="V86" s="1"/>
      <c r="W86" s="1" t="str">
        <f ca="1">IFERROR(__xludf.DUMMYFUNCTION("""COMPUTED_VALUE"""),"K28DLK3")</f>
        <v>K28DLK3</v>
      </c>
      <c r="X86" s="1"/>
      <c r="Y86" s="1" t="str">
        <f ca="1">IFERROR(__xludf.DUMMYFUNCTION("""COMPUTED_VALUE"""),"Hyatt Regency Danang Resort and Spa")</f>
        <v>Hyatt Regency Danang Resort and Spa</v>
      </c>
      <c r="Z86" s="1" t="str">
        <f ca="1">IFERROR(__xludf.DUMMYFUNCTION("""COMPUTED_VALUE"""),"Lễ Tân Spa")</f>
        <v>Lễ Tân Spa</v>
      </c>
      <c r="AA86" s="1" t="str">
        <f ca="1">IFERROR(__xludf.DUMMYFUNCTION("""COMPUTED_VALUE"""),"DUYỆT")</f>
        <v>DUYỆT</v>
      </c>
      <c r="AB86" s="4">
        <f ca="1">IFERROR(__xludf.DUMMYFUNCTION("""COMPUTED_VALUE"""),46296)</f>
        <v>46296</v>
      </c>
      <c r="AC86" s="1" t="str">
        <f ca="1">IFERROR(__xludf.DUMMYFUNCTION("""COMPUTED_VALUE"""),"BÁO CÁO THỰC TẬP TỐT NGHIỆP")</f>
        <v>BÁO CÁO THỰC TẬP TỐT NGHIỆP</v>
      </c>
      <c r="AD86" s="1" t="str">
        <f ca="1">IFERROR(__xludf.DUMMYFUNCTION("""COMPUTED_VALUE"""),"Phạm Thị Hoàng Dung")</f>
        <v>Phạm Thị Hoàng Dung</v>
      </c>
      <c r="AE86" s="1" t="str">
        <f ca="1">IFERROR(__xludf.DUMMYFUNCTION("""COMPUTED_VALUE"""),"Tiến sĩ")</f>
        <v>Tiến sĩ</v>
      </c>
      <c r="AF86" s="1" t="str">
        <f ca="1">IFERROR(__xludf.DUMMYFUNCTION("""COMPUTED_VALUE"""),"0935 141614")</f>
        <v>0935 141614</v>
      </c>
      <c r="AG86" s="1" t="str">
        <f ca="1">IFERROR(__xludf.DUMMYFUNCTION("""COMPUTED_VALUE"""),"phamthoangdung@duytan.edu.vn")</f>
        <v>phamthoangdung@duytan.edu.vn</v>
      </c>
      <c r="AH86" s="1" t="str">
        <f ca="1">IFERROR(__xludf.DUMMYFUNCTION("""COMPUTED_VALUE"""),"Báo cáo kết quả thực tập và thực trạng về chất lượng đội ngũ lao động của Vie Spa tại Hyatt Recengy Danang Resort and Spa")</f>
        <v>Báo cáo kết quả thực tập và thực trạng về chất lượng đội ngũ lao động của Vie Spa tại Hyatt Recengy Danang Resort and Spa</v>
      </c>
      <c r="AI86" s="1"/>
    </row>
    <row r="87" spans="1:35" x14ac:dyDescent="0.2">
      <c r="A87" s="3">
        <f ca="1">IFERROR(__xludf.DUMMYFUNCTION("""COMPUTED_VALUE"""),45995.4658193865)</f>
        <v>45995.465819386503</v>
      </c>
      <c r="B87" s="1" t="str">
        <f ca="1">IFERROR(__xludf.DUMMYFUNCTION("""COMPUTED_VALUE"""),"thuytutran05@gmail.com")</f>
        <v>thuytutran05@gmail.com</v>
      </c>
      <c r="C87" s="1">
        <f ca="1">IFERROR(__xludf.DUMMYFUNCTION("""COMPUTED_VALUE"""),28208002374)</f>
        <v>28208002374</v>
      </c>
      <c r="D87" s="1" t="str">
        <f ca="1">IFERROR(__xludf.DUMMYFUNCTION("""COMPUTED_VALUE"""),"Trần Thị Thủy Tú")</f>
        <v>Trần Thị Thủy Tú</v>
      </c>
      <c r="E87" s="1"/>
      <c r="F87" s="1" t="str">
        <f ca="1">IFERROR(__xludf.DUMMYFUNCTION("""COMPUTED_VALUE"""),"K28DLK3")</f>
        <v>K28DLK3</v>
      </c>
      <c r="G87" s="1" t="str">
        <f ca="1">IFERROR(__xludf.DUMMYFUNCTION("""COMPUTED_VALUE"""),"Quản trị Du lịch &amp; Khách sạn")</f>
        <v>Quản trị Du lịch &amp; Khách sạn</v>
      </c>
      <c r="H87" s="1" t="str">
        <f ca="1">IFERROR(__xludf.DUMMYFUNCTION("""COMPUTED_VALUE"""),"K28")</f>
        <v>K28</v>
      </c>
      <c r="I87" s="1" t="str">
        <f ca="1">IFERROR(__xludf.DUMMYFUNCTION("""COMPUTED_VALUE"""),"0934807833")</f>
        <v>0934807833</v>
      </c>
      <c r="J87" s="1">
        <f ca="1">IFERROR(__xludf.DUMMYFUNCTION("""COMPUTED_VALUE"""),2.41)</f>
        <v>2.41</v>
      </c>
      <c r="K87" s="1">
        <f ca="1">IFERROR(__xludf.DUMMYFUNCTION("""COMPUTED_VALUE"""),114)</f>
        <v>114</v>
      </c>
      <c r="L87" s="1" t="str">
        <f ca="1">IFERROR(__xludf.DUMMYFUNCTION("""COMPUTED_VALUE"""),"Rồi")</f>
        <v>Rồi</v>
      </c>
      <c r="M87" s="1" t="str">
        <f ca="1">IFERROR(__xludf.DUMMYFUNCTION("""COMPUTED_VALUE"""),"Thực tập tốt nghiệp, Thi tốt nghiệp, Công nhận tốt nghiệp")</f>
        <v>Thực tập tốt nghiệp, Thi tốt nghiệp, Công nhận tốt nghiệp</v>
      </c>
      <c r="N87" s="1">
        <f ca="1">IFERROR(__xludf.DUMMYFUNCTION("""COMPUTED_VALUE"""),16)</f>
        <v>16</v>
      </c>
      <c r="O87" s="1" t="str">
        <f ca="1">IFERROR(__xludf.DUMMYFUNCTION("""COMPUTED_VALUE"""),"cam kết")</f>
        <v>cam kết</v>
      </c>
      <c r="P87" s="1"/>
      <c r="Q87" s="1"/>
      <c r="R87" s="1" t="str">
        <f ca="1">IFERROR(__xludf.DUMMYFUNCTION("""COMPUTED_VALUE"""),"18/12/2025")</f>
        <v>18/12/2025</v>
      </c>
      <c r="S87" s="1" t="str">
        <f ca="1">IFERROR(__xludf.DUMMYFUNCTION("""COMPUTED_VALUE"""),"thực tập TN, Thi TN")</f>
        <v>thực tập TN, Thi TN</v>
      </c>
      <c r="T87" s="1" t="str">
        <f ca="1">IFERROR(__xludf.DUMMYFUNCTION("""COMPUTED_VALUE"""),"Đã email cấp giấy giới thiệu ngày 18/12/2025")</f>
        <v>Đã email cấp giấy giới thiệu ngày 18/12/2025</v>
      </c>
      <c r="U87" s="1"/>
      <c r="V87" s="1"/>
      <c r="W87" s="1" t="str">
        <f ca="1">IFERROR(__xludf.DUMMYFUNCTION("""COMPUTED_VALUE"""),"K28DLK3")</f>
        <v>K28DLK3</v>
      </c>
      <c r="X87" s="1"/>
      <c r="Y87" s="1" t="str">
        <f ca="1">IFERROR(__xludf.DUMMYFUNCTION("""COMPUTED_VALUE"""),"Wyndham Danang Golden Bay Hotel")</f>
        <v>Wyndham Danang Golden Bay Hotel</v>
      </c>
      <c r="Z87" s="1" t="str">
        <f ca="1">IFERROR(__xludf.DUMMYFUNCTION("""COMPUTED_VALUE"""),"Nhà hàng")</f>
        <v>Nhà hàng</v>
      </c>
      <c r="AA87" s="1" t="str">
        <f ca="1">IFERROR(__xludf.DUMMYFUNCTION("""COMPUTED_VALUE"""),"DUYỆT")</f>
        <v>DUYỆT</v>
      </c>
      <c r="AB87" s="1" t="str">
        <f ca="1">IFERROR(__xludf.DUMMYFUNCTION("""COMPUTED_VALUE"""),"22/12/2025")</f>
        <v>22/12/2025</v>
      </c>
      <c r="AC87" s="1" t="str">
        <f ca="1">IFERROR(__xludf.DUMMYFUNCTION("""COMPUTED_VALUE"""),"BÁO CÁO THỰC TẬP TỐT NGHIỆP")</f>
        <v>BÁO CÁO THỰC TẬP TỐT NGHIỆP</v>
      </c>
      <c r="AD87" s="1" t="str">
        <f ca="1">IFERROR(__xludf.DUMMYFUNCTION("""COMPUTED_VALUE"""),"Trần Hoàng Anh")</f>
        <v>Trần Hoàng Anh</v>
      </c>
      <c r="AE87" s="1" t="str">
        <f ca="1">IFERROR(__xludf.DUMMYFUNCTION("""COMPUTED_VALUE"""),"Thạc sĩ")</f>
        <v>Thạc sĩ</v>
      </c>
      <c r="AF87" s="1" t="str">
        <f ca="1">IFERROR(__xludf.DUMMYFUNCTION("""COMPUTED_VALUE"""),"0906 029 602")</f>
        <v>0906 029 602</v>
      </c>
      <c r="AG87" s="1" t="str">
        <f ca="1">IFERROR(__xludf.DUMMYFUNCTION("""COMPUTED_VALUE"""),"tranhoanganh@dtu-hti.edu.vn")</f>
        <v>tranhoanganh@dtu-hti.edu.vn</v>
      </c>
      <c r="AH87" s="1" t="str">
        <f ca="1">IFERROR(__xludf.DUMMYFUNCTION("""COMPUTED_VALUE"""),"Báo cáo kết quả thực tập và thực trạng quy trình phục vụ buffet sáng tại nhà hàng Horizon thuộc khách sạn Wyndham Danang Golden Bay Hotel")</f>
        <v>Báo cáo kết quả thực tập và thực trạng quy trình phục vụ buffet sáng tại nhà hàng Horizon thuộc khách sạn Wyndham Danang Golden Bay Hotel</v>
      </c>
      <c r="AI87" s="1"/>
    </row>
    <row r="88" spans="1:35" x14ac:dyDescent="0.2">
      <c r="A88" s="3">
        <f ca="1">IFERROR(__xludf.DUMMYFUNCTION("""COMPUTED_VALUE"""),45995.5437429861)</f>
        <v>45995.543742986098</v>
      </c>
      <c r="B88" s="1" t="str">
        <f ca="1">IFERROR(__xludf.DUMMYFUNCTION("""COMPUTED_VALUE"""),"myduyen78pyen@gmail.com")</f>
        <v>myduyen78pyen@gmail.com</v>
      </c>
      <c r="C88" s="1">
        <f ca="1">IFERROR(__xludf.DUMMYFUNCTION("""COMPUTED_VALUE"""),28208005640)</f>
        <v>28208005640</v>
      </c>
      <c r="D88" s="1" t="str">
        <f ca="1">IFERROR(__xludf.DUMMYFUNCTION("""COMPUTED_VALUE"""),"Nguyễn Thị Mỹ Duyên")</f>
        <v>Nguyễn Thị Mỹ Duyên</v>
      </c>
      <c r="E88" s="1"/>
      <c r="F88" s="1" t="str">
        <f ca="1">IFERROR(__xludf.DUMMYFUNCTION("""COMPUTED_VALUE"""),"K28DLK5")</f>
        <v>K28DLK5</v>
      </c>
      <c r="G88" s="1" t="str">
        <f ca="1">IFERROR(__xludf.DUMMYFUNCTION("""COMPUTED_VALUE"""),"Quản trị Du lịch &amp; Khách sạn")</f>
        <v>Quản trị Du lịch &amp; Khách sạn</v>
      </c>
      <c r="H88" s="1" t="str">
        <f ca="1">IFERROR(__xludf.DUMMYFUNCTION("""COMPUTED_VALUE"""),"K28")</f>
        <v>K28</v>
      </c>
      <c r="I88" s="1" t="str">
        <f ca="1">IFERROR(__xludf.DUMMYFUNCTION("""COMPUTED_VALUE"""),"0962910274")</f>
        <v>0962910274</v>
      </c>
      <c r="J88" s="1">
        <f ca="1">IFERROR(__xludf.DUMMYFUNCTION("""COMPUTED_VALUE"""),2.63)</f>
        <v>2.63</v>
      </c>
      <c r="K88" s="1">
        <f ca="1">IFERROR(__xludf.DUMMYFUNCTION("""COMPUTED_VALUE"""),107)</f>
        <v>107</v>
      </c>
      <c r="L88" s="1" t="str">
        <f ca="1">IFERROR(__xludf.DUMMYFUNCTION("""COMPUTED_VALUE"""),"Rồi")</f>
        <v>Rồi</v>
      </c>
      <c r="M88" s="1" t="str">
        <f ca="1">IFERROR(__xludf.DUMMYFUNCTION("""COMPUTED_VALUE"""),"Thực tập tốt nghiệp, Thi tốt nghiệp, Công nhận tốt nghiệp")</f>
        <v>Thực tập tốt nghiệp, Thi tốt nghiệp, Công nhận tốt nghiệp</v>
      </c>
      <c r="N88" s="1">
        <f ca="1">IFERROR(__xludf.DUMMYFUNCTION("""COMPUTED_VALUE"""),16)</f>
        <v>16</v>
      </c>
      <c r="O88" s="1" t="str">
        <f ca="1">IFERROR(__xludf.DUMMYFUNCTION("""COMPUTED_VALUE"""),"cam kết")</f>
        <v>cam kết</v>
      </c>
      <c r="P88" s="1"/>
      <c r="Q88" s="1"/>
      <c r="R88" s="1" t="str">
        <f ca="1">IFERROR(__xludf.DUMMYFUNCTION("""COMPUTED_VALUE"""),"18/12/2025")</f>
        <v>18/12/2025</v>
      </c>
      <c r="S88" s="1" t="str">
        <f ca="1">IFERROR(__xludf.DUMMYFUNCTION("""COMPUTED_VALUE"""),"thực tập TN, Thi TN")</f>
        <v>thực tập TN, Thi TN</v>
      </c>
      <c r="T88" s="1" t="str">
        <f ca="1">IFERROR(__xludf.DUMMYFUNCTION("""COMPUTED_VALUE"""),"Đã email cấp giấy giới thiệu ngày 18/12/2025")</f>
        <v>Đã email cấp giấy giới thiệu ngày 18/12/2025</v>
      </c>
      <c r="U88" s="1"/>
      <c r="V88" s="1"/>
      <c r="W88" s="1" t="str">
        <f ca="1">IFERROR(__xludf.DUMMYFUNCTION("""COMPUTED_VALUE"""),"K28DLK5")</f>
        <v>K28DLK5</v>
      </c>
      <c r="X88" s="1"/>
      <c r="Y88" s="1" t="str">
        <f ca="1">IFERROR(__xludf.DUMMYFUNCTION("""COMPUTED_VALUE"""),"Awaken Đà Nẵng")</f>
        <v>Awaken Đà Nẵng</v>
      </c>
      <c r="Z88" s="1" t="str">
        <f ca="1">IFERROR(__xludf.DUMMYFUNCTION("""COMPUTED_VALUE"""),"Nhà hàng")</f>
        <v>Nhà hàng</v>
      </c>
      <c r="AA88" s="1" t="str">
        <f ca="1">IFERROR(__xludf.DUMMYFUNCTION("""COMPUTED_VALUE"""),"DUYỆT")</f>
        <v>DUYỆT</v>
      </c>
      <c r="AB88" s="4">
        <f ca="1">IFERROR(__xludf.DUMMYFUNCTION("""COMPUTED_VALUE"""),46204)</f>
        <v>46204</v>
      </c>
      <c r="AC88" s="1" t="str">
        <f ca="1">IFERROR(__xludf.DUMMYFUNCTION("""COMPUTED_VALUE"""),"BÁO CÁO THỰC TẬP TỐT NGHIỆP")</f>
        <v>BÁO CÁO THỰC TẬP TỐT NGHIỆP</v>
      </c>
      <c r="AD88" s="1" t="str">
        <f ca="1">IFERROR(__xludf.DUMMYFUNCTION("""COMPUTED_VALUE"""),"Đặng Thị Thùy Trang")</f>
        <v>Đặng Thị Thùy Trang</v>
      </c>
      <c r="AE88" s="1" t="str">
        <f ca="1">IFERROR(__xludf.DUMMYFUNCTION("""COMPUTED_VALUE"""),"Thạc sĩ")</f>
        <v>Thạc sĩ</v>
      </c>
      <c r="AF88" s="1" t="str">
        <f ca="1">IFERROR(__xludf.DUMMYFUNCTION("""COMPUTED_VALUE"""),"0327892117")</f>
        <v>0327892117</v>
      </c>
      <c r="AG88" s="1" t="str">
        <f ca="1">IFERROR(__xludf.DUMMYFUNCTION("""COMPUTED_VALUE"""),"dangtthuytrang3@dtu-hti.edu.vn")</f>
        <v>dangtthuytrang3@dtu-hti.edu.vn</v>
      </c>
      <c r="AH88" s="1" t="str">
        <f ca="1">IFERROR(__xludf.DUMMYFUNCTION("""COMPUTED_VALUE"""),"Báo cáo kết quả thực tập và thực trạng các yếu tố ảnh hưởng đến chất lượng phục vụ buffet sáng tại nhà hàng Casa Delight thuộc Awaken Danang Hotel")</f>
        <v>Báo cáo kết quả thực tập và thực trạng các yếu tố ảnh hưởng đến chất lượng phục vụ buffet sáng tại nhà hàng Casa Delight thuộc Awaken Danang Hotel</v>
      </c>
      <c r="AI88" s="1"/>
    </row>
    <row r="89" spans="1:35" x14ac:dyDescent="0.2">
      <c r="A89" s="3">
        <f ca="1">IFERROR(__xludf.DUMMYFUNCTION("""COMPUTED_VALUE"""),45995.5620163888)</f>
        <v>45995.562016388802</v>
      </c>
      <c r="B89" s="1" t="str">
        <f ca="1">IFERROR(__xludf.DUMMYFUNCTION("""COMPUTED_VALUE"""),"mhai342004@gmail.com")</f>
        <v>mhai342004@gmail.com</v>
      </c>
      <c r="C89" s="1">
        <f ca="1">IFERROR(__xludf.DUMMYFUNCTION("""COMPUTED_VALUE"""),28218305990)</f>
        <v>28218305990</v>
      </c>
      <c r="D89" s="1" t="str">
        <f ca="1">IFERROR(__xludf.DUMMYFUNCTION("""COMPUTED_VALUE"""),"Nguyễn Văn Minh Hải")</f>
        <v>Nguyễn Văn Minh Hải</v>
      </c>
      <c r="E89" s="1"/>
      <c r="F89" s="1" t="str">
        <f ca="1">IFERROR(__xludf.DUMMYFUNCTION("""COMPUTED_VALUE"""),"K28PSU DLH")</f>
        <v>K28PSU DLH</v>
      </c>
      <c r="G89" s="1" t="str">
        <f ca="1">IFERROR(__xludf.DUMMYFUNCTION("""COMPUTED_VALUE"""),"Quản trị Du lịch &amp; Nhà hàng chuẩn PSU")</f>
        <v>Quản trị Du lịch &amp; Nhà hàng chuẩn PSU</v>
      </c>
      <c r="H89" s="1" t="str">
        <f ca="1">IFERROR(__xludf.DUMMYFUNCTION("""COMPUTED_VALUE"""),"K28")</f>
        <v>K28</v>
      </c>
      <c r="I89" s="1" t="str">
        <f ca="1">IFERROR(__xludf.DUMMYFUNCTION("""COMPUTED_VALUE"""),"0773900667")</f>
        <v>0773900667</v>
      </c>
      <c r="J89" s="1">
        <f ca="1">IFERROR(__xludf.DUMMYFUNCTION("""COMPUTED_VALUE"""),2.84)</f>
        <v>2.84</v>
      </c>
      <c r="K89" s="1">
        <f ca="1">IFERROR(__xludf.DUMMYFUNCTION("""COMPUTED_VALUE"""),117)</f>
        <v>117</v>
      </c>
      <c r="L89" s="1" t="str">
        <f ca="1">IFERROR(__xludf.DUMMYFUNCTION("""COMPUTED_VALUE"""),"Rồi")</f>
        <v>Rồi</v>
      </c>
      <c r="M89" s="1" t="str">
        <f ca="1">IFERROR(__xludf.DUMMYFUNCTION("""COMPUTED_VALUE"""),"Thực tập tốt nghiệp")</f>
        <v>Thực tập tốt nghiệp</v>
      </c>
      <c r="N89" s="1">
        <f ca="1">IFERROR(__xludf.DUMMYFUNCTION("""COMPUTED_VALUE"""),11)</f>
        <v>11</v>
      </c>
      <c r="O89" s="1" t="str">
        <f ca="1">IFERROR(__xludf.DUMMYFUNCTION("""COMPUTED_VALUE"""),"cam kết")</f>
        <v>cam kết</v>
      </c>
      <c r="P89" s="1"/>
      <c r="Q89" s="1"/>
      <c r="R89" s="1" t="str">
        <f ca="1">IFERROR(__xludf.DUMMYFUNCTION("""COMPUTED_VALUE"""),"18/12/2025")</f>
        <v>18/12/2025</v>
      </c>
      <c r="S89" s="1" t="str">
        <f ca="1">IFERROR(__xludf.DUMMYFUNCTION("""COMPUTED_VALUE"""),"khóa luận TN")</f>
        <v>khóa luận TN</v>
      </c>
      <c r="T89" s="1" t="str">
        <f ca="1">IFERROR(__xludf.DUMMYFUNCTION("""COMPUTED_VALUE"""),"đã email cấp giấy giới thiệu ngày 25/12/2025")</f>
        <v>đã email cấp giấy giới thiệu ngày 25/12/2025</v>
      </c>
      <c r="U89" s="1"/>
      <c r="V89" s="1"/>
      <c r="W89" s="1" t="str">
        <f ca="1">IFERROR(__xludf.DUMMYFUNCTION("""COMPUTED_VALUE"""),"K28PSU-DLH")</f>
        <v>K28PSU-DLH</v>
      </c>
      <c r="X89" s="1"/>
      <c r="Y89" s="1" t="str">
        <f ca="1">IFERROR(__xludf.DUMMYFUNCTION("""COMPUTED_VALUE"""),"Sheraton Phu Quoc Long Beach Resort")</f>
        <v>Sheraton Phu Quoc Long Beach Resort</v>
      </c>
      <c r="Z89" s="1" t="str">
        <f ca="1">IFERROR(__xludf.DUMMYFUNCTION("""COMPUTED_VALUE"""),"Bếp")</f>
        <v>Bếp</v>
      </c>
      <c r="AA89" s="1" t="str">
        <f ca="1">IFERROR(__xludf.DUMMYFUNCTION("""COMPUTED_VALUE"""),"DUYỆT")</f>
        <v>DUYỆT</v>
      </c>
      <c r="AB89" s="1" t="str">
        <f ca="1">IFERROR(__xludf.DUMMYFUNCTION("""COMPUTED_VALUE"""),"xin nộp trễ: 06/02/2026")</f>
        <v>xin nộp trễ: 06/02/2026</v>
      </c>
      <c r="AC89" s="1" t="str">
        <f ca="1">IFERROR(__xludf.DUMMYFUNCTION("""COMPUTED_VALUE"""),"KHÓA LUẬN")</f>
        <v>KHÓA LUẬN</v>
      </c>
      <c r="AD89" s="1" t="str">
        <f ca="1">IFERROR(__xludf.DUMMYFUNCTION("""COMPUTED_VALUE"""),"Mai Thị Thương")</f>
        <v>Mai Thị Thương</v>
      </c>
      <c r="AE89" s="1" t="str">
        <f ca="1">IFERROR(__xludf.DUMMYFUNCTION("""COMPUTED_VALUE"""),"Thạc sĩ")</f>
        <v>Thạc sĩ</v>
      </c>
      <c r="AF89" s="1" t="str">
        <f ca="1">IFERROR(__xludf.DUMMYFUNCTION("""COMPUTED_VALUE"""),"0905767050")</f>
        <v>0905767050</v>
      </c>
      <c r="AG89" s="1" t="str">
        <f ca="1">IFERROR(__xludf.DUMMYFUNCTION("""COMPUTED_VALUE"""),"maithithuong@dtu-hti.edu.vn")</f>
        <v>maithithuong@dtu-hti.edu.vn</v>
      </c>
      <c r="AH89" s="1" t="str">
        <f ca="1">IFERROR(__xludf.DUMMYFUNCTION("""COMPUTED_VALUE"""),"Nghiên cứu các nhân tố ảnh hưởng đến sự hài lòng trong công việc của nhân viên tại Sheraton Phu Quoc Long Beach Resort")</f>
        <v>Nghiên cứu các nhân tố ảnh hưởng đến sự hài lòng trong công việc của nhân viên tại Sheraton Phu Quoc Long Beach Resort</v>
      </c>
      <c r="AI89" s="1"/>
    </row>
    <row r="90" spans="1:35" x14ac:dyDescent="0.2">
      <c r="A90" s="3">
        <f ca="1">IFERROR(__xludf.DUMMYFUNCTION("""COMPUTED_VALUE"""),45995.5648684259)</f>
        <v>45995.564868425899</v>
      </c>
      <c r="B90" s="1" t="str">
        <f ca="1">IFERROR(__xludf.DUMMYFUNCTION("""COMPUTED_VALUE"""),"luongmythinh2004@gmail.com")</f>
        <v>luongmythinh2004@gmail.com</v>
      </c>
      <c r="C90" s="1">
        <f ca="1">IFERROR(__xludf.DUMMYFUNCTION("""COMPUTED_VALUE"""),28208238804)</f>
        <v>28208238804</v>
      </c>
      <c r="D90" s="1" t="str">
        <f ca="1">IFERROR(__xludf.DUMMYFUNCTION("""COMPUTED_VALUE"""),"Lương Mỹ Thịnh")</f>
        <v>Lương Mỹ Thịnh</v>
      </c>
      <c r="E90" s="1"/>
      <c r="F90" s="1" t="str">
        <f ca="1">IFERROR(__xludf.DUMMYFUNCTION("""COMPUTED_VALUE"""),"K28DLK3")</f>
        <v>K28DLK3</v>
      </c>
      <c r="G90" s="1" t="str">
        <f ca="1">IFERROR(__xludf.DUMMYFUNCTION("""COMPUTED_VALUE"""),"Quản trị Du lịch &amp; Khách sạn")</f>
        <v>Quản trị Du lịch &amp; Khách sạn</v>
      </c>
      <c r="H90" s="1" t="str">
        <f ca="1">IFERROR(__xludf.DUMMYFUNCTION("""COMPUTED_VALUE"""),"K28")</f>
        <v>K28</v>
      </c>
      <c r="I90" s="1" t="str">
        <f ca="1">IFERROR(__xludf.DUMMYFUNCTION("""COMPUTED_VALUE"""),"0385915069")</f>
        <v>0385915069</v>
      </c>
      <c r="J90" s="1">
        <f ca="1">IFERROR(__xludf.DUMMYFUNCTION("""COMPUTED_VALUE"""),3.06)</f>
        <v>3.06</v>
      </c>
      <c r="K90" s="1">
        <f ca="1">IFERROR(__xludf.DUMMYFUNCTION("""COMPUTED_VALUE"""),115)</f>
        <v>115</v>
      </c>
      <c r="L90" s="1" t="str">
        <f ca="1">IFERROR(__xludf.DUMMYFUNCTION("""COMPUTED_VALUE"""),"Rồi")</f>
        <v>Rồi</v>
      </c>
      <c r="M90" s="1" t="str">
        <f ca="1">IFERROR(__xludf.DUMMYFUNCTION("""COMPUTED_VALUE"""),"Thực tập tốt nghiệp, Thi tốt nghiệp, Công nhận tốt nghiệp")</f>
        <v>Thực tập tốt nghiệp, Thi tốt nghiệp, Công nhận tốt nghiệp</v>
      </c>
      <c r="N90" s="1">
        <f ca="1">IFERROR(__xludf.DUMMYFUNCTION("""COMPUTED_VALUE"""),11)</f>
        <v>11</v>
      </c>
      <c r="O90" s="1" t="str">
        <f ca="1">IFERROR(__xludf.DUMMYFUNCTION("""COMPUTED_VALUE"""),"cam kết")</f>
        <v>cam kết</v>
      </c>
      <c r="P90" s="1"/>
      <c r="Q90" s="1"/>
      <c r="R90" s="1" t="str">
        <f ca="1">IFERROR(__xludf.DUMMYFUNCTION("""COMPUTED_VALUE"""),"18/12/2025")</f>
        <v>18/12/2025</v>
      </c>
      <c r="S90" s="1" t="str">
        <f ca="1">IFERROR(__xludf.DUMMYFUNCTION("""COMPUTED_VALUE"""),"thực tập TN, Thi TN")</f>
        <v>thực tập TN, Thi TN</v>
      </c>
      <c r="T90" s="1" t="str">
        <f ca="1">IFERROR(__xludf.DUMMYFUNCTION("""COMPUTED_VALUE"""),"Đã email cấp giấy giới thiệu ngày 18/12/2025")</f>
        <v>Đã email cấp giấy giới thiệu ngày 18/12/2025</v>
      </c>
      <c r="U90" s="1"/>
      <c r="V90" s="1"/>
      <c r="W90" s="1" t="str">
        <f ca="1">IFERROR(__xludf.DUMMYFUNCTION("""COMPUTED_VALUE"""),"K28DLK3")</f>
        <v>K28DLK3</v>
      </c>
      <c r="X90" s="1"/>
      <c r="Y90" s="1" t="str">
        <f ca="1">IFERROR(__xludf.DUMMYFUNCTION("""COMPUTED_VALUE"""),"Peninsula Hotel Danang")</f>
        <v>Peninsula Hotel Danang</v>
      </c>
      <c r="Z90" s="1" t="str">
        <f ca="1">IFERROR(__xludf.DUMMYFUNCTION("""COMPUTED_VALUE"""),"Nhà hàng")</f>
        <v>Nhà hàng</v>
      </c>
      <c r="AA90" s="1" t="str">
        <f ca="1">IFERROR(__xludf.DUMMYFUNCTION("""COMPUTED_VALUE"""),"DUYỆT")</f>
        <v>DUYỆT</v>
      </c>
      <c r="AB90" s="1" t="str">
        <f ca="1">IFERROR(__xludf.DUMMYFUNCTION("""COMPUTED_VALUE"""),"26/01/2026")</f>
        <v>26/01/2026</v>
      </c>
      <c r="AC90" s="1" t="str">
        <f ca="1">IFERROR(__xludf.DUMMYFUNCTION("""COMPUTED_VALUE"""),"BÁO CÁO THỰC TẬP TỐT NGHIỆP")</f>
        <v>BÁO CÁO THỰC TẬP TỐT NGHIỆP</v>
      </c>
      <c r="AD90" s="1" t="str">
        <f ca="1">IFERROR(__xludf.DUMMYFUNCTION("""COMPUTED_VALUE"""),"Đặng Thị Thùy Trang")</f>
        <v>Đặng Thị Thùy Trang</v>
      </c>
      <c r="AE90" s="1" t="str">
        <f ca="1">IFERROR(__xludf.DUMMYFUNCTION("""COMPUTED_VALUE"""),"Thạc sĩ")</f>
        <v>Thạc sĩ</v>
      </c>
      <c r="AF90" s="1" t="str">
        <f ca="1">IFERROR(__xludf.DUMMYFUNCTION("""COMPUTED_VALUE"""),"0327892117")</f>
        <v>0327892117</v>
      </c>
      <c r="AG90" s="1" t="str">
        <f ca="1">IFERROR(__xludf.DUMMYFUNCTION("""COMPUTED_VALUE"""),"dangtthuytrang3@dtu-hti.edu.vn")</f>
        <v>dangtthuytrang3@dtu-hti.edu.vn</v>
      </c>
      <c r="AH90" s="1" t="str">
        <f ca="1">IFERROR(__xludf.DUMMYFUNCTION("""COMPUTED_VALUE"""),"Báo cáo kết quả thực tập và thực trạng quy trình phục vụ set menu tại nhà hàng Veranda thuộc Peninsula Hotel Danang")</f>
        <v>Báo cáo kết quả thực tập và thực trạng quy trình phục vụ set menu tại nhà hàng Veranda thuộc Peninsula Hotel Danang</v>
      </c>
      <c r="AI90" s="1"/>
    </row>
    <row r="91" spans="1:35" x14ac:dyDescent="0.2">
      <c r="A91" s="3">
        <f ca="1">IFERROR(__xludf.DUMMYFUNCTION("""COMPUTED_VALUE"""),45995.5779225694)</f>
        <v>45995.577922569399</v>
      </c>
      <c r="B91" s="1" t="str">
        <f ca="1">IFERROR(__xludf.DUMMYFUNCTION("""COMPUTED_VALUE"""),"phi27102003@gmail.com")</f>
        <v>phi27102003@gmail.com</v>
      </c>
      <c r="C91" s="1">
        <f ca="1">IFERROR(__xludf.DUMMYFUNCTION("""COMPUTED_VALUE"""),28208004696)</f>
        <v>28208004696</v>
      </c>
      <c r="D91" s="1" t="str">
        <f ca="1">IFERROR(__xludf.DUMMYFUNCTION("""COMPUTED_VALUE"""),"Phạm Thị Mai Phi ")</f>
        <v xml:space="preserve">Phạm Thị Mai Phi </v>
      </c>
      <c r="E91" s="1"/>
      <c r="F91" s="1" t="str">
        <f ca="1">IFERROR(__xludf.DUMMYFUNCTION("""COMPUTED_VALUE"""),"K28DLK7 ")</f>
        <v xml:space="preserve">K28DLK7 </v>
      </c>
      <c r="G91" s="1" t="str">
        <f ca="1">IFERROR(__xludf.DUMMYFUNCTION("""COMPUTED_VALUE"""),"Quản trị Du lịch &amp; Khách sạn")</f>
        <v>Quản trị Du lịch &amp; Khách sạn</v>
      </c>
      <c r="H91" s="1" t="str">
        <f ca="1">IFERROR(__xludf.DUMMYFUNCTION("""COMPUTED_VALUE"""),"K28")</f>
        <v>K28</v>
      </c>
      <c r="I91" s="1" t="str">
        <f ca="1">IFERROR(__xludf.DUMMYFUNCTION("""COMPUTED_VALUE"""),"0365750708")</f>
        <v>0365750708</v>
      </c>
      <c r="J91" s="1">
        <f ca="1">IFERROR(__xludf.DUMMYFUNCTION("""COMPUTED_VALUE"""),3.66)</f>
        <v>3.66</v>
      </c>
      <c r="K91" s="1">
        <f ca="1">IFERROR(__xludf.DUMMYFUNCTION("""COMPUTED_VALUE"""),116)</f>
        <v>116</v>
      </c>
      <c r="L91" s="1" t="str">
        <f ca="1">IFERROR(__xludf.DUMMYFUNCTION("""COMPUTED_VALUE"""),"Rồi")</f>
        <v>Rồi</v>
      </c>
      <c r="M91" s="1" t="str">
        <f ca="1">IFERROR(__xludf.DUMMYFUNCTION("""COMPUTED_VALUE"""),"Thực tập tốt nghiệp, Thi tốt nghiệp, Công nhận tốt nghiệp")</f>
        <v>Thực tập tốt nghiệp, Thi tốt nghiệp, Công nhận tốt nghiệp</v>
      </c>
      <c r="N91" s="1">
        <f ca="1">IFERROR(__xludf.DUMMYFUNCTION("""COMPUTED_VALUE"""),7)</f>
        <v>7</v>
      </c>
      <c r="O91" s="1" t="str">
        <f ca="1">IFERROR(__xludf.DUMMYFUNCTION("""COMPUTED_VALUE"""),"cam kết")</f>
        <v>cam kết</v>
      </c>
      <c r="P91" s="1"/>
      <c r="Q91" s="1"/>
      <c r="R91" s="1" t="str">
        <f ca="1">IFERROR(__xludf.DUMMYFUNCTION("""COMPUTED_VALUE"""),"18/12/2025")</f>
        <v>18/12/2025</v>
      </c>
      <c r="S91" s="1" t="str">
        <f ca="1">IFERROR(__xludf.DUMMYFUNCTION("""COMPUTED_VALUE"""),"thực tập TN, Thi TN")</f>
        <v>thực tập TN, Thi TN</v>
      </c>
      <c r="T91" s="1" t="str">
        <f ca="1">IFERROR(__xludf.DUMMYFUNCTION("""COMPUTED_VALUE"""),"Đã email cấp giấy giới thiệu ngày 18/12/2025")</f>
        <v>Đã email cấp giấy giới thiệu ngày 18/12/2025</v>
      </c>
      <c r="U91" s="1" t="str">
        <f ca="1">IFERROR(__xludf.DUMMYFUNCTION("""COMPUTED_VALUE"""),"Sv đã nộp đơn chuyển KL - CĐ")</f>
        <v>Sv đã nộp đơn chuyển KL - CĐ</v>
      </c>
      <c r="V91" s="1"/>
      <c r="W91" s="1" t="str">
        <f ca="1">IFERROR(__xludf.DUMMYFUNCTION("""COMPUTED_VALUE"""),"K28DLK7")</f>
        <v>K28DLK7</v>
      </c>
      <c r="X91" s="1"/>
      <c r="Y91" s="1" t="str">
        <f ca="1">IFERROR(__xludf.DUMMYFUNCTION("""COMPUTED_VALUE"""),"Sheraton Phu Quoc Long Beach Resort ")</f>
        <v xml:space="preserve">Sheraton Phu Quoc Long Beach Resort </v>
      </c>
      <c r="Z91" s="1" t="str">
        <f ca="1">IFERROR(__xludf.DUMMYFUNCTION("""COMPUTED_VALUE"""),"Bar")</f>
        <v>Bar</v>
      </c>
      <c r="AA91" s="1" t="str">
        <f ca="1">IFERROR(__xludf.DUMMYFUNCTION("""COMPUTED_VALUE"""),"DUYỆT")</f>
        <v>DUYỆT</v>
      </c>
      <c r="AB91" s="1" t="str">
        <f ca="1">IFERROR(__xludf.DUMMYFUNCTION("""COMPUTED_VALUE"""),"23/01/2026")</f>
        <v>23/01/2026</v>
      </c>
      <c r="AC91" s="1" t="str">
        <f ca="1">IFERROR(__xludf.DUMMYFUNCTION("""COMPUTED_VALUE"""),"BÁO CÁO THỰC TẬP TỐT NGHIỆP")</f>
        <v>BÁO CÁO THỰC TẬP TỐT NGHIỆP</v>
      </c>
      <c r="AD91" s="1" t="str">
        <f ca="1">IFERROR(__xludf.DUMMYFUNCTION("""COMPUTED_VALUE"""),"Dương Thị Xuân Diệu")</f>
        <v>Dương Thị Xuân Diệu</v>
      </c>
      <c r="AE91" s="1" t="str">
        <f ca="1">IFERROR(__xludf.DUMMYFUNCTION("""COMPUTED_VALUE"""),"Thạc sĩ")</f>
        <v>Thạc sĩ</v>
      </c>
      <c r="AF91" s="1" t="str">
        <f ca="1">IFERROR(__xludf.DUMMYFUNCTION("""COMPUTED_VALUE"""),"0905938748")</f>
        <v>0905938748</v>
      </c>
      <c r="AG91" s="1" t="str">
        <f ca="1">IFERROR(__xludf.DUMMYFUNCTION("""COMPUTED_VALUE"""),"duongtxuandieu@dtu-hti.edu.vn")</f>
        <v>duongtxuandieu@dtu-hti.edu.vn</v>
      </c>
      <c r="AH91" s="1" t="str">
        <f ca="1">IFERROR(__xludf.DUMMYFUNCTION("""COMPUTED_VALUE"""),"Báo cáo kết quả thực tập và thực trạng quy trình pha chế đồ uống tại Tropical Bar thuộc Sheraton Phú Quốc Long Beach Resort")</f>
        <v>Báo cáo kết quả thực tập và thực trạng quy trình pha chế đồ uống tại Tropical Bar thuộc Sheraton Phú Quốc Long Beach Resort</v>
      </c>
      <c r="AI91" s="1"/>
    </row>
    <row r="92" spans="1:35" x14ac:dyDescent="0.2">
      <c r="A92" s="3">
        <f ca="1">IFERROR(__xludf.DUMMYFUNCTION("""COMPUTED_VALUE"""),45995.6347113078)</f>
        <v>45995.634711307801</v>
      </c>
      <c r="B92" s="1" t="str">
        <f ca="1">IFERROR(__xludf.DUMMYFUNCTION("""COMPUTED_VALUE"""),"vothilehuyen11102004@gmail.com")</f>
        <v>vothilehuyen11102004@gmail.com</v>
      </c>
      <c r="C92" s="1">
        <f ca="1">IFERROR(__xludf.DUMMYFUNCTION("""COMPUTED_VALUE"""),28204502696)</f>
        <v>28204502696</v>
      </c>
      <c r="D92" s="1" t="str">
        <f ca="1">IFERROR(__xludf.DUMMYFUNCTION("""COMPUTED_VALUE"""),"Võ Thị Lệ Huyền")</f>
        <v>Võ Thị Lệ Huyền</v>
      </c>
      <c r="E92" s="1"/>
      <c r="F92" s="1" t="str">
        <f ca="1">IFERROR(__xludf.DUMMYFUNCTION("""COMPUTED_VALUE"""),"K28DLK1")</f>
        <v>K28DLK1</v>
      </c>
      <c r="G92" s="1" t="str">
        <f ca="1">IFERROR(__xludf.DUMMYFUNCTION("""COMPUTED_VALUE"""),"Quản trị Du lịch &amp; Khách sạn")</f>
        <v>Quản trị Du lịch &amp; Khách sạn</v>
      </c>
      <c r="H92" s="1" t="str">
        <f ca="1">IFERROR(__xludf.DUMMYFUNCTION("""COMPUTED_VALUE"""),"K28")</f>
        <v>K28</v>
      </c>
      <c r="I92" s="1" t="str">
        <f ca="1">IFERROR(__xludf.DUMMYFUNCTION("""COMPUTED_VALUE"""),"0869265590")</f>
        <v>0869265590</v>
      </c>
      <c r="J92" s="1">
        <f ca="1">IFERROR(__xludf.DUMMYFUNCTION("""COMPUTED_VALUE"""),2.85)</f>
        <v>2.85</v>
      </c>
      <c r="K92" s="1">
        <f ca="1">IFERROR(__xludf.DUMMYFUNCTION("""COMPUTED_VALUE"""),113)</f>
        <v>113</v>
      </c>
      <c r="L92" s="1" t="str">
        <f ca="1">IFERROR(__xludf.DUMMYFUNCTION("""COMPUTED_VALUE"""),"Rồi")</f>
        <v>Rồi</v>
      </c>
      <c r="M92" s="1" t="str">
        <f ca="1">IFERROR(__xludf.DUMMYFUNCTION("""COMPUTED_VALUE"""),"Thực tập tốt nghiệp, Thi tốt nghiệp, Công nhận tốt nghiệp")</f>
        <v>Thực tập tốt nghiệp, Thi tốt nghiệp, Công nhận tốt nghiệp</v>
      </c>
      <c r="N92" s="1">
        <f ca="1">IFERROR(__xludf.DUMMYFUNCTION("""COMPUTED_VALUE"""),9)</f>
        <v>9</v>
      </c>
      <c r="O92" s="1" t="str">
        <f ca="1">IFERROR(__xludf.DUMMYFUNCTION("""COMPUTED_VALUE"""),"cam kết")</f>
        <v>cam kết</v>
      </c>
      <c r="P92" s="1"/>
      <c r="Q92" s="1"/>
      <c r="R92" s="1" t="str">
        <f ca="1">IFERROR(__xludf.DUMMYFUNCTION("""COMPUTED_VALUE"""),"18/12/2025")</f>
        <v>18/12/2025</v>
      </c>
      <c r="S92" s="1" t="str">
        <f ca="1">IFERROR(__xludf.DUMMYFUNCTION("""COMPUTED_VALUE"""),"thực tập TN, Thi TN")</f>
        <v>thực tập TN, Thi TN</v>
      </c>
      <c r="T92" s="1" t="str">
        <f ca="1">IFERROR(__xludf.DUMMYFUNCTION("""COMPUTED_VALUE"""),"Đã email cấp giấy giới thiệu ngày 18/12/2025")</f>
        <v>Đã email cấp giấy giới thiệu ngày 18/12/2025</v>
      </c>
      <c r="U92" s="1"/>
      <c r="V92" s="1"/>
      <c r="W92" s="1" t="str">
        <f ca="1">IFERROR(__xludf.DUMMYFUNCTION("""COMPUTED_VALUE"""),"K28DLK1")</f>
        <v>K28DLK1</v>
      </c>
      <c r="X92" s="1"/>
      <c r="Y92" s="1" t="str">
        <f ca="1">IFERROR(__xludf.DUMMYFUNCTION("""COMPUTED_VALUE"""),"Grand Mercure Danang")</f>
        <v>Grand Mercure Danang</v>
      </c>
      <c r="Z92" s="1" t="str">
        <f ca="1">IFERROR(__xludf.DUMMYFUNCTION("""COMPUTED_VALUE"""),"Nhà hàng")</f>
        <v>Nhà hàng</v>
      </c>
      <c r="AA92" s="1" t="str">
        <f ca="1">IFERROR(__xludf.DUMMYFUNCTION("""COMPUTED_VALUE"""),"DUYỆT")</f>
        <v>DUYỆT</v>
      </c>
      <c r="AB92" s="1" t="str">
        <f ca="1">IFERROR(__xludf.DUMMYFUNCTION("""COMPUTED_VALUE"""),"31/12/2025")</f>
        <v>31/12/2025</v>
      </c>
      <c r="AC92" s="1" t="str">
        <f ca="1">IFERROR(__xludf.DUMMYFUNCTION("""COMPUTED_VALUE"""),"BÁO CÁO THỰC TẬP TỐT NGHIỆP")</f>
        <v>BÁO CÁO THỰC TẬP TỐT NGHIỆP</v>
      </c>
      <c r="AD92" s="1" t="str">
        <f ca="1">IFERROR(__xludf.DUMMYFUNCTION("""COMPUTED_VALUE"""),"Trần Hoàng Anh")</f>
        <v>Trần Hoàng Anh</v>
      </c>
      <c r="AE92" s="1" t="str">
        <f ca="1">IFERROR(__xludf.DUMMYFUNCTION("""COMPUTED_VALUE"""),"Thạc sĩ")</f>
        <v>Thạc sĩ</v>
      </c>
      <c r="AF92" s="1" t="str">
        <f ca="1">IFERROR(__xludf.DUMMYFUNCTION("""COMPUTED_VALUE"""),"0906 029 602")</f>
        <v>0906 029 602</v>
      </c>
      <c r="AG92" s="1" t="str">
        <f ca="1">IFERROR(__xludf.DUMMYFUNCTION("""COMPUTED_VALUE"""),"tranhoanganh@dtu-hti.edu.vn")</f>
        <v>tranhoanganh@dtu-hti.edu.vn</v>
      </c>
      <c r="AH92" s="1" t="str">
        <f ca="1">IFERROR(__xludf.DUMMYFUNCTION("""COMPUTED_VALUE"""),"Báo cáo kết quả thực tập và thực trạng quy trình phục vụ buffet sáng tại nhà hàng La Rive Gauche tại khách sạn Grand Mercure Danang")</f>
        <v>Báo cáo kết quả thực tập và thực trạng quy trình phục vụ buffet sáng tại nhà hàng La Rive Gauche tại khách sạn Grand Mercure Danang</v>
      </c>
      <c r="AI92" s="1"/>
    </row>
    <row r="93" spans="1:35" x14ac:dyDescent="0.2">
      <c r="A93" s="3">
        <f ca="1">IFERROR(__xludf.DUMMYFUNCTION("""COMPUTED_VALUE"""),45995.6612114351)</f>
        <v>45995.661211435101</v>
      </c>
      <c r="B93" s="1" t="str">
        <f ca="1">IFERROR(__xludf.DUMMYFUNCTION("""COMPUTED_VALUE"""),"lv2014790@gmail.com")</f>
        <v>lv2014790@gmail.com</v>
      </c>
      <c r="C93" s="1">
        <f ca="1">IFERROR(__xludf.DUMMYFUNCTION("""COMPUTED_VALUE"""),28208004162)</f>
        <v>28208004162</v>
      </c>
      <c r="D93" s="1" t="str">
        <f ca="1">IFERROR(__xludf.DUMMYFUNCTION("""COMPUTED_VALUE"""),"Võ Thị Ngọc Linh")</f>
        <v>Võ Thị Ngọc Linh</v>
      </c>
      <c r="E93" s="1"/>
      <c r="F93" s="1" t="str">
        <f ca="1">IFERROR(__xludf.DUMMYFUNCTION("""COMPUTED_VALUE"""),"K28DLK3")</f>
        <v>K28DLK3</v>
      </c>
      <c r="G93" s="1" t="str">
        <f ca="1">IFERROR(__xludf.DUMMYFUNCTION("""COMPUTED_VALUE"""),"Quản trị Du lịch &amp; Khách sạn")</f>
        <v>Quản trị Du lịch &amp; Khách sạn</v>
      </c>
      <c r="H93" s="1" t="str">
        <f ca="1">IFERROR(__xludf.DUMMYFUNCTION("""COMPUTED_VALUE"""),"K28")</f>
        <v>K28</v>
      </c>
      <c r="I93" s="1" t="str">
        <f ca="1">IFERROR(__xludf.DUMMYFUNCTION("""COMPUTED_VALUE"""),"0867624480")</f>
        <v>0867624480</v>
      </c>
      <c r="J93" s="1">
        <f ca="1">IFERROR(__xludf.DUMMYFUNCTION("""COMPUTED_VALUE"""),2.67)</f>
        <v>2.67</v>
      </c>
      <c r="K93" s="1">
        <f ca="1">IFERROR(__xludf.DUMMYFUNCTION("""COMPUTED_VALUE"""),112)</f>
        <v>112</v>
      </c>
      <c r="L93" s="1" t="str">
        <f ca="1">IFERROR(__xludf.DUMMYFUNCTION("""COMPUTED_VALUE"""),"Rồi")</f>
        <v>Rồi</v>
      </c>
      <c r="M93" s="1" t="str">
        <f ca="1">IFERROR(__xludf.DUMMYFUNCTION("""COMPUTED_VALUE"""),"Thực tập tốt nghiệp, Thi tốt nghiệp, Công nhận tốt nghiệp")</f>
        <v>Thực tập tốt nghiệp, Thi tốt nghiệp, Công nhận tốt nghiệp</v>
      </c>
      <c r="N93" s="1">
        <f ca="1">IFERROR(__xludf.DUMMYFUNCTION("""COMPUTED_VALUE"""),15)</f>
        <v>15</v>
      </c>
      <c r="O93" s="1" t="str">
        <f ca="1">IFERROR(__xludf.DUMMYFUNCTION("""COMPUTED_VALUE"""),"cam kết")</f>
        <v>cam kết</v>
      </c>
      <c r="P93" s="1"/>
      <c r="Q93" s="1"/>
      <c r="R93" s="1" t="str">
        <f ca="1">IFERROR(__xludf.DUMMYFUNCTION("""COMPUTED_VALUE"""),"18/12/2025")</f>
        <v>18/12/2025</v>
      </c>
      <c r="S93" s="1" t="str">
        <f ca="1">IFERROR(__xludf.DUMMYFUNCTION("""COMPUTED_VALUE"""),"thực tập TN, Thi TN")</f>
        <v>thực tập TN, Thi TN</v>
      </c>
      <c r="T93" s="1" t="str">
        <f ca="1">IFERROR(__xludf.DUMMYFUNCTION("""COMPUTED_VALUE"""),"Đã email cấp giấy giới thiệu ngày 18/12/2025")</f>
        <v>Đã email cấp giấy giới thiệu ngày 18/12/2025</v>
      </c>
      <c r="U93" s="1"/>
      <c r="V93" s="1"/>
      <c r="W93" s="1" t="str">
        <f ca="1">IFERROR(__xludf.DUMMYFUNCTION("""COMPUTED_VALUE"""),"K28DLK3")</f>
        <v>K28DLK3</v>
      </c>
      <c r="X93" s="1"/>
      <c r="Y93" s="1" t="str">
        <f ca="1">IFERROR(__xludf.DUMMYFUNCTION("""COMPUTED_VALUE"""),"Rosamia Da Nang Hotel")</f>
        <v>Rosamia Da Nang Hotel</v>
      </c>
      <c r="Z93" s="1" t="str">
        <f ca="1">IFERROR(__xludf.DUMMYFUNCTION("""COMPUTED_VALUE"""),"Nhà hàng")</f>
        <v>Nhà hàng</v>
      </c>
      <c r="AA93" s="1" t="str">
        <f ca="1">IFERROR(__xludf.DUMMYFUNCTION("""COMPUTED_VALUE"""),"DUYỆT")</f>
        <v>DUYỆT</v>
      </c>
      <c r="AB93" s="4">
        <f ca="1">IFERROR(__xludf.DUMMYFUNCTION("""COMPUTED_VALUE"""),46235)</f>
        <v>46235</v>
      </c>
      <c r="AC93" s="1" t="str">
        <f ca="1">IFERROR(__xludf.DUMMYFUNCTION("""COMPUTED_VALUE"""),"BÁO CÁO THỰC TẬP TỐT NGHIỆP")</f>
        <v>BÁO CÁO THỰC TẬP TỐT NGHIỆP</v>
      </c>
      <c r="AD93" s="1" t="str">
        <f ca="1">IFERROR(__xludf.DUMMYFUNCTION("""COMPUTED_VALUE"""),"Mai Thị Thương")</f>
        <v>Mai Thị Thương</v>
      </c>
      <c r="AE93" s="1" t="str">
        <f ca="1">IFERROR(__xludf.DUMMYFUNCTION("""COMPUTED_VALUE"""),"Thạc sĩ")</f>
        <v>Thạc sĩ</v>
      </c>
      <c r="AF93" s="1" t="str">
        <f ca="1">IFERROR(__xludf.DUMMYFUNCTION("""COMPUTED_VALUE"""),"0905767050")</f>
        <v>0905767050</v>
      </c>
      <c r="AG93" s="1" t="str">
        <f ca="1">IFERROR(__xludf.DUMMYFUNCTION("""COMPUTED_VALUE"""),"maithithuong@dtu-hti.edu.vn")</f>
        <v>maithithuong@dtu-hti.edu.vn</v>
      </c>
      <c r="AH93" s="1" t="str">
        <f ca="1">IFERROR(__xludf.DUMMYFUNCTION("""COMPUTED_VALUE"""),"Ngọc Linh: Báo cáo kết quả thực tập và thực trạng về chất lượng đội ngũ lao động tại nhà hàng Marina thuộc Rosamia Da Nang Hotel")</f>
        <v>Ngọc Linh: Báo cáo kết quả thực tập và thực trạng về chất lượng đội ngũ lao động tại nhà hàng Marina thuộc Rosamia Da Nang Hotel</v>
      </c>
      <c r="AI93" s="1"/>
    </row>
    <row r="94" spans="1:35" x14ac:dyDescent="0.2">
      <c r="A94" s="3">
        <f ca="1">IFERROR(__xludf.DUMMYFUNCTION("""COMPUTED_VALUE"""),45995.7093277199)</f>
        <v>45995.709327719902</v>
      </c>
      <c r="B94" s="1" t="str">
        <f ca="1">IFERROR(__xludf.DUMMYFUNCTION("""COMPUTED_VALUE"""),"nhanguyen041004@gmail.com")</f>
        <v>nhanguyen041004@gmail.com</v>
      </c>
      <c r="C94" s="1">
        <f ca="1">IFERROR(__xludf.DUMMYFUNCTION("""COMPUTED_VALUE"""),28218046280)</f>
        <v>28218046280</v>
      </c>
      <c r="D94" s="1" t="str">
        <f ca="1">IFERROR(__xludf.DUMMYFUNCTION("""COMPUTED_VALUE"""),"Nguyễn Thành Nhân")</f>
        <v>Nguyễn Thành Nhân</v>
      </c>
      <c r="E94" s="1"/>
      <c r="F94" s="1" t="str">
        <f ca="1">IFERROR(__xludf.DUMMYFUNCTION("""COMPUTED_VALUE"""),"K28DLK5")</f>
        <v>K28DLK5</v>
      </c>
      <c r="G94" s="1" t="str">
        <f ca="1">IFERROR(__xludf.DUMMYFUNCTION("""COMPUTED_VALUE"""),"Quản trị Du lịch &amp; Khách sạn")</f>
        <v>Quản trị Du lịch &amp; Khách sạn</v>
      </c>
      <c r="H94" s="1" t="str">
        <f ca="1">IFERROR(__xludf.DUMMYFUNCTION("""COMPUTED_VALUE"""),"K28")</f>
        <v>K28</v>
      </c>
      <c r="I94" s="1" t="str">
        <f ca="1">IFERROR(__xludf.DUMMYFUNCTION("""COMPUTED_VALUE"""),"0798167585")</f>
        <v>0798167585</v>
      </c>
      <c r="J94" s="1">
        <f ca="1">IFERROR(__xludf.DUMMYFUNCTION("""COMPUTED_VALUE"""),2.78)</f>
        <v>2.78</v>
      </c>
      <c r="K94" s="1">
        <f ca="1">IFERROR(__xludf.DUMMYFUNCTION("""COMPUTED_VALUE"""),109)</f>
        <v>109</v>
      </c>
      <c r="L94" s="1" t="str">
        <f ca="1">IFERROR(__xludf.DUMMYFUNCTION("""COMPUTED_VALUE"""),"Rồi")</f>
        <v>Rồi</v>
      </c>
      <c r="M94" s="1" t="str">
        <f ca="1">IFERROR(__xludf.DUMMYFUNCTION("""COMPUTED_VALUE"""),"Thực tập tốt nghiệp, Thi tốt nghiệp, Công nhận tốt nghiệp")</f>
        <v>Thực tập tốt nghiệp, Thi tốt nghiệp, Công nhận tốt nghiệp</v>
      </c>
      <c r="N94" s="1">
        <f ca="1">IFERROR(__xludf.DUMMYFUNCTION("""COMPUTED_VALUE"""),15)</f>
        <v>15</v>
      </c>
      <c r="O94" s="1" t="str">
        <f ca="1">IFERROR(__xludf.DUMMYFUNCTION("""COMPUTED_VALUE"""),"cam kết")</f>
        <v>cam kết</v>
      </c>
      <c r="P94" s="1"/>
      <c r="Q94" s="1"/>
      <c r="R94" s="1" t="str">
        <f ca="1">IFERROR(__xludf.DUMMYFUNCTION("""COMPUTED_VALUE"""),"18/12/2025")</f>
        <v>18/12/2025</v>
      </c>
      <c r="S94" s="1" t="str">
        <f ca="1">IFERROR(__xludf.DUMMYFUNCTION("""COMPUTED_VALUE"""),"thực tập TN, Thi TN")</f>
        <v>thực tập TN, Thi TN</v>
      </c>
      <c r="T94" s="1" t="str">
        <f ca="1">IFERROR(__xludf.DUMMYFUNCTION("""COMPUTED_VALUE"""),"Đã email cấp giấy giới thiệu ngày 18/12/2025")</f>
        <v>Đã email cấp giấy giới thiệu ngày 18/12/2025</v>
      </c>
      <c r="U94" s="1"/>
      <c r="V94" s="1"/>
      <c r="W94" s="1" t="str">
        <f ca="1">IFERROR(__xludf.DUMMYFUNCTION("""COMPUTED_VALUE"""),"K28DLK5")</f>
        <v>K28DLK5</v>
      </c>
      <c r="X94" s="1"/>
      <c r="Y94" s="1" t="str">
        <f ca="1">IFERROR(__xludf.DUMMYFUNCTION("""COMPUTED_VALUE"""),"Awaken Đà Nẵng")</f>
        <v>Awaken Đà Nẵng</v>
      </c>
      <c r="Z94" s="1" t="str">
        <f ca="1">IFERROR(__xludf.DUMMYFUNCTION("""COMPUTED_VALUE"""),"Nhà hàng")</f>
        <v>Nhà hàng</v>
      </c>
      <c r="AA94" s="1" t="str">
        <f ca="1">IFERROR(__xludf.DUMMYFUNCTION("""COMPUTED_VALUE"""),"DUYỆT")</f>
        <v>DUYỆT</v>
      </c>
      <c r="AB94" s="4">
        <f ca="1">IFERROR(__xludf.DUMMYFUNCTION("""COMPUTED_VALUE"""),46204)</f>
        <v>46204</v>
      </c>
      <c r="AC94" s="1" t="str">
        <f ca="1">IFERROR(__xludf.DUMMYFUNCTION("""COMPUTED_VALUE"""),"BÁO CÁO THỰC TẬP TỐT NGHIỆP")</f>
        <v>BÁO CÁO THỰC TẬP TỐT NGHIỆP</v>
      </c>
      <c r="AD94" s="1" t="str">
        <f ca="1">IFERROR(__xludf.DUMMYFUNCTION("""COMPUTED_VALUE"""),"Đặng Thị Thùy Trang")</f>
        <v>Đặng Thị Thùy Trang</v>
      </c>
      <c r="AE94" s="1" t="str">
        <f ca="1">IFERROR(__xludf.DUMMYFUNCTION("""COMPUTED_VALUE"""),"Thạc sĩ")</f>
        <v>Thạc sĩ</v>
      </c>
      <c r="AF94" s="1" t="str">
        <f ca="1">IFERROR(__xludf.DUMMYFUNCTION("""COMPUTED_VALUE"""),"0327892117")</f>
        <v>0327892117</v>
      </c>
      <c r="AG94" s="1" t="str">
        <f ca="1">IFERROR(__xludf.DUMMYFUNCTION("""COMPUTED_VALUE"""),"dangtthuytrang3@dtu-hti.edu.vn")</f>
        <v>dangtthuytrang3@dtu-hti.edu.vn</v>
      </c>
      <c r="AH94" s="1" t="str">
        <f ca="1">IFERROR(__xludf.DUMMYFUNCTION("""COMPUTED_VALUE"""),"Báo cáo kết quả thực tập và thực trạng quy trình phục vụ À La Carte tại nhà hàng Casa Breeze thuộc Awaken Danang Hotel")</f>
        <v>Báo cáo kết quả thực tập và thực trạng quy trình phục vụ À La Carte tại nhà hàng Casa Breeze thuộc Awaken Danang Hotel</v>
      </c>
      <c r="AI94" s="1"/>
    </row>
    <row r="95" spans="1:35" x14ac:dyDescent="0.2">
      <c r="A95" s="3">
        <f ca="1">IFERROR(__xludf.DUMMYFUNCTION("""COMPUTED_VALUE"""),45995.8838578009)</f>
        <v>45995.883857800902</v>
      </c>
      <c r="B95" s="1" t="str">
        <f ca="1">IFERROR(__xludf.DUMMYFUNCTION("""COMPUTED_VALUE"""),"nguyentpthao246@gmail.com")</f>
        <v>nguyentpthao246@gmail.com</v>
      </c>
      <c r="C95" s="1">
        <f ca="1">IFERROR(__xludf.DUMMYFUNCTION("""COMPUTED_VALUE"""),28206132737)</f>
        <v>28206132737</v>
      </c>
      <c r="D95" s="1" t="str">
        <f ca="1">IFERROR(__xludf.DUMMYFUNCTION("""COMPUTED_VALUE"""),"Nguyễn Thị Phương Thảo ")</f>
        <v xml:space="preserve">Nguyễn Thị Phương Thảo </v>
      </c>
      <c r="E95" s="1"/>
      <c r="F95" s="1" t="str">
        <f ca="1">IFERROR(__xludf.DUMMYFUNCTION("""COMPUTED_VALUE"""),"K28DLK2")</f>
        <v>K28DLK2</v>
      </c>
      <c r="G95" s="1" t="str">
        <f ca="1">IFERROR(__xludf.DUMMYFUNCTION("""COMPUTED_VALUE"""),"Quản trị Du lịch &amp; Khách sạn")</f>
        <v>Quản trị Du lịch &amp; Khách sạn</v>
      </c>
      <c r="H95" s="1" t="str">
        <f ca="1">IFERROR(__xludf.DUMMYFUNCTION("""COMPUTED_VALUE"""),"K28")</f>
        <v>K28</v>
      </c>
      <c r="I95" s="1" t="str">
        <f ca="1">IFERROR(__xludf.DUMMYFUNCTION("""COMPUTED_VALUE"""),"0914372554")</f>
        <v>0914372554</v>
      </c>
      <c r="J95" s="1">
        <f ca="1">IFERROR(__xludf.DUMMYFUNCTION("""COMPUTED_VALUE"""),3.38)</f>
        <v>3.38</v>
      </c>
      <c r="K95" s="1">
        <f ca="1">IFERROR(__xludf.DUMMYFUNCTION("""COMPUTED_VALUE"""),120)</f>
        <v>120</v>
      </c>
      <c r="L95" s="1" t="str">
        <f ca="1">IFERROR(__xludf.DUMMYFUNCTION("""COMPUTED_VALUE"""),"Rồi")</f>
        <v>Rồi</v>
      </c>
      <c r="M95" s="1" t="str">
        <f ca="1">IFERROR(__xludf.DUMMYFUNCTION("""COMPUTED_VALUE"""),"Thực tập tốt nghiệp, Thi tốt nghiệp, Công nhận tốt nghiệp")</f>
        <v>Thực tập tốt nghiệp, Thi tốt nghiệp, Công nhận tốt nghiệp</v>
      </c>
      <c r="N95" s="1">
        <f ca="1">IFERROR(__xludf.DUMMYFUNCTION("""COMPUTED_VALUE"""),3)</f>
        <v>3</v>
      </c>
      <c r="O95" s="1" t="str">
        <f ca="1">IFERROR(__xludf.DUMMYFUNCTION("""COMPUTED_VALUE"""),"cam kết")</f>
        <v>cam kết</v>
      </c>
      <c r="P95" s="1"/>
      <c r="Q95" s="1"/>
      <c r="R95" s="1" t="str">
        <f ca="1">IFERROR(__xludf.DUMMYFUNCTION("""COMPUTED_VALUE"""),"18/12/2025")</f>
        <v>18/12/2025</v>
      </c>
      <c r="S95" s="1" t="str">
        <f ca="1">IFERROR(__xludf.DUMMYFUNCTION("""COMPUTED_VALUE"""),"thực tập TN, Thi TN")</f>
        <v>thực tập TN, Thi TN</v>
      </c>
      <c r="T95" s="1" t="str">
        <f ca="1">IFERROR(__xludf.DUMMYFUNCTION("""COMPUTED_VALUE"""),"Đã email cấp giấy giới thiệu ngày 18/12/2025")</f>
        <v>Đã email cấp giấy giới thiệu ngày 18/12/2025</v>
      </c>
      <c r="U95" s="1" t="str">
        <f ca="1">IFERROR(__xludf.DUMMYFUNCTION("""COMPUTED_VALUE"""),"Sv đã nộp đơn chuyển KL - CĐ")</f>
        <v>Sv đã nộp đơn chuyển KL - CĐ</v>
      </c>
      <c r="V95" s="1"/>
      <c r="W95" s="1" t="str">
        <f ca="1">IFERROR(__xludf.DUMMYFUNCTION("""COMPUTED_VALUE"""),"K28DLK2")</f>
        <v>K28DLK2</v>
      </c>
      <c r="X95" s="1"/>
      <c r="Y95" s="1" t="str">
        <f ca="1">IFERROR(__xludf.DUMMYFUNCTION("""COMPUTED_VALUE"""),"New World Hoiana Hotel")</f>
        <v>New World Hoiana Hotel</v>
      </c>
      <c r="Z95" s="1" t="str">
        <f ca="1">IFERROR(__xludf.DUMMYFUNCTION("""COMPUTED_VALUE"""),"Tiền sảnh")</f>
        <v>Tiền sảnh</v>
      </c>
      <c r="AA95" s="1" t="str">
        <f ca="1">IFERROR(__xludf.DUMMYFUNCTION("""COMPUTED_VALUE"""),"DUYỆT")</f>
        <v>DUYỆT</v>
      </c>
      <c r="AB95" s="1" t="str">
        <f ca="1">IFERROR(__xludf.DUMMYFUNCTION("""COMPUTED_VALUE"""),"15/01/2026")</f>
        <v>15/01/2026</v>
      </c>
      <c r="AC95" s="1" t="str">
        <f ca="1">IFERROR(__xludf.DUMMYFUNCTION("""COMPUTED_VALUE"""),"BÁO CÁO THỰC TẬP TỐT NGHIỆP")</f>
        <v>BÁO CÁO THỰC TẬP TỐT NGHIỆP</v>
      </c>
      <c r="AD95" s="1" t="str">
        <f ca="1">IFERROR(__xludf.DUMMYFUNCTION("""COMPUTED_VALUE"""),"Trịnh Thị Kim Chung")</f>
        <v>Trịnh Thị Kim Chung</v>
      </c>
      <c r="AE95" s="1" t="str">
        <f ca="1">IFERROR(__xludf.DUMMYFUNCTION("""COMPUTED_VALUE"""),"Thạc sĩ")</f>
        <v>Thạc sĩ</v>
      </c>
      <c r="AF95" s="1" t="str">
        <f ca="1">IFERROR(__xludf.DUMMYFUNCTION("""COMPUTED_VALUE"""),"0375658728")</f>
        <v>0375658728</v>
      </c>
      <c r="AG95" s="1" t="str">
        <f ca="1">IFERROR(__xludf.DUMMYFUNCTION("""COMPUTED_VALUE"""),"trinhtkimchung@dtu-hti.edu.vn")</f>
        <v>trinhtkimchung@dtu-hti.edu.vn</v>
      </c>
      <c r="AH95" s="1" t="str">
        <f ca="1">IFERROR(__xludf.DUMMYFUNCTION("""COMPUTED_VALUE"""),"Báo cáo kết quả thực tập và thực trạng quy trình đăng ký khách sạn tại bộ phận tiền sảnh thuộc New World Hoiana Hotel ")</f>
        <v xml:space="preserve">Báo cáo kết quả thực tập và thực trạng quy trình đăng ký khách sạn tại bộ phận tiền sảnh thuộc New World Hoiana Hotel </v>
      </c>
      <c r="AI95" s="1"/>
    </row>
    <row r="96" spans="1:35" x14ac:dyDescent="0.2">
      <c r="A96" s="3">
        <f ca="1">IFERROR(__xludf.DUMMYFUNCTION("""COMPUTED_VALUE"""),46003.6795566435)</f>
        <v>46003.679556643503</v>
      </c>
      <c r="B96" s="1" t="str">
        <f ca="1">IFERROR(__xludf.DUMMYFUNCTION("""COMPUTED_VALUE"""),"phungkim3105@gmail.com")</f>
        <v>phungkim3105@gmail.com</v>
      </c>
      <c r="C96" s="1">
        <f ca="1">IFERROR(__xludf.DUMMYFUNCTION("""COMPUTED_VALUE"""),27217133852)</f>
        <v>27217133852</v>
      </c>
      <c r="D96" s="1" t="str">
        <f ca="1">IFERROR(__xludf.DUMMYFUNCTION("""COMPUTED_VALUE"""),"Nguyễn Lê Kim Phụng")</f>
        <v>Nguyễn Lê Kim Phụng</v>
      </c>
      <c r="E96" s="1"/>
      <c r="F96" s="1" t="str">
        <f ca="1">IFERROR(__xludf.DUMMYFUNCTION("""COMPUTED_VALUE"""),"K28DLK2")</f>
        <v>K28DLK2</v>
      </c>
      <c r="G96" s="1" t="str">
        <f ca="1">IFERROR(__xludf.DUMMYFUNCTION("""COMPUTED_VALUE"""),"Quản trị Du lịch &amp; Khách sạn")</f>
        <v>Quản trị Du lịch &amp; Khách sạn</v>
      </c>
      <c r="H96" s="1" t="str">
        <f ca="1">IFERROR(__xludf.DUMMYFUNCTION("""COMPUTED_VALUE"""),"K28")</f>
        <v>K28</v>
      </c>
      <c r="I96" s="1" t="str">
        <f ca="1">IFERROR(__xludf.DUMMYFUNCTION("""COMPUTED_VALUE"""),"0901138722")</f>
        <v>0901138722</v>
      </c>
      <c r="J96" s="1">
        <f ca="1">IFERROR(__xludf.DUMMYFUNCTION("""COMPUTED_VALUE"""),3.52)</f>
        <v>3.52</v>
      </c>
      <c r="K96" s="1">
        <f ca="1">IFERROR(__xludf.DUMMYFUNCTION("""COMPUTED_VALUE"""),126)</f>
        <v>126</v>
      </c>
      <c r="L96" s="1" t="str">
        <f ca="1">IFERROR(__xludf.DUMMYFUNCTION("""COMPUTED_VALUE"""),"Rồi")</f>
        <v>Rồi</v>
      </c>
      <c r="M96" s="1" t="str">
        <f ca="1">IFERROR(__xludf.DUMMYFUNCTION("""COMPUTED_VALUE"""),"Thực tập tốt nghiệp, Thi tốt nghiệp, Công nhận tốt nghiệp")</f>
        <v>Thực tập tốt nghiệp, Thi tốt nghiệp, Công nhận tốt nghiệp</v>
      </c>
      <c r="N96" s="1" t="str">
        <f ca="1">IFERROR(__xludf.DUMMYFUNCTION("""COMPUTED_VALUE"""),"8 tín chỉ ( ở học kỳ 1 năm  2025-2026)")</f>
        <v>8 tín chỉ ( ở học kỳ 1 năm  2025-2026)</v>
      </c>
      <c r="O96" s="1" t="str">
        <f ca="1">IFERROR(__xludf.DUMMYFUNCTION("""COMPUTED_VALUE"""),"cam kết")</f>
        <v>cam kết</v>
      </c>
      <c r="P96" s="1"/>
      <c r="Q96" s="1"/>
      <c r="R96" s="1" t="str">
        <f ca="1">IFERROR(__xludf.DUMMYFUNCTION("""COMPUTED_VALUE"""),"18/12/2025")</f>
        <v>18/12/2025</v>
      </c>
      <c r="S96" s="1" t="str">
        <f ca="1">IFERROR(__xludf.DUMMYFUNCTION("""COMPUTED_VALUE"""),"thực tập TN, Thi TN")</f>
        <v>thực tập TN, Thi TN</v>
      </c>
      <c r="T96" s="1" t="str">
        <f ca="1">IFERROR(__xludf.DUMMYFUNCTION("""COMPUTED_VALUE"""),"Đã email cấp giấy giới thiệu ngày 18/12/2025")</f>
        <v>Đã email cấp giấy giới thiệu ngày 18/12/2025</v>
      </c>
      <c r="U96" s="1"/>
      <c r="V96" s="1"/>
      <c r="W96" s="1" t="str">
        <f ca="1">IFERROR(__xludf.DUMMYFUNCTION("""COMPUTED_VALUE"""),"K28DLK2")</f>
        <v>K28DLK2</v>
      </c>
      <c r="X96" s="1"/>
      <c r="Y96" s="1" t="str">
        <f ca="1">IFERROR(__xludf.DUMMYFUNCTION("""COMPUTED_VALUE"""),"Altara Suites Da Nang")</f>
        <v>Altara Suites Da Nang</v>
      </c>
      <c r="Z96" s="1" t="str">
        <f ca="1">IFERROR(__xludf.DUMMYFUNCTION("""COMPUTED_VALUE"""),"Tiền sảnh")</f>
        <v>Tiền sảnh</v>
      </c>
      <c r="AA96" s="1" t="str">
        <f ca="1">IFERROR(__xludf.DUMMYFUNCTION("""COMPUTED_VALUE"""),"DUYỆT")</f>
        <v>DUYỆT</v>
      </c>
      <c r="AB96" s="1" t="str">
        <f ca="1">IFERROR(__xludf.DUMMYFUNCTION("""COMPUTED_VALUE"""),"19/01/2026")</f>
        <v>19/01/2026</v>
      </c>
      <c r="AC96" s="1" t="str">
        <f ca="1">IFERROR(__xludf.DUMMYFUNCTION("""COMPUTED_VALUE"""),"BÁO CÁO THỰC TẬP TỐT NGHIỆP")</f>
        <v>BÁO CÁO THỰC TẬP TỐT NGHIỆP</v>
      </c>
      <c r="AD96" s="1" t="str">
        <f ca="1">IFERROR(__xludf.DUMMYFUNCTION("""COMPUTED_VALUE"""),"Hồ Sử Minh Tài")</f>
        <v>Hồ Sử Minh Tài</v>
      </c>
      <c r="AE96" s="1" t="str">
        <f ca="1">IFERROR(__xludf.DUMMYFUNCTION("""COMPUTED_VALUE"""),"Thạc sĩ")</f>
        <v>Thạc sĩ</v>
      </c>
      <c r="AF96" s="1" t="str">
        <f ca="1">IFERROR(__xludf.DUMMYFUNCTION("""COMPUTED_VALUE"""),"0905 874 626")</f>
        <v>0905 874 626</v>
      </c>
      <c r="AG96" s="1" t="str">
        <f ca="1">IFERROR(__xludf.DUMMYFUNCTION("""COMPUTED_VALUE"""),"hosminhtai@dtu-hti.edu.vn")</f>
        <v>hosminhtai@dtu-hti.edu.vn</v>
      </c>
      <c r="AH96" s="1" t="str">
        <f ca="1">IFERROR(__xludf.DUMMYFUNCTION("""COMPUTED_VALUE"""),"Đánh giá thực trạng và một số đề xuất hoàn thiện quy trình đăng ký khách sạn tại bộ phận tiền sảnh thuộc khách sạn Altara Suites - chi nhánh tại thành phố Đà Nẵng.")</f>
        <v>Đánh giá thực trạng và một số đề xuất hoàn thiện quy trình đăng ký khách sạn tại bộ phận tiền sảnh thuộc khách sạn Altara Suites - chi nhánh tại thành phố Đà Nẵng.</v>
      </c>
      <c r="AI96" s="1"/>
    </row>
    <row r="97" spans="1:35" x14ac:dyDescent="0.2">
      <c r="A97" s="3">
        <f ca="1">IFERROR(__xludf.DUMMYFUNCTION("""COMPUTED_VALUE"""),45996.3069754976)</f>
        <v>45996.306975497602</v>
      </c>
      <c r="B97" s="1" t="str">
        <f ca="1">IFERROR(__xludf.DUMMYFUNCTION("""COMPUTED_VALUE"""),"trinhtuanphat2604@gmail.com")</f>
        <v>trinhtuanphat2604@gmail.com</v>
      </c>
      <c r="C97" s="1">
        <f ca="1">IFERROR(__xludf.DUMMYFUNCTION("""COMPUTED_VALUE"""),28218304766)</f>
        <v>28218304766</v>
      </c>
      <c r="D97" s="1" t="str">
        <f ca="1">IFERROR(__xludf.DUMMYFUNCTION("""COMPUTED_VALUE"""),"Trịnh Tuấn Phát")</f>
        <v>Trịnh Tuấn Phát</v>
      </c>
      <c r="E97" s="1"/>
      <c r="F97" s="1" t="str">
        <f ca="1">IFERROR(__xludf.DUMMYFUNCTION("""COMPUTED_VALUE"""),"K28 PSU DLH")</f>
        <v>K28 PSU DLH</v>
      </c>
      <c r="G97" s="1" t="str">
        <f ca="1">IFERROR(__xludf.DUMMYFUNCTION("""COMPUTED_VALUE"""),"Quản trị Du lịch &amp; Nhà hàng chuẩn PSU")</f>
        <v>Quản trị Du lịch &amp; Nhà hàng chuẩn PSU</v>
      </c>
      <c r="H97" s="1" t="str">
        <f ca="1">IFERROR(__xludf.DUMMYFUNCTION("""COMPUTED_VALUE"""),"K28")</f>
        <v>K28</v>
      </c>
      <c r="I97" s="1" t="str">
        <f ca="1">IFERROR(__xludf.DUMMYFUNCTION("""COMPUTED_VALUE"""),"0945330823")</f>
        <v>0945330823</v>
      </c>
      <c r="J97" s="1">
        <f ca="1">IFERROR(__xludf.DUMMYFUNCTION("""COMPUTED_VALUE"""),2.77)</f>
        <v>2.77</v>
      </c>
      <c r="K97" s="1">
        <f ca="1">IFERROR(__xludf.DUMMYFUNCTION("""COMPUTED_VALUE"""),117)</f>
        <v>117</v>
      </c>
      <c r="L97" s="1" t="str">
        <f ca="1">IFERROR(__xludf.DUMMYFUNCTION("""COMPUTED_VALUE"""),"Rồi")</f>
        <v>Rồi</v>
      </c>
      <c r="M97" s="1" t="str">
        <f ca="1">IFERROR(__xludf.DUMMYFUNCTION("""COMPUTED_VALUE"""),"Thực tập tốt nghiệp, Thi tốt nghiệp, Công nhận tốt nghiệp")</f>
        <v>Thực tập tốt nghiệp, Thi tốt nghiệp, Công nhận tốt nghiệp</v>
      </c>
      <c r="N97" s="1">
        <f ca="1">IFERROR(__xludf.DUMMYFUNCTION("""COMPUTED_VALUE"""),11)</f>
        <v>11</v>
      </c>
      <c r="O97" s="1" t="str">
        <f ca="1">IFERROR(__xludf.DUMMYFUNCTION("""COMPUTED_VALUE"""),"cam kết")</f>
        <v>cam kết</v>
      </c>
      <c r="P97" s="1"/>
      <c r="Q97" s="1"/>
      <c r="R97" s="1" t="str">
        <f ca="1">IFERROR(__xludf.DUMMYFUNCTION("""COMPUTED_VALUE"""),"18/12/2025")</f>
        <v>18/12/2025</v>
      </c>
      <c r="S97" s="1" t="str">
        <f ca="1">IFERROR(__xludf.DUMMYFUNCTION("""COMPUTED_VALUE"""),"khóa luận TN")</f>
        <v>khóa luận TN</v>
      </c>
      <c r="T97" s="1" t="str">
        <f ca="1">IFERROR(__xludf.DUMMYFUNCTION("""COMPUTED_VALUE"""),"đã email cấp giấy giới thiệu ngày 25/12/2025")</f>
        <v>đã email cấp giấy giới thiệu ngày 25/12/2025</v>
      </c>
      <c r="U97" s="1"/>
      <c r="V97" s="1"/>
      <c r="W97" s="1" t="str">
        <f ca="1">IFERROR(__xludf.DUMMYFUNCTION("""COMPUTED_VALUE"""),"K28PSU-DLH")</f>
        <v>K28PSU-DLH</v>
      </c>
      <c r="X97" s="1"/>
      <c r="Y97" s="1" t="str">
        <f ca="1">IFERROR(__xludf.DUMMYFUNCTION("""COMPUTED_VALUE"""),"Hyatt Regency Danang Resort and Spa")</f>
        <v>Hyatt Regency Danang Resort and Spa</v>
      </c>
      <c r="Z97" s="1" t="str">
        <f ca="1">IFERROR(__xludf.DUMMYFUNCTION("""COMPUTED_VALUE"""),"Nhà hàng")</f>
        <v>Nhà hàng</v>
      </c>
      <c r="AA97" s="1" t="str">
        <f ca="1">IFERROR(__xludf.DUMMYFUNCTION("""COMPUTED_VALUE"""),"DUYỆT")</f>
        <v>DUYỆT</v>
      </c>
      <c r="AB97" s="1" t="str">
        <f ca="1">IFERROR(__xludf.DUMMYFUNCTION("""COMPUTED_VALUE"""),"27/01/2026")</f>
        <v>27/01/2026</v>
      </c>
      <c r="AC97" s="1" t="str">
        <f ca="1">IFERROR(__xludf.DUMMYFUNCTION("""COMPUTED_VALUE"""),"KHÓA LUẬN")</f>
        <v>KHÓA LUẬN</v>
      </c>
      <c r="AD97" s="1" t="str">
        <f ca="1">IFERROR(__xludf.DUMMYFUNCTION("""COMPUTED_VALUE"""),"Trần Thị Mỹ Linh")</f>
        <v>Trần Thị Mỹ Linh</v>
      </c>
      <c r="AE97" s="1" t="str">
        <f ca="1">IFERROR(__xludf.DUMMYFUNCTION("""COMPUTED_VALUE"""),"Tiến sĩ")</f>
        <v>Tiến sĩ</v>
      </c>
      <c r="AF97" s="1" t="str">
        <f ca="1">IFERROR(__xludf.DUMMYFUNCTION("""COMPUTED_VALUE"""),"0975718029")</f>
        <v>0975718029</v>
      </c>
      <c r="AG97" s="1" t="str">
        <f ca="1">IFERROR(__xludf.DUMMYFUNCTION("""COMPUTED_VALUE"""),"trantmylinh5@duytan.edu.vn")</f>
        <v>trantmylinh5@duytan.edu.vn</v>
      </c>
      <c r="AH97" s="1" t="str">
        <f ca="1">IFERROR(__xludf.DUMMYFUNCTION("""COMPUTED_VALUE"""),"Ảnh hưởng lòng tin của khách hàng đối với ChatGPT đến việc ứng dụng AI trong lĩnh vực du lịch và khách sạn tại khách sạn Hyatt Regency Danang Resort and Spa")</f>
        <v>Ảnh hưởng lòng tin của khách hàng đối với ChatGPT đến việc ứng dụng AI trong lĩnh vực du lịch và khách sạn tại khách sạn Hyatt Regency Danang Resort and Spa</v>
      </c>
      <c r="AI97" s="1"/>
    </row>
    <row r="98" spans="1:35" x14ac:dyDescent="0.2">
      <c r="A98" s="3">
        <f ca="1">IFERROR(__xludf.DUMMYFUNCTION("""COMPUTED_VALUE"""),45996.3907090509)</f>
        <v>45996.390709050902</v>
      </c>
      <c r="B98" s="1" t="str">
        <f ca="1">IFERROR(__xludf.DUMMYFUNCTION("""COMPUTED_VALUE"""),"hanguyen5104@gmail.com")</f>
        <v>hanguyen5104@gmail.com</v>
      </c>
      <c r="C98" s="1">
        <f ca="1">IFERROR(__xludf.DUMMYFUNCTION("""COMPUTED_VALUE"""),28208000880)</f>
        <v>28208000880</v>
      </c>
      <c r="D98" s="1" t="str">
        <f ca="1">IFERROR(__xludf.DUMMYFUNCTION("""COMPUTED_VALUE"""),"Nguyễn Thị Việt Hà")</f>
        <v>Nguyễn Thị Việt Hà</v>
      </c>
      <c r="E98" s="1"/>
      <c r="F98" s="1" t="str">
        <f ca="1">IFERROR(__xludf.DUMMYFUNCTION("""COMPUTED_VALUE"""),"K28-DLK2")</f>
        <v>K28-DLK2</v>
      </c>
      <c r="G98" s="1" t="str">
        <f ca="1">IFERROR(__xludf.DUMMYFUNCTION("""COMPUTED_VALUE"""),"Quản trị Du lịch &amp; Khách sạn")</f>
        <v>Quản trị Du lịch &amp; Khách sạn</v>
      </c>
      <c r="H98" s="1" t="str">
        <f ca="1">IFERROR(__xludf.DUMMYFUNCTION("""COMPUTED_VALUE"""),"K28")</f>
        <v>K28</v>
      </c>
      <c r="I98" s="1" t="str">
        <f ca="1">IFERROR(__xludf.DUMMYFUNCTION("""COMPUTED_VALUE"""),"0358 576 451")</f>
        <v>0358 576 451</v>
      </c>
      <c r="J98" s="1">
        <f ca="1">IFERROR(__xludf.DUMMYFUNCTION("""COMPUTED_VALUE"""),3.56)</f>
        <v>3.56</v>
      </c>
      <c r="K98" s="1" t="str">
        <f ca="1">IFERROR(__xludf.DUMMYFUNCTION("""COMPUTED_VALUE"""),"120 tín chỉ")</f>
        <v>120 tín chỉ</v>
      </c>
      <c r="L98" s="1" t="str">
        <f ca="1">IFERROR(__xludf.DUMMYFUNCTION("""COMPUTED_VALUE"""),"Rồi")</f>
        <v>Rồi</v>
      </c>
      <c r="M98" s="1" t="str">
        <f ca="1">IFERROR(__xludf.DUMMYFUNCTION("""COMPUTED_VALUE"""),"Thực tập tốt nghiệp, Thi tốt nghiệp, Công nhận tốt nghiệp")</f>
        <v>Thực tập tốt nghiệp, Thi tốt nghiệp, Công nhận tốt nghiệp</v>
      </c>
      <c r="N98" s="1" t="str">
        <f ca="1">IFERROR(__xludf.DUMMYFUNCTION("""COMPUTED_VALUE"""),"3 tín chỉ")</f>
        <v>3 tín chỉ</v>
      </c>
      <c r="O98" s="1" t="str">
        <f ca="1">IFERROR(__xludf.DUMMYFUNCTION("""COMPUTED_VALUE"""),"cam kết")</f>
        <v>cam kết</v>
      </c>
      <c r="P98" s="1"/>
      <c r="Q98" s="1"/>
      <c r="R98" s="1" t="str">
        <f ca="1">IFERROR(__xludf.DUMMYFUNCTION("""COMPUTED_VALUE"""),"18/12/2025")</f>
        <v>18/12/2025</v>
      </c>
      <c r="S98" s="1" t="str">
        <f ca="1">IFERROR(__xludf.DUMMYFUNCTION("""COMPUTED_VALUE"""),"thực tập TN, Thi TN")</f>
        <v>thực tập TN, Thi TN</v>
      </c>
      <c r="T98" s="1" t="str">
        <f ca="1">IFERROR(__xludf.DUMMYFUNCTION("""COMPUTED_VALUE"""),"Đã email cấp giấy giới thiệu ngày 18/12/2025")</f>
        <v>Đã email cấp giấy giới thiệu ngày 18/12/2025</v>
      </c>
      <c r="U98" s="1"/>
      <c r="V98" s="1"/>
      <c r="W98" s="1" t="str">
        <f ca="1">IFERROR(__xludf.DUMMYFUNCTION("""COMPUTED_VALUE"""),"K28DLK2")</f>
        <v>K28DLK2</v>
      </c>
      <c r="X98" s="1"/>
      <c r="Y98" s="1" t="str">
        <f ca="1">IFERROR(__xludf.DUMMYFUNCTION("""COMPUTED_VALUE"""),"Da Nang Mikazuki Japanese Resorts and Spa")</f>
        <v>Da Nang Mikazuki Japanese Resorts and Spa</v>
      </c>
      <c r="Z98" s="1" t="str">
        <f ca="1">IFERROR(__xludf.DUMMYFUNCTION("""COMPUTED_VALUE"""),"Tiền sảnh")</f>
        <v>Tiền sảnh</v>
      </c>
      <c r="AA98" s="1" t="str">
        <f ca="1">IFERROR(__xludf.DUMMYFUNCTION("""COMPUTED_VALUE"""),"DUYỆT")</f>
        <v>DUYỆT</v>
      </c>
      <c r="AB98" s="1" t="str">
        <f ca="1">IFERROR(__xludf.DUMMYFUNCTION("""COMPUTED_VALUE"""),"23/01/2026")</f>
        <v>23/01/2026</v>
      </c>
      <c r="AC98" s="1" t="str">
        <f ca="1">IFERROR(__xludf.DUMMYFUNCTION("""COMPUTED_VALUE"""),"BÁO CÁO THỰC TẬP TỐT NGHIỆP")</f>
        <v>BÁO CÁO THỰC TẬP TỐT NGHIỆP</v>
      </c>
      <c r="AD98" s="1" t="str">
        <f ca="1">IFERROR(__xludf.DUMMYFUNCTION("""COMPUTED_VALUE"""),"Trịnh Thị Kim Chung")</f>
        <v>Trịnh Thị Kim Chung</v>
      </c>
      <c r="AE98" s="1" t="str">
        <f ca="1">IFERROR(__xludf.DUMMYFUNCTION("""COMPUTED_VALUE"""),"Thạc sĩ")</f>
        <v>Thạc sĩ</v>
      </c>
      <c r="AF98" s="1" t="str">
        <f ca="1">IFERROR(__xludf.DUMMYFUNCTION("""COMPUTED_VALUE"""),"0375658728")</f>
        <v>0375658728</v>
      </c>
      <c r="AG98" s="1" t="str">
        <f ca="1">IFERROR(__xludf.DUMMYFUNCTION("""COMPUTED_VALUE"""),"trinhtkimchung@dtu-hti.edu.vn")</f>
        <v>trinhtkimchung@dtu-hti.edu.vn</v>
      </c>
      <c r="AH98" s="1" t="str">
        <f ca="1">IFERROR(__xludf.DUMMYFUNCTION("""COMPUTED_VALUE"""),"Báo cáo kết quả thực tập và thực trạng quy trình đăng ký khách sạn cho khách VIP tại bộ phận tiền sảnh thuộc Danang Mikazuki Japanese Resorts&amp; Spa")</f>
        <v>Báo cáo kết quả thực tập và thực trạng quy trình đăng ký khách sạn cho khách VIP tại bộ phận tiền sảnh thuộc Danang Mikazuki Japanese Resorts&amp; Spa</v>
      </c>
      <c r="AI98" s="1"/>
    </row>
    <row r="99" spans="1:35" x14ac:dyDescent="0.2">
      <c r="A99" s="3">
        <f ca="1">IFERROR(__xludf.DUMMYFUNCTION("""COMPUTED_VALUE"""),45996.4082677777)</f>
        <v>45996.408267777697</v>
      </c>
      <c r="B99" s="1" t="str">
        <f ca="1">IFERROR(__xludf.DUMMYFUNCTION("""COMPUTED_VALUE"""),"sbui6420@gmail.com")</f>
        <v>sbui6420@gmail.com</v>
      </c>
      <c r="C99" s="1">
        <f ca="1">IFERROR(__xludf.DUMMYFUNCTION("""COMPUTED_VALUE"""),28218005110)</f>
        <v>28218005110</v>
      </c>
      <c r="D99" s="1" t="str">
        <f ca="1">IFERROR(__xludf.DUMMYFUNCTION("""COMPUTED_VALUE"""),"Bùi Văn Sơn Mlô")</f>
        <v>Bùi Văn Sơn Mlô</v>
      </c>
      <c r="E99" s="1"/>
      <c r="F99" s="1" t="str">
        <f ca="1">IFERROR(__xludf.DUMMYFUNCTION("""COMPUTED_VALUE"""),"K28PSUDLH")</f>
        <v>K28PSUDLH</v>
      </c>
      <c r="G99" s="1" t="str">
        <f ca="1">IFERROR(__xludf.DUMMYFUNCTION("""COMPUTED_VALUE"""),"Quản trị Du lịch &amp; Nhà hàng chuẩn PSU")</f>
        <v>Quản trị Du lịch &amp; Nhà hàng chuẩn PSU</v>
      </c>
      <c r="H99" s="1" t="str">
        <f ca="1">IFERROR(__xludf.DUMMYFUNCTION("""COMPUTED_VALUE"""),"K28")</f>
        <v>K28</v>
      </c>
      <c r="I99" s="1" t="str">
        <f ca="1">IFERROR(__xludf.DUMMYFUNCTION("""COMPUTED_VALUE"""),"0706241444")</f>
        <v>0706241444</v>
      </c>
      <c r="J99" s="1">
        <f ca="1">IFERROR(__xludf.DUMMYFUNCTION("""COMPUTED_VALUE"""),2.52)</f>
        <v>2.52</v>
      </c>
      <c r="K99" s="1">
        <f ca="1">IFERROR(__xludf.DUMMYFUNCTION("""COMPUTED_VALUE"""),115)</f>
        <v>115</v>
      </c>
      <c r="L99" s="1" t="str">
        <f ca="1">IFERROR(__xludf.DUMMYFUNCTION("""COMPUTED_VALUE"""),"Rồi")</f>
        <v>Rồi</v>
      </c>
      <c r="M99" s="1" t="str">
        <f ca="1">IFERROR(__xludf.DUMMYFUNCTION("""COMPUTED_VALUE"""),"Thực tập tốt nghiệp, Thi tốt nghiệp, Công nhận tốt nghiệp")</f>
        <v>Thực tập tốt nghiệp, Thi tốt nghiệp, Công nhận tốt nghiệp</v>
      </c>
      <c r="N99" s="1">
        <f ca="1">IFERROR(__xludf.DUMMYFUNCTION("""COMPUTED_VALUE"""),18)</f>
        <v>18</v>
      </c>
      <c r="O99" s="1" t="str">
        <f ca="1">IFERROR(__xludf.DUMMYFUNCTION("""COMPUTED_VALUE"""),"cam kết")</f>
        <v>cam kết</v>
      </c>
      <c r="P99" s="1"/>
      <c r="Q99" s="1"/>
      <c r="R99" s="1" t="str">
        <f ca="1">IFERROR(__xludf.DUMMYFUNCTION("""COMPUTED_VALUE"""),"18/12/2025")</f>
        <v>18/12/2025</v>
      </c>
      <c r="S99" s="1" t="str">
        <f ca="1">IFERROR(__xludf.DUMMYFUNCTION("""COMPUTED_VALUE"""),"không đủ điều kiện thực tập")</f>
        <v>không đủ điều kiện thực tập</v>
      </c>
      <c r="T99" s="1"/>
      <c r="U99" s="1"/>
      <c r="V99" s="1"/>
      <c r="W99" s="1" t="str">
        <f ca="1">IFERROR(__xludf.DUMMYFUNCTION("""COMPUTED_VALUE"""),"K28PSU-DLH")</f>
        <v>K28PSU-DLH</v>
      </c>
      <c r="X99" s="1"/>
      <c r="Y99" s="1" t="str">
        <f ca="1">IFERROR(__xludf.DUMMYFUNCTION("""COMPUTED_VALUE"""),"#N/A")</f>
        <v>#N/A</v>
      </c>
      <c r="Z99" s="1" t="str">
        <f ca="1">IFERROR(__xludf.DUMMYFUNCTION("""COMPUTED_VALUE"""),"#N/A")</f>
        <v>#N/A</v>
      </c>
      <c r="AA99" s="1" t="str">
        <f ca="1">IFERROR(__xludf.DUMMYFUNCTION("""COMPUTED_VALUE"""),"#N/A")</f>
        <v>#N/A</v>
      </c>
      <c r="AB99" s="1" t="str">
        <f ca="1">IFERROR(__xludf.DUMMYFUNCTION("""COMPUTED_VALUE"""),"#N/A")</f>
        <v>#N/A</v>
      </c>
      <c r="AC99" s="1" t="str">
        <f ca="1">IFERROR(__xludf.DUMMYFUNCTION("""COMPUTED_VALUE""")," ")</f>
        <v xml:space="preserve"> </v>
      </c>
      <c r="AD99" s="1"/>
      <c r="AE99" s="1" t="str">
        <f ca="1">IFERROR(__xludf.DUMMYFUNCTION("""COMPUTED_VALUE"""),"#N/A")</f>
        <v>#N/A</v>
      </c>
      <c r="AF99" s="1" t="str">
        <f ca="1">IFERROR(__xludf.DUMMYFUNCTION("""COMPUTED_VALUE"""),"#N/A")</f>
        <v>#N/A</v>
      </c>
      <c r="AG99" s="1" t="str">
        <f ca="1">IFERROR(__xludf.DUMMYFUNCTION("""COMPUTED_VALUE"""),"#N/A")</f>
        <v>#N/A</v>
      </c>
      <c r="AH99" s="1"/>
      <c r="AI99" s="1"/>
    </row>
    <row r="100" spans="1:35" x14ac:dyDescent="0.2">
      <c r="A100" s="3">
        <f ca="1">IFERROR(__xludf.DUMMYFUNCTION("""COMPUTED_VALUE"""),46010.6633250231)</f>
        <v>46010.663325023103</v>
      </c>
      <c r="B100" s="1" t="str">
        <f ca="1">IFERROR(__xludf.DUMMYFUNCTION("""COMPUTED_VALUE"""),"thuytrangk04@gmail.con")</f>
        <v>thuytrangk04@gmail.con</v>
      </c>
      <c r="C100" s="1">
        <f ca="1">IFERROR(__xludf.DUMMYFUNCTION("""COMPUTED_VALUE"""),28208142242)</f>
        <v>28208142242</v>
      </c>
      <c r="D100" s="1" t="str">
        <f ca="1">IFERROR(__xludf.DUMMYFUNCTION("""COMPUTED_VALUE"""),"Trần Thị Thuỳ Trang")</f>
        <v>Trần Thị Thuỳ Trang</v>
      </c>
      <c r="E100" s="1"/>
      <c r="F100" s="1" t="str">
        <f ca="1">IFERROR(__xludf.DUMMYFUNCTION("""COMPUTED_VALUE"""),"K28DLK8")</f>
        <v>K28DLK8</v>
      </c>
      <c r="G100" s="1" t="str">
        <f ca="1">IFERROR(__xludf.DUMMYFUNCTION("""COMPUTED_VALUE"""),"Quản trị Du lịch &amp; Khách sạn")</f>
        <v>Quản trị Du lịch &amp; Khách sạn</v>
      </c>
      <c r="H100" s="1" t="str">
        <f ca="1">IFERROR(__xludf.DUMMYFUNCTION("""COMPUTED_VALUE"""),"K28")</f>
        <v>K28</v>
      </c>
      <c r="I100" s="1" t="str">
        <f ca="1">IFERROR(__xludf.DUMMYFUNCTION("""COMPUTED_VALUE"""),"0777435136")</f>
        <v>0777435136</v>
      </c>
      <c r="J100" s="1">
        <f ca="1">IFERROR(__xludf.DUMMYFUNCTION("""COMPUTED_VALUE"""),3.06)</f>
        <v>3.06</v>
      </c>
      <c r="K100" s="1">
        <f ca="1">IFERROR(__xludf.DUMMYFUNCTION("""COMPUTED_VALUE"""),124)</f>
        <v>124</v>
      </c>
      <c r="L100" s="1" t="str">
        <f ca="1">IFERROR(__xludf.DUMMYFUNCTION("""COMPUTED_VALUE"""),"Rồi")</f>
        <v>Rồi</v>
      </c>
      <c r="M100" s="1" t="str">
        <f ca="1">IFERROR(__xludf.DUMMYFUNCTION("""COMPUTED_VALUE"""),"Thực tập tốt nghiệp, Thi tốt nghiệp, Công nhận tốt nghiệp")</f>
        <v>Thực tập tốt nghiệp, Thi tốt nghiệp, Công nhận tốt nghiệp</v>
      </c>
      <c r="N100" s="1">
        <f ca="1">IFERROR(__xludf.DUMMYFUNCTION("""COMPUTED_VALUE"""),0)</f>
        <v>0</v>
      </c>
      <c r="O100" s="1" t="str">
        <f ca="1">IFERROR(__xludf.DUMMYFUNCTION("""COMPUTED_VALUE"""),"cam kết")</f>
        <v>cam kết</v>
      </c>
      <c r="P100" s="1"/>
      <c r="Q100" s="1"/>
      <c r="R100" s="1" t="str">
        <f ca="1">IFERROR(__xludf.DUMMYFUNCTION("""COMPUTED_VALUE"""),"18/12/2025")</f>
        <v>18/12/2025</v>
      </c>
      <c r="S100" s="1" t="str">
        <f ca="1">IFERROR(__xludf.DUMMYFUNCTION("""COMPUTED_VALUE"""),"thực tập TN, Thi TN")</f>
        <v>thực tập TN, Thi TN</v>
      </c>
      <c r="T100" s="1" t="str">
        <f ca="1">IFERROR(__xludf.DUMMYFUNCTION("""COMPUTED_VALUE"""),"Đã email cấp giấy giới thiệu ngày 18/12/2025")</f>
        <v>Đã email cấp giấy giới thiệu ngày 18/12/2025</v>
      </c>
      <c r="U100" s="1"/>
      <c r="V100" s="1"/>
      <c r="W100" s="1" t="str">
        <f ca="1">IFERROR(__xludf.DUMMYFUNCTION("""COMPUTED_VALUE"""),"K28DLK8")</f>
        <v>K28DLK8</v>
      </c>
      <c r="X100" s="1"/>
      <c r="Y100" s="1" t="str">
        <f ca="1">IFERROR(__xludf.DUMMYFUNCTION("""COMPUTED_VALUE"""),"Da Nang Mikazuki Japanese Resorts and Spa")</f>
        <v>Da Nang Mikazuki Japanese Resorts and Spa</v>
      </c>
      <c r="Z100" s="1" t="str">
        <f ca="1">IFERROR(__xludf.DUMMYFUNCTION("""COMPUTED_VALUE"""),"Nhà hàng")</f>
        <v>Nhà hàng</v>
      </c>
      <c r="AA100" s="1" t="str">
        <f ca="1">IFERROR(__xludf.DUMMYFUNCTION("""COMPUTED_VALUE"""),"DUYỆT")</f>
        <v>DUYỆT</v>
      </c>
      <c r="AB100" s="1" t="str">
        <f ca="1">IFERROR(__xludf.DUMMYFUNCTION("""COMPUTED_VALUE"""),"15/01/2026")</f>
        <v>15/01/2026</v>
      </c>
      <c r="AC100" s="1" t="str">
        <f ca="1">IFERROR(__xludf.DUMMYFUNCTION("""COMPUTED_VALUE"""),"BÁO CÁO THỰC TẬP TỐT NGHIỆP")</f>
        <v>BÁO CÁO THỰC TẬP TỐT NGHIỆP</v>
      </c>
      <c r="AD100" s="1" t="str">
        <f ca="1">IFERROR(__xludf.DUMMYFUNCTION("""COMPUTED_VALUE"""),"Nguyễn Thị Minh Thư")</f>
        <v>Nguyễn Thị Minh Thư</v>
      </c>
      <c r="AE100" s="1" t="str">
        <f ca="1">IFERROR(__xludf.DUMMYFUNCTION("""COMPUTED_VALUE"""),"Thạc sĩ")</f>
        <v>Thạc sĩ</v>
      </c>
      <c r="AF100" s="1" t="str">
        <f ca="1">IFERROR(__xludf.DUMMYFUNCTION("""COMPUTED_VALUE"""),"0396.153.687")</f>
        <v>0396.153.687</v>
      </c>
      <c r="AG100" s="1" t="str">
        <f ca="1">IFERROR(__xludf.DUMMYFUNCTION("""COMPUTED_VALUE"""),"nguyentminhthu@dtu-hti.edu.vn")</f>
        <v>nguyentminhthu@dtu-hti.edu.vn</v>
      </c>
      <c r="AH100" s="1" t="str">
        <f ca="1">IFERROR(__xludf.DUMMYFUNCTION("""COMPUTED_VALUE""")," Báo cáo kết quả thực tập và thực trạng quy trình phục vụ buffet lẩu tại nhà hàng Karan Hot Pot thuộc Da Nang Mikazuki Japanese Resorts &amp; Spa")</f>
        <v xml:space="preserve"> Báo cáo kết quả thực tập và thực trạng quy trình phục vụ buffet lẩu tại nhà hàng Karan Hot Pot thuộc Da Nang Mikazuki Japanese Resorts &amp; Spa</v>
      </c>
      <c r="AI100" s="1"/>
    </row>
    <row r="101" spans="1:35" x14ac:dyDescent="0.2">
      <c r="A101" s="3">
        <f ca="1">IFERROR(__xludf.DUMMYFUNCTION("""COMPUTED_VALUE"""),45996.5030391666)</f>
        <v>45996.503039166601</v>
      </c>
      <c r="B101" s="1" t="str">
        <f ca="1">IFERROR(__xludf.DUMMYFUNCTION("""COMPUTED_VALUE"""),"lyen6363@gmail.com")</f>
        <v>lyen6363@gmail.com</v>
      </c>
      <c r="C101" s="1">
        <f ca="1">IFERROR(__xludf.DUMMYFUNCTION("""COMPUTED_VALUE"""),28208004333)</f>
        <v>28208004333</v>
      </c>
      <c r="D101" s="1" t="str">
        <f ca="1">IFERROR(__xludf.DUMMYFUNCTION("""COMPUTED_VALUE"""),"Lê Thị Hồng Yến")</f>
        <v>Lê Thị Hồng Yến</v>
      </c>
      <c r="E101" s="1"/>
      <c r="F101" s="1" t="str">
        <f ca="1">IFERROR(__xludf.DUMMYFUNCTION("""COMPUTED_VALUE"""),"K28DLK8")</f>
        <v>K28DLK8</v>
      </c>
      <c r="G101" s="1" t="str">
        <f ca="1">IFERROR(__xludf.DUMMYFUNCTION("""COMPUTED_VALUE"""),"Quản trị Du lịch &amp; Khách sạn")</f>
        <v>Quản trị Du lịch &amp; Khách sạn</v>
      </c>
      <c r="H101" s="1" t="str">
        <f ca="1">IFERROR(__xludf.DUMMYFUNCTION("""COMPUTED_VALUE"""),"K28")</f>
        <v>K28</v>
      </c>
      <c r="I101" s="1" t="str">
        <f ca="1">IFERROR(__xludf.DUMMYFUNCTION("""COMPUTED_VALUE"""),"0899347954")</f>
        <v>0899347954</v>
      </c>
      <c r="J101" s="1">
        <f ca="1">IFERROR(__xludf.DUMMYFUNCTION("""COMPUTED_VALUE"""),3.02)</f>
        <v>3.02</v>
      </c>
      <c r="K101" s="1">
        <f ca="1">IFERROR(__xludf.DUMMYFUNCTION("""COMPUTED_VALUE"""),112)</f>
        <v>112</v>
      </c>
      <c r="L101" s="1" t="str">
        <f ca="1">IFERROR(__xludf.DUMMYFUNCTION("""COMPUTED_VALUE"""),"Rồi")</f>
        <v>Rồi</v>
      </c>
      <c r="M101" s="1" t="str">
        <f ca="1">IFERROR(__xludf.DUMMYFUNCTION("""COMPUTED_VALUE"""),"Thực tập tốt nghiệp, Thi tốt nghiệp, Công nhận tốt nghiệp")</f>
        <v>Thực tập tốt nghiệp, Thi tốt nghiệp, Công nhận tốt nghiệp</v>
      </c>
      <c r="N101" s="1">
        <f ca="1">IFERROR(__xludf.DUMMYFUNCTION("""COMPUTED_VALUE"""),5)</f>
        <v>5</v>
      </c>
      <c r="O101" s="1" t="str">
        <f ca="1">IFERROR(__xludf.DUMMYFUNCTION("""COMPUTED_VALUE"""),"cam kết")</f>
        <v>cam kết</v>
      </c>
      <c r="P101" s="1"/>
      <c r="Q101" s="1"/>
      <c r="R101" s="1" t="str">
        <f ca="1">IFERROR(__xludf.DUMMYFUNCTION("""COMPUTED_VALUE"""),"18/12/2025")</f>
        <v>18/12/2025</v>
      </c>
      <c r="S101" s="1" t="str">
        <f ca="1">IFERROR(__xludf.DUMMYFUNCTION("""COMPUTED_VALUE"""),"thực tập TN, Thi TN")</f>
        <v>thực tập TN, Thi TN</v>
      </c>
      <c r="T101" s="1" t="str">
        <f ca="1">IFERROR(__xludf.DUMMYFUNCTION("""COMPUTED_VALUE"""),"Đã email cấp giấy giới thiệu ngày 18/12/2025")</f>
        <v>Đã email cấp giấy giới thiệu ngày 18/12/2025</v>
      </c>
      <c r="U101" s="1"/>
      <c r="V101" s="1"/>
      <c r="W101" s="1" t="str">
        <f ca="1">IFERROR(__xludf.DUMMYFUNCTION("""COMPUTED_VALUE"""),"K28DLK8")</f>
        <v>K28DLK8</v>
      </c>
      <c r="X101" s="1"/>
      <c r="Y101" s="1" t="str">
        <f ca="1">IFERROR(__xludf.DUMMYFUNCTION("""COMPUTED_VALUE"""),"Almanity Hoi An Resort &amp; Spa")</f>
        <v>Almanity Hoi An Resort &amp; Spa</v>
      </c>
      <c r="Z101" s="1" t="str">
        <f ca="1">IFERROR(__xludf.DUMMYFUNCTION("""COMPUTED_VALUE"""),"Tiền sảnh")</f>
        <v>Tiền sảnh</v>
      </c>
      <c r="AA101" s="1" t="str">
        <f ca="1">IFERROR(__xludf.DUMMYFUNCTION("""COMPUTED_VALUE"""),"DUYỆT")</f>
        <v>DUYỆT</v>
      </c>
      <c r="AB101" s="1" t="str">
        <f ca="1">IFERROR(__xludf.DUMMYFUNCTION("""COMPUTED_VALUE"""),"15/01/2026")</f>
        <v>15/01/2026</v>
      </c>
      <c r="AC101" s="1" t="str">
        <f ca="1">IFERROR(__xludf.DUMMYFUNCTION("""COMPUTED_VALUE"""),"BÁO CÁO THỰC TẬP TỐT NGHIỆP")</f>
        <v>BÁO CÁO THỰC TẬP TỐT NGHIỆP</v>
      </c>
      <c r="AD101" s="1" t="str">
        <f ca="1">IFERROR(__xludf.DUMMYFUNCTION("""COMPUTED_VALUE"""),"Hồ Sử Minh Tài")</f>
        <v>Hồ Sử Minh Tài</v>
      </c>
      <c r="AE101" s="1" t="str">
        <f ca="1">IFERROR(__xludf.DUMMYFUNCTION("""COMPUTED_VALUE"""),"Thạc sĩ")</f>
        <v>Thạc sĩ</v>
      </c>
      <c r="AF101" s="1" t="str">
        <f ca="1">IFERROR(__xludf.DUMMYFUNCTION("""COMPUTED_VALUE"""),"0905 874 626")</f>
        <v>0905 874 626</v>
      </c>
      <c r="AG101" s="1" t="str">
        <f ca="1">IFERROR(__xludf.DUMMYFUNCTION("""COMPUTED_VALUE"""),"hosminhtai@dtu-hti.edu.vn")</f>
        <v>hosminhtai@dtu-hti.edu.vn</v>
      </c>
      <c r="AH101" s="1" t="str">
        <f ca="1">IFERROR(__xludf.DUMMYFUNCTION("""COMPUTED_VALUE"""),"#N/A")</f>
        <v>#N/A</v>
      </c>
      <c r="AI101" s="1"/>
    </row>
    <row r="102" spans="1:35" x14ac:dyDescent="0.2">
      <c r="A102" s="3">
        <f ca="1">IFERROR(__xludf.DUMMYFUNCTION("""COMPUTED_VALUE"""),45996.5574459027)</f>
        <v>45996.557445902698</v>
      </c>
      <c r="B102" s="1" t="str">
        <f ca="1">IFERROR(__xludf.DUMMYFUNCTION("""COMPUTED_VALUE"""),"quynhnhugl.29082004@gmail.com")</f>
        <v>quynhnhugl.29082004@gmail.com</v>
      </c>
      <c r="C102" s="1">
        <f ca="1">IFERROR(__xludf.DUMMYFUNCTION("""COMPUTED_VALUE"""),28208006569)</f>
        <v>28208006569</v>
      </c>
      <c r="D102" s="1" t="str">
        <f ca="1">IFERROR(__xludf.DUMMYFUNCTION("""COMPUTED_VALUE"""),"Phạm Thị Quỳnh Như")</f>
        <v>Phạm Thị Quỳnh Như</v>
      </c>
      <c r="E102" s="1"/>
      <c r="F102" s="1" t="str">
        <f ca="1">IFERROR(__xludf.DUMMYFUNCTION("""COMPUTED_VALUE"""),"K28DLK6")</f>
        <v>K28DLK6</v>
      </c>
      <c r="G102" s="1" t="str">
        <f ca="1">IFERROR(__xludf.DUMMYFUNCTION("""COMPUTED_VALUE"""),"Quản trị Du lịch &amp; Khách sạn")</f>
        <v>Quản trị Du lịch &amp; Khách sạn</v>
      </c>
      <c r="H102" s="1" t="str">
        <f ca="1">IFERROR(__xludf.DUMMYFUNCTION("""COMPUTED_VALUE"""),"K28")</f>
        <v>K28</v>
      </c>
      <c r="I102" s="1" t="str">
        <f ca="1">IFERROR(__xludf.DUMMYFUNCTION("""COMPUTED_VALUE"""),"0326946004")</f>
        <v>0326946004</v>
      </c>
      <c r="J102" s="1">
        <f ca="1">IFERROR(__xludf.DUMMYFUNCTION("""COMPUTED_VALUE"""),2.7)</f>
        <v>2.7</v>
      </c>
      <c r="K102" s="1">
        <f ca="1">IFERROR(__xludf.DUMMYFUNCTION("""COMPUTED_VALUE"""),114)</f>
        <v>114</v>
      </c>
      <c r="L102" s="1" t="str">
        <f ca="1">IFERROR(__xludf.DUMMYFUNCTION("""COMPUTED_VALUE"""),"Rồi")</f>
        <v>Rồi</v>
      </c>
      <c r="M102" s="1" t="str">
        <f ca="1">IFERROR(__xludf.DUMMYFUNCTION("""COMPUTED_VALUE"""),"Thực tập tốt nghiệp, Thi tốt nghiệp, Công nhận tốt nghiệp")</f>
        <v>Thực tập tốt nghiệp, Thi tốt nghiệp, Công nhận tốt nghiệp</v>
      </c>
      <c r="N102" s="1">
        <f ca="1">IFERROR(__xludf.DUMMYFUNCTION("""COMPUTED_VALUE"""),10)</f>
        <v>10</v>
      </c>
      <c r="O102" s="1" t="str">
        <f ca="1">IFERROR(__xludf.DUMMYFUNCTION("""COMPUTED_VALUE"""),"cam kết")</f>
        <v>cam kết</v>
      </c>
      <c r="P102" s="1"/>
      <c r="Q102" s="1"/>
      <c r="R102" s="1" t="str">
        <f ca="1">IFERROR(__xludf.DUMMYFUNCTION("""COMPUTED_VALUE"""),"18/12/2025")</f>
        <v>18/12/2025</v>
      </c>
      <c r="S102" s="1" t="str">
        <f ca="1">IFERROR(__xludf.DUMMYFUNCTION("""COMPUTED_VALUE"""),"thực tập TN, Thi TN")</f>
        <v>thực tập TN, Thi TN</v>
      </c>
      <c r="T102" s="1" t="str">
        <f ca="1">IFERROR(__xludf.DUMMYFUNCTION("""COMPUTED_VALUE"""),"Đã email cấp giấy giới thiệu ngày 18/12/2025")</f>
        <v>Đã email cấp giấy giới thiệu ngày 18/12/2025</v>
      </c>
      <c r="U102" s="1"/>
      <c r="V102" s="1"/>
      <c r="W102" s="1" t="str">
        <f ca="1">IFERROR(__xludf.DUMMYFUNCTION("""COMPUTED_VALUE"""),"K28DLK6")</f>
        <v>K28DLK6</v>
      </c>
      <c r="X102" s="1"/>
      <c r="Y102" s="1" t="str">
        <f ca="1">IFERROR(__xludf.DUMMYFUNCTION("""COMPUTED_VALUE"""),"Da Nang Mikazuki Japanese Resorts and Spa")</f>
        <v>Da Nang Mikazuki Japanese Resorts and Spa</v>
      </c>
      <c r="Z102" s="1" t="str">
        <f ca="1">IFERROR(__xludf.DUMMYFUNCTION("""COMPUTED_VALUE"""),"Buồng phòng")</f>
        <v>Buồng phòng</v>
      </c>
      <c r="AA102" s="1" t="str">
        <f ca="1">IFERROR(__xludf.DUMMYFUNCTION("""COMPUTED_VALUE"""),"DUYỆT")</f>
        <v>DUYỆT</v>
      </c>
      <c r="AB102" s="1" t="str">
        <f ca="1">IFERROR(__xludf.DUMMYFUNCTION("""COMPUTED_VALUE"""),"30/01/2026")</f>
        <v>30/01/2026</v>
      </c>
      <c r="AC102" s="1" t="str">
        <f ca="1">IFERROR(__xludf.DUMMYFUNCTION("""COMPUTED_VALUE"""),"BÁO CÁO THỰC TẬP TỐT NGHIỆP")</f>
        <v>BÁO CÁO THỰC TẬP TỐT NGHIỆP</v>
      </c>
      <c r="AD102" s="1" t="str">
        <f ca="1">IFERROR(__xludf.DUMMYFUNCTION("""COMPUTED_VALUE"""),"Hồ Minh Phúc")</f>
        <v>Hồ Minh Phúc</v>
      </c>
      <c r="AE102" s="1" t="str">
        <f ca="1">IFERROR(__xludf.DUMMYFUNCTION("""COMPUTED_VALUE"""),"Thạc sĩ")</f>
        <v>Thạc sĩ</v>
      </c>
      <c r="AF102" s="1" t="str">
        <f ca="1">IFERROR(__xludf.DUMMYFUNCTION("""COMPUTED_VALUE"""),"0935336716")</f>
        <v>0935336716</v>
      </c>
      <c r="AG102" s="1" t="str">
        <f ca="1">IFERROR(__xludf.DUMMYFUNCTION("""COMPUTED_VALUE"""),"hominhphuc@dtu-hti.edu.vn")</f>
        <v>hominhphuc@dtu-hti.edu.vn</v>
      </c>
      <c r="AH102" s="1" t="str">
        <f ca="1">IFERROR(__xludf.DUMMYFUNCTION("""COMPUTED_VALUE"""),"Báo cáo kết quả thực tập và thực trạng quy trình phục vụ khách lưu trú tại bộ phận Buồng phòng của Da Nang Mikazuki Japanese Resorts and Spa")</f>
        <v>Báo cáo kết quả thực tập và thực trạng quy trình phục vụ khách lưu trú tại bộ phận Buồng phòng của Da Nang Mikazuki Japanese Resorts and Spa</v>
      </c>
      <c r="AI102" s="1"/>
    </row>
    <row r="103" spans="1:35" x14ac:dyDescent="0.2">
      <c r="A103" s="3">
        <f ca="1">IFERROR(__xludf.DUMMYFUNCTION("""COMPUTED_VALUE"""),45996.5575579976)</f>
        <v>45996.557557997599</v>
      </c>
      <c r="B103" s="1" t="str">
        <f ca="1">IFERROR(__xludf.DUMMYFUNCTION("""COMPUTED_VALUE"""),"giapthihuyentrang452@gmail.com")</f>
        <v>giapthihuyentrang452@gmail.com</v>
      </c>
      <c r="C103" s="1">
        <f ca="1">IFERROR(__xludf.DUMMYFUNCTION("""COMPUTED_VALUE"""),28208025228)</f>
        <v>28208025228</v>
      </c>
      <c r="D103" s="1" t="str">
        <f ca="1">IFERROR(__xludf.DUMMYFUNCTION("""COMPUTED_VALUE"""),"Giáp Thị Huyền Trang")</f>
        <v>Giáp Thị Huyền Trang</v>
      </c>
      <c r="E103" s="1"/>
      <c r="F103" s="1" t="str">
        <f ca="1">IFERROR(__xludf.DUMMYFUNCTION("""COMPUTED_VALUE"""),"K28 DLK6")</f>
        <v>K28 DLK6</v>
      </c>
      <c r="G103" s="1" t="str">
        <f ca="1">IFERROR(__xludf.DUMMYFUNCTION("""COMPUTED_VALUE"""),"Quản trị Du lịch &amp; Khách sạn")</f>
        <v>Quản trị Du lịch &amp; Khách sạn</v>
      </c>
      <c r="H103" s="1" t="str">
        <f ca="1">IFERROR(__xludf.DUMMYFUNCTION("""COMPUTED_VALUE"""),"K28")</f>
        <v>K28</v>
      </c>
      <c r="I103" s="1" t="str">
        <f ca="1">IFERROR(__xludf.DUMMYFUNCTION("""COMPUTED_VALUE"""),"0817655771")</f>
        <v>0817655771</v>
      </c>
      <c r="J103" s="1">
        <f ca="1">IFERROR(__xludf.DUMMYFUNCTION("""COMPUTED_VALUE"""),2.98)</f>
        <v>2.98</v>
      </c>
      <c r="K103" s="1">
        <f ca="1">IFERROR(__xludf.DUMMYFUNCTION("""COMPUTED_VALUE"""),117)</f>
        <v>117</v>
      </c>
      <c r="L103" s="1" t="str">
        <f ca="1">IFERROR(__xludf.DUMMYFUNCTION("""COMPUTED_VALUE"""),"Rồi")</f>
        <v>Rồi</v>
      </c>
      <c r="M103" s="1" t="str">
        <f ca="1">IFERROR(__xludf.DUMMYFUNCTION("""COMPUTED_VALUE"""),"Thực tập tốt nghiệp, Thi tốt nghiệp, Công nhận tốt nghiệp")</f>
        <v>Thực tập tốt nghiệp, Thi tốt nghiệp, Công nhận tốt nghiệp</v>
      </c>
      <c r="N103" s="1">
        <f ca="1">IFERROR(__xludf.DUMMYFUNCTION("""COMPUTED_VALUE"""),6)</f>
        <v>6</v>
      </c>
      <c r="O103" s="1" t="str">
        <f ca="1">IFERROR(__xludf.DUMMYFUNCTION("""COMPUTED_VALUE"""),"cam kết")</f>
        <v>cam kết</v>
      </c>
      <c r="P103" s="1"/>
      <c r="Q103" s="1"/>
      <c r="R103" s="1" t="str">
        <f ca="1">IFERROR(__xludf.DUMMYFUNCTION("""COMPUTED_VALUE"""),"18/12/2025")</f>
        <v>18/12/2025</v>
      </c>
      <c r="S103" s="1" t="str">
        <f ca="1">IFERROR(__xludf.DUMMYFUNCTION("""COMPUTED_VALUE"""),"thực tập TN, Thi TN")</f>
        <v>thực tập TN, Thi TN</v>
      </c>
      <c r="T103" s="1" t="str">
        <f ca="1">IFERROR(__xludf.DUMMYFUNCTION("""COMPUTED_VALUE"""),"Đã email cấp giấy giới thiệu ngày 18/12/2025")</f>
        <v>Đã email cấp giấy giới thiệu ngày 18/12/2025</v>
      </c>
      <c r="U103" s="1"/>
      <c r="V103" s="1"/>
      <c r="W103" s="1" t="str">
        <f ca="1">IFERROR(__xludf.DUMMYFUNCTION("""COMPUTED_VALUE"""),"K28DLK6")</f>
        <v>K28DLK6</v>
      </c>
      <c r="X103" s="1"/>
      <c r="Y103" s="1" t="str">
        <f ca="1">IFERROR(__xludf.DUMMYFUNCTION("""COMPUTED_VALUE"""),"Da Nang Mikazuki Japanese Resorts and Spa")</f>
        <v>Da Nang Mikazuki Japanese Resorts and Spa</v>
      </c>
      <c r="Z103" s="1" t="str">
        <f ca="1">IFERROR(__xludf.DUMMYFUNCTION("""COMPUTED_VALUE"""),"Nhà hàng")</f>
        <v>Nhà hàng</v>
      </c>
      <c r="AA103" s="1" t="str">
        <f ca="1">IFERROR(__xludf.DUMMYFUNCTION("""COMPUTED_VALUE"""),"DUYỆT")</f>
        <v>DUYỆT</v>
      </c>
      <c r="AB103" s="1" t="str">
        <f ca="1">IFERROR(__xludf.DUMMYFUNCTION("""COMPUTED_VALUE"""),"30/01/2026")</f>
        <v>30/01/2026</v>
      </c>
      <c r="AC103" s="1" t="str">
        <f ca="1">IFERROR(__xludf.DUMMYFUNCTION("""COMPUTED_VALUE"""),"BÁO CÁO THỰC TẬP TỐT NGHIỆP")</f>
        <v>BÁO CÁO THỰC TẬP TỐT NGHIỆP</v>
      </c>
      <c r="AD103" s="1" t="str">
        <f ca="1">IFERROR(__xludf.DUMMYFUNCTION("""COMPUTED_VALUE"""),"Nguyễn Thị Minh Thư")</f>
        <v>Nguyễn Thị Minh Thư</v>
      </c>
      <c r="AE103" s="1" t="str">
        <f ca="1">IFERROR(__xludf.DUMMYFUNCTION("""COMPUTED_VALUE"""),"Thạc sĩ")</f>
        <v>Thạc sĩ</v>
      </c>
      <c r="AF103" s="1" t="str">
        <f ca="1">IFERROR(__xludf.DUMMYFUNCTION("""COMPUTED_VALUE"""),"0396.153.687")</f>
        <v>0396.153.687</v>
      </c>
      <c r="AG103" s="1" t="str">
        <f ca="1">IFERROR(__xludf.DUMMYFUNCTION("""COMPUTED_VALUE"""),"nguyentminhthu@dtu-hti.edu.vn")</f>
        <v>nguyentminhthu@dtu-hti.edu.vn</v>
      </c>
      <c r="AH103" s="1" t="str">
        <f ca="1">IFERROR(__xludf.DUMMYFUNCTION("""COMPUTED_VALUE"""),"Báo cáo kết quả thực tập và thực trạng về các yếu tố ảnh hưởng đến chất lượng phục vụ tại nhà hàng Matsuri thuộc Da Nang Mikazuki Japanese Resorts &amp; Spa")</f>
        <v>Báo cáo kết quả thực tập và thực trạng về các yếu tố ảnh hưởng đến chất lượng phục vụ tại nhà hàng Matsuri thuộc Da Nang Mikazuki Japanese Resorts &amp; Spa</v>
      </c>
      <c r="AI103" s="1"/>
    </row>
    <row r="104" spans="1:35" x14ac:dyDescent="0.2">
      <c r="A104" s="3">
        <f ca="1">IFERROR(__xludf.DUMMYFUNCTION("""COMPUTED_VALUE"""),45996.6822270486)</f>
        <v>45996.682227048601</v>
      </c>
      <c r="B104" s="1" t="str">
        <f ca="1">IFERROR(__xludf.DUMMYFUNCTION("""COMPUTED_VALUE"""),"lenguyenxuanhoa3124@gmail.com")</f>
        <v>lenguyenxuanhoa3124@gmail.com</v>
      </c>
      <c r="C104" s="1">
        <f ca="1">IFERROR(__xludf.DUMMYFUNCTION("""COMPUTED_VALUE"""),28208003340)</f>
        <v>28208003340</v>
      </c>
      <c r="D104" s="1" t="str">
        <f ca="1">IFERROR(__xludf.DUMMYFUNCTION("""COMPUTED_VALUE"""),"Lê Nguyễn Xuân Hoà")</f>
        <v>Lê Nguyễn Xuân Hoà</v>
      </c>
      <c r="E104" s="1"/>
      <c r="F104" s="1" t="str">
        <f ca="1">IFERROR(__xludf.DUMMYFUNCTION("""COMPUTED_VALUE"""),"K28DLK6")</f>
        <v>K28DLK6</v>
      </c>
      <c r="G104" s="1" t="str">
        <f ca="1">IFERROR(__xludf.DUMMYFUNCTION("""COMPUTED_VALUE"""),"Quản trị Du lịch &amp; Khách sạn")</f>
        <v>Quản trị Du lịch &amp; Khách sạn</v>
      </c>
      <c r="H104" s="1" t="str">
        <f ca="1">IFERROR(__xludf.DUMMYFUNCTION("""COMPUTED_VALUE"""),"K28")</f>
        <v>K28</v>
      </c>
      <c r="I104" s="1" t="str">
        <f ca="1">IFERROR(__xludf.DUMMYFUNCTION("""COMPUTED_VALUE"""),"0799441073")</f>
        <v>0799441073</v>
      </c>
      <c r="J104" s="1" t="str">
        <f ca="1">IFERROR(__xludf.DUMMYFUNCTION("""COMPUTED_VALUE"""),"2,89")</f>
        <v>2,89</v>
      </c>
      <c r="K104" s="1">
        <f ca="1">IFERROR(__xludf.DUMMYFUNCTION("""COMPUTED_VALUE"""),111)</f>
        <v>111</v>
      </c>
      <c r="L104" s="1" t="str">
        <f ca="1">IFERROR(__xludf.DUMMYFUNCTION("""COMPUTED_VALUE"""),"Rồi")</f>
        <v>Rồi</v>
      </c>
      <c r="M104" s="1" t="str">
        <f ca="1">IFERROR(__xludf.DUMMYFUNCTION("""COMPUTED_VALUE"""),"Thực tập tốt nghiệp, Thi tốt nghiệp, Công nhận tốt nghiệp")</f>
        <v>Thực tập tốt nghiệp, Thi tốt nghiệp, Công nhận tốt nghiệp</v>
      </c>
      <c r="N104" s="1">
        <f ca="1">IFERROR(__xludf.DUMMYFUNCTION("""COMPUTED_VALUE"""),13)</f>
        <v>13</v>
      </c>
      <c r="O104" s="1" t="str">
        <f ca="1">IFERROR(__xludf.DUMMYFUNCTION("""COMPUTED_VALUE"""),"cam kết")</f>
        <v>cam kết</v>
      </c>
      <c r="P104" s="1"/>
      <c r="Q104" s="1"/>
      <c r="R104" s="1" t="str">
        <f ca="1">IFERROR(__xludf.DUMMYFUNCTION("""COMPUTED_VALUE"""),"18/12/2025")</f>
        <v>18/12/2025</v>
      </c>
      <c r="S104" s="1" t="str">
        <f ca="1">IFERROR(__xludf.DUMMYFUNCTION("""COMPUTED_VALUE"""),"thực tập TN, Thi TN")</f>
        <v>thực tập TN, Thi TN</v>
      </c>
      <c r="T104" s="1" t="str">
        <f ca="1">IFERROR(__xludf.DUMMYFUNCTION("""COMPUTED_VALUE"""),"Đã email cấp giấy giới thiệu ngày 18/12/2025")</f>
        <v>Đã email cấp giấy giới thiệu ngày 18/12/2025</v>
      </c>
      <c r="U104" s="1"/>
      <c r="V104" s="1"/>
      <c r="W104" s="1" t="str">
        <f ca="1">IFERROR(__xludf.DUMMYFUNCTION("""COMPUTED_VALUE"""),"K28DLK6")</f>
        <v>K28DLK6</v>
      </c>
      <c r="X104" s="1"/>
      <c r="Y104" s="1" t="str">
        <f ca="1">IFERROR(__xludf.DUMMYFUNCTION("""COMPUTED_VALUE"""),"Sheraton Grand Danang Beach Resort &amp; Spa")</f>
        <v>Sheraton Grand Danang Beach Resort &amp; Spa</v>
      </c>
      <c r="Z104" s="1" t="str">
        <f ca="1">IFERROR(__xludf.DUMMYFUNCTION("""COMPUTED_VALUE"""),"Nhà hàng")</f>
        <v>Nhà hàng</v>
      </c>
      <c r="AA104" s="1" t="str">
        <f ca="1">IFERROR(__xludf.DUMMYFUNCTION("""COMPUTED_VALUE"""),"DUYỆT")</f>
        <v>DUYỆT</v>
      </c>
      <c r="AB104" s="4">
        <f ca="1">IFERROR(__xludf.DUMMYFUNCTION("""COMPUTED_VALUE"""),46296)</f>
        <v>46296</v>
      </c>
      <c r="AC104" s="1" t="str">
        <f ca="1">IFERROR(__xludf.DUMMYFUNCTION("""COMPUTED_VALUE"""),"BÁO CÁO THỰC TẬP TỐT NGHIỆP")</f>
        <v>BÁO CÁO THỰC TẬP TỐT NGHIỆP</v>
      </c>
      <c r="AD104" s="1" t="str">
        <f ca="1">IFERROR(__xludf.DUMMYFUNCTION("""COMPUTED_VALUE"""),"Nguyễn Thị Minh Thư")</f>
        <v>Nguyễn Thị Minh Thư</v>
      </c>
      <c r="AE104" s="1" t="str">
        <f ca="1">IFERROR(__xludf.DUMMYFUNCTION("""COMPUTED_VALUE"""),"Thạc sĩ")</f>
        <v>Thạc sĩ</v>
      </c>
      <c r="AF104" s="1" t="str">
        <f ca="1">IFERROR(__xludf.DUMMYFUNCTION("""COMPUTED_VALUE"""),"0396.153.687")</f>
        <v>0396.153.687</v>
      </c>
      <c r="AG104" s="1" t="str">
        <f ca="1">IFERROR(__xludf.DUMMYFUNCTION("""COMPUTED_VALUE"""),"nguyentminhthu@dtu-hti.edu.vn")</f>
        <v>nguyentminhthu@dtu-hti.edu.vn</v>
      </c>
      <c r="AH104" s="1" t="str">
        <f ca="1">IFERROR(__xludf.DUMMYFUNCTION("""COMPUTED_VALUE"""),"Báo cáo kết quả thực tập và thực trạng về quy trình phục vụ set menu tại nhà hàng Banquet thuộc khách sạn Sheraton Grand Danang Beach Resort &amp; Spa")</f>
        <v>Báo cáo kết quả thực tập và thực trạng về quy trình phục vụ set menu tại nhà hàng Banquet thuộc khách sạn Sheraton Grand Danang Beach Resort &amp; Spa</v>
      </c>
      <c r="AI104" s="1"/>
    </row>
    <row r="105" spans="1:35" x14ac:dyDescent="0.2">
      <c r="A105" s="3">
        <f ca="1">IFERROR(__xludf.DUMMYFUNCTION("""COMPUTED_VALUE"""),45996.6952866666)</f>
        <v>45996.695286666603</v>
      </c>
      <c r="B105" s="1" t="str">
        <f ca="1">IFERROR(__xludf.DUMMYFUNCTION("""COMPUTED_VALUE"""),"hacongcuong0@gmail.com")</f>
        <v>hacongcuong0@gmail.com</v>
      </c>
      <c r="C105" s="1">
        <f ca="1">IFERROR(__xludf.DUMMYFUNCTION("""COMPUTED_VALUE"""),25217104273)</f>
        <v>25217104273</v>
      </c>
      <c r="D105" s="1" t="str">
        <f ca="1">IFERROR(__xludf.DUMMYFUNCTION("""COMPUTED_VALUE"""),"Hà Công Cường")</f>
        <v>Hà Công Cường</v>
      </c>
      <c r="E105" s="1"/>
      <c r="F105" s="1" t="str">
        <f ca="1">IFERROR(__xludf.DUMMYFUNCTION("""COMPUTED_VALUE"""),"K25PSUDLK11")</f>
        <v>K25PSUDLK11</v>
      </c>
      <c r="G105" s="1" t="str">
        <f ca="1">IFERROR(__xludf.DUMMYFUNCTION("""COMPUTED_VALUE"""),"Quản trị Du lịch &amp; Khách sạn chuẩn PSU")</f>
        <v>Quản trị Du lịch &amp; Khách sạn chuẩn PSU</v>
      </c>
      <c r="H105" s="1" t="str">
        <f ca="1">IFERROR(__xludf.DUMMYFUNCTION("""COMPUTED_VALUE"""),"K25")</f>
        <v>K25</v>
      </c>
      <c r="I105" s="1" t="str">
        <f ca="1">IFERROR(__xludf.DUMMYFUNCTION("""COMPUTED_VALUE"""),"0369723357")</f>
        <v>0369723357</v>
      </c>
      <c r="J105" s="1">
        <f ca="1">IFERROR(__xludf.DUMMYFUNCTION("""COMPUTED_VALUE"""),2.36)</f>
        <v>2.36</v>
      </c>
      <c r="K105" s="1">
        <f ca="1">IFERROR(__xludf.DUMMYFUNCTION("""COMPUTED_VALUE"""),137)</f>
        <v>137</v>
      </c>
      <c r="L105" s="1" t="str">
        <f ca="1">IFERROR(__xludf.DUMMYFUNCTION("""COMPUTED_VALUE"""),"Rồi")</f>
        <v>Rồi</v>
      </c>
      <c r="M105" s="1" t="str">
        <f ca="1">IFERROR(__xludf.DUMMYFUNCTION("""COMPUTED_VALUE"""),"Thực tập tốt nghiệp, Thi tốt nghiệp, Công nhận tốt nghiệp")</f>
        <v>Thực tập tốt nghiệp, Thi tốt nghiệp, Công nhận tốt nghiệp</v>
      </c>
      <c r="N105" s="1">
        <f ca="1">IFERROR(__xludf.DUMMYFUNCTION("""COMPUTED_VALUE"""),6)</f>
        <v>6</v>
      </c>
      <c r="O105" s="1" t="str">
        <f ca="1">IFERROR(__xludf.DUMMYFUNCTION("""COMPUTED_VALUE"""),"cam kết")</f>
        <v>cam kết</v>
      </c>
      <c r="P105" s="1" t="str">
        <f ca="1">IFERROR(__xludf.DUMMYFUNCTION("""COMPUTED_VALUE"""),"CHƯA NỘP")</f>
        <v>CHƯA NỘP</v>
      </c>
      <c r="Q105" s="1">
        <f ca="1">IFERROR(__xludf.DUMMYFUNCTION("""COMPUTED_VALUE"""),6)</f>
        <v>6</v>
      </c>
      <c r="R105" s="1" t="str">
        <f ca="1">IFERROR(__xludf.DUMMYFUNCTION("""COMPUTED_VALUE"""),"18/12/2025")</f>
        <v>18/12/2025</v>
      </c>
      <c r="S105" s="1" t="str">
        <f ca="1">IFERROR(__xludf.DUMMYFUNCTION("""COMPUTED_VALUE"""),"thực tập TN, Thi TN")</f>
        <v>thực tập TN, Thi TN</v>
      </c>
      <c r="T105" s="1" t="str">
        <f ca="1">IFERROR(__xludf.DUMMYFUNCTION("""COMPUTED_VALUE"""),"Hủy đăng ký thực tập TN đợt 06/2026 do SV ko nộp đơn. 
SV có thể nộp đơn tham dự TN để đăng ký học phần Thi TN. Hạn nộp đơn: 27/02/2026")</f>
        <v>Hủy đăng ký thực tập TN đợt 06/2026 do SV ko nộp đơn. 
SV có thể nộp đơn tham dự TN để đăng ký học phần Thi TN. Hạn nộp đơn: 27/02/2026</v>
      </c>
      <c r="U105" s="1"/>
      <c r="V105" s="1"/>
      <c r="W105" s="1" t="str">
        <f ca="1">IFERROR(__xludf.DUMMYFUNCTION("""COMPUTED_VALUE"""),"K25PSU-DLK11")</f>
        <v>K25PSU-DLK11</v>
      </c>
      <c r="X105" s="1"/>
      <c r="Y105" s="1" t="str">
        <f ca="1">IFERROR(__xludf.DUMMYFUNCTION("""COMPUTED_VALUE"""),"#N/A")</f>
        <v>#N/A</v>
      </c>
      <c r="Z105" s="1" t="str">
        <f ca="1">IFERROR(__xludf.DUMMYFUNCTION("""COMPUTED_VALUE"""),"#N/A")</f>
        <v>#N/A</v>
      </c>
      <c r="AA105" s="1" t="str">
        <f ca="1">IFERROR(__xludf.DUMMYFUNCTION("""COMPUTED_VALUE"""),"#N/A")</f>
        <v>#N/A</v>
      </c>
      <c r="AB105" s="1"/>
      <c r="AC105" s="1" t="str">
        <f ca="1">IFERROR(__xludf.DUMMYFUNCTION("""COMPUTED_VALUE"""),"BÁO CÁO THỰC TẬP TỐT NGHIỆP")</f>
        <v>BÁO CÁO THỰC TẬP TỐT NGHIỆP</v>
      </c>
      <c r="AD105" s="1"/>
      <c r="AE105" s="1" t="str">
        <f ca="1">IFERROR(__xludf.DUMMYFUNCTION("""COMPUTED_VALUE"""),"#N/A")</f>
        <v>#N/A</v>
      </c>
      <c r="AF105" s="1" t="str">
        <f ca="1">IFERROR(__xludf.DUMMYFUNCTION("""COMPUTED_VALUE"""),"#N/A")</f>
        <v>#N/A</v>
      </c>
      <c r="AG105" s="1" t="str">
        <f ca="1">IFERROR(__xludf.DUMMYFUNCTION("""COMPUTED_VALUE"""),"#N/A")</f>
        <v>#N/A</v>
      </c>
      <c r="AH105" s="1" t="str">
        <f ca="1">IFERROR(__xludf.DUMMYFUNCTION("""COMPUTED_VALUE"""),"#N/A")</f>
        <v>#N/A</v>
      </c>
      <c r="AI105" s="1"/>
    </row>
    <row r="106" spans="1:35" x14ac:dyDescent="0.2">
      <c r="A106" s="3">
        <f ca="1">IFERROR(__xludf.DUMMYFUNCTION("""COMPUTED_VALUE"""),45996.7119006597)</f>
        <v>45996.711900659699</v>
      </c>
      <c r="B106" s="1" t="str">
        <f ca="1">IFERROR(__xludf.DUMMYFUNCTION("""COMPUTED_VALUE"""),"mrsngan312@gmail.com")</f>
        <v>mrsngan312@gmail.com</v>
      </c>
      <c r="C106" s="1">
        <f ca="1">IFERROR(__xludf.DUMMYFUNCTION("""COMPUTED_VALUE"""),25207116191)</f>
        <v>25207116191</v>
      </c>
      <c r="D106" s="1" t="str">
        <f ca="1">IFERROR(__xludf.DUMMYFUNCTION("""COMPUTED_VALUE"""),"Nguyễn Kim Ngân")</f>
        <v>Nguyễn Kim Ngân</v>
      </c>
      <c r="E106" s="1"/>
      <c r="F106" s="1" t="str">
        <f ca="1">IFERROR(__xludf.DUMMYFUNCTION("""COMPUTED_VALUE"""),"K25DLK9")</f>
        <v>K25DLK9</v>
      </c>
      <c r="G106" s="1" t="str">
        <f ca="1">IFERROR(__xludf.DUMMYFUNCTION("""COMPUTED_VALUE"""),"Quản trị Du lịch &amp; Khách sạn")</f>
        <v>Quản trị Du lịch &amp; Khách sạn</v>
      </c>
      <c r="H106" s="1" t="str">
        <f ca="1">IFERROR(__xludf.DUMMYFUNCTION("""COMPUTED_VALUE"""),"K25")</f>
        <v>K25</v>
      </c>
      <c r="I106" s="1" t="str">
        <f ca="1">IFERROR(__xludf.DUMMYFUNCTION("""COMPUTED_VALUE"""),"0337447118")</f>
        <v>0337447118</v>
      </c>
      <c r="J106" s="1">
        <f ca="1">IFERROR(__xludf.DUMMYFUNCTION("""COMPUTED_VALUE"""),2.93)</f>
        <v>2.93</v>
      </c>
      <c r="K106" s="1">
        <f ca="1">IFERROR(__xludf.DUMMYFUNCTION("""COMPUTED_VALUE"""),129)</f>
        <v>129</v>
      </c>
      <c r="L106" s="1" t="str">
        <f ca="1">IFERROR(__xludf.DUMMYFUNCTION("""COMPUTED_VALUE"""),"Rồi")</f>
        <v>Rồi</v>
      </c>
      <c r="M106" s="1" t="str">
        <f ca="1">IFERROR(__xludf.DUMMYFUNCTION("""COMPUTED_VALUE"""),"Thực tập tốt nghiệp, Thi tốt nghiệp")</f>
        <v>Thực tập tốt nghiệp, Thi tốt nghiệp</v>
      </c>
      <c r="N106" s="1">
        <f ca="1">IFERROR(__xludf.DUMMYFUNCTION("""COMPUTED_VALUE"""),0)</f>
        <v>0</v>
      </c>
      <c r="O106" s="1" t="str">
        <f ca="1">IFERROR(__xludf.DUMMYFUNCTION("""COMPUTED_VALUE"""),"cam kết")</f>
        <v>cam kết</v>
      </c>
      <c r="P106" s="1" t="str">
        <f ca="1">IFERROR(__xludf.DUMMYFUNCTION("""COMPUTED_VALUE"""),"CHƯA NỘP")</f>
        <v>CHƯA NỘP</v>
      </c>
      <c r="Q106" s="1">
        <f ca="1">IFERROR(__xludf.DUMMYFUNCTION("""COMPUTED_VALUE"""),7)</f>
        <v>7</v>
      </c>
      <c r="R106" s="1" t="str">
        <f ca="1">IFERROR(__xludf.DUMMYFUNCTION("""COMPUTED_VALUE"""),"18/12/2025")</f>
        <v>18/12/2025</v>
      </c>
      <c r="S106" s="1" t="str">
        <f ca="1">IFERROR(__xludf.DUMMYFUNCTION("""COMPUTED_VALUE"""),"thực tập TN, Thi TN")</f>
        <v>thực tập TN, Thi TN</v>
      </c>
      <c r="T106" s="1" t="str">
        <f ca="1">IFERROR(__xludf.DUMMYFUNCTION("""COMPUTED_VALUE"""),"Hủy đăng ký thực tập TN đợt 06/2026 do SV ko nộp đơn. 
SV có thể nộp đơn tham dự TN để đăng ký học phần Thi TN. Hạn nộp đơn: 27/02/2026")</f>
        <v>Hủy đăng ký thực tập TN đợt 06/2026 do SV ko nộp đơn. 
SV có thể nộp đơn tham dự TN để đăng ký học phần Thi TN. Hạn nộp đơn: 27/02/2026</v>
      </c>
      <c r="U106" s="1"/>
      <c r="V106" s="1"/>
      <c r="W106" s="1" t="str">
        <f ca="1">IFERROR(__xludf.DUMMYFUNCTION("""COMPUTED_VALUE"""),"K25DLK9")</f>
        <v>K25DLK9</v>
      </c>
      <c r="X106" s="1"/>
      <c r="Y106" s="1" t="str">
        <f ca="1">IFERROR(__xludf.DUMMYFUNCTION("""COMPUTED_VALUE"""),"#N/A")</f>
        <v>#N/A</v>
      </c>
      <c r="Z106" s="1" t="str">
        <f ca="1">IFERROR(__xludf.DUMMYFUNCTION("""COMPUTED_VALUE"""),"#N/A")</f>
        <v>#N/A</v>
      </c>
      <c r="AA106" s="1" t="str">
        <f ca="1">IFERROR(__xludf.DUMMYFUNCTION("""COMPUTED_VALUE"""),"#N/A")</f>
        <v>#N/A</v>
      </c>
      <c r="AB106" s="1"/>
      <c r="AC106" s="1" t="str">
        <f ca="1">IFERROR(__xludf.DUMMYFUNCTION("""COMPUTED_VALUE"""),"BÁO CÁO THỰC TẬP TỐT NGHIỆP")</f>
        <v>BÁO CÁO THỰC TẬP TỐT NGHIỆP</v>
      </c>
      <c r="AD106" s="1"/>
      <c r="AE106" s="1" t="str">
        <f ca="1">IFERROR(__xludf.DUMMYFUNCTION("""COMPUTED_VALUE"""),"#N/A")</f>
        <v>#N/A</v>
      </c>
      <c r="AF106" s="1" t="str">
        <f ca="1">IFERROR(__xludf.DUMMYFUNCTION("""COMPUTED_VALUE"""),"#N/A")</f>
        <v>#N/A</v>
      </c>
      <c r="AG106" s="1" t="str">
        <f ca="1">IFERROR(__xludf.DUMMYFUNCTION("""COMPUTED_VALUE"""),"#N/A")</f>
        <v>#N/A</v>
      </c>
      <c r="AH106" s="1" t="str">
        <f ca="1">IFERROR(__xludf.DUMMYFUNCTION("""COMPUTED_VALUE"""),"#N/A")</f>
        <v>#N/A</v>
      </c>
      <c r="AI106" s="1"/>
    </row>
    <row r="107" spans="1:35" x14ac:dyDescent="0.2">
      <c r="A107" s="3">
        <f ca="1">IFERROR(__xludf.DUMMYFUNCTION("""COMPUTED_VALUE"""),45996.7436492476)</f>
        <v>45996.743649247597</v>
      </c>
      <c r="B107" s="1" t="str">
        <f ca="1">IFERROR(__xludf.DUMMYFUNCTION("""COMPUTED_VALUE"""),"vothihanh662@gmail.com")</f>
        <v>vothihanh662@gmail.com</v>
      </c>
      <c r="C107" s="1">
        <f ca="1">IFERROR(__xludf.DUMMYFUNCTION("""COMPUTED_VALUE"""),28205141297)</f>
        <v>28205141297</v>
      </c>
      <c r="D107" s="1" t="str">
        <f ca="1">IFERROR(__xludf.DUMMYFUNCTION("""COMPUTED_VALUE"""),"Võ Thị Hạnh")</f>
        <v>Võ Thị Hạnh</v>
      </c>
      <c r="E107" s="1"/>
      <c r="F107" s="1" t="str">
        <f ca="1">IFERROR(__xludf.DUMMYFUNCTION("""COMPUTED_VALUE"""),"K28dlk 3")</f>
        <v>K28dlk 3</v>
      </c>
      <c r="G107" s="1" t="str">
        <f ca="1">IFERROR(__xludf.DUMMYFUNCTION("""COMPUTED_VALUE"""),"Quản trị Du lịch &amp; Khách sạn")</f>
        <v>Quản trị Du lịch &amp; Khách sạn</v>
      </c>
      <c r="H107" s="1" t="str">
        <f ca="1">IFERROR(__xludf.DUMMYFUNCTION("""COMPUTED_VALUE"""),"K28")</f>
        <v>K28</v>
      </c>
      <c r="I107" s="1" t="str">
        <f ca="1">IFERROR(__xludf.DUMMYFUNCTION("""COMPUTED_VALUE"""),"0372738455")</f>
        <v>0372738455</v>
      </c>
      <c r="J107" s="1">
        <f ca="1">IFERROR(__xludf.DUMMYFUNCTION("""COMPUTED_VALUE"""),3.21)</f>
        <v>3.21</v>
      </c>
      <c r="K107" s="1">
        <f ca="1">IFERROR(__xludf.DUMMYFUNCTION("""COMPUTED_VALUE"""),121)</f>
        <v>121</v>
      </c>
      <c r="L107" s="1" t="str">
        <f ca="1">IFERROR(__xludf.DUMMYFUNCTION("""COMPUTED_VALUE"""),"Rồi")</f>
        <v>Rồi</v>
      </c>
      <c r="M107" s="1" t="str">
        <f ca="1">IFERROR(__xludf.DUMMYFUNCTION("""COMPUTED_VALUE"""),"Thực tập tốt nghiệp, Thi tốt nghiệp, Công nhận tốt nghiệp")</f>
        <v>Thực tập tốt nghiệp, Thi tốt nghiệp, Công nhận tốt nghiệp</v>
      </c>
      <c r="N107" s="1">
        <f ca="1">IFERROR(__xludf.DUMMYFUNCTION("""COMPUTED_VALUE"""),3)</f>
        <v>3</v>
      </c>
      <c r="O107" s="1" t="str">
        <f ca="1">IFERROR(__xludf.DUMMYFUNCTION("""COMPUTED_VALUE"""),"cam kết")</f>
        <v>cam kết</v>
      </c>
      <c r="P107" s="1"/>
      <c r="Q107" s="1"/>
      <c r="R107" s="1" t="str">
        <f ca="1">IFERROR(__xludf.DUMMYFUNCTION("""COMPUTED_VALUE"""),"18/12/2025")</f>
        <v>18/12/2025</v>
      </c>
      <c r="S107" s="1" t="str">
        <f ca="1">IFERROR(__xludf.DUMMYFUNCTION("""COMPUTED_VALUE"""),"thực tập TN, Thi TN")</f>
        <v>thực tập TN, Thi TN</v>
      </c>
      <c r="T107" s="1" t="str">
        <f ca="1">IFERROR(__xludf.DUMMYFUNCTION("""COMPUTED_VALUE"""),"Đã email cấp giấy giới thiệu ngày 18/12/2025")</f>
        <v>Đã email cấp giấy giới thiệu ngày 18/12/2025</v>
      </c>
      <c r="U107" s="1" t="str">
        <f ca="1">IFERROR(__xludf.DUMMYFUNCTION("""COMPUTED_VALUE"""),"Sv đã nộp đơn chuyển KL - CĐ")</f>
        <v>Sv đã nộp đơn chuyển KL - CĐ</v>
      </c>
      <c r="V107" s="1"/>
      <c r="W107" s="1" t="str">
        <f ca="1">IFERROR(__xludf.DUMMYFUNCTION("""COMPUTED_VALUE"""),"K28DLK3")</f>
        <v>K28DLK3</v>
      </c>
      <c r="X107" s="1"/>
      <c r="Y107" s="1" t="str">
        <f ca="1">IFERROR(__xludf.DUMMYFUNCTION("""COMPUTED_VALUE"""),"Pullman Danang Beach Resort")</f>
        <v>Pullman Danang Beach Resort</v>
      </c>
      <c r="Z107" s="1" t="str">
        <f ca="1">IFERROR(__xludf.DUMMYFUNCTION("""COMPUTED_VALUE"""),"Nhà hàng")</f>
        <v>Nhà hàng</v>
      </c>
      <c r="AA107" s="1" t="str">
        <f ca="1">IFERROR(__xludf.DUMMYFUNCTION("""COMPUTED_VALUE"""),"DUYỆT")</f>
        <v>DUYỆT</v>
      </c>
      <c r="AB107" s="4">
        <f ca="1">IFERROR(__xludf.DUMMYFUNCTION("""COMPUTED_VALUE"""),46204)</f>
        <v>46204</v>
      </c>
      <c r="AC107" s="1" t="str">
        <f ca="1">IFERROR(__xludf.DUMMYFUNCTION("""COMPUTED_VALUE"""),"BÁO CÁO THỰC TẬP TỐT NGHIỆP")</f>
        <v>BÁO CÁO THỰC TẬP TỐT NGHIỆP</v>
      </c>
      <c r="AD107" s="1" t="str">
        <f ca="1">IFERROR(__xludf.DUMMYFUNCTION("""COMPUTED_VALUE"""),"Mai Thị Thương")</f>
        <v>Mai Thị Thương</v>
      </c>
      <c r="AE107" s="1" t="str">
        <f ca="1">IFERROR(__xludf.DUMMYFUNCTION("""COMPUTED_VALUE"""),"Thạc sĩ")</f>
        <v>Thạc sĩ</v>
      </c>
      <c r="AF107" s="1" t="str">
        <f ca="1">IFERROR(__xludf.DUMMYFUNCTION("""COMPUTED_VALUE"""),"0905767050")</f>
        <v>0905767050</v>
      </c>
      <c r="AG107" s="1" t="str">
        <f ca="1">IFERROR(__xludf.DUMMYFUNCTION("""COMPUTED_VALUE"""),"maithithuong@dtu-hti.edu.vn")</f>
        <v>maithithuong@dtu-hti.edu.vn</v>
      </c>
      <c r="AH107" s="1" t="str">
        <f ca="1">IFERROR(__xludf.DUMMYFUNCTION("""COMPUTED_VALUE"""),"Báo cáo kết quả thực tập và thực trạng về quy trình phục vụ tại nhà hàng Epice thuộc Pullman Danang Beach Resort")</f>
        <v>Báo cáo kết quả thực tập và thực trạng về quy trình phục vụ tại nhà hàng Epice thuộc Pullman Danang Beach Resort</v>
      </c>
      <c r="AI107" s="1"/>
    </row>
    <row r="108" spans="1:35" x14ac:dyDescent="0.2">
      <c r="A108" s="3">
        <f ca="1">IFERROR(__xludf.DUMMYFUNCTION("""COMPUTED_VALUE"""),45996.7524819213)</f>
        <v>45996.752481921299</v>
      </c>
      <c r="B108" s="1" t="str">
        <f ca="1">IFERROR(__xludf.DUMMYFUNCTION("""COMPUTED_VALUE"""),"duongthuweareone@gmail.com")</f>
        <v>duongthuweareone@gmail.com</v>
      </c>
      <c r="C108" s="1">
        <f ca="1">IFERROR(__xludf.DUMMYFUNCTION("""COMPUTED_VALUE"""),28208031328)</f>
        <v>28208031328</v>
      </c>
      <c r="D108" s="1" t="str">
        <f ca="1">IFERROR(__xludf.DUMMYFUNCTION("""COMPUTED_VALUE"""),"Dương Thị Ngọc Thư ")</f>
        <v xml:space="preserve">Dương Thị Ngọc Thư </v>
      </c>
      <c r="E108" s="1"/>
      <c r="F108" s="1" t="str">
        <f ca="1">IFERROR(__xludf.DUMMYFUNCTION("""COMPUTED_VALUE"""),"K28DLK6")</f>
        <v>K28DLK6</v>
      </c>
      <c r="G108" s="1" t="str">
        <f ca="1">IFERROR(__xludf.DUMMYFUNCTION("""COMPUTED_VALUE"""),"Quản trị Du lịch &amp; Khách sạn")</f>
        <v>Quản trị Du lịch &amp; Khách sạn</v>
      </c>
      <c r="H108" s="1" t="str">
        <f ca="1">IFERROR(__xludf.DUMMYFUNCTION("""COMPUTED_VALUE"""),"K28")</f>
        <v>K28</v>
      </c>
      <c r="I108" s="1" t="str">
        <f ca="1">IFERROR(__xludf.DUMMYFUNCTION("""COMPUTED_VALUE"""),"0849017253")</f>
        <v>0849017253</v>
      </c>
      <c r="J108" s="1">
        <f ca="1">IFERROR(__xludf.DUMMYFUNCTION("""COMPUTED_VALUE"""),2.29)</f>
        <v>2.29</v>
      </c>
      <c r="K108" s="1">
        <f ca="1">IFERROR(__xludf.DUMMYFUNCTION("""COMPUTED_VALUE"""),114)</f>
        <v>114</v>
      </c>
      <c r="L108" s="1" t="str">
        <f ca="1">IFERROR(__xludf.DUMMYFUNCTION("""COMPUTED_VALUE"""),"Rồi")</f>
        <v>Rồi</v>
      </c>
      <c r="M108" s="1" t="str">
        <f ca="1">IFERROR(__xludf.DUMMYFUNCTION("""COMPUTED_VALUE"""),"Thực tập tốt nghiệp, Thi tốt nghiệp, Công nhận tốt nghiệp")</f>
        <v>Thực tập tốt nghiệp, Thi tốt nghiệp, Công nhận tốt nghiệp</v>
      </c>
      <c r="N108" s="1">
        <f ca="1">IFERROR(__xludf.DUMMYFUNCTION("""COMPUTED_VALUE"""),11)</f>
        <v>11</v>
      </c>
      <c r="O108" s="1" t="str">
        <f ca="1">IFERROR(__xludf.DUMMYFUNCTION("""COMPUTED_VALUE"""),"cam kết")</f>
        <v>cam kết</v>
      </c>
      <c r="P108" s="1"/>
      <c r="Q108" s="1"/>
      <c r="R108" s="1" t="str">
        <f ca="1">IFERROR(__xludf.DUMMYFUNCTION("""COMPUTED_VALUE"""),"18/12/2025")</f>
        <v>18/12/2025</v>
      </c>
      <c r="S108" s="1" t="str">
        <f ca="1">IFERROR(__xludf.DUMMYFUNCTION("""COMPUTED_VALUE"""),"thực tập TN, Thi TN")</f>
        <v>thực tập TN, Thi TN</v>
      </c>
      <c r="T108" s="1" t="str">
        <f ca="1">IFERROR(__xludf.DUMMYFUNCTION("""COMPUTED_VALUE"""),"Đã email cấp giấy giới thiệu ngày 18/12/2025")</f>
        <v>Đã email cấp giấy giới thiệu ngày 18/12/2025</v>
      </c>
      <c r="U108" s="1"/>
      <c r="V108" s="1"/>
      <c r="W108" s="1" t="str">
        <f ca="1">IFERROR(__xludf.DUMMYFUNCTION("""COMPUTED_VALUE"""),"K28DLK6")</f>
        <v>K28DLK6</v>
      </c>
      <c r="X108" s="1"/>
      <c r="Y108" s="1" t="str">
        <f ca="1">IFERROR(__xludf.DUMMYFUNCTION("""COMPUTED_VALUE"""),"Radisson Hotel Danang")</f>
        <v>Radisson Hotel Danang</v>
      </c>
      <c r="Z108" s="1" t="str">
        <f ca="1">IFERROR(__xludf.DUMMYFUNCTION("""COMPUTED_VALUE"""),"Buồng phòng")</f>
        <v>Buồng phòng</v>
      </c>
      <c r="AA108" s="1" t="str">
        <f ca="1">IFERROR(__xludf.DUMMYFUNCTION("""COMPUTED_VALUE"""),"DUYỆT")</f>
        <v>DUYỆT</v>
      </c>
      <c r="AB108" s="1" t="str">
        <f ca="1">IFERROR(__xludf.DUMMYFUNCTION("""COMPUTED_VALUE"""),"15/01/2026")</f>
        <v>15/01/2026</v>
      </c>
      <c r="AC108" s="1" t="str">
        <f ca="1">IFERROR(__xludf.DUMMYFUNCTION("""COMPUTED_VALUE"""),"BÁO CÁO THỰC TẬP TỐT NGHIỆP")</f>
        <v>BÁO CÁO THỰC TẬP TỐT NGHIỆP</v>
      </c>
      <c r="AD108" s="1" t="str">
        <f ca="1">IFERROR(__xludf.DUMMYFUNCTION("""COMPUTED_VALUE"""),"Phạm Thị Thu Thủy")</f>
        <v>Phạm Thị Thu Thủy</v>
      </c>
      <c r="AE108" s="1" t="str">
        <f ca="1">IFERROR(__xludf.DUMMYFUNCTION("""COMPUTED_VALUE"""),"Thạc sĩ")</f>
        <v>Thạc sĩ</v>
      </c>
      <c r="AF108" s="1" t="str">
        <f ca="1">IFERROR(__xludf.DUMMYFUNCTION("""COMPUTED_VALUE"""),"0938290678")</f>
        <v>0938290678</v>
      </c>
      <c r="AG108" s="1" t="str">
        <f ca="1">IFERROR(__xludf.DUMMYFUNCTION("""COMPUTED_VALUE"""),"phamtthuthuy2@dtu-hti.edu.vn")</f>
        <v>phamtthuthuy2@dtu-hti.edu.vn</v>
      </c>
      <c r="AH108" s="1" t="str">
        <f ca="1">IFERROR(__xludf.DUMMYFUNCTION("""COMPUTED_VALUE"""),"Báo cáo kết quả thực tập và thực trạng quy trình vệ sinh khu vực công cộng tại bộ phận buồng khách sạn Radisson  Hotel Danang")</f>
        <v>Báo cáo kết quả thực tập và thực trạng quy trình vệ sinh khu vực công cộng tại bộ phận buồng khách sạn Radisson  Hotel Danang</v>
      </c>
      <c r="AI108" s="1"/>
    </row>
    <row r="109" spans="1:35" x14ac:dyDescent="0.2">
      <c r="A109" s="3">
        <f ca="1">IFERROR(__xludf.DUMMYFUNCTION("""COMPUTED_VALUE"""),45996.8813412152)</f>
        <v>45996.881341215201</v>
      </c>
      <c r="B109" s="1" t="str">
        <f ca="1">IFERROR(__xludf.DUMMYFUNCTION("""COMPUTED_VALUE"""),"nguyenlananh2004cn@gmail.com")</f>
        <v>nguyenlananh2004cn@gmail.com</v>
      </c>
      <c r="C109" s="1">
        <f ca="1">IFERROR(__xludf.DUMMYFUNCTION("""COMPUTED_VALUE"""),28204646208)</f>
        <v>28204646208</v>
      </c>
      <c r="D109" s="1" t="str">
        <f ca="1">IFERROR(__xludf.DUMMYFUNCTION("""COMPUTED_VALUE"""),"Nguyễn Thị Lan Anh ")</f>
        <v xml:space="preserve">Nguyễn Thị Lan Anh </v>
      </c>
      <c r="E109" s="1"/>
      <c r="F109" s="1" t="str">
        <f ca="1">IFERROR(__xludf.DUMMYFUNCTION("""COMPUTED_VALUE"""),"K28DLK6")</f>
        <v>K28DLK6</v>
      </c>
      <c r="G109" s="1" t="str">
        <f ca="1">IFERROR(__xludf.DUMMYFUNCTION("""COMPUTED_VALUE"""),"Quản trị Du lịch &amp; Khách sạn")</f>
        <v>Quản trị Du lịch &amp; Khách sạn</v>
      </c>
      <c r="H109" s="1" t="str">
        <f ca="1">IFERROR(__xludf.DUMMYFUNCTION("""COMPUTED_VALUE"""),"K28")</f>
        <v>K28</v>
      </c>
      <c r="I109" s="1" t="str">
        <f ca="1">IFERROR(__xludf.DUMMYFUNCTION("""COMPUTED_VALUE"""),"0337528859")</f>
        <v>0337528859</v>
      </c>
      <c r="J109" s="1">
        <f ca="1">IFERROR(__xludf.DUMMYFUNCTION("""COMPUTED_VALUE"""),2.96)</f>
        <v>2.96</v>
      </c>
      <c r="K109" s="1">
        <f ca="1">IFERROR(__xludf.DUMMYFUNCTION("""COMPUTED_VALUE"""),115)</f>
        <v>115</v>
      </c>
      <c r="L109" s="1" t="str">
        <f ca="1">IFERROR(__xludf.DUMMYFUNCTION("""COMPUTED_VALUE"""),"Rồi")</f>
        <v>Rồi</v>
      </c>
      <c r="M109" s="1" t="str">
        <f ca="1">IFERROR(__xludf.DUMMYFUNCTION("""COMPUTED_VALUE"""),"Thực tập tốt nghiệp, Thi tốt nghiệp, Công nhận tốt nghiệp")</f>
        <v>Thực tập tốt nghiệp, Thi tốt nghiệp, Công nhận tốt nghiệp</v>
      </c>
      <c r="N109" s="1">
        <f ca="1">IFERROR(__xludf.DUMMYFUNCTION("""COMPUTED_VALUE"""),8)</f>
        <v>8</v>
      </c>
      <c r="O109" s="1" t="str">
        <f ca="1">IFERROR(__xludf.DUMMYFUNCTION("""COMPUTED_VALUE"""),"cam kết")</f>
        <v>cam kết</v>
      </c>
      <c r="P109" s="1"/>
      <c r="Q109" s="1"/>
      <c r="R109" s="1" t="str">
        <f ca="1">IFERROR(__xludf.DUMMYFUNCTION("""COMPUTED_VALUE"""),"18/12/2025")</f>
        <v>18/12/2025</v>
      </c>
      <c r="S109" s="1" t="str">
        <f ca="1">IFERROR(__xludf.DUMMYFUNCTION("""COMPUTED_VALUE"""),"thực tập TN, Thi TN")</f>
        <v>thực tập TN, Thi TN</v>
      </c>
      <c r="T109" s="1" t="str">
        <f ca="1">IFERROR(__xludf.DUMMYFUNCTION("""COMPUTED_VALUE"""),"Đã email cấp giấy giới thiệu ngày 18/12/2025")</f>
        <v>Đã email cấp giấy giới thiệu ngày 18/12/2025</v>
      </c>
      <c r="U109" s="1"/>
      <c r="V109" s="1"/>
      <c r="W109" s="1" t="str">
        <f ca="1">IFERROR(__xludf.DUMMYFUNCTION("""COMPUTED_VALUE"""),"K28DLK6")</f>
        <v>K28DLK6</v>
      </c>
      <c r="X109" s="1"/>
      <c r="Y109" s="1" t="str">
        <f ca="1">IFERROR(__xludf.DUMMYFUNCTION("""COMPUTED_VALUE"""),"Meliá Vinpearl Danang Riverfront")</f>
        <v>Meliá Vinpearl Danang Riverfront</v>
      </c>
      <c r="Z109" s="1" t="str">
        <f ca="1">IFERROR(__xludf.DUMMYFUNCTION("""COMPUTED_VALUE"""),"Buồng phòng")</f>
        <v>Buồng phòng</v>
      </c>
      <c r="AA109" s="1" t="str">
        <f ca="1">IFERROR(__xludf.DUMMYFUNCTION("""COMPUTED_VALUE"""),"DUYỆT")</f>
        <v>DUYỆT</v>
      </c>
      <c r="AB109" s="1"/>
      <c r="AC109" s="1" t="str">
        <f ca="1">IFERROR(__xludf.DUMMYFUNCTION("""COMPUTED_VALUE"""),"BÁO CÁO THỰC TẬP TỐT NGHIỆP")</f>
        <v>BÁO CÁO THỰC TẬP TỐT NGHIỆP</v>
      </c>
      <c r="AD109" s="1" t="str">
        <f ca="1">IFERROR(__xludf.DUMMYFUNCTION("""COMPUTED_VALUE"""),"Phạm Thị Thu Thủy")</f>
        <v>Phạm Thị Thu Thủy</v>
      </c>
      <c r="AE109" s="1" t="str">
        <f ca="1">IFERROR(__xludf.DUMMYFUNCTION("""COMPUTED_VALUE"""),"Thạc sĩ")</f>
        <v>Thạc sĩ</v>
      </c>
      <c r="AF109" s="1" t="str">
        <f ca="1">IFERROR(__xludf.DUMMYFUNCTION("""COMPUTED_VALUE"""),"0938290678")</f>
        <v>0938290678</v>
      </c>
      <c r="AG109" s="1" t="str">
        <f ca="1">IFERROR(__xludf.DUMMYFUNCTION("""COMPUTED_VALUE"""),"phamtthuthuy2@dtu-hti.edu.vn")</f>
        <v>phamtthuthuy2@dtu-hti.edu.vn</v>
      </c>
      <c r="AH109" s="1" t="str">
        <f ca="1">IFERROR(__xludf.DUMMYFUNCTION("""COMPUTED_VALUE"""),"Báo cáo kết quả thực tập “Thực trạng quy trình vệ sinh buồng” tại khách sạn Meliá Vinpearl Danang Riverfront")</f>
        <v>Báo cáo kết quả thực tập “Thực trạng quy trình vệ sinh buồng” tại khách sạn Meliá Vinpearl Danang Riverfront</v>
      </c>
      <c r="AI109" s="1"/>
    </row>
    <row r="110" spans="1:35" x14ac:dyDescent="0.2">
      <c r="A110" s="3">
        <f ca="1">IFERROR(__xludf.DUMMYFUNCTION("""COMPUTED_VALUE"""),45996.9103260647)</f>
        <v>45996.910326064703</v>
      </c>
      <c r="B110" s="1" t="str">
        <f ca="1">IFERROR(__xludf.DUMMYFUNCTION("""COMPUTED_VALUE"""),"Tranquochung05072003@gmail.com")</f>
        <v>Tranquochung05072003@gmail.com</v>
      </c>
      <c r="C110" s="1">
        <f ca="1">IFERROR(__xludf.DUMMYFUNCTION("""COMPUTED_VALUE"""),27211231051)</f>
        <v>27211231051</v>
      </c>
      <c r="D110" s="1" t="str">
        <f ca="1">IFERROR(__xludf.DUMMYFUNCTION("""COMPUTED_VALUE"""),"Trần Quốc Hưng ")</f>
        <v xml:space="preserve">Trần Quốc Hưng </v>
      </c>
      <c r="E110" s="1"/>
      <c r="F110" s="1" t="str">
        <f ca="1">IFERROR(__xludf.DUMMYFUNCTION("""COMPUTED_VALUE"""),"K27DLK2")</f>
        <v>K27DLK2</v>
      </c>
      <c r="G110" s="1" t="str">
        <f ca="1">IFERROR(__xludf.DUMMYFUNCTION("""COMPUTED_VALUE"""),"Quản trị Du lịch &amp; Khách sạn")</f>
        <v>Quản trị Du lịch &amp; Khách sạn</v>
      </c>
      <c r="H110" s="1" t="str">
        <f ca="1">IFERROR(__xludf.DUMMYFUNCTION("""COMPUTED_VALUE"""),"K27")</f>
        <v>K27</v>
      </c>
      <c r="I110" s="1" t="str">
        <f ca="1">IFERROR(__xludf.DUMMYFUNCTION("""COMPUTED_VALUE"""),"0964523773")</f>
        <v>0964523773</v>
      </c>
      <c r="J110" s="1">
        <f ca="1">IFERROR(__xludf.DUMMYFUNCTION("""COMPUTED_VALUE"""),2.19)</f>
        <v>2.19</v>
      </c>
      <c r="K110" s="1">
        <f ca="1">IFERROR(__xludf.DUMMYFUNCTION("""COMPUTED_VALUE"""),118)</f>
        <v>118</v>
      </c>
      <c r="L110" s="1" t="str">
        <f ca="1">IFERROR(__xludf.DUMMYFUNCTION("""COMPUTED_VALUE"""),"Rồi")</f>
        <v>Rồi</v>
      </c>
      <c r="M110" s="1" t="str">
        <f ca="1">IFERROR(__xludf.DUMMYFUNCTION("""COMPUTED_VALUE"""),"Thực tập tốt nghiệp, Thi tốt nghiệp, Công nhận tốt nghiệp")</f>
        <v>Thực tập tốt nghiệp, Thi tốt nghiệp, Công nhận tốt nghiệp</v>
      </c>
      <c r="N110" s="1" t="str">
        <f ca="1">IFERROR(__xludf.DUMMYFUNCTION("""COMPUTED_VALUE"""),"6 (đang học)")</f>
        <v>6 (đang học)</v>
      </c>
      <c r="O110" s="1" t="str">
        <f ca="1">IFERROR(__xludf.DUMMYFUNCTION("""COMPUTED_VALUE"""),"cam kết")</f>
        <v>cam kết</v>
      </c>
      <c r="P110" s="1" t="str">
        <f ca="1">IFERROR(__xludf.DUMMYFUNCTION("""COMPUTED_VALUE"""),"ĐÃ NỘP")</f>
        <v>ĐÃ NỘP</v>
      </c>
      <c r="Q110" s="1">
        <f ca="1">IFERROR(__xludf.DUMMYFUNCTION("""COMPUTED_VALUE"""),8)</f>
        <v>8</v>
      </c>
      <c r="R110" s="1" t="str">
        <f ca="1">IFERROR(__xludf.DUMMYFUNCTION("""COMPUTED_VALUE"""),"17/01/2026")</f>
        <v>17/01/2026</v>
      </c>
      <c r="S110" s="1" t="str">
        <f ca="1">IFERROR(__xludf.DUMMYFUNCTION("""COMPUTED_VALUE"""),"không đủ điều kiện thực tập")</f>
        <v>không đủ điều kiện thực tập</v>
      </c>
      <c r="T110" s="1" t="str">
        <f ca="1">IFERROR(__xludf.DUMMYFUNCTION("""COMPUTED_VALUE"""),"đã email cấp giấy giới thiệu ngày 16/01/2026")</f>
        <v>đã email cấp giấy giới thiệu ngày 16/01/2026</v>
      </c>
      <c r="U110" s="1" t="str">
        <f ca="1">IFERROR(__xludf.DUMMYFUNCTION("""COMPUTED_VALUE"""),"SV đăng ký thực tập, thi TN nhưng đơn chỉ đăng ký công nhận TN. Đề nghị SV đến văn phòng Khoa (tầng 15 cơ sở 3 Quang Trung) điều chỉnh lại đơn gấp")</f>
        <v>SV đăng ký thực tập, thi TN nhưng đơn chỉ đăng ký công nhận TN. Đề nghị SV đến văn phòng Khoa (tầng 15 cơ sở 3 Quang Trung) điều chỉnh lại đơn gấp</v>
      </c>
      <c r="V110" s="1"/>
      <c r="W110" s="1" t="str">
        <f ca="1">IFERROR(__xludf.DUMMYFUNCTION("""COMPUTED_VALUE"""),"K27DLK2")</f>
        <v>K27DLK2</v>
      </c>
      <c r="X110" s="1"/>
      <c r="Y110" s="1" t="str">
        <f ca="1">IFERROR(__xludf.DUMMYFUNCTION("""COMPUTED_VALUE"""),"#N/A")</f>
        <v>#N/A</v>
      </c>
      <c r="Z110" s="1" t="str">
        <f ca="1">IFERROR(__xludf.DUMMYFUNCTION("""COMPUTED_VALUE"""),"#N/A")</f>
        <v>#N/A</v>
      </c>
      <c r="AA110" s="1" t="str">
        <f ca="1">IFERROR(__xludf.DUMMYFUNCTION("""COMPUTED_VALUE"""),"#N/A")</f>
        <v>#N/A</v>
      </c>
      <c r="AB110" s="1" t="str">
        <f ca="1">IFERROR(__xludf.DUMMYFUNCTION("""COMPUTED_VALUE"""),"#N/A")</f>
        <v>#N/A</v>
      </c>
      <c r="AC110" s="1" t="str">
        <f ca="1">IFERROR(__xludf.DUMMYFUNCTION("""COMPUTED_VALUE""")," ")</f>
        <v xml:space="preserve"> </v>
      </c>
      <c r="AD110" s="1"/>
      <c r="AE110" s="1" t="str">
        <f ca="1">IFERROR(__xludf.DUMMYFUNCTION("""COMPUTED_VALUE"""),"#N/A")</f>
        <v>#N/A</v>
      </c>
      <c r="AF110" s="1" t="str">
        <f ca="1">IFERROR(__xludf.DUMMYFUNCTION("""COMPUTED_VALUE"""),"#N/A")</f>
        <v>#N/A</v>
      </c>
      <c r="AG110" s="1" t="str">
        <f ca="1">IFERROR(__xludf.DUMMYFUNCTION("""COMPUTED_VALUE"""),"#N/A")</f>
        <v>#N/A</v>
      </c>
      <c r="AH110" s="1"/>
      <c r="AI110" s="1"/>
    </row>
    <row r="111" spans="1:35" x14ac:dyDescent="0.2">
      <c r="A111" s="3">
        <f ca="1">IFERROR(__xludf.DUMMYFUNCTION("""COMPUTED_VALUE"""),45996.9463303935)</f>
        <v>45996.946330393497</v>
      </c>
      <c r="B111" s="1" t="str">
        <f ca="1">IFERROR(__xludf.DUMMYFUNCTION("""COMPUTED_VALUE"""),"quen31012004@gmail.com")</f>
        <v>quen31012004@gmail.com</v>
      </c>
      <c r="C111" s="1">
        <f ca="1">IFERROR(__xludf.DUMMYFUNCTION("""COMPUTED_VALUE"""),28208005404)</f>
        <v>28208005404</v>
      </c>
      <c r="D111" s="1" t="str">
        <f ca="1">IFERROR(__xludf.DUMMYFUNCTION("""COMPUTED_VALUE"""),"Nguyễn Nho Phương Thảo ")</f>
        <v xml:space="preserve">Nguyễn Nho Phương Thảo </v>
      </c>
      <c r="E111" s="1"/>
      <c r="F111" s="1" t="str">
        <f ca="1">IFERROR(__xludf.DUMMYFUNCTION("""COMPUTED_VALUE"""),"K28 DLK3")</f>
        <v>K28 DLK3</v>
      </c>
      <c r="G111" s="1" t="str">
        <f ca="1">IFERROR(__xludf.DUMMYFUNCTION("""COMPUTED_VALUE"""),"Quản trị Du lịch &amp; Khách sạn")</f>
        <v>Quản trị Du lịch &amp; Khách sạn</v>
      </c>
      <c r="H111" s="1" t="str">
        <f ca="1">IFERROR(__xludf.DUMMYFUNCTION("""COMPUTED_VALUE"""),"K28")</f>
        <v>K28</v>
      </c>
      <c r="I111" s="1" t="str">
        <f ca="1">IFERROR(__xludf.DUMMYFUNCTION("""COMPUTED_VALUE"""),"0787578962")</f>
        <v>0787578962</v>
      </c>
      <c r="J111" s="1">
        <f ca="1">IFERROR(__xludf.DUMMYFUNCTION("""COMPUTED_VALUE"""),3.49)</f>
        <v>3.49</v>
      </c>
      <c r="K111" s="1">
        <f ca="1">IFERROR(__xludf.DUMMYFUNCTION("""COMPUTED_VALUE"""),114)</f>
        <v>114</v>
      </c>
      <c r="L111" s="1" t="str">
        <f ca="1">IFERROR(__xludf.DUMMYFUNCTION("""COMPUTED_VALUE"""),"Rồi")</f>
        <v>Rồi</v>
      </c>
      <c r="M111" s="1" t="str">
        <f ca="1">IFERROR(__xludf.DUMMYFUNCTION("""COMPUTED_VALUE"""),"Thực tập tốt nghiệp, Thi tốt nghiệp, Công nhận tốt nghiệp")</f>
        <v>Thực tập tốt nghiệp, Thi tốt nghiệp, Công nhận tốt nghiệp</v>
      </c>
      <c r="N111" s="1">
        <f ca="1">IFERROR(__xludf.DUMMYFUNCTION("""COMPUTED_VALUE"""),10)</f>
        <v>10</v>
      </c>
      <c r="O111" s="1" t="str">
        <f ca="1">IFERROR(__xludf.DUMMYFUNCTION("""COMPUTED_VALUE"""),"cam kết")</f>
        <v>cam kết</v>
      </c>
      <c r="P111" s="1"/>
      <c r="Q111" s="1"/>
      <c r="R111" s="1" t="str">
        <f ca="1">IFERROR(__xludf.DUMMYFUNCTION("""COMPUTED_VALUE"""),"18/12/2025")</f>
        <v>18/12/2025</v>
      </c>
      <c r="S111" s="1" t="str">
        <f ca="1">IFERROR(__xludf.DUMMYFUNCTION("""COMPUTED_VALUE"""),"thực tập TN, Thi TN")</f>
        <v>thực tập TN, Thi TN</v>
      </c>
      <c r="T111" s="1" t="str">
        <f ca="1">IFERROR(__xludf.DUMMYFUNCTION("""COMPUTED_VALUE"""),"Đã email cấp giấy giới thiệu ngày 18/12/2025")</f>
        <v>Đã email cấp giấy giới thiệu ngày 18/12/2025</v>
      </c>
      <c r="U111" s="1" t="str">
        <f ca="1">IFERROR(__xludf.DUMMYFUNCTION("""COMPUTED_VALUE"""),"Sv đã nộp đơn chuyển KL - CĐ")</f>
        <v>Sv đã nộp đơn chuyển KL - CĐ</v>
      </c>
      <c r="V111" s="1"/>
      <c r="W111" s="1" t="str">
        <f ca="1">IFERROR(__xludf.DUMMYFUNCTION("""COMPUTED_VALUE"""),"K28DLK3")</f>
        <v>K28DLK3</v>
      </c>
      <c r="X111" s="1"/>
      <c r="Y111" s="1" t="str">
        <f ca="1">IFERROR(__xludf.DUMMYFUNCTION("""COMPUTED_VALUE"""),"Da Nang Mikazuki Japanese Resorts and Spa")</f>
        <v>Da Nang Mikazuki Japanese Resorts and Spa</v>
      </c>
      <c r="Z111" s="1" t="str">
        <f ca="1">IFERROR(__xludf.DUMMYFUNCTION("""COMPUTED_VALUE"""),"Nhà hàng")</f>
        <v>Nhà hàng</v>
      </c>
      <c r="AA111" s="1" t="str">
        <f ca="1">IFERROR(__xludf.DUMMYFUNCTION("""COMPUTED_VALUE"""),"DUYỆT")</f>
        <v>DUYỆT</v>
      </c>
      <c r="AB111" s="1" t="str">
        <f ca="1">IFERROR(__xludf.DUMMYFUNCTION("""COMPUTED_VALUE"""),"22/01/2026")</f>
        <v>22/01/2026</v>
      </c>
      <c r="AC111" s="1" t="str">
        <f ca="1">IFERROR(__xludf.DUMMYFUNCTION("""COMPUTED_VALUE"""),"BÁO CÁO THỰC TẬP TỐT NGHIỆP")</f>
        <v>BÁO CÁO THỰC TẬP TỐT NGHIỆP</v>
      </c>
      <c r="AD111" s="1" t="str">
        <f ca="1">IFERROR(__xludf.DUMMYFUNCTION("""COMPUTED_VALUE"""),"Nguyễn Thị Minh Thư")</f>
        <v>Nguyễn Thị Minh Thư</v>
      </c>
      <c r="AE111" s="1" t="str">
        <f ca="1">IFERROR(__xludf.DUMMYFUNCTION("""COMPUTED_VALUE"""),"Thạc sĩ")</f>
        <v>Thạc sĩ</v>
      </c>
      <c r="AF111" s="1" t="str">
        <f ca="1">IFERROR(__xludf.DUMMYFUNCTION("""COMPUTED_VALUE"""),"0396.153.687")</f>
        <v>0396.153.687</v>
      </c>
      <c r="AG111" s="1" t="str">
        <f ca="1">IFERROR(__xludf.DUMMYFUNCTION("""COMPUTED_VALUE"""),"nguyentminhthu@dtu-hti.edu.vn")</f>
        <v>nguyentminhthu@dtu-hti.edu.vn</v>
      </c>
      <c r="AH111" s="1" t="str">
        <f ca="1">IFERROR(__xludf.DUMMYFUNCTION("""COMPUTED_VALUE"""),"Báo cáo kết quả thực tập và thực trạng về chất lượng đội ngũ lao động tại nhà hàng Karan thuộc Da Nang Mikazuki Japanese Resorts &amp; Spa")</f>
        <v>Báo cáo kết quả thực tập và thực trạng về chất lượng đội ngũ lao động tại nhà hàng Karan thuộc Da Nang Mikazuki Japanese Resorts &amp; Spa</v>
      </c>
      <c r="AI111" s="1"/>
    </row>
    <row r="112" spans="1:35" x14ac:dyDescent="0.2">
      <c r="A112" s="3">
        <f ca="1">IFERROR(__xludf.DUMMYFUNCTION("""COMPUTED_VALUE"""),45997.0096608101)</f>
        <v>45997.009660810101</v>
      </c>
      <c r="B112" s="1" t="str">
        <f ca="1">IFERROR(__xludf.DUMMYFUNCTION("""COMPUTED_VALUE"""),"phankhanhlinh11203@gmail.com")</f>
        <v>phankhanhlinh11203@gmail.com</v>
      </c>
      <c r="C112" s="1">
        <f ca="1">IFERROR(__xludf.DUMMYFUNCTION("""COMPUTED_VALUE"""),28208000372)</f>
        <v>28208000372</v>
      </c>
      <c r="D112" s="1" t="str">
        <f ca="1">IFERROR(__xludf.DUMMYFUNCTION("""COMPUTED_VALUE"""),"Phan Thị Khánh Linh")</f>
        <v>Phan Thị Khánh Linh</v>
      </c>
      <c r="E112" s="1"/>
      <c r="F112" s="1" t="str">
        <f ca="1">IFERROR(__xludf.DUMMYFUNCTION("""COMPUTED_VALUE"""),"K28 DLK 7")</f>
        <v>K28 DLK 7</v>
      </c>
      <c r="G112" s="1" t="str">
        <f ca="1">IFERROR(__xludf.DUMMYFUNCTION("""COMPUTED_VALUE"""),"Quản trị Du lịch &amp; Khách sạn")</f>
        <v>Quản trị Du lịch &amp; Khách sạn</v>
      </c>
      <c r="H112" s="1" t="str">
        <f ca="1">IFERROR(__xludf.DUMMYFUNCTION("""COMPUTED_VALUE"""),"K28")</f>
        <v>K28</v>
      </c>
      <c r="I112" s="1" t="str">
        <f ca="1">IFERROR(__xludf.DUMMYFUNCTION("""COMPUTED_VALUE"""),"0329910343")</f>
        <v>0329910343</v>
      </c>
      <c r="J112" s="1">
        <f ca="1">IFERROR(__xludf.DUMMYFUNCTION("""COMPUTED_VALUE"""),2.57)</f>
        <v>2.57</v>
      </c>
      <c r="K112" s="1">
        <f ca="1">IFERROR(__xludf.DUMMYFUNCTION("""COMPUTED_VALUE"""),118)</f>
        <v>118</v>
      </c>
      <c r="L112" s="1" t="str">
        <f ca="1">IFERROR(__xludf.DUMMYFUNCTION("""COMPUTED_VALUE"""),"Rồi")</f>
        <v>Rồi</v>
      </c>
      <c r="M112" s="1" t="str">
        <f ca="1">IFERROR(__xludf.DUMMYFUNCTION("""COMPUTED_VALUE"""),"Thực tập tốt nghiệp, Thi tốt nghiệp, Công nhận tốt nghiệp")</f>
        <v>Thực tập tốt nghiệp, Thi tốt nghiệp, Công nhận tốt nghiệp</v>
      </c>
      <c r="N112" s="1">
        <f ca="1">IFERROR(__xludf.DUMMYFUNCTION("""COMPUTED_VALUE"""),3)</f>
        <v>3</v>
      </c>
      <c r="O112" s="1" t="str">
        <f ca="1">IFERROR(__xludf.DUMMYFUNCTION("""COMPUTED_VALUE"""),"cam kết")</f>
        <v>cam kết</v>
      </c>
      <c r="P112" s="1"/>
      <c r="Q112" s="1"/>
      <c r="R112" s="1" t="str">
        <f ca="1">IFERROR(__xludf.DUMMYFUNCTION("""COMPUTED_VALUE"""),"18/12/2025")</f>
        <v>18/12/2025</v>
      </c>
      <c r="S112" s="1" t="str">
        <f ca="1">IFERROR(__xludf.DUMMYFUNCTION("""COMPUTED_VALUE"""),"thực tập TN, Thi TN")</f>
        <v>thực tập TN, Thi TN</v>
      </c>
      <c r="T112" s="1" t="str">
        <f ca="1">IFERROR(__xludf.DUMMYFUNCTION("""COMPUTED_VALUE"""),"Đã email cấp giấy giới thiệu ngày 18/12/2025")</f>
        <v>Đã email cấp giấy giới thiệu ngày 18/12/2025</v>
      </c>
      <c r="U112" s="1"/>
      <c r="V112" s="1"/>
      <c r="W112" s="1" t="str">
        <f ca="1">IFERROR(__xludf.DUMMYFUNCTION("""COMPUTED_VALUE"""),"K28DLK7")</f>
        <v>K28DLK7</v>
      </c>
      <c r="X112" s="1"/>
      <c r="Y112" s="1" t="str">
        <f ca="1">IFERROR(__xludf.DUMMYFUNCTION("""COMPUTED_VALUE"""),"Four Points by Sheraton Danang")</f>
        <v>Four Points by Sheraton Danang</v>
      </c>
      <c r="Z112" s="1" t="str">
        <f ca="1">IFERROR(__xludf.DUMMYFUNCTION("""COMPUTED_VALUE"""),"Nhà hàng")</f>
        <v>Nhà hàng</v>
      </c>
      <c r="AA112" s="1" t="str">
        <f ca="1">IFERROR(__xludf.DUMMYFUNCTION("""COMPUTED_VALUE"""),"DUYỆT")</f>
        <v>DUYỆT</v>
      </c>
      <c r="AB112" s="1" t="str">
        <f ca="1">IFERROR(__xludf.DUMMYFUNCTION("""COMPUTED_VALUE"""),"27/01/2026")</f>
        <v>27/01/2026</v>
      </c>
      <c r="AC112" s="1" t="str">
        <f ca="1">IFERROR(__xludf.DUMMYFUNCTION("""COMPUTED_VALUE"""),"BÁO CÁO THỰC TẬP TỐT NGHIỆP")</f>
        <v>BÁO CÁO THỰC TẬP TỐT NGHIỆP</v>
      </c>
      <c r="AD112" s="1" t="str">
        <f ca="1">IFERROR(__xludf.DUMMYFUNCTION("""COMPUTED_VALUE"""),"Dương Thị Xuân Diệu")</f>
        <v>Dương Thị Xuân Diệu</v>
      </c>
      <c r="AE112" s="1" t="str">
        <f ca="1">IFERROR(__xludf.DUMMYFUNCTION("""COMPUTED_VALUE"""),"Thạc sĩ")</f>
        <v>Thạc sĩ</v>
      </c>
      <c r="AF112" s="1" t="str">
        <f ca="1">IFERROR(__xludf.DUMMYFUNCTION("""COMPUTED_VALUE"""),"0905938748")</f>
        <v>0905938748</v>
      </c>
      <c r="AG112" s="1" t="str">
        <f ca="1">IFERROR(__xludf.DUMMYFUNCTION("""COMPUTED_VALUE"""),"duongtxuandieu@dtu-hti.edu.vn")</f>
        <v>duongtxuandieu@dtu-hti.edu.vn</v>
      </c>
      <c r="AH112" s="1" t="str">
        <f ca="1">IFERROR(__xludf.DUMMYFUNCTION("""COMPUTED_VALUE"""),"Báo cáo kết quả thực tập và thực trạng cơ sở vật chất tại bộ phận nhà hàng The Eatery thuộc khách sạn Four Points by Sheraton DaNang")</f>
        <v>Báo cáo kết quả thực tập và thực trạng cơ sở vật chất tại bộ phận nhà hàng The Eatery thuộc khách sạn Four Points by Sheraton DaNang</v>
      </c>
      <c r="AI112" s="1"/>
    </row>
    <row r="113" spans="1:35" x14ac:dyDescent="0.2">
      <c r="A113" s="3">
        <f ca="1">IFERROR(__xludf.DUMMYFUNCTION("""COMPUTED_VALUE"""),45997.0146681597)</f>
        <v>45997.014668159703</v>
      </c>
      <c r="B113" s="1" t="str">
        <f ca="1">IFERROR(__xludf.DUMMYFUNCTION("""COMPUTED_VALUE"""),"phgdunn@gmail.com")</f>
        <v>phgdunn@gmail.com</v>
      </c>
      <c r="C113" s="1">
        <f ca="1">IFERROR(__xludf.DUMMYFUNCTION("""COMPUTED_VALUE"""),28209305565)</f>
        <v>28209305565</v>
      </c>
      <c r="D113" s="1" t="str">
        <f ca="1">IFERROR(__xludf.DUMMYFUNCTION("""COMPUTED_VALUE"""),"Nguyễn Võ Phương Dung")</f>
        <v>Nguyễn Võ Phương Dung</v>
      </c>
      <c r="E113" s="1"/>
      <c r="F113" s="1" t="str">
        <f ca="1">IFERROR(__xludf.DUMMYFUNCTION("""COMPUTED_VALUE"""),"K28DLK3")</f>
        <v>K28DLK3</v>
      </c>
      <c r="G113" s="1" t="str">
        <f ca="1">IFERROR(__xludf.DUMMYFUNCTION("""COMPUTED_VALUE"""),"Quản trị Du lịch &amp; Khách sạn")</f>
        <v>Quản trị Du lịch &amp; Khách sạn</v>
      </c>
      <c r="H113" s="1" t="str">
        <f ca="1">IFERROR(__xludf.DUMMYFUNCTION("""COMPUTED_VALUE"""),"K28")</f>
        <v>K28</v>
      </c>
      <c r="I113" s="1" t="str">
        <f ca="1">IFERROR(__xludf.DUMMYFUNCTION("""COMPUTED_VALUE"""),"0926091472")</f>
        <v>0926091472</v>
      </c>
      <c r="J113" s="1">
        <f ca="1">IFERROR(__xludf.DUMMYFUNCTION("""COMPUTED_VALUE"""),2.6)</f>
        <v>2.6</v>
      </c>
      <c r="K113" s="1">
        <f ca="1">IFERROR(__xludf.DUMMYFUNCTION("""COMPUTED_VALUE"""),118)</f>
        <v>118</v>
      </c>
      <c r="L113" s="1" t="str">
        <f ca="1">IFERROR(__xludf.DUMMYFUNCTION("""COMPUTED_VALUE"""),"Rồi")</f>
        <v>Rồi</v>
      </c>
      <c r="M113" s="1" t="str">
        <f ca="1">IFERROR(__xludf.DUMMYFUNCTION("""COMPUTED_VALUE"""),"Thực tập tốt nghiệp, Thi tốt nghiệp, Công nhận tốt nghiệp")</f>
        <v>Thực tập tốt nghiệp, Thi tốt nghiệp, Công nhận tốt nghiệp</v>
      </c>
      <c r="N113" s="1">
        <f ca="1">IFERROR(__xludf.DUMMYFUNCTION("""COMPUTED_VALUE"""),11)</f>
        <v>11</v>
      </c>
      <c r="O113" s="1" t="str">
        <f ca="1">IFERROR(__xludf.DUMMYFUNCTION("""COMPUTED_VALUE"""),"cam kết")</f>
        <v>cam kết</v>
      </c>
      <c r="P113" s="1"/>
      <c r="Q113" s="1"/>
      <c r="R113" s="1" t="str">
        <f ca="1">IFERROR(__xludf.DUMMYFUNCTION("""COMPUTED_VALUE"""),"18/12/2025")</f>
        <v>18/12/2025</v>
      </c>
      <c r="S113" s="1" t="str">
        <f ca="1">IFERROR(__xludf.DUMMYFUNCTION("""COMPUTED_VALUE"""),"thực tập TN, Thi TN")</f>
        <v>thực tập TN, Thi TN</v>
      </c>
      <c r="T113" s="1" t="str">
        <f ca="1">IFERROR(__xludf.DUMMYFUNCTION("""COMPUTED_VALUE"""),"Đã email cấp giấy giới thiệu ngày 18/12/2025")</f>
        <v>Đã email cấp giấy giới thiệu ngày 18/12/2025</v>
      </c>
      <c r="U113" s="1"/>
      <c r="V113" s="1"/>
      <c r="W113" s="1" t="str">
        <f ca="1">IFERROR(__xludf.DUMMYFUNCTION("""COMPUTED_VALUE"""),"K28DLK3")</f>
        <v>K28DLK3</v>
      </c>
      <c r="X113" s="1"/>
      <c r="Y113" s="1" t="str">
        <f ca="1">IFERROR(__xludf.DUMMYFUNCTION("""COMPUTED_VALUE"""),"Da Nang Mikazuki Japanese Resorts and Spa")</f>
        <v>Da Nang Mikazuki Japanese Resorts and Spa</v>
      </c>
      <c r="Z113" s="1" t="str">
        <f ca="1">IFERROR(__xludf.DUMMYFUNCTION("""COMPUTED_VALUE"""),"Nhà hàng")</f>
        <v>Nhà hàng</v>
      </c>
      <c r="AA113" s="1" t="str">
        <f ca="1">IFERROR(__xludf.DUMMYFUNCTION("""COMPUTED_VALUE"""),"DUYỆT")</f>
        <v>DUYỆT</v>
      </c>
      <c r="AB113" s="1" t="str">
        <f ca="1">IFERROR(__xludf.DUMMYFUNCTION("""COMPUTED_VALUE"""),"19/01/2026")</f>
        <v>19/01/2026</v>
      </c>
      <c r="AC113" s="1" t="str">
        <f ca="1">IFERROR(__xludf.DUMMYFUNCTION("""COMPUTED_VALUE"""),"BÁO CÁO THỰC TẬP TỐT NGHIỆP")</f>
        <v>BÁO CÁO THỰC TẬP TỐT NGHIỆP</v>
      </c>
      <c r="AD113" s="1" t="str">
        <f ca="1">IFERROR(__xludf.DUMMYFUNCTION("""COMPUTED_VALUE"""),"Nguyễn Thị Minh Thư")</f>
        <v>Nguyễn Thị Minh Thư</v>
      </c>
      <c r="AE113" s="1" t="str">
        <f ca="1">IFERROR(__xludf.DUMMYFUNCTION("""COMPUTED_VALUE"""),"Thạc sĩ")</f>
        <v>Thạc sĩ</v>
      </c>
      <c r="AF113" s="1" t="str">
        <f ca="1">IFERROR(__xludf.DUMMYFUNCTION("""COMPUTED_VALUE"""),"0396.153.687")</f>
        <v>0396.153.687</v>
      </c>
      <c r="AG113" s="1" t="str">
        <f ca="1">IFERROR(__xludf.DUMMYFUNCTION("""COMPUTED_VALUE"""),"nguyentminhthu@dtu-hti.edu.vn")</f>
        <v>nguyentminhthu@dtu-hti.edu.vn</v>
      </c>
      <c r="AH113" s="1" t="str">
        <f ca="1">IFERROR(__xludf.DUMMYFUNCTION("""COMPUTED_VALUE"""),"Báo cáo kết quả thực tập và thực trạng về chất lượng cơ sở vật chất tại nhà hàng The Blue thuộc Da Nang Mikazuki Japanese Resorts &amp; Spa ")</f>
        <v xml:space="preserve">Báo cáo kết quả thực tập và thực trạng về chất lượng cơ sở vật chất tại nhà hàng The Blue thuộc Da Nang Mikazuki Japanese Resorts &amp; Spa </v>
      </c>
      <c r="AI113" s="1"/>
    </row>
    <row r="114" spans="1:35" x14ac:dyDescent="0.2">
      <c r="A114" s="3">
        <f ca="1">IFERROR(__xludf.DUMMYFUNCTION("""COMPUTED_VALUE"""),45997.0356542129)</f>
        <v>45997.035654212901</v>
      </c>
      <c r="B114" s="1" t="str">
        <f ca="1">IFERROR(__xludf.DUMMYFUNCTION("""COMPUTED_VALUE"""),"giahuy2004abc@gmail.com")</f>
        <v>giahuy2004abc@gmail.com</v>
      </c>
      <c r="C114" s="1">
        <f ca="1">IFERROR(__xludf.DUMMYFUNCTION("""COMPUTED_VALUE"""),28218041821)</f>
        <v>28218041821</v>
      </c>
      <c r="D114" s="1" t="str">
        <f ca="1">IFERROR(__xludf.DUMMYFUNCTION("""COMPUTED_VALUE"""),"Trịnh gia huy")</f>
        <v>Trịnh gia huy</v>
      </c>
      <c r="E114" s="1"/>
      <c r="F114" s="1" t="str">
        <f ca="1">IFERROR(__xludf.DUMMYFUNCTION("""COMPUTED_VALUE"""),"K28DLK2")</f>
        <v>K28DLK2</v>
      </c>
      <c r="G114" s="1" t="str">
        <f ca="1">IFERROR(__xludf.DUMMYFUNCTION("""COMPUTED_VALUE"""),"Quản trị Du lịch &amp; Khách sạn")</f>
        <v>Quản trị Du lịch &amp; Khách sạn</v>
      </c>
      <c r="H114" s="1" t="str">
        <f ca="1">IFERROR(__xludf.DUMMYFUNCTION("""COMPUTED_VALUE"""),"K28")</f>
        <v>K28</v>
      </c>
      <c r="I114" s="1" t="str">
        <f ca="1">IFERROR(__xludf.DUMMYFUNCTION("""COMPUTED_VALUE"""),"0354725318")</f>
        <v>0354725318</v>
      </c>
      <c r="J114" s="1" t="str">
        <f ca="1">IFERROR(__xludf.DUMMYFUNCTION("""COMPUTED_VALUE"""),"2,96")</f>
        <v>2,96</v>
      </c>
      <c r="K114" s="1">
        <f ca="1">IFERROR(__xludf.DUMMYFUNCTION("""COMPUTED_VALUE"""),111)</f>
        <v>111</v>
      </c>
      <c r="L114" s="1" t="str">
        <f ca="1">IFERROR(__xludf.DUMMYFUNCTION("""COMPUTED_VALUE"""),"Rồi")</f>
        <v>Rồi</v>
      </c>
      <c r="M114" s="1" t="str">
        <f ca="1">IFERROR(__xludf.DUMMYFUNCTION("""COMPUTED_VALUE"""),"Thực tập tốt nghiệp, Thi tốt nghiệp, Công nhận tốt nghiệp")</f>
        <v>Thực tập tốt nghiệp, Thi tốt nghiệp, Công nhận tốt nghiệp</v>
      </c>
      <c r="N114" s="1">
        <f ca="1">IFERROR(__xludf.DUMMYFUNCTION("""COMPUTED_VALUE"""),12)</f>
        <v>12</v>
      </c>
      <c r="O114" s="1" t="str">
        <f ca="1">IFERROR(__xludf.DUMMYFUNCTION("""COMPUTED_VALUE"""),"cam kết")</f>
        <v>cam kết</v>
      </c>
      <c r="P114" s="1"/>
      <c r="Q114" s="1"/>
      <c r="R114" s="1" t="str">
        <f ca="1">IFERROR(__xludf.DUMMYFUNCTION("""COMPUTED_VALUE"""),"18/12/2025")</f>
        <v>18/12/2025</v>
      </c>
      <c r="S114" s="1" t="str">
        <f ca="1">IFERROR(__xludf.DUMMYFUNCTION("""COMPUTED_VALUE"""),"thực tập TN, Thi TN")</f>
        <v>thực tập TN, Thi TN</v>
      </c>
      <c r="T114" s="1" t="str">
        <f ca="1">IFERROR(__xludf.DUMMYFUNCTION("""COMPUTED_VALUE"""),"Đã email cấp giấy giới thiệu ngày 18/12/2025")</f>
        <v>Đã email cấp giấy giới thiệu ngày 18/12/2025</v>
      </c>
      <c r="U114" s="1"/>
      <c r="V114" s="1"/>
      <c r="W114" s="1" t="str">
        <f ca="1">IFERROR(__xludf.DUMMYFUNCTION("""COMPUTED_VALUE"""),"K28DLK2")</f>
        <v>K28DLK2</v>
      </c>
      <c r="X114" s="1"/>
      <c r="Y114" s="1" t="str">
        <f ca="1">IFERROR(__xludf.DUMMYFUNCTION("""COMPUTED_VALUE"""),"Peninsula Hotel Danang")</f>
        <v>Peninsula Hotel Danang</v>
      </c>
      <c r="Z114" s="1" t="str">
        <f ca="1">IFERROR(__xludf.DUMMYFUNCTION("""COMPUTED_VALUE"""),"Nhà hàng")</f>
        <v>Nhà hàng</v>
      </c>
      <c r="AA114" s="1" t="str">
        <f ca="1">IFERROR(__xludf.DUMMYFUNCTION("""COMPUTED_VALUE"""),"DUYỆT")</f>
        <v>DUYỆT</v>
      </c>
      <c r="AB114" s="1" t="str">
        <f ca="1">IFERROR(__xludf.DUMMYFUNCTION("""COMPUTED_VALUE"""),"23/01/2026")</f>
        <v>23/01/2026</v>
      </c>
      <c r="AC114" s="1" t="str">
        <f ca="1">IFERROR(__xludf.DUMMYFUNCTION("""COMPUTED_VALUE"""),"BÁO CÁO THỰC TẬP TỐT NGHIỆP")</f>
        <v>BÁO CÁO THỰC TẬP TỐT NGHIỆP</v>
      </c>
      <c r="AD114" s="1" t="str">
        <f ca="1">IFERROR(__xludf.DUMMYFUNCTION("""COMPUTED_VALUE"""),"Đặng Thị Thùy Trang")</f>
        <v>Đặng Thị Thùy Trang</v>
      </c>
      <c r="AE114" s="1" t="str">
        <f ca="1">IFERROR(__xludf.DUMMYFUNCTION("""COMPUTED_VALUE"""),"Thạc sĩ")</f>
        <v>Thạc sĩ</v>
      </c>
      <c r="AF114" s="1" t="str">
        <f ca="1">IFERROR(__xludf.DUMMYFUNCTION("""COMPUTED_VALUE"""),"0327892117")</f>
        <v>0327892117</v>
      </c>
      <c r="AG114" s="1" t="str">
        <f ca="1">IFERROR(__xludf.DUMMYFUNCTION("""COMPUTED_VALUE"""),"dangtthuytrang3@dtu-hti.edu.vn")</f>
        <v>dangtthuytrang3@dtu-hti.edu.vn</v>
      </c>
      <c r="AH114" s="1" t="str">
        <f ca="1">IFERROR(__xludf.DUMMYFUNCTION("""COMPUTED_VALUE"""),"Báo cáo kết quả thực tập và thực trạng quy trình phục vụ À La Carte tại nhà hàng The Veranda thuộc Peninsula Hotel Danang")</f>
        <v>Báo cáo kết quả thực tập và thực trạng quy trình phục vụ À La Carte tại nhà hàng The Veranda thuộc Peninsula Hotel Danang</v>
      </c>
      <c r="AI114" s="1"/>
    </row>
    <row r="115" spans="1:35" x14ac:dyDescent="0.2">
      <c r="A115" s="3">
        <f ca="1">IFERROR(__xludf.DUMMYFUNCTION("""COMPUTED_VALUE"""),45997.4096571412)</f>
        <v>45997.409657141201</v>
      </c>
      <c r="B115" s="1" t="str">
        <f ca="1">IFERROR(__xludf.DUMMYFUNCTION("""COMPUTED_VALUE"""),"tram0898178101@gmail.com")</f>
        <v>tram0898178101@gmail.com</v>
      </c>
      <c r="C115" s="1">
        <f ca="1">IFERROR(__xludf.DUMMYFUNCTION("""COMPUTED_VALUE"""),28208036094)</f>
        <v>28208036094</v>
      </c>
      <c r="D115" s="1" t="str">
        <f ca="1">IFERROR(__xludf.DUMMYFUNCTION("""COMPUTED_VALUE"""),"Nguyễn Thị Thanh Trâm ")</f>
        <v xml:space="preserve">Nguyễn Thị Thanh Trâm </v>
      </c>
      <c r="E115" s="1"/>
      <c r="F115" s="1" t="str">
        <f ca="1">IFERROR(__xludf.DUMMYFUNCTION("""COMPUTED_VALUE"""),"K28DLK3")</f>
        <v>K28DLK3</v>
      </c>
      <c r="G115" s="1" t="str">
        <f ca="1">IFERROR(__xludf.DUMMYFUNCTION("""COMPUTED_VALUE"""),"Quản trị Du lịch &amp; Khách sạn")</f>
        <v>Quản trị Du lịch &amp; Khách sạn</v>
      </c>
      <c r="H115" s="1" t="str">
        <f ca="1">IFERROR(__xludf.DUMMYFUNCTION("""COMPUTED_VALUE"""),"K28")</f>
        <v>K28</v>
      </c>
      <c r="I115" s="1" t="str">
        <f ca="1">IFERROR(__xludf.DUMMYFUNCTION("""COMPUTED_VALUE"""),"0898178101")</f>
        <v>0898178101</v>
      </c>
      <c r="J115" s="1">
        <f ca="1">IFERROR(__xludf.DUMMYFUNCTION("""COMPUTED_VALUE"""),3.31)</f>
        <v>3.31</v>
      </c>
      <c r="K115" s="1">
        <f ca="1">IFERROR(__xludf.DUMMYFUNCTION("""COMPUTED_VALUE"""),116)</f>
        <v>116</v>
      </c>
      <c r="L115" s="1" t="str">
        <f ca="1">IFERROR(__xludf.DUMMYFUNCTION("""COMPUTED_VALUE"""),"Rồi")</f>
        <v>Rồi</v>
      </c>
      <c r="M115" s="1" t="str">
        <f ca="1">IFERROR(__xludf.DUMMYFUNCTION("""COMPUTED_VALUE"""),"Thực tập tốt nghiệp, Thi tốt nghiệp, Công nhận tốt nghiệp")</f>
        <v>Thực tập tốt nghiệp, Thi tốt nghiệp, Công nhận tốt nghiệp</v>
      </c>
      <c r="N115" s="1">
        <f ca="1">IFERROR(__xludf.DUMMYFUNCTION("""COMPUTED_VALUE"""),7)</f>
        <v>7</v>
      </c>
      <c r="O115" s="1" t="str">
        <f ca="1">IFERROR(__xludf.DUMMYFUNCTION("""COMPUTED_VALUE"""),"cam kết")</f>
        <v>cam kết</v>
      </c>
      <c r="P115" s="1"/>
      <c r="Q115" s="1"/>
      <c r="R115" s="1" t="str">
        <f ca="1">IFERROR(__xludf.DUMMYFUNCTION("""COMPUTED_VALUE"""),"18/12/2025")</f>
        <v>18/12/2025</v>
      </c>
      <c r="S115" s="1" t="str">
        <f ca="1">IFERROR(__xludf.DUMMYFUNCTION("""COMPUTED_VALUE"""),"thực tập TN, Thi TN")</f>
        <v>thực tập TN, Thi TN</v>
      </c>
      <c r="T115" s="1" t="str">
        <f ca="1">IFERROR(__xludf.DUMMYFUNCTION("""COMPUTED_VALUE"""),"Đã email cấp giấy giới thiệu ngày 18/12/2025")</f>
        <v>Đã email cấp giấy giới thiệu ngày 18/12/2025</v>
      </c>
      <c r="U115" s="1" t="str">
        <f ca="1">IFERROR(__xludf.DUMMYFUNCTION("""COMPUTED_VALUE"""),"Sv đã nộp đơn chuyển KL - CĐ")</f>
        <v>Sv đã nộp đơn chuyển KL - CĐ</v>
      </c>
      <c r="V115" s="1"/>
      <c r="W115" s="1" t="str">
        <f ca="1">IFERROR(__xludf.DUMMYFUNCTION("""COMPUTED_VALUE"""),"K28DLK3")</f>
        <v>K28DLK3</v>
      </c>
      <c r="X115" s="1"/>
      <c r="Y115" s="1" t="str">
        <f ca="1">IFERROR(__xludf.DUMMYFUNCTION("""COMPUTED_VALUE"""),"Shilla Monogram Danang")</f>
        <v>Shilla Monogram Danang</v>
      </c>
      <c r="Z115" s="1" t="str">
        <f ca="1">IFERROR(__xludf.DUMMYFUNCTION("""COMPUTED_VALUE"""),"Nhà hàng")</f>
        <v>Nhà hàng</v>
      </c>
      <c r="AA115" s="1" t="str">
        <f ca="1">IFERROR(__xludf.DUMMYFUNCTION("""COMPUTED_VALUE"""),"DUYỆT")</f>
        <v>DUYỆT</v>
      </c>
      <c r="AB115" s="1" t="str">
        <f ca="1">IFERROR(__xludf.DUMMYFUNCTION("""COMPUTED_VALUE"""),"23/01/2026")</f>
        <v>23/01/2026</v>
      </c>
      <c r="AC115" s="1" t="str">
        <f ca="1">IFERROR(__xludf.DUMMYFUNCTION("""COMPUTED_VALUE"""),"BÁO CÁO THỰC TẬP TỐT NGHIỆP")</f>
        <v>BÁO CÁO THỰC TẬP TỐT NGHIỆP</v>
      </c>
      <c r="AD115" s="1" t="str">
        <f ca="1">IFERROR(__xludf.DUMMYFUNCTION("""COMPUTED_VALUE"""),"Nguyễn Thị Minh Thư")</f>
        <v>Nguyễn Thị Minh Thư</v>
      </c>
      <c r="AE115" s="1" t="str">
        <f ca="1">IFERROR(__xludf.DUMMYFUNCTION("""COMPUTED_VALUE"""),"Thạc sĩ")</f>
        <v>Thạc sĩ</v>
      </c>
      <c r="AF115" s="1" t="str">
        <f ca="1">IFERROR(__xludf.DUMMYFUNCTION("""COMPUTED_VALUE"""),"0396.153.687")</f>
        <v>0396.153.687</v>
      </c>
      <c r="AG115" s="1" t="str">
        <f ca="1">IFERROR(__xludf.DUMMYFUNCTION("""COMPUTED_VALUE"""),"nguyentminhthu@dtu-hti.edu.vn")</f>
        <v>nguyentminhthu@dtu-hti.edu.vn</v>
      </c>
      <c r="AH115" s="1" t="str">
        <f ca="1">IFERROR(__xludf.DUMMYFUNCTION("""COMPUTED_VALUE"""),"Báo cáo kết quả thực tập và thực trạng về các yếu tố ảnh hưởng đến chất lượng phục vụ tại nhà hàng Bar M thuộc khách sạn Shilla Monogram Danang")</f>
        <v>Báo cáo kết quả thực tập và thực trạng về các yếu tố ảnh hưởng đến chất lượng phục vụ tại nhà hàng Bar M thuộc khách sạn Shilla Monogram Danang</v>
      </c>
      <c r="AI115" s="1"/>
    </row>
    <row r="116" spans="1:35" x14ac:dyDescent="0.2">
      <c r="A116" s="3">
        <f ca="1">IFERROR(__xludf.DUMMYFUNCTION("""COMPUTED_VALUE"""),45997.4195436342)</f>
        <v>45997.419543634198</v>
      </c>
      <c r="B116" s="1" t="str">
        <f ca="1">IFERROR(__xludf.DUMMYFUNCTION("""COMPUTED_VALUE"""),"kimtrinh040800@gmail.com")</f>
        <v>kimtrinh040800@gmail.com</v>
      </c>
      <c r="C116" s="1">
        <f ca="1">IFERROR(__xludf.DUMMYFUNCTION("""COMPUTED_VALUE"""),28208005206)</f>
        <v>28208005206</v>
      </c>
      <c r="D116" s="1" t="str">
        <f ca="1">IFERROR(__xludf.DUMMYFUNCTION("""COMPUTED_VALUE"""),"Trương Thị Kim Trinh")</f>
        <v>Trương Thị Kim Trinh</v>
      </c>
      <c r="E116" s="1"/>
      <c r="F116" s="1" t="str">
        <f ca="1">IFERROR(__xludf.DUMMYFUNCTION("""COMPUTED_VALUE"""),"K28DLK3")</f>
        <v>K28DLK3</v>
      </c>
      <c r="G116" s="1" t="str">
        <f ca="1">IFERROR(__xludf.DUMMYFUNCTION("""COMPUTED_VALUE"""),"Quản trị Du lịch &amp; Khách sạn")</f>
        <v>Quản trị Du lịch &amp; Khách sạn</v>
      </c>
      <c r="H116" s="1" t="str">
        <f ca="1">IFERROR(__xludf.DUMMYFUNCTION("""COMPUTED_VALUE"""),"K28")</f>
        <v>K28</v>
      </c>
      <c r="I116" s="1" t="str">
        <f ca="1">IFERROR(__xludf.DUMMYFUNCTION("""COMPUTED_VALUE"""),"0343084584")</f>
        <v>0343084584</v>
      </c>
      <c r="J116" s="1">
        <f ca="1">IFERROR(__xludf.DUMMYFUNCTION("""COMPUTED_VALUE"""),3.2)</f>
        <v>3.2</v>
      </c>
      <c r="K116" s="1">
        <f ca="1">IFERROR(__xludf.DUMMYFUNCTION("""COMPUTED_VALUE"""),116)</f>
        <v>116</v>
      </c>
      <c r="L116" s="1" t="str">
        <f ca="1">IFERROR(__xludf.DUMMYFUNCTION("""COMPUTED_VALUE"""),"Rồi")</f>
        <v>Rồi</v>
      </c>
      <c r="M116" s="1" t="str">
        <f ca="1">IFERROR(__xludf.DUMMYFUNCTION("""COMPUTED_VALUE"""),"Thực tập tốt nghiệp, Thi tốt nghiệp, Công nhận tốt nghiệp")</f>
        <v>Thực tập tốt nghiệp, Thi tốt nghiệp, Công nhận tốt nghiệp</v>
      </c>
      <c r="N116" s="1">
        <f ca="1">IFERROR(__xludf.DUMMYFUNCTION("""COMPUTED_VALUE"""),7)</f>
        <v>7</v>
      </c>
      <c r="O116" s="1" t="str">
        <f ca="1">IFERROR(__xludf.DUMMYFUNCTION("""COMPUTED_VALUE"""),"cam kết")</f>
        <v>cam kết</v>
      </c>
      <c r="P116" s="1"/>
      <c r="Q116" s="1"/>
      <c r="R116" s="1" t="str">
        <f ca="1">IFERROR(__xludf.DUMMYFUNCTION("""COMPUTED_VALUE"""),"18/12/2025")</f>
        <v>18/12/2025</v>
      </c>
      <c r="S116" s="1" t="str">
        <f ca="1">IFERROR(__xludf.DUMMYFUNCTION("""COMPUTED_VALUE"""),"thực tập TN, Thi TN")</f>
        <v>thực tập TN, Thi TN</v>
      </c>
      <c r="T116" s="1" t="str">
        <f ca="1">IFERROR(__xludf.DUMMYFUNCTION("""COMPUTED_VALUE"""),"Đã email cấp giấy giới thiệu ngày 18/12/2025")</f>
        <v>Đã email cấp giấy giới thiệu ngày 18/12/2025</v>
      </c>
      <c r="U116" s="1" t="str">
        <f ca="1">IFERROR(__xludf.DUMMYFUNCTION("""COMPUTED_VALUE"""),"Sv đã nộp đơn chuyển KL - CĐ")</f>
        <v>Sv đã nộp đơn chuyển KL - CĐ</v>
      </c>
      <c r="V116" s="1"/>
      <c r="W116" s="1" t="str">
        <f ca="1">IFERROR(__xludf.DUMMYFUNCTION("""COMPUTED_VALUE"""),"K28DLK3")</f>
        <v>K28DLK3</v>
      </c>
      <c r="X116" s="1"/>
      <c r="Y116" s="1" t="str">
        <f ca="1">IFERROR(__xludf.DUMMYFUNCTION("""COMPUTED_VALUE"""),"Renaissance DaNang Hoi An Resort &amp; Spa ")</f>
        <v xml:space="preserve">Renaissance DaNang Hoi An Resort &amp; Spa </v>
      </c>
      <c r="Z116" s="1" t="str">
        <f ca="1">IFERROR(__xludf.DUMMYFUNCTION("""COMPUTED_VALUE"""),"Nhà hàng")</f>
        <v>Nhà hàng</v>
      </c>
      <c r="AA116" s="1" t="str">
        <f ca="1">IFERROR(__xludf.DUMMYFUNCTION("""COMPUTED_VALUE"""),"DUYỆT")</f>
        <v>DUYỆT</v>
      </c>
      <c r="AB116" s="1" t="str">
        <f ca="1">IFERROR(__xludf.DUMMYFUNCTION("""COMPUTED_VALUE"""),"23/01/2026")</f>
        <v>23/01/2026</v>
      </c>
      <c r="AC116" s="1" t="str">
        <f ca="1">IFERROR(__xludf.DUMMYFUNCTION("""COMPUTED_VALUE"""),"BÁO CÁO THỰC TẬP TỐT NGHIỆP")</f>
        <v>BÁO CÁO THỰC TẬP TỐT NGHIỆP</v>
      </c>
      <c r="AD116" s="1" t="str">
        <f ca="1">IFERROR(__xludf.DUMMYFUNCTION("""COMPUTED_VALUE"""),"Đặng Thị Thùy Trang")</f>
        <v>Đặng Thị Thùy Trang</v>
      </c>
      <c r="AE116" s="1" t="str">
        <f ca="1">IFERROR(__xludf.DUMMYFUNCTION("""COMPUTED_VALUE"""),"Thạc sĩ")</f>
        <v>Thạc sĩ</v>
      </c>
      <c r="AF116" s="1" t="str">
        <f ca="1">IFERROR(__xludf.DUMMYFUNCTION("""COMPUTED_VALUE"""),"0327892117")</f>
        <v>0327892117</v>
      </c>
      <c r="AG116" s="1" t="str">
        <f ca="1">IFERROR(__xludf.DUMMYFUNCTION("""COMPUTED_VALUE"""),"dangtthuytrang3@dtu-hti.edu.vn")</f>
        <v>dangtthuytrang3@dtu-hti.edu.vn</v>
      </c>
      <c r="AH116" s="1" t="str">
        <f ca="1">IFERROR(__xludf.DUMMYFUNCTION("""COMPUTED_VALUE"""),"Báo cáo kết quả thực tập và thực trạng về cơ sở vật chất tại nhà hàng Food Studio thuộc Renaissance Danang Hoi An Resort &amp; Spa")</f>
        <v>Báo cáo kết quả thực tập và thực trạng về cơ sở vật chất tại nhà hàng Food Studio thuộc Renaissance Danang Hoi An Resort &amp; Spa</v>
      </c>
      <c r="AI116" s="1"/>
    </row>
    <row r="117" spans="1:35" x14ac:dyDescent="0.2">
      <c r="A117" s="3">
        <f ca="1">IFERROR(__xludf.DUMMYFUNCTION("""COMPUTED_VALUE"""),46008.5081085879)</f>
        <v>46008.508108587899</v>
      </c>
      <c r="B117" s="1" t="str">
        <f ca="1">IFERROR(__xludf.DUMMYFUNCTION("""COMPUTED_VALUE"""),"phamthaonguyen679@gmail.com")</f>
        <v>phamthaonguyen679@gmail.com</v>
      </c>
      <c r="C117" s="1">
        <f ca="1">IFERROR(__xludf.DUMMYFUNCTION("""COMPUTED_VALUE"""),28208006609)</f>
        <v>28208006609</v>
      </c>
      <c r="D117" s="1" t="str">
        <f ca="1">IFERROR(__xludf.DUMMYFUNCTION("""COMPUTED_VALUE"""),"Phạm Thị Thảo Nguyên")</f>
        <v>Phạm Thị Thảo Nguyên</v>
      </c>
      <c r="E117" s="1"/>
      <c r="F117" s="1" t="str">
        <f ca="1">IFERROR(__xludf.DUMMYFUNCTION("""COMPUTED_VALUE"""),"K28DLK8")</f>
        <v>K28DLK8</v>
      </c>
      <c r="G117" s="1" t="str">
        <f ca="1">IFERROR(__xludf.DUMMYFUNCTION("""COMPUTED_VALUE"""),"Quản trị Du lịch &amp; Khách sạn")</f>
        <v>Quản trị Du lịch &amp; Khách sạn</v>
      </c>
      <c r="H117" s="1" t="str">
        <f ca="1">IFERROR(__xludf.DUMMYFUNCTION("""COMPUTED_VALUE"""),"K28")</f>
        <v>K28</v>
      </c>
      <c r="I117" s="1" t="str">
        <f ca="1">IFERROR(__xludf.DUMMYFUNCTION("""COMPUTED_VALUE"""),"0932446235")</f>
        <v>0932446235</v>
      </c>
      <c r="J117" s="1">
        <f ca="1">IFERROR(__xludf.DUMMYFUNCTION("""COMPUTED_VALUE"""),3.3)</f>
        <v>3.3</v>
      </c>
      <c r="K117" s="1">
        <f ca="1">IFERROR(__xludf.DUMMYFUNCTION("""COMPUTED_VALUE"""),111)</f>
        <v>111</v>
      </c>
      <c r="L117" s="1" t="str">
        <f ca="1">IFERROR(__xludf.DUMMYFUNCTION("""COMPUTED_VALUE"""),"Rồi")</f>
        <v>Rồi</v>
      </c>
      <c r="M117" s="1" t="str">
        <f ca="1">IFERROR(__xludf.DUMMYFUNCTION("""COMPUTED_VALUE"""),"Thực tập tốt nghiệp, Thi tốt nghiệp, Công nhận tốt nghiệp")</f>
        <v>Thực tập tốt nghiệp, Thi tốt nghiệp, Công nhận tốt nghiệp</v>
      </c>
      <c r="N117" s="1" t="str">
        <f ca="1">IFERROR(__xludf.DUMMYFUNCTION("""COMPUTED_VALUE"""),"13 (học 9 tín chuẩn bị thi)")</f>
        <v>13 (học 9 tín chuẩn bị thi)</v>
      </c>
      <c r="O117" s="1" t="str">
        <f ca="1">IFERROR(__xludf.DUMMYFUNCTION("""COMPUTED_VALUE"""),"cam kết")</f>
        <v>cam kết</v>
      </c>
      <c r="P117" s="1"/>
      <c r="Q117" s="1"/>
      <c r="R117" s="1" t="str">
        <f ca="1">IFERROR(__xludf.DUMMYFUNCTION("""COMPUTED_VALUE"""),"18/12/2025")</f>
        <v>18/12/2025</v>
      </c>
      <c r="S117" s="1" t="str">
        <f ca="1">IFERROR(__xludf.DUMMYFUNCTION("""COMPUTED_VALUE"""),"thực tập TN, Thi TN")</f>
        <v>thực tập TN, Thi TN</v>
      </c>
      <c r="T117" s="1" t="str">
        <f ca="1">IFERROR(__xludf.DUMMYFUNCTION("""COMPUTED_VALUE"""),"Đã email cấp giấy giới thiệu ngày 18/12/2025")</f>
        <v>Đã email cấp giấy giới thiệu ngày 18/12/2025</v>
      </c>
      <c r="U117" s="1"/>
      <c r="V117" s="1"/>
      <c r="W117" s="1" t="str">
        <f ca="1">IFERROR(__xludf.DUMMYFUNCTION("""COMPUTED_VALUE"""),"K28DLK8")</f>
        <v>K28DLK8</v>
      </c>
      <c r="X117" s="1"/>
      <c r="Y117" s="1" t="str">
        <f ca="1">IFERROR(__xludf.DUMMYFUNCTION("""COMPUTED_VALUE"""),"Risemount Premier Resort Đà Nẵng")</f>
        <v>Risemount Premier Resort Đà Nẵng</v>
      </c>
      <c r="Z117" s="1" t="str">
        <f ca="1">IFERROR(__xludf.DUMMYFUNCTION("""COMPUTED_VALUE"""),"Tiền sảnh")</f>
        <v>Tiền sảnh</v>
      </c>
      <c r="AA117" s="1" t="str">
        <f ca="1">IFERROR(__xludf.DUMMYFUNCTION("""COMPUTED_VALUE"""),"DUYỆT")</f>
        <v>DUYỆT</v>
      </c>
      <c r="AB117" s="4">
        <f ca="1">IFERROR(__xludf.DUMMYFUNCTION("""COMPUTED_VALUE"""),46235)</f>
        <v>46235</v>
      </c>
      <c r="AC117" s="1" t="str">
        <f ca="1">IFERROR(__xludf.DUMMYFUNCTION("""COMPUTED_VALUE"""),"BÁO CÁO THỰC TẬP TỐT NGHIỆP")</f>
        <v>BÁO CÁO THỰC TẬP TỐT NGHIỆP</v>
      </c>
      <c r="AD117" s="1" t="str">
        <f ca="1">IFERROR(__xludf.DUMMYFUNCTION("""COMPUTED_VALUE"""),"Trịnh Thị Kim Chung")</f>
        <v>Trịnh Thị Kim Chung</v>
      </c>
      <c r="AE117" s="1" t="str">
        <f ca="1">IFERROR(__xludf.DUMMYFUNCTION("""COMPUTED_VALUE"""),"Thạc sĩ")</f>
        <v>Thạc sĩ</v>
      </c>
      <c r="AF117" s="1" t="str">
        <f ca="1">IFERROR(__xludf.DUMMYFUNCTION("""COMPUTED_VALUE"""),"0375658728")</f>
        <v>0375658728</v>
      </c>
      <c r="AG117" s="1" t="str">
        <f ca="1">IFERROR(__xludf.DUMMYFUNCTION("""COMPUTED_VALUE"""),"trinhtkimchung@dtu-hti.edu.vn")</f>
        <v>trinhtkimchung@dtu-hti.edu.vn</v>
      </c>
      <c r="AH117" s="1" t="str">
        <f ca="1">IFERROR(__xludf.DUMMYFUNCTION("""COMPUTED_VALUE"""),"Báo cáo kết quả thực tập và thực trạng quy trình đăng ký khách sạn tại bộ phận tiền sảnh thuộc Risemount Premier Resort Da Nang")</f>
        <v>Báo cáo kết quả thực tập và thực trạng quy trình đăng ký khách sạn tại bộ phận tiền sảnh thuộc Risemount Premier Resort Da Nang</v>
      </c>
      <c r="AI117" s="1"/>
    </row>
    <row r="118" spans="1:35" x14ac:dyDescent="0.2">
      <c r="A118" s="3">
        <f ca="1">IFERROR(__xludf.DUMMYFUNCTION("""COMPUTED_VALUE"""),45997.4736360532)</f>
        <v>45997.473636053197</v>
      </c>
      <c r="B118" s="1" t="str">
        <f ca="1">IFERROR(__xludf.DUMMYFUNCTION("""COMPUTED_VALUE"""),"junjung0210@gmail.com")</f>
        <v>junjung0210@gmail.com</v>
      </c>
      <c r="C118" s="1">
        <f ca="1">IFERROR(__xludf.DUMMYFUNCTION("""COMPUTED_VALUE"""),28204604095)</f>
        <v>28204604095</v>
      </c>
      <c r="D118" s="1" t="str">
        <f ca="1">IFERROR(__xludf.DUMMYFUNCTION("""COMPUTED_VALUE"""),"Nguyễn Thị Thuỳ Dung")</f>
        <v>Nguyễn Thị Thuỳ Dung</v>
      </c>
      <c r="E118" s="1"/>
      <c r="F118" s="1" t="str">
        <f ca="1">IFERROR(__xludf.DUMMYFUNCTION("""COMPUTED_VALUE"""),"K28 DLK1")</f>
        <v>K28 DLK1</v>
      </c>
      <c r="G118" s="1" t="str">
        <f ca="1">IFERROR(__xludf.DUMMYFUNCTION("""COMPUTED_VALUE"""),"Quản trị Du lịch &amp; Khách sạn")</f>
        <v>Quản trị Du lịch &amp; Khách sạn</v>
      </c>
      <c r="H118" s="1" t="str">
        <f ca="1">IFERROR(__xludf.DUMMYFUNCTION("""COMPUTED_VALUE"""),"K28")</f>
        <v>K28</v>
      </c>
      <c r="I118" s="1" t="str">
        <f ca="1">IFERROR(__xludf.DUMMYFUNCTION("""COMPUTED_VALUE"""),"0344578534")</f>
        <v>0344578534</v>
      </c>
      <c r="J118" s="1">
        <f ca="1">IFERROR(__xludf.DUMMYFUNCTION("""COMPUTED_VALUE"""),3.4)</f>
        <v>3.4</v>
      </c>
      <c r="K118" s="1">
        <f ca="1">IFERROR(__xludf.DUMMYFUNCTION("""COMPUTED_VALUE"""),3.4)</f>
        <v>3.4</v>
      </c>
      <c r="L118" s="1" t="str">
        <f ca="1">IFERROR(__xludf.DUMMYFUNCTION("""COMPUTED_VALUE"""),"Rồi")</f>
        <v>Rồi</v>
      </c>
      <c r="M118" s="1" t="str">
        <f ca="1">IFERROR(__xludf.DUMMYFUNCTION("""COMPUTED_VALUE"""),"Thực tập tốt nghiệp, Thi tốt nghiệp")</f>
        <v>Thực tập tốt nghiệp, Thi tốt nghiệp</v>
      </c>
      <c r="N118" s="1">
        <f ca="1">IFERROR(__xludf.DUMMYFUNCTION("""COMPUTED_VALUE"""),0)</f>
        <v>0</v>
      </c>
      <c r="O118" s="1" t="str">
        <f ca="1">IFERROR(__xludf.DUMMYFUNCTION("""COMPUTED_VALUE"""),"cam kết")</f>
        <v>cam kết</v>
      </c>
      <c r="P118" s="1"/>
      <c r="Q118" s="1"/>
      <c r="R118" s="1" t="str">
        <f ca="1">IFERROR(__xludf.DUMMYFUNCTION("""COMPUTED_VALUE"""),"18/12/2025")</f>
        <v>18/12/2025</v>
      </c>
      <c r="S118" s="1" t="str">
        <f ca="1">IFERROR(__xludf.DUMMYFUNCTION("""COMPUTED_VALUE"""),"thực tập TN, Thi TN")</f>
        <v>thực tập TN, Thi TN</v>
      </c>
      <c r="T118" s="1" t="str">
        <f ca="1">IFERROR(__xludf.DUMMYFUNCTION("""COMPUTED_VALUE"""),"Đã email cấp giấy giới thiệu ngày 18/12/2025")</f>
        <v>Đã email cấp giấy giới thiệu ngày 18/12/2025</v>
      </c>
      <c r="U118" s="1" t="str">
        <f ca="1">IFERROR(__xludf.DUMMYFUNCTION("""COMPUTED_VALUE"""),"Sv đã nộp đơn chuyển KL - CĐ")</f>
        <v>Sv đã nộp đơn chuyển KL - CĐ</v>
      </c>
      <c r="V118" s="1"/>
      <c r="W118" s="1" t="str">
        <f ca="1">IFERROR(__xludf.DUMMYFUNCTION("""COMPUTED_VALUE"""),"K28DLK1")</f>
        <v>K28DLK1</v>
      </c>
      <c r="X118" s="1"/>
      <c r="Y118" s="1" t="str">
        <f ca="1">IFERROR(__xludf.DUMMYFUNCTION("""COMPUTED_VALUE"""),"Meliá Danang Beach Resort")</f>
        <v>Meliá Danang Beach Resort</v>
      </c>
      <c r="Z118" s="1" t="str">
        <f ca="1">IFERROR(__xludf.DUMMYFUNCTION("""COMPUTED_VALUE"""),"Nhà hàng")</f>
        <v>Nhà hàng</v>
      </c>
      <c r="AA118" s="1" t="str">
        <f ca="1">IFERROR(__xludf.DUMMYFUNCTION("""COMPUTED_VALUE"""),"DUYỆT")</f>
        <v>DUYỆT</v>
      </c>
      <c r="AB118" s="4">
        <f ca="1">IFERROR(__xludf.DUMMYFUNCTION("""COMPUTED_VALUE"""),46143)</f>
        <v>46143</v>
      </c>
      <c r="AC118" s="1" t="str">
        <f ca="1">IFERROR(__xludf.DUMMYFUNCTION("""COMPUTED_VALUE"""),"BÁO CÁO THỰC TẬP TỐT NGHIỆP")</f>
        <v>BÁO CÁO THỰC TẬP TỐT NGHIỆP</v>
      </c>
      <c r="AD118" s="1" t="str">
        <f ca="1">IFERROR(__xludf.DUMMYFUNCTION("""COMPUTED_VALUE"""),"Huỳnh Lý Thùy Linh")</f>
        <v>Huỳnh Lý Thùy Linh</v>
      </c>
      <c r="AE118" s="1" t="str">
        <f ca="1">IFERROR(__xludf.DUMMYFUNCTION("""COMPUTED_VALUE"""),"Thạc sĩ")</f>
        <v>Thạc sĩ</v>
      </c>
      <c r="AF118" s="1" t="str">
        <f ca="1">IFERROR(__xludf.DUMMYFUNCTION("""COMPUTED_VALUE"""),"0702605664")</f>
        <v>0702605664</v>
      </c>
      <c r="AG118" s="1" t="str">
        <f ca="1">IFERROR(__xludf.DUMMYFUNCTION("""COMPUTED_VALUE"""),"huynhlthuylinh@dtu-hti.edu.vn")</f>
        <v>huynhlthuylinh@dtu-hti.edu.vn</v>
      </c>
      <c r="AH118" s="1" t="str">
        <f ca="1">IFERROR(__xludf.DUMMYFUNCTION("""COMPUTED_VALUE"""),"Báo cáo kết quả thực tập và thực trạng về chất lượng đội ngũ lao động của nhà hàng Sa Sa thuộc Meliá Danang Beach Resort")</f>
        <v>Báo cáo kết quả thực tập và thực trạng về chất lượng đội ngũ lao động của nhà hàng Sa Sa thuộc Meliá Danang Beach Resort</v>
      </c>
      <c r="AI118" s="1"/>
    </row>
    <row r="119" spans="1:35" x14ac:dyDescent="0.2">
      <c r="A119" s="3">
        <f ca="1">IFERROR(__xludf.DUMMYFUNCTION("""COMPUTED_VALUE"""),45997.591852199)</f>
        <v>45997.591852199002</v>
      </c>
      <c r="B119" s="1" t="str">
        <f ca="1">IFERROR(__xludf.DUMMYFUNCTION("""COMPUTED_VALUE"""),"tuthihanguyen2004@gmail.com")</f>
        <v>tuthihanguyen2004@gmail.com</v>
      </c>
      <c r="C119" s="1">
        <f ca="1">IFERROR(__xludf.DUMMYFUNCTION("""COMPUTED_VALUE"""),28208004642)</f>
        <v>28208004642</v>
      </c>
      <c r="D119" s="1" t="str">
        <f ca="1">IFERROR(__xludf.DUMMYFUNCTION("""COMPUTED_VALUE"""),"từ thị hà nguyên")</f>
        <v>từ thị hà nguyên</v>
      </c>
      <c r="E119" s="1"/>
      <c r="F119" s="1" t="str">
        <f ca="1">IFERROR(__xludf.DUMMYFUNCTION("""COMPUTED_VALUE"""),"K28DLK6")</f>
        <v>K28DLK6</v>
      </c>
      <c r="G119" s="1" t="str">
        <f ca="1">IFERROR(__xludf.DUMMYFUNCTION("""COMPUTED_VALUE"""),"Quản trị Du lịch &amp; Khách sạn")</f>
        <v>Quản trị Du lịch &amp; Khách sạn</v>
      </c>
      <c r="H119" s="1" t="str">
        <f ca="1">IFERROR(__xludf.DUMMYFUNCTION("""COMPUTED_VALUE"""),"K28")</f>
        <v>K28</v>
      </c>
      <c r="I119" s="1" t="str">
        <f ca="1">IFERROR(__xludf.DUMMYFUNCTION("""COMPUTED_VALUE"""),"0865551048")</f>
        <v>0865551048</v>
      </c>
      <c r="J119" s="1">
        <f ca="1">IFERROR(__xludf.DUMMYFUNCTION("""COMPUTED_VALUE"""),2.61)</f>
        <v>2.61</v>
      </c>
      <c r="K119" s="1">
        <f ca="1">IFERROR(__xludf.DUMMYFUNCTION("""COMPUTED_VALUE"""),115)</f>
        <v>115</v>
      </c>
      <c r="L119" s="1" t="str">
        <f ca="1">IFERROR(__xludf.DUMMYFUNCTION("""COMPUTED_VALUE"""),"Rồi")</f>
        <v>Rồi</v>
      </c>
      <c r="M119" s="1" t="str">
        <f ca="1">IFERROR(__xludf.DUMMYFUNCTION("""COMPUTED_VALUE"""),"Thực tập tốt nghiệp, Thi tốt nghiệp, Công nhận tốt nghiệp")</f>
        <v>Thực tập tốt nghiệp, Thi tốt nghiệp, Công nhận tốt nghiệp</v>
      </c>
      <c r="N119" s="1">
        <f ca="1">IFERROR(__xludf.DUMMYFUNCTION("""COMPUTED_VALUE"""),9)</f>
        <v>9</v>
      </c>
      <c r="O119" s="1" t="str">
        <f ca="1">IFERROR(__xludf.DUMMYFUNCTION("""COMPUTED_VALUE"""),"cam kết")</f>
        <v>cam kết</v>
      </c>
      <c r="P119" s="1"/>
      <c r="Q119" s="1"/>
      <c r="R119" s="1" t="str">
        <f ca="1">IFERROR(__xludf.DUMMYFUNCTION("""COMPUTED_VALUE"""),"18/12/2025")</f>
        <v>18/12/2025</v>
      </c>
      <c r="S119" s="1" t="str">
        <f ca="1">IFERROR(__xludf.DUMMYFUNCTION("""COMPUTED_VALUE"""),"thực tập TN, Thi TN")</f>
        <v>thực tập TN, Thi TN</v>
      </c>
      <c r="T119" s="1" t="str">
        <f ca="1">IFERROR(__xludf.DUMMYFUNCTION("""COMPUTED_VALUE"""),"Đã email cấp giấy giới thiệu ngày 18/12/2025")</f>
        <v>Đã email cấp giấy giới thiệu ngày 18/12/2025</v>
      </c>
      <c r="U119" s="1"/>
      <c r="V119" s="1"/>
      <c r="W119" s="1" t="str">
        <f ca="1">IFERROR(__xludf.DUMMYFUNCTION("""COMPUTED_VALUE"""),"K28DLK6")</f>
        <v>K28DLK6</v>
      </c>
      <c r="X119" s="1"/>
      <c r="Y119" s="1" t="str">
        <f ca="1">IFERROR(__xludf.DUMMYFUNCTION("""COMPUTED_VALUE"""),"Voco Ma Belle Danang")</f>
        <v>Voco Ma Belle Danang</v>
      </c>
      <c r="Z119" s="1" t="str">
        <f ca="1">IFERROR(__xludf.DUMMYFUNCTION("""COMPUTED_VALUE"""),"Buồng phòng")</f>
        <v>Buồng phòng</v>
      </c>
      <c r="AA119" s="1" t="str">
        <f ca="1">IFERROR(__xludf.DUMMYFUNCTION("""COMPUTED_VALUE"""),"DUYỆT")</f>
        <v>DUYỆT</v>
      </c>
      <c r="AB119" s="1" t="str">
        <f ca="1">IFERROR(__xludf.DUMMYFUNCTION("""COMPUTED_VALUE"""),"27/01/2026")</f>
        <v>27/01/2026</v>
      </c>
      <c r="AC119" s="1" t="str">
        <f ca="1">IFERROR(__xludf.DUMMYFUNCTION("""COMPUTED_VALUE"""),"BÁO CÁO THỰC TẬP TỐT NGHIỆP")</f>
        <v>BÁO CÁO THỰC TẬP TỐT NGHIỆP</v>
      </c>
      <c r="AD119" s="1" t="str">
        <f ca="1">IFERROR(__xludf.DUMMYFUNCTION("""COMPUTED_VALUE"""),"Hồ Minh Phúc")</f>
        <v>Hồ Minh Phúc</v>
      </c>
      <c r="AE119" s="1" t="str">
        <f ca="1">IFERROR(__xludf.DUMMYFUNCTION("""COMPUTED_VALUE"""),"Thạc sĩ")</f>
        <v>Thạc sĩ</v>
      </c>
      <c r="AF119" s="1" t="str">
        <f ca="1">IFERROR(__xludf.DUMMYFUNCTION("""COMPUTED_VALUE"""),"0935336716")</f>
        <v>0935336716</v>
      </c>
      <c r="AG119" s="1" t="str">
        <f ca="1">IFERROR(__xludf.DUMMYFUNCTION("""COMPUTED_VALUE"""),"hominhphuc@dtu-hti.edu.vn")</f>
        <v>hominhphuc@dtu-hti.edu.vn</v>
      </c>
      <c r="AH119" s="1" t="str">
        <f ca="1">IFERROR(__xludf.DUMMYFUNCTION("""COMPUTED_VALUE"""),"Báo cáo kết quả thực tập và thực trạng quy trình vệ sinh buồng khách tại bộ phận Buồng phòng của khách sạn voco Ma Belle Danang by IHG")</f>
        <v>Báo cáo kết quả thực tập và thực trạng quy trình vệ sinh buồng khách tại bộ phận Buồng phòng của khách sạn voco Ma Belle Danang by IHG</v>
      </c>
      <c r="AI119" s="1"/>
    </row>
    <row r="120" spans="1:35" x14ac:dyDescent="0.2">
      <c r="A120" s="3">
        <f ca="1">IFERROR(__xludf.DUMMYFUNCTION("""COMPUTED_VALUE"""),46005.7822784259)</f>
        <v>46005.782278425897</v>
      </c>
      <c r="B120" s="1" t="str">
        <f ca="1">IFERROR(__xludf.DUMMYFUNCTION("""COMPUTED_VALUE"""),"oanhtranquynh03@gmail.com")</f>
        <v>oanhtranquynh03@gmail.com</v>
      </c>
      <c r="C120" s="1">
        <f ca="1">IFERROR(__xludf.DUMMYFUNCTION("""COMPUTED_VALUE"""),27207101004)</f>
        <v>27207101004</v>
      </c>
      <c r="D120" s="1" t="str">
        <f ca="1">IFERROR(__xludf.DUMMYFUNCTION("""COMPUTED_VALUE"""),"Trần Quỳnh Oanh")</f>
        <v>Trần Quỳnh Oanh</v>
      </c>
      <c r="E120" s="1"/>
      <c r="F120" s="1" t="str">
        <f ca="1">IFERROR(__xludf.DUMMYFUNCTION("""COMPUTED_VALUE"""),"K28DLK7")</f>
        <v>K28DLK7</v>
      </c>
      <c r="G120" s="1" t="str">
        <f ca="1">IFERROR(__xludf.DUMMYFUNCTION("""COMPUTED_VALUE"""),"Quản trị Du lịch &amp; Khách sạn")</f>
        <v>Quản trị Du lịch &amp; Khách sạn</v>
      </c>
      <c r="H120" s="1" t="str">
        <f ca="1">IFERROR(__xludf.DUMMYFUNCTION("""COMPUTED_VALUE"""),"K28")</f>
        <v>K28</v>
      </c>
      <c r="I120" s="1" t="str">
        <f ca="1">IFERROR(__xludf.DUMMYFUNCTION("""COMPUTED_VALUE"""),"0763589598")</f>
        <v>0763589598</v>
      </c>
      <c r="J120" s="1">
        <f ca="1">IFERROR(__xludf.DUMMYFUNCTION("""COMPUTED_VALUE"""),3.07)</f>
        <v>3.07</v>
      </c>
      <c r="K120" s="1">
        <f ca="1">IFERROR(__xludf.DUMMYFUNCTION("""COMPUTED_VALUE"""),123)</f>
        <v>123</v>
      </c>
      <c r="L120" s="1" t="str">
        <f ca="1">IFERROR(__xludf.DUMMYFUNCTION("""COMPUTED_VALUE"""),"Rồi")</f>
        <v>Rồi</v>
      </c>
      <c r="M120" s="1" t="str">
        <f ca="1">IFERROR(__xludf.DUMMYFUNCTION("""COMPUTED_VALUE"""),"Thực tập tốt nghiệp, Thi tốt nghiệp, Công nhận tốt nghiệp")</f>
        <v>Thực tập tốt nghiệp, Thi tốt nghiệp, Công nhận tốt nghiệp</v>
      </c>
      <c r="N120" s="1">
        <f ca="1">IFERROR(__xludf.DUMMYFUNCTION("""COMPUTED_VALUE"""),0)</f>
        <v>0</v>
      </c>
      <c r="O120" s="1" t="str">
        <f ca="1">IFERROR(__xludf.DUMMYFUNCTION("""COMPUTED_VALUE"""),"cam kết")</f>
        <v>cam kết</v>
      </c>
      <c r="P120" s="1"/>
      <c r="Q120" s="1"/>
      <c r="R120" s="1" t="str">
        <f ca="1">IFERROR(__xludf.DUMMYFUNCTION("""COMPUTED_VALUE"""),"18/12/2025")</f>
        <v>18/12/2025</v>
      </c>
      <c r="S120" s="1" t="str">
        <f ca="1">IFERROR(__xludf.DUMMYFUNCTION("""COMPUTED_VALUE"""),"thực tập TN, Thi TN")</f>
        <v>thực tập TN, Thi TN</v>
      </c>
      <c r="T120" s="1" t="str">
        <f ca="1">IFERROR(__xludf.DUMMYFUNCTION("""COMPUTED_VALUE"""),"Đã email cấp giấy giới thiệu ngày 18/12/2025")</f>
        <v>Đã email cấp giấy giới thiệu ngày 18/12/2025</v>
      </c>
      <c r="U120" s="1"/>
      <c r="V120" s="1"/>
      <c r="W120" s="1" t="str">
        <f ca="1">IFERROR(__xludf.DUMMYFUNCTION("""COMPUTED_VALUE"""),"K28DLK7")</f>
        <v>K28DLK7</v>
      </c>
      <c r="X120" s="1"/>
      <c r="Y120" s="1" t="str">
        <f ca="1">IFERROR(__xludf.DUMMYFUNCTION("""COMPUTED_VALUE"""),"Danang Marriott Resort &amp; Spa, Non Nuoc Beach Villas")</f>
        <v>Danang Marriott Resort &amp; Spa, Non Nuoc Beach Villas</v>
      </c>
      <c r="Z120" s="1" t="str">
        <f ca="1">IFERROR(__xludf.DUMMYFUNCTION("""COMPUTED_VALUE"""),"Nhà hàng")</f>
        <v>Nhà hàng</v>
      </c>
      <c r="AA120" s="1" t="str">
        <f ca="1">IFERROR(__xludf.DUMMYFUNCTION("""COMPUTED_VALUE"""),"DUYỆT")</f>
        <v>DUYỆT</v>
      </c>
      <c r="AB120" s="1" t="str">
        <f ca="1">IFERROR(__xludf.DUMMYFUNCTION("""COMPUTED_VALUE"""),"16/01/2026")</f>
        <v>16/01/2026</v>
      </c>
      <c r="AC120" s="1" t="str">
        <f ca="1">IFERROR(__xludf.DUMMYFUNCTION("""COMPUTED_VALUE"""),"BÁO CÁO THỰC TẬP TỐT NGHIỆP")</f>
        <v>BÁO CÁO THỰC TẬP TỐT NGHIỆP</v>
      </c>
      <c r="AD120" s="1" t="str">
        <f ca="1">IFERROR(__xludf.DUMMYFUNCTION("""COMPUTED_VALUE"""),"Nguyễn Thị Minh Thư")</f>
        <v>Nguyễn Thị Minh Thư</v>
      </c>
      <c r="AE120" s="1" t="str">
        <f ca="1">IFERROR(__xludf.DUMMYFUNCTION("""COMPUTED_VALUE"""),"Thạc sĩ")</f>
        <v>Thạc sĩ</v>
      </c>
      <c r="AF120" s="1" t="str">
        <f ca="1">IFERROR(__xludf.DUMMYFUNCTION("""COMPUTED_VALUE"""),"0396.153.687")</f>
        <v>0396.153.687</v>
      </c>
      <c r="AG120" s="1" t="str">
        <f ca="1">IFERROR(__xludf.DUMMYFUNCTION("""COMPUTED_VALUE"""),"nguyentminhthu@dtu-hti.edu.vn")</f>
        <v>nguyentminhthu@dtu-hti.edu.vn</v>
      </c>
      <c r="AH120" s="1" t="str">
        <f ca="1">IFERROR(__xludf.DUMMYFUNCTION("""COMPUTED_VALUE"""),"Báo cáo kết quả thực tập và thực trạng quy trình phục vụ buffet sáng  tại nhà hàng Man Ho thuộc DaNang Marriott Resort &amp; Spa, Non Nuoc Beach Villas")</f>
        <v>Báo cáo kết quả thực tập và thực trạng quy trình phục vụ buffet sáng  tại nhà hàng Man Ho thuộc DaNang Marriott Resort &amp; Spa, Non Nuoc Beach Villas</v>
      </c>
      <c r="AI120" s="1"/>
    </row>
    <row r="121" spans="1:35" x14ac:dyDescent="0.2">
      <c r="A121" s="3">
        <f ca="1">IFERROR(__xludf.DUMMYFUNCTION("""COMPUTED_VALUE"""),45997.599734456)</f>
        <v>45997.599734456002</v>
      </c>
      <c r="B121" s="1" t="str">
        <f ca="1">IFERROR(__xludf.DUMMYFUNCTION("""COMPUTED_VALUE"""),"ngankykim@gmail.com")</f>
        <v>ngankykim@gmail.com</v>
      </c>
      <c r="C121" s="1">
        <f ca="1">IFERROR(__xludf.DUMMYFUNCTION("""COMPUTED_VALUE"""),28208000472)</f>
        <v>28208000472</v>
      </c>
      <c r="D121" s="1" t="str">
        <f ca="1">IFERROR(__xludf.DUMMYFUNCTION("""COMPUTED_VALUE"""),"Kỳ Thị Kim Ngân ")</f>
        <v xml:space="preserve">Kỳ Thị Kim Ngân </v>
      </c>
      <c r="E121" s="1"/>
      <c r="F121" s="1" t="str">
        <f ca="1">IFERROR(__xludf.DUMMYFUNCTION("""COMPUTED_VALUE"""),"K28DLK1")</f>
        <v>K28DLK1</v>
      </c>
      <c r="G121" s="1" t="str">
        <f ca="1">IFERROR(__xludf.DUMMYFUNCTION("""COMPUTED_VALUE"""),"Quản trị Du lịch &amp; Khách sạn")</f>
        <v>Quản trị Du lịch &amp; Khách sạn</v>
      </c>
      <c r="H121" s="1" t="str">
        <f ca="1">IFERROR(__xludf.DUMMYFUNCTION("""COMPUTED_VALUE"""),"K28")</f>
        <v>K28</v>
      </c>
      <c r="I121" s="1" t="str">
        <f ca="1">IFERROR(__xludf.DUMMYFUNCTION("""COMPUTED_VALUE"""),"0569697693")</f>
        <v>0569697693</v>
      </c>
      <c r="J121" s="1">
        <f ca="1">IFERROR(__xludf.DUMMYFUNCTION("""COMPUTED_VALUE"""),2.89)</f>
        <v>2.89</v>
      </c>
      <c r="K121" s="1">
        <f ca="1">IFERROR(__xludf.DUMMYFUNCTION("""COMPUTED_VALUE"""),113)</f>
        <v>113</v>
      </c>
      <c r="L121" s="1" t="str">
        <f ca="1">IFERROR(__xludf.DUMMYFUNCTION("""COMPUTED_VALUE"""),"Rồi")</f>
        <v>Rồi</v>
      </c>
      <c r="M121" s="1" t="str">
        <f ca="1">IFERROR(__xludf.DUMMYFUNCTION("""COMPUTED_VALUE"""),"Thực tập tốt nghiệp, Thi tốt nghiệp, Công nhận tốt nghiệp")</f>
        <v>Thực tập tốt nghiệp, Thi tốt nghiệp, Công nhận tốt nghiệp</v>
      </c>
      <c r="N121" s="1" t="str">
        <f ca="1">IFERROR(__xludf.DUMMYFUNCTION("""COMPUTED_VALUE"""),"9 ( Chuẩn bị thi )")</f>
        <v>9 ( Chuẩn bị thi )</v>
      </c>
      <c r="O121" s="1" t="str">
        <f ca="1">IFERROR(__xludf.DUMMYFUNCTION("""COMPUTED_VALUE"""),"cam kết")</f>
        <v>cam kết</v>
      </c>
      <c r="P121" s="1"/>
      <c r="Q121" s="1"/>
      <c r="R121" s="1" t="str">
        <f ca="1">IFERROR(__xludf.DUMMYFUNCTION("""COMPUTED_VALUE"""),"18/12/2025")</f>
        <v>18/12/2025</v>
      </c>
      <c r="S121" s="1" t="str">
        <f ca="1">IFERROR(__xludf.DUMMYFUNCTION("""COMPUTED_VALUE"""),"thực tập TN, Thi TN")</f>
        <v>thực tập TN, Thi TN</v>
      </c>
      <c r="T121" s="1" t="str">
        <f ca="1">IFERROR(__xludf.DUMMYFUNCTION("""COMPUTED_VALUE"""),"Đã email cấp giấy giới thiệu ngày 18/12/2025")</f>
        <v>Đã email cấp giấy giới thiệu ngày 18/12/2025</v>
      </c>
      <c r="U121" s="1"/>
      <c r="V121" s="1"/>
      <c r="W121" s="1" t="str">
        <f ca="1">IFERROR(__xludf.DUMMYFUNCTION("""COMPUTED_VALUE"""),"K28DLK1")</f>
        <v>K28DLK1</v>
      </c>
      <c r="X121" s="1"/>
      <c r="Y121" s="1" t="str">
        <f ca="1">IFERROR(__xludf.DUMMYFUNCTION("""COMPUTED_VALUE"""),"Shilla Monogram Danang")</f>
        <v>Shilla Monogram Danang</v>
      </c>
      <c r="Z121" s="1" t="str">
        <f ca="1">IFERROR(__xludf.DUMMYFUNCTION("""COMPUTED_VALUE"""),"Buồng phòng")</f>
        <v>Buồng phòng</v>
      </c>
      <c r="AA121" s="1" t="str">
        <f ca="1">IFERROR(__xludf.DUMMYFUNCTION("""COMPUTED_VALUE"""),"DUYỆT")</f>
        <v>DUYỆT</v>
      </c>
      <c r="AB121" s="1" t="str">
        <f ca="1">IFERROR(__xludf.DUMMYFUNCTION("""COMPUTED_VALUE"""),"22/01/2026")</f>
        <v>22/01/2026</v>
      </c>
      <c r="AC121" s="1" t="str">
        <f ca="1">IFERROR(__xludf.DUMMYFUNCTION("""COMPUTED_VALUE"""),"BÁO CÁO THỰC TẬP TỐT NGHIỆP")</f>
        <v>BÁO CÁO THỰC TẬP TỐT NGHIỆP</v>
      </c>
      <c r="AD121" s="1" t="str">
        <f ca="1">IFERROR(__xludf.DUMMYFUNCTION("""COMPUTED_VALUE"""),"Hồ Minh Phúc")</f>
        <v>Hồ Minh Phúc</v>
      </c>
      <c r="AE121" s="1" t="str">
        <f ca="1">IFERROR(__xludf.DUMMYFUNCTION("""COMPUTED_VALUE"""),"Thạc sĩ")</f>
        <v>Thạc sĩ</v>
      </c>
      <c r="AF121" s="1" t="str">
        <f ca="1">IFERROR(__xludf.DUMMYFUNCTION("""COMPUTED_VALUE"""),"0935336716")</f>
        <v>0935336716</v>
      </c>
      <c r="AG121" s="1" t="str">
        <f ca="1">IFERROR(__xludf.DUMMYFUNCTION("""COMPUTED_VALUE"""),"hominhphuc@dtu-hti.edu.vn")</f>
        <v>hominhphuc@dtu-hti.edu.vn</v>
      </c>
      <c r="AH121" s="1" t="str">
        <f ca="1">IFERROR(__xludf.DUMMYFUNCTION("""COMPUTED_VALUE"""),"Báo cáo kết quả thực tập và thực trạng quy trình vệ sinh buồng khách tại bộ phận Buồng phòng của Shilla Monogram Danang")</f>
        <v>Báo cáo kết quả thực tập và thực trạng quy trình vệ sinh buồng khách tại bộ phận Buồng phòng của Shilla Monogram Danang</v>
      </c>
      <c r="AI121" s="1"/>
    </row>
    <row r="122" spans="1:35" x14ac:dyDescent="0.2">
      <c r="A122" s="3">
        <f ca="1">IFERROR(__xludf.DUMMYFUNCTION("""COMPUTED_VALUE"""),46008.0314091666)</f>
        <v>46008.0314091666</v>
      </c>
      <c r="B122" s="1" t="str">
        <f ca="1">IFERROR(__xludf.DUMMYFUNCTION("""COMPUTED_VALUE"""),"xuanle14072003@gmail.com")</f>
        <v>xuanle14072003@gmail.com</v>
      </c>
      <c r="C122" s="1">
        <f ca="1">IFERROR(__xludf.DUMMYFUNCTION("""COMPUTED_VALUE"""),27207143817)</f>
        <v>27207143817</v>
      </c>
      <c r="D122" s="1" t="str">
        <f ca="1">IFERROR(__xludf.DUMMYFUNCTION("""COMPUTED_VALUE"""),"Võ Thị Xuân Lệ ")</f>
        <v xml:space="preserve">Võ Thị Xuân Lệ </v>
      </c>
      <c r="E122" s="1"/>
      <c r="F122" s="1" t="str">
        <f ca="1">IFERROR(__xludf.DUMMYFUNCTION("""COMPUTED_VALUE"""),"K27DKL1")</f>
        <v>K27DKL1</v>
      </c>
      <c r="G122" s="1" t="str">
        <f ca="1">IFERROR(__xludf.DUMMYFUNCTION("""COMPUTED_VALUE"""),"Quản trị Du lịch &amp; Khách sạn")</f>
        <v>Quản trị Du lịch &amp; Khách sạn</v>
      </c>
      <c r="H122" s="1" t="str">
        <f ca="1">IFERROR(__xludf.DUMMYFUNCTION("""COMPUTED_VALUE"""),"K27")</f>
        <v>K27</v>
      </c>
      <c r="I122" s="1" t="str">
        <f ca="1">IFERROR(__xludf.DUMMYFUNCTION("""COMPUTED_VALUE"""),"0905577385")</f>
        <v>0905577385</v>
      </c>
      <c r="J122" s="1">
        <f ca="1">IFERROR(__xludf.DUMMYFUNCTION("""COMPUTED_VALUE"""),3.01)</f>
        <v>3.01</v>
      </c>
      <c r="K122" s="1">
        <f ca="1">IFERROR(__xludf.DUMMYFUNCTION("""COMPUTED_VALUE"""),114)</f>
        <v>114</v>
      </c>
      <c r="L122" s="1" t="str">
        <f ca="1">IFERROR(__xludf.DUMMYFUNCTION("""COMPUTED_VALUE"""),"Rồi")</f>
        <v>Rồi</v>
      </c>
      <c r="M122" s="1" t="str">
        <f ca="1">IFERROR(__xludf.DUMMYFUNCTION("""COMPUTED_VALUE"""),"Thực tập tốt nghiệp, Thi tốt nghiệp, Công nhận tốt nghiệp")</f>
        <v>Thực tập tốt nghiệp, Thi tốt nghiệp, Công nhận tốt nghiệp</v>
      </c>
      <c r="N122" s="1">
        <f ca="1">IFERROR(__xludf.DUMMYFUNCTION("""COMPUTED_VALUE"""),0)</f>
        <v>0</v>
      </c>
      <c r="O122" s="1" t="str">
        <f ca="1">IFERROR(__xludf.DUMMYFUNCTION("""COMPUTED_VALUE"""),"cam kết")</f>
        <v>cam kết</v>
      </c>
      <c r="P122" s="1" t="str">
        <f ca="1">IFERROR(__xludf.DUMMYFUNCTION("""COMPUTED_VALUE"""),"ĐÃ NỘP")</f>
        <v>ĐÃ NỘP</v>
      </c>
      <c r="Q122" s="1">
        <f ca="1">IFERROR(__xludf.DUMMYFUNCTION("""COMPUTED_VALUE"""),9)</f>
        <v>9</v>
      </c>
      <c r="R122" s="1" t="str">
        <f ca="1">IFERROR(__xludf.DUMMYFUNCTION("""COMPUTED_VALUE"""),"18/12/2025")</f>
        <v>18/12/2025</v>
      </c>
      <c r="S122" s="1" t="str">
        <f ca="1">IFERROR(__xludf.DUMMYFUNCTION("""COMPUTED_VALUE"""),"thực tập TN, Thi TN")</f>
        <v>thực tập TN, Thi TN</v>
      </c>
      <c r="T122" s="1" t="str">
        <f ca="1">IFERROR(__xludf.DUMMYFUNCTION("""COMPUTED_VALUE"""),"đã email ngày 05/01/2026")</f>
        <v>đã email ngày 05/01/2026</v>
      </c>
      <c r="U122" s="1"/>
      <c r="V122" s="1"/>
      <c r="W122" s="1" t="str">
        <f ca="1">IFERROR(__xludf.DUMMYFUNCTION("""COMPUTED_VALUE"""),"K27DLK1")</f>
        <v>K27DLK1</v>
      </c>
      <c r="X122" s="1"/>
      <c r="Y122" s="1" t="str">
        <f ca="1">IFERROR(__xludf.DUMMYFUNCTION("""COMPUTED_VALUE"""),"Danang Marriott Resort &amp; Spa, Non Nuoc Beach Villas")</f>
        <v>Danang Marriott Resort &amp; Spa, Non Nuoc Beach Villas</v>
      </c>
      <c r="Z122" s="1" t="str">
        <f ca="1">IFERROR(__xludf.DUMMYFUNCTION("""COMPUTED_VALUE"""),"Nhà hàng")</f>
        <v>Nhà hàng</v>
      </c>
      <c r="AA122" s="1" t="str">
        <f ca="1">IFERROR(__xludf.DUMMYFUNCTION("""COMPUTED_VALUE"""),"DUYỆT")</f>
        <v>DUYỆT</v>
      </c>
      <c r="AB122" s="1" t="str">
        <f ca="1">IFERROR(__xludf.DUMMYFUNCTION("""COMPUTED_VALUE"""),"16/01/2026")</f>
        <v>16/01/2026</v>
      </c>
      <c r="AC122" s="1" t="str">
        <f ca="1">IFERROR(__xludf.DUMMYFUNCTION("""COMPUTED_VALUE"""),"BÁO CÁO THỰC TẬP TỐT NGHIỆP")</f>
        <v>BÁO CÁO THỰC TẬP TỐT NGHIỆP</v>
      </c>
      <c r="AD122" s="1" t="str">
        <f ca="1">IFERROR(__xludf.DUMMYFUNCTION("""COMPUTED_VALUE"""),"Nguyễn Thị Minh Thư")</f>
        <v>Nguyễn Thị Minh Thư</v>
      </c>
      <c r="AE122" s="1" t="str">
        <f ca="1">IFERROR(__xludf.DUMMYFUNCTION("""COMPUTED_VALUE"""),"Thạc sĩ")</f>
        <v>Thạc sĩ</v>
      </c>
      <c r="AF122" s="1" t="str">
        <f ca="1">IFERROR(__xludf.DUMMYFUNCTION("""COMPUTED_VALUE"""),"0396.153.687")</f>
        <v>0396.153.687</v>
      </c>
      <c r="AG122" s="1" t="str">
        <f ca="1">IFERROR(__xludf.DUMMYFUNCTION("""COMPUTED_VALUE"""),"nguyentminhthu@dtu-hti.edu.vn")</f>
        <v>nguyentminhthu@dtu-hti.edu.vn</v>
      </c>
      <c r="AH122" s="1" t="str">
        <f ca="1">IFERROR(__xludf.DUMMYFUNCTION("""COMPUTED_VALUE"""),"Báo cáo kết quả thực tập và thực trạng quy trình phục vụ A La Carte tại nhà hàng Man Ho thuộc DaNang Marriott Resort &amp; Spa, Non Nuoc Beach Villas")</f>
        <v>Báo cáo kết quả thực tập và thực trạng quy trình phục vụ A La Carte tại nhà hàng Man Ho thuộc DaNang Marriott Resort &amp; Spa, Non Nuoc Beach Villas</v>
      </c>
      <c r="AI122" s="1"/>
    </row>
    <row r="123" spans="1:35" x14ac:dyDescent="0.2">
      <c r="A123" s="3">
        <f ca="1">IFERROR(__xludf.DUMMYFUNCTION("""COMPUTED_VALUE"""),46010.6571184143)</f>
        <v>46010.657118414303</v>
      </c>
      <c r="B123" s="1" t="str">
        <f ca="1">IFERROR(__xludf.DUMMYFUNCTION("""COMPUTED_VALUE"""),"quanrp1602@gmail.com")</f>
        <v>quanrp1602@gmail.com</v>
      </c>
      <c r="C123" s="1">
        <f ca="1">IFERROR(__xludf.DUMMYFUNCTION("""COMPUTED_VALUE"""),28218054700)</f>
        <v>28218054700</v>
      </c>
      <c r="D123" s="1" t="str">
        <f ca="1">IFERROR(__xludf.DUMMYFUNCTION("""COMPUTED_VALUE"""),"Bùi Hồng Quân")</f>
        <v>Bùi Hồng Quân</v>
      </c>
      <c r="E123" s="1"/>
      <c r="F123" s="1" t="str">
        <f ca="1">IFERROR(__xludf.DUMMYFUNCTION("""COMPUTED_VALUE"""),"K28DLK4")</f>
        <v>K28DLK4</v>
      </c>
      <c r="G123" s="1" t="str">
        <f ca="1">IFERROR(__xludf.DUMMYFUNCTION("""COMPUTED_VALUE"""),"Quản trị Du lịch &amp; Khách sạn")</f>
        <v>Quản trị Du lịch &amp; Khách sạn</v>
      </c>
      <c r="H123" s="1" t="str">
        <f ca="1">IFERROR(__xludf.DUMMYFUNCTION("""COMPUTED_VALUE"""),"K28")</f>
        <v>K28</v>
      </c>
      <c r="I123" s="1" t="str">
        <f ca="1">IFERROR(__xludf.DUMMYFUNCTION("""COMPUTED_VALUE"""),"0352567230")</f>
        <v>0352567230</v>
      </c>
      <c r="J123" s="1">
        <f ca="1">IFERROR(__xludf.DUMMYFUNCTION("""COMPUTED_VALUE"""),3.33)</f>
        <v>3.33</v>
      </c>
      <c r="K123" s="1">
        <f ca="1">IFERROR(__xludf.DUMMYFUNCTION("""COMPUTED_VALUE"""),110)</f>
        <v>110</v>
      </c>
      <c r="L123" s="1" t="str">
        <f ca="1">IFERROR(__xludf.DUMMYFUNCTION("""COMPUTED_VALUE"""),"Rồi")</f>
        <v>Rồi</v>
      </c>
      <c r="M123" s="1" t="str">
        <f ca="1">IFERROR(__xludf.DUMMYFUNCTION("""COMPUTED_VALUE"""),"Thực tập tốt nghiệp")</f>
        <v>Thực tập tốt nghiệp</v>
      </c>
      <c r="N123" s="1">
        <f ca="1">IFERROR(__xludf.DUMMYFUNCTION("""COMPUTED_VALUE"""),2)</f>
        <v>2</v>
      </c>
      <c r="O123" s="1" t="str">
        <f ca="1">IFERROR(__xludf.DUMMYFUNCTION("""COMPUTED_VALUE"""),"cam kết")</f>
        <v>cam kết</v>
      </c>
      <c r="P123" s="1"/>
      <c r="Q123" s="1"/>
      <c r="R123" s="1" t="str">
        <f ca="1">IFERROR(__xludf.DUMMYFUNCTION("""COMPUTED_VALUE"""),"18/12/2025")</f>
        <v>18/12/2025</v>
      </c>
      <c r="S123" s="1" t="str">
        <f ca="1">IFERROR(__xludf.DUMMYFUNCTION("""COMPUTED_VALUE"""),"thực tập TN, Thi TN")</f>
        <v>thực tập TN, Thi TN</v>
      </c>
      <c r="T123" s="1" t="str">
        <f ca="1">IFERROR(__xludf.DUMMYFUNCTION("""COMPUTED_VALUE"""),"đã email cấp giấy giới thiệu ngày 25/12/2025")</f>
        <v>đã email cấp giấy giới thiệu ngày 25/12/2025</v>
      </c>
      <c r="U123" s="1"/>
      <c r="V123" s="1"/>
      <c r="W123" s="1" t="str">
        <f ca="1">IFERROR(__xludf.DUMMYFUNCTION("""COMPUTED_VALUE"""),"K28DLK4")</f>
        <v>K28DLK4</v>
      </c>
      <c r="X123" s="1"/>
      <c r="Y123" s="1" t="str">
        <f ca="1">IFERROR(__xludf.DUMMYFUNCTION("""COMPUTED_VALUE"""),"Novotel Danang Premier")</f>
        <v>Novotel Danang Premier</v>
      </c>
      <c r="Z123" s="1" t="str">
        <f ca="1">IFERROR(__xludf.DUMMYFUNCTION("""COMPUTED_VALUE"""),"Nhà hàng")</f>
        <v>Nhà hàng</v>
      </c>
      <c r="AA123" s="1" t="str">
        <f ca="1">IFERROR(__xludf.DUMMYFUNCTION("""COMPUTED_VALUE"""),"DUYỆT")</f>
        <v>DUYỆT</v>
      </c>
      <c r="AB123" s="1" t="str">
        <f ca="1">IFERROR(__xludf.DUMMYFUNCTION("""COMPUTED_VALUE"""),"23/01/2026")</f>
        <v>23/01/2026</v>
      </c>
      <c r="AC123" s="1" t="str">
        <f ca="1">IFERROR(__xludf.DUMMYFUNCTION("""COMPUTED_VALUE"""),"BÁO CÁO THỰC TẬP TỐT NGHIỆP")</f>
        <v>BÁO CÁO THỰC TẬP TỐT NGHIỆP</v>
      </c>
      <c r="AD123" s="1" t="str">
        <f ca="1">IFERROR(__xludf.DUMMYFUNCTION("""COMPUTED_VALUE"""),"Huỳnh Lý Thùy Linh")</f>
        <v>Huỳnh Lý Thùy Linh</v>
      </c>
      <c r="AE123" s="1" t="str">
        <f ca="1">IFERROR(__xludf.DUMMYFUNCTION("""COMPUTED_VALUE"""),"Thạc sĩ")</f>
        <v>Thạc sĩ</v>
      </c>
      <c r="AF123" s="1" t="str">
        <f ca="1">IFERROR(__xludf.DUMMYFUNCTION("""COMPUTED_VALUE"""),"0702605664")</f>
        <v>0702605664</v>
      </c>
      <c r="AG123" s="1" t="str">
        <f ca="1">IFERROR(__xludf.DUMMYFUNCTION("""COMPUTED_VALUE"""),"huynhlthuylinh@dtu-hti.edu.vn")</f>
        <v>huynhlthuylinh@dtu-hti.edu.vn</v>
      </c>
      <c r="AH123" s="1" t="str">
        <f ca="1">IFERROR(__xludf.DUMMYFUNCTION("""COMPUTED_VALUE"""),"Báo cáo kết quả thực tập và thực trạng quy trình phục vụ sự kiện MICE của bộ phận Banquet tại Novotel Danang Premier Han River")</f>
        <v>Báo cáo kết quả thực tập và thực trạng quy trình phục vụ sự kiện MICE của bộ phận Banquet tại Novotel Danang Premier Han River</v>
      </c>
      <c r="AI123" s="1"/>
    </row>
    <row r="124" spans="1:35" x14ac:dyDescent="0.2">
      <c r="A124" s="3">
        <f ca="1">IFERROR(__xludf.DUMMYFUNCTION("""COMPUTED_VALUE"""),45997.8026749884)</f>
        <v>45997.802674988401</v>
      </c>
      <c r="B124" s="1" t="str">
        <f ca="1">IFERROR(__xludf.DUMMYFUNCTION("""COMPUTED_VALUE"""),"ailinh0365@gmail.com")</f>
        <v>ailinh0365@gmail.com</v>
      </c>
      <c r="C124" s="1">
        <f ca="1">IFERROR(__xludf.DUMMYFUNCTION("""COMPUTED_VALUE"""),28208103940)</f>
        <v>28208103940</v>
      </c>
      <c r="D124" s="1" t="str">
        <f ca="1">IFERROR(__xludf.DUMMYFUNCTION("""COMPUTED_VALUE"""),"Nguyễn Thị Ái Linh")</f>
        <v>Nguyễn Thị Ái Linh</v>
      </c>
      <c r="E124" s="1"/>
      <c r="F124" s="1" t="str">
        <f ca="1">IFERROR(__xludf.DUMMYFUNCTION("""COMPUTED_VALUE"""),"K28DLK6")</f>
        <v>K28DLK6</v>
      </c>
      <c r="G124" s="1" t="str">
        <f ca="1">IFERROR(__xludf.DUMMYFUNCTION("""COMPUTED_VALUE"""),"Quản trị Du lịch &amp; Khách sạn")</f>
        <v>Quản trị Du lịch &amp; Khách sạn</v>
      </c>
      <c r="H124" s="1" t="str">
        <f ca="1">IFERROR(__xludf.DUMMYFUNCTION("""COMPUTED_VALUE"""),"K28")</f>
        <v>K28</v>
      </c>
      <c r="I124" s="1" t="str">
        <f ca="1">IFERROR(__xludf.DUMMYFUNCTION("""COMPUTED_VALUE"""),"0365098154")</f>
        <v>0365098154</v>
      </c>
      <c r="J124" s="1">
        <f ca="1">IFERROR(__xludf.DUMMYFUNCTION("""COMPUTED_VALUE"""),3.13)</f>
        <v>3.13</v>
      </c>
      <c r="K124" s="1">
        <f ca="1">IFERROR(__xludf.DUMMYFUNCTION("""COMPUTED_VALUE"""),114)</f>
        <v>114</v>
      </c>
      <c r="L124" s="1" t="str">
        <f ca="1">IFERROR(__xludf.DUMMYFUNCTION("""COMPUTED_VALUE"""),"Rồi")</f>
        <v>Rồi</v>
      </c>
      <c r="M124" s="1" t="str">
        <f ca="1">IFERROR(__xludf.DUMMYFUNCTION("""COMPUTED_VALUE"""),"Thực tập tốt nghiệp, Thi tốt nghiệp, Công nhận tốt nghiệp")</f>
        <v>Thực tập tốt nghiệp, Thi tốt nghiệp, Công nhận tốt nghiệp</v>
      </c>
      <c r="N124" s="1">
        <f ca="1">IFERROR(__xludf.DUMMYFUNCTION("""COMPUTED_VALUE"""),9)</f>
        <v>9</v>
      </c>
      <c r="O124" s="1" t="str">
        <f ca="1">IFERROR(__xludf.DUMMYFUNCTION("""COMPUTED_VALUE"""),"cam kết")</f>
        <v>cam kết</v>
      </c>
      <c r="P124" s="1"/>
      <c r="Q124" s="1"/>
      <c r="R124" s="1" t="str">
        <f ca="1">IFERROR(__xludf.DUMMYFUNCTION("""COMPUTED_VALUE"""),"18/12/2025")</f>
        <v>18/12/2025</v>
      </c>
      <c r="S124" s="1" t="str">
        <f ca="1">IFERROR(__xludf.DUMMYFUNCTION("""COMPUTED_VALUE"""),"thực tập TN, Thi TN")</f>
        <v>thực tập TN, Thi TN</v>
      </c>
      <c r="T124" s="1" t="str">
        <f ca="1">IFERROR(__xludf.DUMMYFUNCTION("""COMPUTED_VALUE"""),"Đã email cấp giấy giới thiệu ngày 18/12/2025")</f>
        <v>Đã email cấp giấy giới thiệu ngày 18/12/2025</v>
      </c>
      <c r="U124" s="1"/>
      <c r="V124" s="1"/>
      <c r="W124" s="1" t="str">
        <f ca="1">IFERROR(__xludf.DUMMYFUNCTION("""COMPUTED_VALUE"""),"K28DLK6")</f>
        <v>K28DLK6</v>
      </c>
      <c r="X124" s="1"/>
      <c r="Y124" s="1" t="str">
        <f ca="1">IFERROR(__xludf.DUMMYFUNCTION("""COMPUTED_VALUE"""),"Shilla Monogram Danang")</f>
        <v>Shilla Monogram Danang</v>
      </c>
      <c r="Z124" s="1" t="str">
        <f ca="1">IFERROR(__xludf.DUMMYFUNCTION("""COMPUTED_VALUE"""),"Buồng phòng")</f>
        <v>Buồng phòng</v>
      </c>
      <c r="AA124" s="1" t="str">
        <f ca="1">IFERROR(__xludf.DUMMYFUNCTION("""COMPUTED_VALUE"""),"DUYỆT")</f>
        <v>DUYỆT</v>
      </c>
      <c r="AB124" s="1" t="str">
        <f ca="1">IFERROR(__xludf.DUMMYFUNCTION("""COMPUTED_VALUE"""),"23/01/2026")</f>
        <v>23/01/2026</v>
      </c>
      <c r="AC124" s="1" t="str">
        <f ca="1">IFERROR(__xludf.DUMMYFUNCTION("""COMPUTED_VALUE"""),"BÁO CÁO THỰC TẬP TỐT NGHIỆP")</f>
        <v>BÁO CÁO THỰC TẬP TỐT NGHIỆP</v>
      </c>
      <c r="AD124" s="1" t="str">
        <f ca="1">IFERROR(__xludf.DUMMYFUNCTION("""COMPUTED_VALUE"""),"Hồ Minh Phúc")</f>
        <v>Hồ Minh Phúc</v>
      </c>
      <c r="AE124" s="1" t="str">
        <f ca="1">IFERROR(__xludf.DUMMYFUNCTION("""COMPUTED_VALUE"""),"Thạc sĩ")</f>
        <v>Thạc sĩ</v>
      </c>
      <c r="AF124" s="1" t="str">
        <f ca="1">IFERROR(__xludf.DUMMYFUNCTION("""COMPUTED_VALUE"""),"0935336716")</f>
        <v>0935336716</v>
      </c>
      <c r="AG124" s="1" t="str">
        <f ca="1">IFERROR(__xludf.DUMMYFUNCTION("""COMPUTED_VALUE"""),"hominhphuc@dtu-hti.edu.vn")</f>
        <v>hominhphuc@dtu-hti.edu.vn</v>
      </c>
      <c r="AH124" s="1" t="str">
        <f ca="1">IFERROR(__xludf.DUMMYFUNCTION("""COMPUTED_VALUE"""),"Báo cáo kết quả thực tập và thực trạng chất lượng đội ngũ lao động tại bộ phận Buồng phòng của Shilla Monogram Danang Resort")</f>
        <v>Báo cáo kết quả thực tập và thực trạng chất lượng đội ngũ lao động tại bộ phận Buồng phòng của Shilla Monogram Danang Resort</v>
      </c>
      <c r="AI124" s="1"/>
    </row>
    <row r="125" spans="1:35" x14ac:dyDescent="0.2">
      <c r="A125" s="3">
        <f ca="1">IFERROR(__xludf.DUMMYFUNCTION("""COMPUTED_VALUE"""),45997.8029237152)</f>
        <v>45997.8029237152</v>
      </c>
      <c r="B125" s="1" t="str">
        <f ca="1">IFERROR(__xludf.DUMMYFUNCTION("""COMPUTED_VALUE"""),"anhle.241204@gmail.com")</f>
        <v>anhle.241204@gmail.com</v>
      </c>
      <c r="C125" s="1">
        <f ca="1">IFERROR(__xludf.DUMMYFUNCTION("""COMPUTED_VALUE"""),28208004346)</f>
        <v>28208004346</v>
      </c>
      <c r="D125" s="1" t="str">
        <f ca="1">IFERROR(__xludf.DUMMYFUNCTION("""COMPUTED_VALUE"""),"Lê Thị Minh Anh ")</f>
        <v xml:space="preserve">Lê Thị Minh Anh </v>
      </c>
      <c r="E125" s="1"/>
      <c r="F125" s="1" t="str">
        <f ca="1">IFERROR(__xludf.DUMMYFUNCTION("""COMPUTED_VALUE"""),"K28DLK6")</f>
        <v>K28DLK6</v>
      </c>
      <c r="G125" s="1" t="str">
        <f ca="1">IFERROR(__xludf.DUMMYFUNCTION("""COMPUTED_VALUE"""),"Quản trị Du lịch &amp; Khách sạn")</f>
        <v>Quản trị Du lịch &amp; Khách sạn</v>
      </c>
      <c r="H125" s="1" t="str">
        <f ca="1">IFERROR(__xludf.DUMMYFUNCTION("""COMPUTED_VALUE"""),"K28")</f>
        <v>K28</v>
      </c>
      <c r="I125" s="1" t="str">
        <f ca="1">IFERROR(__xludf.DUMMYFUNCTION("""COMPUTED_VALUE"""),"0799073571")</f>
        <v>0799073571</v>
      </c>
      <c r="J125" s="1">
        <f ca="1">IFERROR(__xludf.DUMMYFUNCTION("""COMPUTED_VALUE"""),3.14)</f>
        <v>3.14</v>
      </c>
      <c r="K125" s="1">
        <f ca="1">IFERROR(__xludf.DUMMYFUNCTION("""COMPUTED_VALUE"""),114)</f>
        <v>114</v>
      </c>
      <c r="L125" s="1" t="str">
        <f ca="1">IFERROR(__xludf.DUMMYFUNCTION("""COMPUTED_VALUE"""),"Rồi")</f>
        <v>Rồi</v>
      </c>
      <c r="M125" s="1" t="str">
        <f ca="1">IFERROR(__xludf.DUMMYFUNCTION("""COMPUTED_VALUE"""),"Thực tập tốt nghiệp, Thi tốt nghiệp, Công nhận tốt nghiệp")</f>
        <v>Thực tập tốt nghiệp, Thi tốt nghiệp, Công nhận tốt nghiệp</v>
      </c>
      <c r="N125" s="1">
        <f ca="1">IFERROR(__xludf.DUMMYFUNCTION("""COMPUTED_VALUE"""),9)</f>
        <v>9</v>
      </c>
      <c r="O125" s="1" t="str">
        <f ca="1">IFERROR(__xludf.DUMMYFUNCTION("""COMPUTED_VALUE"""),"cam kết")</f>
        <v>cam kết</v>
      </c>
      <c r="P125" s="1"/>
      <c r="Q125" s="1"/>
      <c r="R125" s="1" t="str">
        <f ca="1">IFERROR(__xludf.DUMMYFUNCTION("""COMPUTED_VALUE"""),"18/12/2025")</f>
        <v>18/12/2025</v>
      </c>
      <c r="S125" s="1" t="str">
        <f ca="1">IFERROR(__xludf.DUMMYFUNCTION("""COMPUTED_VALUE"""),"thực tập TN, Thi TN")</f>
        <v>thực tập TN, Thi TN</v>
      </c>
      <c r="T125" s="1" t="str">
        <f ca="1">IFERROR(__xludf.DUMMYFUNCTION("""COMPUTED_VALUE"""),"Đã email cấp giấy giới thiệu ngày 18/12/2025")</f>
        <v>Đã email cấp giấy giới thiệu ngày 18/12/2025</v>
      </c>
      <c r="U125" s="1"/>
      <c r="V125" s="1"/>
      <c r="W125" s="1" t="str">
        <f ca="1">IFERROR(__xludf.DUMMYFUNCTION("""COMPUTED_VALUE"""),"K28DLK6")</f>
        <v>K28DLK6</v>
      </c>
      <c r="X125" s="1"/>
      <c r="Y125" s="1" t="str">
        <f ca="1">IFERROR(__xludf.DUMMYFUNCTION("""COMPUTED_VALUE"""),"Meliá Danang Beach Resort")</f>
        <v>Meliá Danang Beach Resort</v>
      </c>
      <c r="Z125" s="1" t="str">
        <f ca="1">IFERROR(__xludf.DUMMYFUNCTION("""COMPUTED_VALUE"""),"Nhà hàng")</f>
        <v>Nhà hàng</v>
      </c>
      <c r="AA125" s="1" t="str">
        <f ca="1">IFERROR(__xludf.DUMMYFUNCTION("""COMPUTED_VALUE"""),"DUYỆT")</f>
        <v>DUYỆT</v>
      </c>
      <c r="AB125" s="1" t="str">
        <f ca="1">IFERROR(__xludf.DUMMYFUNCTION("""COMPUTED_VALUE"""),"15/01/2026")</f>
        <v>15/01/2026</v>
      </c>
      <c r="AC125" s="1" t="str">
        <f ca="1">IFERROR(__xludf.DUMMYFUNCTION("""COMPUTED_VALUE"""),"BÁO CÁO THỰC TẬP TỐT NGHIỆP")</f>
        <v>BÁO CÁO THỰC TẬP TỐT NGHIỆP</v>
      </c>
      <c r="AD125" s="1" t="str">
        <f ca="1">IFERROR(__xludf.DUMMYFUNCTION("""COMPUTED_VALUE"""),"Huỳnh Lý Thùy Linh")</f>
        <v>Huỳnh Lý Thùy Linh</v>
      </c>
      <c r="AE125" s="1" t="str">
        <f ca="1">IFERROR(__xludf.DUMMYFUNCTION("""COMPUTED_VALUE"""),"Thạc sĩ")</f>
        <v>Thạc sĩ</v>
      </c>
      <c r="AF125" s="1" t="str">
        <f ca="1">IFERROR(__xludf.DUMMYFUNCTION("""COMPUTED_VALUE"""),"0702605664")</f>
        <v>0702605664</v>
      </c>
      <c r="AG125" s="1" t="str">
        <f ca="1">IFERROR(__xludf.DUMMYFUNCTION("""COMPUTED_VALUE"""),"huynhlthuylinh@dtu-hti.edu.vn")</f>
        <v>huynhlthuylinh@dtu-hti.edu.vn</v>
      </c>
      <c r="AH125" s="1" t="str">
        <f ca="1">IFERROR(__xludf.DUMMYFUNCTION("""COMPUTED_VALUE"""),"Báo cáo kết quả thực tập và thực trạng về các yếu tố ảnh hưởng đến chất lượng phục vụ tại nhà hàng Sa Sa thuộc Meliá Danang Beach Resort")</f>
        <v>Báo cáo kết quả thực tập và thực trạng về các yếu tố ảnh hưởng đến chất lượng phục vụ tại nhà hàng Sa Sa thuộc Meliá Danang Beach Resort</v>
      </c>
      <c r="AI125" s="1"/>
    </row>
    <row r="126" spans="1:35" x14ac:dyDescent="0.2">
      <c r="A126" s="3">
        <f ca="1">IFERROR(__xludf.DUMMYFUNCTION("""COMPUTED_VALUE"""),45997.8052117245)</f>
        <v>45997.805211724502</v>
      </c>
      <c r="B126" s="1" t="str">
        <f ca="1">IFERROR(__xludf.DUMMYFUNCTION("""COMPUTED_VALUE"""),"Hoangmi41799@gmail.com")</f>
        <v>Hoangmi41799@gmail.com</v>
      </c>
      <c r="C126" s="1">
        <f ca="1">IFERROR(__xludf.DUMMYFUNCTION("""COMPUTED_VALUE"""),28208001739)</f>
        <v>28208001739</v>
      </c>
      <c r="D126" s="1" t="str">
        <f ca="1">IFERROR(__xludf.DUMMYFUNCTION("""COMPUTED_VALUE"""),"Trương Hoàng Mi")</f>
        <v>Trương Hoàng Mi</v>
      </c>
      <c r="E126" s="1"/>
      <c r="F126" s="1" t="str">
        <f ca="1">IFERROR(__xludf.DUMMYFUNCTION("""COMPUTED_VALUE"""),"K28DLK7")</f>
        <v>K28DLK7</v>
      </c>
      <c r="G126" s="1" t="str">
        <f ca="1">IFERROR(__xludf.DUMMYFUNCTION("""COMPUTED_VALUE"""),"Quản trị Du lịch &amp; Khách sạn")</f>
        <v>Quản trị Du lịch &amp; Khách sạn</v>
      </c>
      <c r="H126" s="1" t="str">
        <f ca="1">IFERROR(__xludf.DUMMYFUNCTION("""COMPUTED_VALUE"""),"K28")</f>
        <v>K28</v>
      </c>
      <c r="I126" s="1" t="str">
        <f ca="1">IFERROR(__xludf.DUMMYFUNCTION("""COMPUTED_VALUE"""),"0329841799")</f>
        <v>0329841799</v>
      </c>
      <c r="J126" s="1">
        <f ca="1">IFERROR(__xludf.DUMMYFUNCTION("""COMPUTED_VALUE"""),2.42)</f>
        <v>2.42</v>
      </c>
      <c r="K126" s="1">
        <f ca="1">IFERROR(__xludf.DUMMYFUNCTION("""COMPUTED_VALUE"""),114)</f>
        <v>114</v>
      </c>
      <c r="L126" s="1" t="str">
        <f ca="1">IFERROR(__xludf.DUMMYFUNCTION("""COMPUTED_VALUE"""),"Rồi")</f>
        <v>Rồi</v>
      </c>
      <c r="M126" s="1" t="str">
        <f ca="1">IFERROR(__xludf.DUMMYFUNCTION("""COMPUTED_VALUE"""),"Thực tập tốt nghiệp, Thi tốt nghiệp, Công nhận tốt nghiệp")</f>
        <v>Thực tập tốt nghiệp, Thi tốt nghiệp, Công nhận tốt nghiệp</v>
      </c>
      <c r="N126" s="1">
        <f ca="1">IFERROR(__xludf.DUMMYFUNCTION("""COMPUTED_VALUE"""),9)</f>
        <v>9</v>
      </c>
      <c r="O126" s="1" t="str">
        <f ca="1">IFERROR(__xludf.DUMMYFUNCTION("""COMPUTED_VALUE"""),"cam kết")</f>
        <v>cam kết</v>
      </c>
      <c r="P126" s="1"/>
      <c r="Q126" s="1"/>
      <c r="R126" s="1" t="str">
        <f ca="1">IFERROR(__xludf.DUMMYFUNCTION("""COMPUTED_VALUE"""),"18/12/2025")</f>
        <v>18/12/2025</v>
      </c>
      <c r="S126" s="1" t="str">
        <f ca="1">IFERROR(__xludf.DUMMYFUNCTION("""COMPUTED_VALUE"""),"thực tập TN, Thi TN")</f>
        <v>thực tập TN, Thi TN</v>
      </c>
      <c r="T126" s="1" t="str">
        <f ca="1">IFERROR(__xludf.DUMMYFUNCTION("""COMPUTED_VALUE"""),"Đã email cấp giấy giới thiệu ngày 18/12/2025")</f>
        <v>Đã email cấp giấy giới thiệu ngày 18/12/2025</v>
      </c>
      <c r="U126" s="1"/>
      <c r="V126" s="1"/>
      <c r="W126" s="1" t="str">
        <f ca="1">IFERROR(__xludf.DUMMYFUNCTION("""COMPUTED_VALUE"""),"K28DLK7")</f>
        <v>K28DLK7</v>
      </c>
      <c r="X126" s="1"/>
      <c r="Y126" s="1" t="str">
        <f ca="1">IFERROR(__xludf.DUMMYFUNCTION("""COMPUTED_VALUE"""),"Radisson Hotel Danang")</f>
        <v>Radisson Hotel Danang</v>
      </c>
      <c r="Z126" s="1" t="str">
        <f ca="1">IFERROR(__xludf.DUMMYFUNCTION("""COMPUTED_VALUE"""),"Nhà hàng")</f>
        <v>Nhà hàng</v>
      </c>
      <c r="AA126" s="1" t="str">
        <f ca="1">IFERROR(__xludf.DUMMYFUNCTION("""COMPUTED_VALUE"""),"DUYỆT")</f>
        <v>DUYỆT</v>
      </c>
      <c r="AB126" s="1" t="str">
        <f ca="1">IFERROR(__xludf.DUMMYFUNCTION("""COMPUTED_VALUE"""),"15/01/2026")</f>
        <v>15/01/2026</v>
      </c>
      <c r="AC126" s="1" t="str">
        <f ca="1">IFERROR(__xludf.DUMMYFUNCTION("""COMPUTED_VALUE"""),"BÁO CÁO THỰC TẬP TỐT NGHIỆP")</f>
        <v>BÁO CÁO THỰC TẬP TỐT NGHIỆP</v>
      </c>
      <c r="AD126" s="1" t="str">
        <f ca="1">IFERROR(__xludf.DUMMYFUNCTION("""COMPUTED_VALUE"""),"Mai Thị Thương")</f>
        <v>Mai Thị Thương</v>
      </c>
      <c r="AE126" s="1" t="str">
        <f ca="1">IFERROR(__xludf.DUMMYFUNCTION("""COMPUTED_VALUE"""),"Thạc sĩ")</f>
        <v>Thạc sĩ</v>
      </c>
      <c r="AF126" s="1" t="str">
        <f ca="1">IFERROR(__xludf.DUMMYFUNCTION("""COMPUTED_VALUE"""),"0905767050")</f>
        <v>0905767050</v>
      </c>
      <c r="AG126" s="1" t="str">
        <f ca="1">IFERROR(__xludf.DUMMYFUNCTION("""COMPUTED_VALUE"""),"maithithuong@dtu-hti.edu.vn")</f>
        <v>maithithuong@dtu-hti.edu.vn</v>
      </c>
      <c r="AH126" s="1" t="str">
        <f ca="1">IFERROR(__xludf.DUMMYFUNCTION("""COMPUTED_VALUE"""),"Báo cáo kết quả thực tập và thực trạng về chất lượng đội ngũ lao động tại bộ phận nhà hàng thuộc khách sạn Radisson Hotel Danang")</f>
        <v>Báo cáo kết quả thực tập và thực trạng về chất lượng đội ngũ lao động tại bộ phận nhà hàng thuộc khách sạn Radisson Hotel Danang</v>
      </c>
      <c r="AI126" s="1"/>
    </row>
    <row r="127" spans="1:35" x14ac:dyDescent="0.2">
      <c r="A127" s="3">
        <f ca="1">IFERROR(__xludf.DUMMYFUNCTION("""COMPUTED_VALUE"""),45998.4109325926)</f>
        <v>45998.410932592597</v>
      </c>
      <c r="B127" s="1" t="str">
        <f ca="1">IFERROR(__xludf.DUMMYFUNCTION("""COMPUTED_VALUE"""),"leminhuyen1704@gmail.com")</f>
        <v>leminhuyen1704@gmail.com</v>
      </c>
      <c r="C127" s="1">
        <f ca="1">IFERROR(__xludf.DUMMYFUNCTION("""COMPUTED_VALUE"""),28216846313)</f>
        <v>28216846313</v>
      </c>
      <c r="D127" s="1" t="str">
        <f ca="1">IFERROR(__xludf.DUMMYFUNCTION("""COMPUTED_VALUE"""),"Lê Minh Uyên")</f>
        <v>Lê Minh Uyên</v>
      </c>
      <c r="E127" s="1"/>
      <c r="F127" s="1" t="str">
        <f ca="1">IFERROR(__xludf.DUMMYFUNCTION("""COMPUTED_VALUE"""),"K28DLK8")</f>
        <v>K28DLK8</v>
      </c>
      <c r="G127" s="1" t="str">
        <f ca="1">IFERROR(__xludf.DUMMYFUNCTION("""COMPUTED_VALUE"""),"Quản trị Du lịch &amp; Khách sạn")</f>
        <v>Quản trị Du lịch &amp; Khách sạn</v>
      </c>
      <c r="H127" s="1" t="str">
        <f ca="1">IFERROR(__xludf.DUMMYFUNCTION("""COMPUTED_VALUE"""),"K28")</f>
        <v>K28</v>
      </c>
      <c r="I127" s="1" t="str">
        <f ca="1">IFERROR(__xludf.DUMMYFUNCTION("""COMPUTED_VALUE"""),"0775464203")</f>
        <v>0775464203</v>
      </c>
      <c r="J127" s="1">
        <f ca="1">IFERROR(__xludf.DUMMYFUNCTION("""COMPUTED_VALUE"""),2.68)</f>
        <v>2.68</v>
      </c>
      <c r="K127" s="1">
        <f ca="1">IFERROR(__xludf.DUMMYFUNCTION("""COMPUTED_VALUE"""),118)</f>
        <v>118</v>
      </c>
      <c r="L127" s="1" t="str">
        <f ca="1">IFERROR(__xludf.DUMMYFUNCTION("""COMPUTED_VALUE"""),"Rồi")</f>
        <v>Rồi</v>
      </c>
      <c r="M127" s="1" t="str">
        <f ca="1">IFERROR(__xludf.DUMMYFUNCTION("""COMPUTED_VALUE"""),"Thực tập tốt nghiệp, Thi tốt nghiệp, Công nhận tốt nghiệp")</f>
        <v>Thực tập tốt nghiệp, Thi tốt nghiệp, Công nhận tốt nghiệp</v>
      </c>
      <c r="N127" s="1">
        <f ca="1">IFERROR(__xludf.DUMMYFUNCTION("""COMPUTED_VALUE"""),5)</f>
        <v>5</v>
      </c>
      <c r="O127" s="1" t="str">
        <f ca="1">IFERROR(__xludf.DUMMYFUNCTION("""COMPUTED_VALUE"""),"cam kết")</f>
        <v>cam kết</v>
      </c>
      <c r="P127" s="1"/>
      <c r="Q127" s="1"/>
      <c r="R127" s="1" t="str">
        <f ca="1">IFERROR(__xludf.DUMMYFUNCTION("""COMPUTED_VALUE"""),"18/12/2025")</f>
        <v>18/12/2025</v>
      </c>
      <c r="S127" s="1" t="str">
        <f ca="1">IFERROR(__xludf.DUMMYFUNCTION("""COMPUTED_VALUE"""),"thực tập TN, Thi TN")</f>
        <v>thực tập TN, Thi TN</v>
      </c>
      <c r="T127" s="1" t="str">
        <f ca="1">IFERROR(__xludf.DUMMYFUNCTION("""COMPUTED_VALUE"""),"Đã email cấp giấy giới thiệu ngày 18/12/2025")</f>
        <v>Đã email cấp giấy giới thiệu ngày 18/12/2025</v>
      </c>
      <c r="U127" s="1"/>
      <c r="V127" s="1"/>
      <c r="W127" s="1" t="str">
        <f ca="1">IFERROR(__xludf.DUMMYFUNCTION("""COMPUTED_VALUE"""),"K28DLK8")</f>
        <v>K28DLK8</v>
      </c>
      <c r="X127" s="1"/>
      <c r="Y127" s="1" t="str">
        <f ca="1">IFERROR(__xludf.DUMMYFUNCTION("""COMPUTED_VALUE"""),"Hyatt Regency Danang Resort and Spa")</f>
        <v>Hyatt Regency Danang Resort and Spa</v>
      </c>
      <c r="Z127" s="1" t="str">
        <f ca="1">IFERROR(__xludf.DUMMYFUNCTION("""COMPUTED_VALUE"""),"Nhà hàng")</f>
        <v>Nhà hàng</v>
      </c>
      <c r="AA127" s="1" t="str">
        <f ca="1">IFERROR(__xludf.DUMMYFUNCTION("""COMPUTED_VALUE"""),"DUYỆT")</f>
        <v>DUYỆT</v>
      </c>
      <c r="AB127" s="1" t="str">
        <f ca="1">IFERROR(__xludf.DUMMYFUNCTION("""COMPUTED_VALUE"""),"30/01/2026")</f>
        <v>30/01/2026</v>
      </c>
      <c r="AC127" s="1" t="str">
        <f ca="1">IFERROR(__xludf.DUMMYFUNCTION("""COMPUTED_VALUE"""),"BÁO CÁO THỰC TẬP TỐT NGHIỆP")</f>
        <v>BÁO CÁO THỰC TẬP TỐT NGHIỆP</v>
      </c>
      <c r="AD127" s="1" t="str">
        <f ca="1">IFERROR(__xludf.DUMMYFUNCTION("""COMPUTED_VALUE"""),"Dương Thị Xuân Diệu")</f>
        <v>Dương Thị Xuân Diệu</v>
      </c>
      <c r="AE127" s="1" t="str">
        <f ca="1">IFERROR(__xludf.DUMMYFUNCTION("""COMPUTED_VALUE"""),"Thạc sĩ")</f>
        <v>Thạc sĩ</v>
      </c>
      <c r="AF127" s="1" t="str">
        <f ca="1">IFERROR(__xludf.DUMMYFUNCTION("""COMPUTED_VALUE"""),"0905938748")</f>
        <v>0905938748</v>
      </c>
      <c r="AG127" s="1" t="str">
        <f ca="1">IFERROR(__xludf.DUMMYFUNCTION("""COMPUTED_VALUE"""),"duongtxuandieu@dtu-hti.edu.vn")</f>
        <v>duongtxuandieu@dtu-hti.edu.vn</v>
      </c>
      <c r="AH127" s="1" t="str">
        <f ca="1">IFERROR(__xludf.DUMMYFUNCTION("""COMPUTED_VALUE"""),"Báo cáo kết quả thực tập và thực trạng quy trình phục vụ À la carte tại nhà hàng Vive Océane thuộc Hyatt Regency Danang Resort and Spa.")</f>
        <v>Báo cáo kết quả thực tập và thực trạng quy trình phục vụ À la carte tại nhà hàng Vive Océane thuộc Hyatt Regency Danang Resort and Spa.</v>
      </c>
      <c r="AI127" s="1"/>
    </row>
    <row r="128" spans="1:35" x14ac:dyDescent="0.2">
      <c r="A128" s="3">
        <f ca="1">IFERROR(__xludf.DUMMYFUNCTION("""COMPUTED_VALUE"""),45998.6476952083)</f>
        <v>45998.647695208303</v>
      </c>
      <c r="B128" s="1" t="str">
        <f ca="1">IFERROR(__xludf.DUMMYFUNCTION("""COMPUTED_VALUE"""),"dohanh2502@gmail.com")</f>
        <v>dohanh2502@gmail.com</v>
      </c>
      <c r="C128" s="1">
        <f ca="1">IFERROR(__xludf.DUMMYFUNCTION("""COMPUTED_VALUE"""),28208105595)</f>
        <v>28208105595</v>
      </c>
      <c r="D128" s="1" t="str">
        <f ca="1">IFERROR(__xludf.DUMMYFUNCTION("""COMPUTED_VALUE"""),"Đỗ Thị Hạnh")</f>
        <v>Đỗ Thị Hạnh</v>
      </c>
      <c r="E128" s="1"/>
      <c r="F128" s="1" t="str">
        <f ca="1">IFERROR(__xludf.DUMMYFUNCTION("""COMPUTED_VALUE"""),"K28DLK4")</f>
        <v>K28DLK4</v>
      </c>
      <c r="G128" s="1" t="str">
        <f ca="1">IFERROR(__xludf.DUMMYFUNCTION("""COMPUTED_VALUE"""),"Quản trị Du lịch &amp; Khách sạn")</f>
        <v>Quản trị Du lịch &amp; Khách sạn</v>
      </c>
      <c r="H128" s="1" t="str">
        <f ca="1">IFERROR(__xludf.DUMMYFUNCTION("""COMPUTED_VALUE"""),"K28")</f>
        <v>K28</v>
      </c>
      <c r="I128" s="1" t="str">
        <f ca="1">IFERROR(__xludf.DUMMYFUNCTION("""COMPUTED_VALUE"""),"0383376192")</f>
        <v>0383376192</v>
      </c>
      <c r="J128" s="1">
        <f ca="1">IFERROR(__xludf.DUMMYFUNCTION("""COMPUTED_VALUE"""),2.81)</f>
        <v>2.81</v>
      </c>
      <c r="K128" s="1">
        <f ca="1">IFERROR(__xludf.DUMMYFUNCTION("""COMPUTED_VALUE"""),116)</f>
        <v>116</v>
      </c>
      <c r="L128" s="1" t="str">
        <f ca="1">IFERROR(__xludf.DUMMYFUNCTION("""COMPUTED_VALUE"""),"Rồi")</f>
        <v>Rồi</v>
      </c>
      <c r="M128" s="1" t="str">
        <f ca="1">IFERROR(__xludf.DUMMYFUNCTION("""COMPUTED_VALUE"""),"Thực tập tốt nghiệp, Thi tốt nghiệp, Công nhận tốt nghiệp")</f>
        <v>Thực tập tốt nghiệp, Thi tốt nghiệp, Công nhận tốt nghiệp</v>
      </c>
      <c r="N128" s="1" t="str">
        <f ca="1">IFERROR(__xludf.DUMMYFUNCTION("""COMPUTED_VALUE"""),"07")</f>
        <v>07</v>
      </c>
      <c r="O128" s="1" t="str">
        <f ca="1">IFERROR(__xludf.DUMMYFUNCTION("""COMPUTED_VALUE"""),"cam kết")</f>
        <v>cam kết</v>
      </c>
      <c r="P128" s="1"/>
      <c r="Q128" s="1"/>
      <c r="R128" s="1" t="str">
        <f ca="1">IFERROR(__xludf.DUMMYFUNCTION("""COMPUTED_VALUE"""),"18/12/2025")</f>
        <v>18/12/2025</v>
      </c>
      <c r="S128" s="1" t="str">
        <f ca="1">IFERROR(__xludf.DUMMYFUNCTION("""COMPUTED_VALUE"""),"thực tập TN, Thi TN")</f>
        <v>thực tập TN, Thi TN</v>
      </c>
      <c r="T128" s="1" t="str">
        <f ca="1">IFERROR(__xludf.DUMMYFUNCTION("""COMPUTED_VALUE"""),"Đã email cấp giấy giới thiệu ngày 18/12/2025")</f>
        <v>Đã email cấp giấy giới thiệu ngày 18/12/2025</v>
      </c>
      <c r="U128" s="1"/>
      <c r="V128" s="1"/>
      <c r="W128" s="1" t="str">
        <f ca="1">IFERROR(__xludf.DUMMYFUNCTION("""COMPUTED_VALUE"""),"K28DLK4")</f>
        <v>K28DLK4</v>
      </c>
      <c r="X128" s="1"/>
      <c r="Y128" s="1" t="str">
        <f ca="1">IFERROR(__xludf.DUMMYFUNCTION("""COMPUTED_VALUE"""),"Renaissance Danang Hoi An Resort &amp; Spa")</f>
        <v>Renaissance Danang Hoi An Resort &amp; Spa</v>
      </c>
      <c r="Z128" s="1" t="str">
        <f ca="1">IFERROR(__xludf.DUMMYFUNCTION("""COMPUTED_VALUE"""),"Nhà hàng")</f>
        <v>Nhà hàng</v>
      </c>
      <c r="AA128" s="1" t="str">
        <f ca="1">IFERROR(__xludf.DUMMYFUNCTION("""COMPUTED_VALUE"""),"DUYỆT")</f>
        <v>DUYỆT</v>
      </c>
      <c r="AB128" s="1" t="str">
        <f ca="1">IFERROR(__xludf.DUMMYFUNCTION("""COMPUTED_VALUE"""),"23/01/2026")</f>
        <v>23/01/2026</v>
      </c>
      <c r="AC128" s="1" t="str">
        <f ca="1">IFERROR(__xludf.DUMMYFUNCTION("""COMPUTED_VALUE"""),"BÁO CÁO THỰC TẬP TỐT NGHIỆP")</f>
        <v>BÁO CÁO THỰC TẬP TỐT NGHIỆP</v>
      </c>
      <c r="AD128" s="1" t="str">
        <f ca="1">IFERROR(__xludf.DUMMYFUNCTION("""COMPUTED_VALUE"""),"Đặng Thị Thùy Trang")</f>
        <v>Đặng Thị Thùy Trang</v>
      </c>
      <c r="AE128" s="1" t="str">
        <f ca="1">IFERROR(__xludf.DUMMYFUNCTION("""COMPUTED_VALUE"""),"Thạc sĩ")</f>
        <v>Thạc sĩ</v>
      </c>
      <c r="AF128" s="1" t="str">
        <f ca="1">IFERROR(__xludf.DUMMYFUNCTION("""COMPUTED_VALUE"""),"0327892117")</f>
        <v>0327892117</v>
      </c>
      <c r="AG128" s="1" t="str">
        <f ca="1">IFERROR(__xludf.DUMMYFUNCTION("""COMPUTED_VALUE"""),"dangtthuytrang3@dtu-hti.edu.vn")</f>
        <v>dangtthuytrang3@dtu-hti.edu.vn</v>
      </c>
      <c r="AH128" s="1" t="str">
        <f ca="1">IFERROR(__xludf.DUMMYFUNCTION("""COMPUTED_VALUE"""),"Báo cáo kết quả thực tập và thực trạng về quy trình phục vụ À La Carte tại nhà hàng R Lounge thuộc Renaissance DaNang Hoi An Resort &amp; Spa")</f>
        <v>Báo cáo kết quả thực tập và thực trạng về quy trình phục vụ À La Carte tại nhà hàng R Lounge thuộc Renaissance DaNang Hoi An Resort &amp; Spa</v>
      </c>
      <c r="AI128" s="1"/>
    </row>
    <row r="129" spans="1:35" x14ac:dyDescent="0.2">
      <c r="A129" s="3">
        <f ca="1">IFERROR(__xludf.DUMMYFUNCTION("""COMPUTED_VALUE"""),45998.7929908101)</f>
        <v>45998.7929908101</v>
      </c>
      <c r="B129" s="1" t="str">
        <f ca="1">IFERROR(__xludf.DUMMYFUNCTION("""COMPUTED_VALUE"""),"dalynguyen1062004@gmail.com")</f>
        <v>dalynguyen1062004@gmail.com</v>
      </c>
      <c r="C129" s="1">
        <f ca="1">IFERROR(__xludf.DUMMYFUNCTION("""COMPUTED_VALUE"""),28205205446)</f>
        <v>28205205446</v>
      </c>
      <c r="D129" s="1" t="str">
        <f ca="1">IFERROR(__xludf.DUMMYFUNCTION("""COMPUTED_VALUE"""),"Nguyễn Ngọc Dạ Ly")</f>
        <v>Nguyễn Ngọc Dạ Ly</v>
      </c>
      <c r="E129" s="1"/>
      <c r="F129" s="1" t="str">
        <f ca="1">IFERROR(__xludf.DUMMYFUNCTION("""COMPUTED_VALUE"""),"K28DLk8")</f>
        <v>K28DLk8</v>
      </c>
      <c r="G129" s="1" t="str">
        <f ca="1">IFERROR(__xludf.DUMMYFUNCTION("""COMPUTED_VALUE"""),"Quản trị Du lịch &amp; Khách sạn")</f>
        <v>Quản trị Du lịch &amp; Khách sạn</v>
      </c>
      <c r="H129" s="1" t="str">
        <f ca="1">IFERROR(__xludf.DUMMYFUNCTION("""COMPUTED_VALUE"""),"K28")</f>
        <v>K28</v>
      </c>
      <c r="I129" s="1" t="str">
        <f ca="1">IFERROR(__xludf.DUMMYFUNCTION("""COMPUTED_VALUE"""),"0905507530")</f>
        <v>0905507530</v>
      </c>
      <c r="J129" s="1">
        <f ca="1">IFERROR(__xludf.DUMMYFUNCTION("""COMPUTED_VALUE"""),2.86)</f>
        <v>2.86</v>
      </c>
      <c r="K129" s="1">
        <f ca="1">IFERROR(__xludf.DUMMYFUNCTION("""COMPUTED_VALUE"""),117)</f>
        <v>117</v>
      </c>
      <c r="L129" s="1" t="str">
        <f ca="1">IFERROR(__xludf.DUMMYFUNCTION("""COMPUTED_VALUE"""),"Rồi")</f>
        <v>Rồi</v>
      </c>
      <c r="M129" s="1" t="str">
        <f ca="1">IFERROR(__xludf.DUMMYFUNCTION("""COMPUTED_VALUE"""),"Thực tập tốt nghiệp, Thi tốt nghiệp, Công nhận tốt nghiệp")</f>
        <v>Thực tập tốt nghiệp, Thi tốt nghiệp, Công nhận tốt nghiệp</v>
      </c>
      <c r="N129" s="1">
        <f ca="1">IFERROR(__xludf.DUMMYFUNCTION("""COMPUTED_VALUE"""),7)</f>
        <v>7</v>
      </c>
      <c r="O129" s="1" t="str">
        <f ca="1">IFERROR(__xludf.DUMMYFUNCTION("""COMPUTED_VALUE"""),"cam kết")</f>
        <v>cam kết</v>
      </c>
      <c r="P129" s="1"/>
      <c r="Q129" s="1"/>
      <c r="R129" s="1" t="str">
        <f ca="1">IFERROR(__xludf.DUMMYFUNCTION("""COMPUTED_VALUE"""),"18/12/2025")</f>
        <v>18/12/2025</v>
      </c>
      <c r="S129" s="1" t="str">
        <f ca="1">IFERROR(__xludf.DUMMYFUNCTION("""COMPUTED_VALUE"""),"thực tập TN, Thi TN")</f>
        <v>thực tập TN, Thi TN</v>
      </c>
      <c r="T129" s="1" t="str">
        <f ca="1">IFERROR(__xludf.DUMMYFUNCTION("""COMPUTED_VALUE"""),"Đã email cấp giấy giới thiệu ngày 18/12/2025")</f>
        <v>Đã email cấp giấy giới thiệu ngày 18/12/2025</v>
      </c>
      <c r="U129" s="1"/>
      <c r="V129" s="1"/>
      <c r="W129" s="1" t="str">
        <f ca="1">IFERROR(__xludf.DUMMYFUNCTION("""COMPUTED_VALUE"""),"K28DLK8")</f>
        <v>K28DLK8</v>
      </c>
      <c r="X129" s="1"/>
      <c r="Y129" s="1" t="str">
        <f ca="1">IFERROR(__xludf.DUMMYFUNCTION("""COMPUTED_VALUE"""),"Altara Suites Da Nang")</f>
        <v>Altara Suites Da Nang</v>
      </c>
      <c r="Z129" s="1" t="str">
        <f ca="1">IFERROR(__xludf.DUMMYFUNCTION("""COMPUTED_VALUE"""),"Tiền sảnh")</f>
        <v>Tiền sảnh</v>
      </c>
      <c r="AA129" s="1" t="str">
        <f ca="1">IFERROR(__xludf.DUMMYFUNCTION("""COMPUTED_VALUE"""),"DUYỆT")</f>
        <v>DUYỆT</v>
      </c>
      <c r="AB129" s="1" t="str">
        <f ca="1">IFERROR(__xludf.DUMMYFUNCTION("""COMPUTED_VALUE"""),"23/01/2026")</f>
        <v>23/01/2026</v>
      </c>
      <c r="AC129" s="1" t="str">
        <f ca="1">IFERROR(__xludf.DUMMYFUNCTION("""COMPUTED_VALUE"""),"BÁO CÁO THỰC TẬP TỐT NGHIỆP")</f>
        <v>BÁO CÁO THỰC TẬP TỐT NGHIỆP</v>
      </c>
      <c r="AD129" s="1" t="str">
        <f ca="1">IFERROR(__xludf.DUMMYFUNCTION("""COMPUTED_VALUE"""),"Hồ Sử Minh Tài")</f>
        <v>Hồ Sử Minh Tài</v>
      </c>
      <c r="AE129" s="1" t="str">
        <f ca="1">IFERROR(__xludf.DUMMYFUNCTION("""COMPUTED_VALUE"""),"Thạc sĩ")</f>
        <v>Thạc sĩ</v>
      </c>
      <c r="AF129" s="1" t="str">
        <f ca="1">IFERROR(__xludf.DUMMYFUNCTION("""COMPUTED_VALUE"""),"0905 874 626")</f>
        <v>0905 874 626</v>
      </c>
      <c r="AG129" s="1" t="str">
        <f ca="1">IFERROR(__xludf.DUMMYFUNCTION("""COMPUTED_VALUE"""),"hosminhtai@dtu-hti.edu.vn")</f>
        <v>hosminhtai@dtu-hti.edu.vn</v>
      </c>
      <c r="AH129" s="1" t="str">
        <f ca="1">IFERROR(__xludf.DUMMYFUNCTION("""COMPUTED_VALUE"""),"Đánh giá thực trạng và một số đề xuất hoàn thiện quy trình thanh toán và check-out của khách sạn tại bộ phận tiền sảnh thuộc khách sạn Altara Suites - chi nhánh tại thành phố Đà Nẵng")</f>
        <v>Đánh giá thực trạng và một số đề xuất hoàn thiện quy trình thanh toán và check-out của khách sạn tại bộ phận tiền sảnh thuộc khách sạn Altara Suites - chi nhánh tại thành phố Đà Nẵng</v>
      </c>
      <c r="AI129" s="1"/>
    </row>
    <row r="130" spans="1:35" x14ac:dyDescent="0.2">
      <c r="A130" s="3">
        <f ca="1">IFERROR(__xludf.DUMMYFUNCTION("""COMPUTED_VALUE"""),45998.7967117476)</f>
        <v>45998.7967117476</v>
      </c>
      <c r="B130" s="1" t="str">
        <f ca="1">IFERROR(__xludf.DUMMYFUNCTION("""COMPUTED_VALUE"""),"letrag0394776675@gmail.com")</f>
        <v>letrag0394776675@gmail.com</v>
      </c>
      <c r="C130" s="1">
        <f ca="1">IFERROR(__xludf.DUMMYFUNCTION("""COMPUTED_VALUE"""),28208001082)</f>
        <v>28208001082</v>
      </c>
      <c r="D130" s="1" t="str">
        <f ca="1">IFERROR(__xludf.DUMMYFUNCTION("""COMPUTED_VALUE"""),"Lê Thị Bảo Trang")</f>
        <v>Lê Thị Bảo Trang</v>
      </c>
      <c r="E130" s="1"/>
      <c r="F130" s="1" t="str">
        <f ca="1">IFERROR(__xludf.DUMMYFUNCTION("""COMPUTED_VALUE"""),"K28DLK4")</f>
        <v>K28DLK4</v>
      </c>
      <c r="G130" s="1" t="str">
        <f ca="1">IFERROR(__xludf.DUMMYFUNCTION("""COMPUTED_VALUE"""),"Quản trị Du lịch &amp; Khách sạn")</f>
        <v>Quản trị Du lịch &amp; Khách sạn</v>
      </c>
      <c r="H130" s="1" t="str">
        <f ca="1">IFERROR(__xludf.DUMMYFUNCTION("""COMPUTED_VALUE"""),"K28")</f>
        <v>K28</v>
      </c>
      <c r="I130" s="1" t="str">
        <f ca="1">IFERROR(__xludf.DUMMYFUNCTION("""COMPUTED_VALUE"""),"0394776675")</f>
        <v>0394776675</v>
      </c>
      <c r="J130" s="1">
        <f ca="1">IFERROR(__xludf.DUMMYFUNCTION("""COMPUTED_VALUE"""),2.39)</f>
        <v>2.39</v>
      </c>
      <c r="K130" s="1">
        <f ca="1">IFERROR(__xludf.DUMMYFUNCTION("""COMPUTED_VALUE"""),113)</f>
        <v>113</v>
      </c>
      <c r="L130" s="1" t="str">
        <f ca="1">IFERROR(__xludf.DUMMYFUNCTION("""COMPUTED_VALUE"""),"Rồi")</f>
        <v>Rồi</v>
      </c>
      <c r="M130" s="1" t="str">
        <f ca="1">IFERROR(__xludf.DUMMYFUNCTION("""COMPUTED_VALUE"""),"Thực tập tốt nghiệp, Thi tốt nghiệp")</f>
        <v>Thực tập tốt nghiệp, Thi tốt nghiệp</v>
      </c>
      <c r="N130" s="1">
        <f ca="1">IFERROR(__xludf.DUMMYFUNCTION("""COMPUTED_VALUE"""),13)</f>
        <v>13</v>
      </c>
      <c r="O130" s="1" t="str">
        <f ca="1">IFERROR(__xludf.DUMMYFUNCTION("""COMPUTED_VALUE"""),"cam kết")</f>
        <v>cam kết</v>
      </c>
      <c r="P130" s="1"/>
      <c r="Q130" s="1"/>
      <c r="R130" s="1" t="str">
        <f ca="1">IFERROR(__xludf.DUMMYFUNCTION("""COMPUTED_VALUE"""),"18/12/2025")</f>
        <v>18/12/2025</v>
      </c>
      <c r="S130" s="1" t="str">
        <f ca="1">IFERROR(__xludf.DUMMYFUNCTION("""COMPUTED_VALUE"""),"thực tập TN, Thi TN")</f>
        <v>thực tập TN, Thi TN</v>
      </c>
      <c r="T130" s="1" t="str">
        <f ca="1">IFERROR(__xludf.DUMMYFUNCTION("""COMPUTED_VALUE"""),"Đã email cấp giấy giới thiệu ngày 18/12/2025")</f>
        <v>Đã email cấp giấy giới thiệu ngày 18/12/2025</v>
      </c>
      <c r="U130" s="1"/>
      <c r="V130" s="1"/>
      <c r="W130" s="1" t="str">
        <f ca="1">IFERROR(__xludf.DUMMYFUNCTION("""COMPUTED_VALUE"""),"K28DLK4")</f>
        <v>K28DLK4</v>
      </c>
      <c r="X130" s="1"/>
      <c r="Y130" s="1" t="str">
        <f ca="1">IFERROR(__xludf.DUMMYFUNCTION("""COMPUTED_VALUE"""),"Grand Mercure Danang")</f>
        <v>Grand Mercure Danang</v>
      </c>
      <c r="Z130" s="1" t="str">
        <f ca="1">IFERROR(__xludf.DUMMYFUNCTION("""COMPUTED_VALUE"""),"Buồng phòng")</f>
        <v>Buồng phòng</v>
      </c>
      <c r="AA130" s="1" t="str">
        <f ca="1">IFERROR(__xludf.DUMMYFUNCTION("""COMPUTED_VALUE"""),"DUYỆT")</f>
        <v>DUYỆT</v>
      </c>
      <c r="AB130" s="1" t="str">
        <f ca="1">IFERROR(__xludf.DUMMYFUNCTION("""COMPUTED_VALUE"""),"21/01/2026")</f>
        <v>21/01/2026</v>
      </c>
      <c r="AC130" s="1" t="str">
        <f ca="1">IFERROR(__xludf.DUMMYFUNCTION("""COMPUTED_VALUE"""),"BÁO CÁO THỰC TẬP TỐT NGHIỆP")</f>
        <v>BÁO CÁO THỰC TẬP TỐT NGHIỆP</v>
      </c>
      <c r="AD130" s="1" t="str">
        <f ca="1">IFERROR(__xludf.DUMMYFUNCTION("""COMPUTED_VALUE"""),"Phạm Thị Thu Thủy")</f>
        <v>Phạm Thị Thu Thủy</v>
      </c>
      <c r="AE130" s="1" t="str">
        <f ca="1">IFERROR(__xludf.DUMMYFUNCTION("""COMPUTED_VALUE"""),"Thạc sĩ")</f>
        <v>Thạc sĩ</v>
      </c>
      <c r="AF130" s="1" t="str">
        <f ca="1">IFERROR(__xludf.DUMMYFUNCTION("""COMPUTED_VALUE"""),"0938290678")</f>
        <v>0938290678</v>
      </c>
      <c r="AG130" s="1" t="str">
        <f ca="1">IFERROR(__xludf.DUMMYFUNCTION("""COMPUTED_VALUE"""),"phamtthuthuy2@dtu-hti.edu.vn")</f>
        <v>phamtthuthuy2@dtu-hti.edu.vn</v>
      </c>
      <c r="AH130" s="1" t="str">
        <f ca="1">IFERROR(__xludf.DUMMYFUNCTION("""COMPUTED_VALUE"""),"Báo cáo kết quả thực tập và thực trạng quy trình phục vụ buồng tại bộ phận buồng khách sạn Grand Mercure Danang")</f>
        <v>Báo cáo kết quả thực tập và thực trạng quy trình phục vụ buồng tại bộ phận buồng khách sạn Grand Mercure Danang</v>
      </c>
      <c r="AI130" s="1"/>
    </row>
    <row r="131" spans="1:35" x14ac:dyDescent="0.2">
      <c r="A131" s="3">
        <f ca="1">IFERROR(__xludf.DUMMYFUNCTION("""COMPUTED_VALUE"""),45999.2569068402)</f>
        <v>45999.256906840201</v>
      </c>
      <c r="B131" s="1" t="str">
        <f ca="1">IFERROR(__xludf.DUMMYFUNCTION("""COMPUTED_VALUE"""),"namkpa611@gmail.com")</f>
        <v>namkpa611@gmail.com</v>
      </c>
      <c r="C131" s="1">
        <f ca="1">IFERROR(__xludf.DUMMYFUNCTION("""COMPUTED_VALUE"""),28218002544)</f>
        <v>28218002544</v>
      </c>
      <c r="D131" s="1" t="str">
        <f ca="1">IFERROR(__xludf.DUMMYFUNCTION("""COMPUTED_VALUE"""),"Kpă Nam")</f>
        <v>Kpă Nam</v>
      </c>
      <c r="E131" s="1"/>
      <c r="F131" s="1" t="str">
        <f ca="1">IFERROR(__xludf.DUMMYFUNCTION("""COMPUTED_VALUE"""),"K28DLK5")</f>
        <v>K28DLK5</v>
      </c>
      <c r="G131" s="1" t="str">
        <f ca="1">IFERROR(__xludf.DUMMYFUNCTION("""COMPUTED_VALUE"""),"Quản trị Du lịch &amp; Khách sạn")</f>
        <v>Quản trị Du lịch &amp; Khách sạn</v>
      </c>
      <c r="H131" s="1" t="str">
        <f ca="1">IFERROR(__xludf.DUMMYFUNCTION("""COMPUTED_VALUE"""),"K28")</f>
        <v>K28</v>
      </c>
      <c r="I131" s="1" t="str">
        <f ca="1">IFERROR(__xludf.DUMMYFUNCTION("""COMPUTED_VALUE"""),"0769550383")</f>
        <v>0769550383</v>
      </c>
      <c r="J131" s="1">
        <f ca="1">IFERROR(__xludf.DUMMYFUNCTION("""COMPUTED_VALUE"""),2.69)</f>
        <v>2.69</v>
      </c>
      <c r="K131" s="1">
        <f ca="1">IFERROR(__xludf.DUMMYFUNCTION("""COMPUTED_VALUE"""),112)</f>
        <v>112</v>
      </c>
      <c r="L131" s="1" t="str">
        <f ca="1">IFERROR(__xludf.DUMMYFUNCTION("""COMPUTED_VALUE"""),"Rồi")</f>
        <v>Rồi</v>
      </c>
      <c r="M131" s="1" t="str">
        <f ca="1">IFERROR(__xludf.DUMMYFUNCTION("""COMPUTED_VALUE"""),"Thực tập tốt nghiệp, Thi tốt nghiệp, Công nhận tốt nghiệp")</f>
        <v>Thực tập tốt nghiệp, Thi tốt nghiệp, Công nhận tốt nghiệp</v>
      </c>
      <c r="N131" s="1" t="str">
        <f ca="1">IFERROR(__xludf.DUMMYFUNCTION("""COMPUTED_VALUE"""),"10 tín chỉ")</f>
        <v>10 tín chỉ</v>
      </c>
      <c r="O131" s="1" t="str">
        <f ca="1">IFERROR(__xludf.DUMMYFUNCTION("""COMPUTED_VALUE"""),"cam kết")</f>
        <v>cam kết</v>
      </c>
      <c r="P131" s="1"/>
      <c r="Q131" s="1"/>
      <c r="R131" s="1" t="str">
        <f ca="1">IFERROR(__xludf.DUMMYFUNCTION("""COMPUTED_VALUE"""),"18/12/2025")</f>
        <v>18/12/2025</v>
      </c>
      <c r="S131" s="1" t="str">
        <f ca="1">IFERROR(__xludf.DUMMYFUNCTION("""COMPUTED_VALUE"""),"thực tập TN, Thi TN")</f>
        <v>thực tập TN, Thi TN</v>
      </c>
      <c r="T131" s="1" t="str">
        <f ca="1">IFERROR(__xludf.DUMMYFUNCTION("""COMPUTED_VALUE"""),"Đã email cấp giấy giới thiệu ngày 18/12/2025")</f>
        <v>Đã email cấp giấy giới thiệu ngày 18/12/2025</v>
      </c>
      <c r="U131" s="1"/>
      <c r="V131" s="1"/>
      <c r="W131" s="1" t="str">
        <f ca="1">IFERROR(__xludf.DUMMYFUNCTION("""COMPUTED_VALUE"""),"K28DLK5")</f>
        <v>K28DLK5</v>
      </c>
      <c r="X131" s="1"/>
      <c r="Y131" s="1" t="str">
        <f ca="1">IFERROR(__xludf.DUMMYFUNCTION("""COMPUTED_VALUE"""),"Novotel Danang Premier")</f>
        <v>Novotel Danang Premier</v>
      </c>
      <c r="Z131" s="1" t="str">
        <f ca="1">IFERROR(__xludf.DUMMYFUNCTION("""COMPUTED_VALUE"""),"Buồng phòng")</f>
        <v>Buồng phòng</v>
      </c>
      <c r="AA131" s="1" t="str">
        <f ca="1">IFERROR(__xludf.DUMMYFUNCTION("""COMPUTED_VALUE"""),"DUYỆT")</f>
        <v>DUYỆT</v>
      </c>
      <c r="AB131" s="1" t="str">
        <f ca="1">IFERROR(__xludf.DUMMYFUNCTION("""COMPUTED_VALUE"""),"20/01/2026")</f>
        <v>20/01/2026</v>
      </c>
      <c r="AC131" s="1" t="str">
        <f ca="1">IFERROR(__xludf.DUMMYFUNCTION("""COMPUTED_VALUE"""),"BÁO CÁO THỰC TẬP TỐT NGHIỆP")</f>
        <v>BÁO CÁO THỰC TẬP TỐT NGHIỆP</v>
      </c>
      <c r="AD131" s="1" t="str">
        <f ca="1">IFERROR(__xludf.DUMMYFUNCTION("""COMPUTED_VALUE"""),"Phạm Thị Thu Thủy")</f>
        <v>Phạm Thị Thu Thủy</v>
      </c>
      <c r="AE131" s="1" t="str">
        <f ca="1">IFERROR(__xludf.DUMMYFUNCTION("""COMPUTED_VALUE"""),"Thạc sĩ")</f>
        <v>Thạc sĩ</v>
      </c>
      <c r="AF131" s="1" t="str">
        <f ca="1">IFERROR(__xludf.DUMMYFUNCTION("""COMPUTED_VALUE"""),"0938290678")</f>
        <v>0938290678</v>
      </c>
      <c r="AG131" s="1" t="str">
        <f ca="1">IFERROR(__xludf.DUMMYFUNCTION("""COMPUTED_VALUE"""),"phamtthuthuy2@dtu-hti.edu.vn")</f>
        <v>phamtthuthuy2@dtu-hti.edu.vn</v>
      </c>
      <c r="AH131" s="1" t="str">
        <f ca="1">IFERROR(__xludf.DUMMYFUNCTION("""COMPUTED_VALUE"""),"Báo cáo kết quả thực tập và thực trạng quy trình vệ sinh khu vực công cộng tại bộ phận buồng khách sạn Novotel Danang Premier")</f>
        <v>Báo cáo kết quả thực tập và thực trạng quy trình vệ sinh khu vực công cộng tại bộ phận buồng khách sạn Novotel Danang Premier</v>
      </c>
      <c r="AI131" s="1"/>
    </row>
    <row r="132" spans="1:35" x14ac:dyDescent="0.2">
      <c r="A132" s="3">
        <f ca="1">IFERROR(__xludf.DUMMYFUNCTION("""COMPUTED_VALUE"""),45999.352666574)</f>
        <v>45999.352666573999</v>
      </c>
      <c r="B132" s="1" t="str">
        <f ca="1">IFERROR(__xludf.DUMMYFUNCTION("""COMPUTED_VALUE"""),"dieulinhhqt0512@gmail.com")</f>
        <v>dieulinhhqt0512@gmail.com</v>
      </c>
      <c r="C132" s="1">
        <f ca="1">IFERROR(__xludf.DUMMYFUNCTION("""COMPUTED_VALUE"""),28208003095)</f>
        <v>28208003095</v>
      </c>
      <c r="D132" s="1" t="str">
        <f ca="1">IFERROR(__xludf.DUMMYFUNCTION("""COMPUTED_VALUE"""),"Phan Thị Diệu Linh ")</f>
        <v xml:space="preserve">Phan Thị Diệu Linh </v>
      </c>
      <c r="E132" s="1"/>
      <c r="F132" s="1" t="str">
        <f ca="1">IFERROR(__xludf.DUMMYFUNCTION("""COMPUTED_VALUE"""),"K28DLK8")</f>
        <v>K28DLK8</v>
      </c>
      <c r="G132" s="1" t="str">
        <f ca="1">IFERROR(__xludf.DUMMYFUNCTION("""COMPUTED_VALUE"""),"Quản trị Du lịch &amp; Khách sạn")</f>
        <v>Quản trị Du lịch &amp; Khách sạn</v>
      </c>
      <c r="H132" s="1" t="str">
        <f ca="1">IFERROR(__xludf.DUMMYFUNCTION("""COMPUTED_VALUE"""),"K28")</f>
        <v>K28</v>
      </c>
      <c r="I132" s="1" t="str">
        <f ca="1">IFERROR(__xludf.DUMMYFUNCTION("""COMPUTED_VALUE"""),"0941476008")</f>
        <v>0941476008</v>
      </c>
      <c r="J132" s="1">
        <f ca="1">IFERROR(__xludf.DUMMYFUNCTION("""COMPUTED_VALUE"""),3.36)</f>
        <v>3.36</v>
      </c>
      <c r="K132" s="1">
        <f ca="1">IFERROR(__xludf.DUMMYFUNCTION("""COMPUTED_VALUE"""),118)</f>
        <v>118</v>
      </c>
      <c r="L132" s="1" t="str">
        <f ca="1">IFERROR(__xludf.DUMMYFUNCTION("""COMPUTED_VALUE"""),"Rồi")</f>
        <v>Rồi</v>
      </c>
      <c r="M132" s="1" t="str">
        <f ca="1">IFERROR(__xludf.DUMMYFUNCTION("""COMPUTED_VALUE"""),"Thực tập tốt nghiệp, Thi tốt nghiệp, Công nhận tốt nghiệp")</f>
        <v>Thực tập tốt nghiệp, Thi tốt nghiệp, Công nhận tốt nghiệp</v>
      </c>
      <c r="N132" s="1">
        <f ca="1">IFERROR(__xludf.DUMMYFUNCTION("""COMPUTED_VALUE"""),6)</f>
        <v>6</v>
      </c>
      <c r="O132" s="1" t="str">
        <f ca="1">IFERROR(__xludf.DUMMYFUNCTION("""COMPUTED_VALUE"""),"cam kết")</f>
        <v>cam kết</v>
      </c>
      <c r="P132" s="1"/>
      <c r="Q132" s="1"/>
      <c r="R132" s="1" t="str">
        <f ca="1">IFERROR(__xludf.DUMMYFUNCTION("""COMPUTED_VALUE"""),"18/12/2025")</f>
        <v>18/12/2025</v>
      </c>
      <c r="S132" s="1" t="str">
        <f ca="1">IFERROR(__xludf.DUMMYFUNCTION("""COMPUTED_VALUE"""),"thực tập TN, Thi TN")</f>
        <v>thực tập TN, Thi TN</v>
      </c>
      <c r="T132" s="1" t="str">
        <f ca="1">IFERROR(__xludf.DUMMYFUNCTION("""COMPUTED_VALUE"""),"Đã email cấp giấy giới thiệu ngày 18/12/2025")</f>
        <v>Đã email cấp giấy giới thiệu ngày 18/12/2025</v>
      </c>
      <c r="U132" s="1" t="str">
        <f ca="1">IFERROR(__xludf.DUMMYFUNCTION("""COMPUTED_VALUE"""),"Sv đã nộp đơn chuyển KL - CĐ")</f>
        <v>Sv đã nộp đơn chuyển KL - CĐ</v>
      </c>
      <c r="V132" s="1"/>
      <c r="W132" s="1" t="str">
        <f ca="1">IFERROR(__xludf.DUMMYFUNCTION("""COMPUTED_VALUE"""),"K28DLK8")</f>
        <v>K28DLK8</v>
      </c>
      <c r="X132" s="1"/>
      <c r="Y132" s="1" t="str">
        <f ca="1">IFERROR(__xludf.DUMMYFUNCTION("""COMPUTED_VALUE"""),"Altara Suites Da Nang")</f>
        <v>Altara Suites Da Nang</v>
      </c>
      <c r="Z132" s="1" t="str">
        <f ca="1">IFERROR(__xludf.DUMMYFUNCTION("""COMPUTED_VALUE"""),"Nhà hàng")</f>
        <v>Nhà hàng</v>
      </c>
      <c r="AA132" s="1" t="str">
        <f ca="1">IFERROR(__xludf.DUMMYFUNCTION("""COMPUTED_VALUE"""),"DUYỆT")</f>
        <v>DUYỆT</v>
      </c>
      <c r="AB132" s="1" t="str">
        <f ca="1">IFERROR(__xludf.DUMMYFUNCTION("""COMPUTED_VALUE"""),"19/01/2026")</f>
        <v>19/01/2026</v>
      </c>
      <c r="AC132" s="1" t="str">
        <f ca="1">IFERROR(__xludf.DUMMYFUNCTION("""COMPUTED_VALUE"""),"BÁO CÁO THỰC TẬP TỐT NGHIỆP")</f>
        <v>BÁO CÁO THỰC TẬP TỐT NGHIỆP</v>
      </c>
      <c r="AD132" s="1" t="str">
        <f ca="1">IFERROR(__xludf.DUMMYFUNCTION("""COMPUTED_VALUE"""),"Mai Thị Thương")</f>
        <v>Mai Thị Thương</v>
      </c>
      <c r="AE132" s="1" t="str">
        <f ca="1">IFERROR(__xludf.DUMMYFUNCTION("""COMPUTED_VALUE"""),"Thạc sĩ")</f>
        <v>Thạc sĩ</v>
      </c>
      <c r="AF132" s="1" t="str">
        <f ca="1">IFERROR(__xludf.DUMMYFUNCTION("""COMPUTED_VALUE"""),"0905767050")</f>
        <v>0905767050</v>
      </c>
      <c r="AG132" s="1" t="str">
        <f ca="1">IFERROR(__xludf.DUMMYFUNCTION("""COMPUTED_VALUE"""),"maithithuong@dtu-hti.edu.vn")</f>
        <v>maithithuong@dtu-hti.edu.vn</v>
      </c>
      <c r="AH132" s="1" t="str">
        <f ca="1">IFERROR(__xludf.DUMMYFUNCTION("""COMPUTED_VALUE"""),"Báo cáo kết quả thực tập và thực trạng về quy trình phục vụ tại nhà hàng Altitude thuộc Altara Suites Da Nang ")</f>
        <v xml:space="preserve">Báo cáo kết quả thực tập và thực trạng về quy trình phục vụ tại nhà hàng Altitude thuộc Altara Suites Da Nang </v>
      </c>
      <c r="AI132" s="1"/>
    </row>
    <row r="133" spans="1:35" x14ac:dyDescent="0.2">
      <c r="A133" s="3">
        <f ca="1">IFERROR(__xludf.DUMMYFUNCTION("""COMPUTED_VALUE"""),45999.5683144212)</f>
        <v>45999.568314421202</v>
      </c>
      <c r="B133" s="1" t="str">
        <f ca="1">IFERROR(__xludf.DUMMYFUNCTION("""COMPUTED_VALUE"""),"chikim26076@gmail.com")</f>
        <v>chikim26076@gmail.com</v>
      </c>
      <c r="C133" s="1">
        <f ca="1">IFERROR(__xludf.DUMMYFUNCTION("""COMPUTED_VALUE"""),28208001131)</f>
        <v>28208001131</v>
      </c>
      <c r="D133" s="1" t="str">
        <f ca="1">IFERROR(__xludf.DUMMYFUNCTION("""COMPUTED_VALUE"""),"Nguyễn Thị Kim Chi")</f>
        <v>Nguyễn Thị Kim Chi</v>
      </c>
      <c r="E133" s="1"/>
      <c r="F133" s="1" t="str">
        <f ca="1">IFERROR(__xludf.DUMMYFUNCTION("""COMPUTED_VALUE"""),"K28DLK8")</f>
        <v>K28DLK8</v>
      </c>
      <c r="G133" s="1" t="str">
        <f ca="1">IFERROR(__xludf.DUMMYFUNCTION("""COMPUTED_VALUE"""),"Quản trị Du lịch &amp; Khách sạn")</f>
        <v>Quản trị Du lịch &amp; Khách sạn</v>
      </c>
      <c r="H133" s="1" t="str">
        <f ca="1">IFERROR(__xludf.DUMMYFUNCTION("""COMPUTED_VALUE"""),"K28")</f>
        <v>K28</v>
      </c>
      <c r="I133" s="1" t="str">
        <f ca="1">IFERROR(__xludf.DUMMYFUNCTION("""COMPUTED_VALUE"""),"0961797532")</f>
        <v>0961797532</v>
      </c>
      <c r="J133" s="1">
        <f ca="1">IFERROR(__xludf.DUMMYFUNCTION("""COMPUTED_VALUE"""),3.28)</f>
        <v>3.28</v>
      </c>
      <c r="K133" s="1">
        <f ca="1">IFERROR(__xludf.DUMMYFUNCTION("""COMPUTED_VALUE"""),120)</f>
        <v>120</v>
      </c>
      <c r="L133" s="1" t="str">
        <f ca="1">IFERROR(__xludf.DUMMYFUNCTION("""COMPUTED_VALUE"""),"Rồi")</f>
        <v>Rồi</v>
      </c>
      <c r="M133" s="1" t="str">
        <f ca="1">IFERROR(__xludf.DUMMYFUNCTION("""COMPUTED_VALUE"""),"Thực tập tốt nghiệp, Thi tốt nghiệp, Công nhận tốt nghiệp")</f>
        <v>Thực tập tốt nghiệp, Thi tốt nghiệp, Công nhận tốt nghiệp</v>
      </c>
      <c r="N133" s="1">
        <f ca="1">IFERROR(__xludf.DUMMYFUNCTION("""COMPUTED_VALUE"""),4)</f>
        <v>4</v>
      </c>
      <c r="O133" s="1" t="str">
        <f ca="1">IFERROR(__xludf.DUMMYFUNCTION("""COMPUTED_VALUE"""),"cam kết")</f>
        <v>cam kết</v>
      </c>
      <c r="P133" s="1"/>
      <c r="Q133" s="1"/>
      <c r="R133" s="1" t="str">
        <f ca="1">IFERROR(__xludf.DUMMYFUNCTION("""COMPUTED_VALUE"""),"18/12/2025")</f>
        <v>18/12/2025</v>
      </c>
      <c r="S133" s="1" t="str">
        <f ca="1">IFERROR(__xludf.DUMMYFUNCTION("""COMPUTED_VALUE"""),"thực tập TN, Thi TN")</f>
        <v>thực tập TN, Thi TN</v>
      </c>
      <c r="T133" s="1" t="str">
        <f ca="1">IFERROR(__xludf.DUMMYFUNCTION("""COMPUTED_VALUE"""),"Đã email cấp giấy giới thiệu ngày 18/12/2025")</f>
        <v>Đã email cấp giấy giới thiệu ngày 18/12/2025</v>
      </c>
      <c r="U133" s="1"/>
      <c r="V133" s="1"/>
      <c r="W133" s="1" t="str">
        <f ca="1">IFERROR(__xludf.DUMMYFUNCTION("""COMPUTED_VALUE"""),"K28DLK8")</f>
        <v>K28DLK8</v>
      </c>
      <c r="X133" s="1"/>
      <c r="Y133" s="1" t="str">
        <f ca="1">IFERROR(__xludf.DUMMYFUNCTION("""COMPUTED_VALUE"""),"Wyndham Danang Golden Bay Hotel")</f>
        <v>Wyndham Danang Golden Bay Hotel</v>
      </c>
      <c r="Z133" s="1" t="str">
        <f ca="1">IFERROR(__xludf.DUMMYFUNCTION("""COMPUTED_VALUE"""),"Nhà hàng, Buồng phòng")</f>
        <v>Nhà hàng, Buồng phòng</v>
      </c>
      <c r="AA133" s="1" t="str">
        <f ca="1">IFERROR(__xludf.DUMMYFUNCTION("""COMPUTED_VALUE"""),"DUYỆT")</f>
        <v>DUYỆT</v>
      </c>
      <c r="AB133" s="1"/>
      <c r="AC133" s="1" t="str">
        <f ca="1">IFERROR(__xludf.DUMMYFUNCTION("""COMPUTED_VALUE"""),"BÁO CÁO THỰC TẬP TỐT NGHIỆP")</f>
        <v>BÁO CÁO THỰC TẬP TỐT NGHIỆP</v>
      </c>
      <c r="AD133" s="1" t="str">
        <f ca="1">IFERROR(__xludf.DUMMYFUNCTION("""COMPUTED_VALUE"""),"Hồ Minh Phúc")</f>
        <v>Hồ Minh Phúc</v>
      </c>
      <c r="AE133" s="1" t="str">
        <f ca="1">IFERROR(__xludf.DUMMYFUNCTION("""COMPUTED_VALUE"""),"Thạc sĩ")</f>
        <v>Thạc sĩ</v>
      </c>
      <c r="AF133" s="1" t="str">
        <f ca="1">IFERROR(__xludf.DUMMYFUNCTION("""COMPUTED_VALUE"""),"0935336716")</f>
        <v>0935336716</v>
      </c>
      <c r="AG133" s="1" t="str">
        <f ca="1">IFERROR(__xludf.DUMMYFUNCTION("""COMPUTED_VALUE"""),"hominhphuc@dtu-hti.edu.vn")</f>
        <v>hominhphuc@dtu-hti.edu.vn</v>
      </c>
      <c r="AH133" s="1" t="str">
        <f ca="1">IFERROR(__xludf.DUMMYFUNCTION("""COMPUTED_VALUE"""),"#N/A")</f>
        <v>#N/A</v>
      </c>
      <c r="AI133" s="1"/>
    </row>
    <row r="134" spans="1:35" x14ac:dyDescent="0.2">
      <c r="A134" s="3">
        <f ca="1">IFERROR(__xludf.DUMMYFUNCTION("""COMPUTED_VALUE"""),45999.6847508333)</f>
        <v>45999.684750833301</v>
      </c>
      <c r="B134" s="1" t="str">
        <f ca="1">IFERROR(__xludf.DUMMYFUNCTION("""COMPUTED_VALUE"""),"maitrinh24304@gmail.com")</f>
        <v>maitrinh24304@gmail.com</v>
      </c>
      <c r="C134" s="1">
        <f ca="1">IFERROR(__xludf.DUMMYFUNCTION("""COMPUTED_VALUE"""),28208140048)</f>
        <v>28208140048</v>
      </c>
      <c r="D134" s="1" t="str">
        <f ca="1">IFERROR(__xludf.DUMMYFUNCTION("""COMPUTED_VALUE"""),"Đặng Mai Trinh")</f>
        <v>Đặng Mai Trinh</v>
      </c>
      <c r="E134" s="1"/>
      <c r="F134" s="1" t="str">
        <f ca="1">IFERROR(__xludf.DUMMYFUNCTION("""COMPUTED_VALUE"""),"K28DLK1")</f>
        <v>K28DLK1</v>
      </c>
      <c r="G134" s="1" t="str">
        <f ca="1">IFERROR(__xludf.DUMMYFUNCTION("""COMPUTED_VALUE"""),"Quản trị Du lịch &amp; Khách sạn")</f>
        <v>Quản trị Du lịch &amp; Khách sạn</v>
      </c>
      <c r="H134" s="1" t="str">
        <f ca="1">IFERROR(__xludf.DUMMYFUNCTION("""COMPUTED_VALUE"""),"K28")</f>
        <v>K28</v>
      </c>
      <c r="I134" s="1" t="str">
        <f ca="1">IFERROR(__xludf.DUMMYFUNCTION("""COMPUTED_VALUE"""),"0935025329")</f>
        <v>0935025329</v>
      </c>
      <c r="J134" s="1">
        <f ca="1">IFERROR(__xludf.DUMMYFUNCTION("""COMPUTED_VALUE"""),2.52)</f>
        <v>2.52</v>
      </c>
      <c r="K134" s="1">
        <f ca="1">IFERROR(__xludf.DUMMYFUNCTION("""COMPUTED_VALUE"""),111)</f>
        <v>111</v>
      </c>
      <c r="L134" s="1" t="str">
        <f ca="1">IFERROR(__xludf.DUMMYFUNCTION("""COMPUTED_VALUE"""),"Rồi")</f>
        <v>Rồi</v>
      </c>
      <c r="M134" s="1" t="str">
        <f ca="1">IFERROR(__xludf.DUMMYFUNCTION("""COMPUTED_VALUE"""),"Thực tập tốt nghiệp, Thi tốt nghiệp, Công nhận tốt nghiệp")</f>
        <v>Thực tập tốt nghiệp, Thi tốt nghiệp, Công nhận tốt nghiệp</v>
      </c>
      <c r="N134" s="1" t="str">
        <f ca="1">IFERROR(__xludf.DUMMYFUNCTION("""COMPUTED_VALUE"""),"13 tín đang học, 2 tín chưa học")</f>
        <v>13 tín đang học, 2 tín chưa học</v>
      </c>
      <c r="O134" s="1" t="str">
        <f ca="1">IFERROR(__xludf.DUMMYFUNCTION("""COMPUTED_VALUE"""),"cam kết")</f>
        <v>cam kết</v>
      </c>
      <c r="P134" s="1"/>
      <c r="Q134" s="1"/>
      <c r="R134" s="1" t="str">
        <f ca="1">IFERROR(__xludf.DUMMYFUNCTION("""COMPUTED_VALUE"""),"18/12/2025")</f>
        <v>18/12/2025</v>
      </c>
      <c r="S134" s="1" t="str">
        <f ca="1">IFERROR(__xludf.DUMMYFUNCTION("""COMPUTED_VALUE"""),"thực tập TN, Thi TN")</f>
        <v>thực tập TN, Thi TN</v>
      </c>
      <c r="T134" s="1" t="str">
        <f ca="1">IFERROR(__xludf.DUMMYFUNCTION("""COMPUTED_VALUE"""),"Đã email cấp giấy giới thiệu ngày 18/12/2025")</f>
        <v>Đã email cấp giấy giới thiệu ngày 18/12/2025</v>
      </c>
      <c r="U134" s="1"/>
      <c r="V134" s="1"/>
      <c r="W134" s="1" t="str">
        <f ca="1">IFERROR(__xludf.DUMMYFUNCTION("""COMPUTED_VALUE"""),"K28DLK1")</f>
        <v>K28DLK1</v>
      </c>
      <c r="X134" s="1"/>
      <c r="Y134" s="1" t="str">
        <f ca="1">IFERROR(__xludf.DUMMYFUNCTION("""COMPUTED_VALUE"""),"Risemount Premier Resort Đà Nẵng")</f>
        <v>Risemount Premier Resort Đà Nẵng</v>
      </c>
      <c r="Z134" s="1" t="str">
        <f ca="1">IFERROR(__xludf.DUMMYFUNCTION("""COMPUTED_VALUE"""),"Nhà hàng")</f>
        <v>Nhà hàng</v>
      </c>
      <c r="AA134" s="1" t="str">
        <f ca="1">IFERROR(__xludf.DUMMYFUNCTION("""COMPUTED_VALUE"""),"DUYỆT")</f>
        <v>DUYỆT</v>
      </c>
      <c r="AB134" s="1" t="str">
        <f ca="1">IFERROR(__xludf.DUMMYFUNCTION("""COMPUTED_VALUE"""),"26/12/2025")</f>
        <v>26/12/2025</v>
      </c>
      <c r="AC134" s="1" t="str">
        <f ca="1">IFERROR(__xludf.DUMMYFUNCTION("""COMPUTED_VALUE"""),"BÁO CÁO THỰC TẬP TỐT NGHIỆP")</f>
        <v>BÁO CÁO THỰC TẬP TỐT NGHIỆP</v>
      </c>
      <c r="AD134" s="1" t="str">
        <f ca="1">IFERROR(__xludf.DUMMYFUNCTION("""COMPUTED_VALUE"""),"Đặng Thị Thùy Trang")</f>
        <v>Đặng Thị Thùy Trang</v>
      </c>
      <c r="AE134" s="1" t="str">
        <f ca="1">IFERROR(__xludf.DUMMYFUNCTION("""COMPUTED_VALUE"""),"Thạc sĩ")</f>
        <v>Thạc sĩ</v>
      </c>
      <c r="AF134" s="1" t="str">
        <f ca="1">IFERROR(__xludf.DUMMYFUNCTION("""COMPUTED_VALUE"""),"0327892117")</f>
        <v>0327892117</v>
      </c>
      <c r="AG134" s="1" t="str">
        <f ca="1">IFERROR(__xludf.DUMMYFUNCTION("""COMPUTED_VALUE"""),"dangtthuytrang3@dtu-hti.edu.vn")</f>
        <v>dangtthuytrang3@dtu-hti.edu.vn</v>
      </c>
      <c r="AH134" s="1" t="str">
        <f ca="1">IFERROR(__xludf.DUMMYFUNCTION("""COMPUTED_VALUE"""),"Báo cáo kết quả thực tập và thực trạng về các yếu tố ảnh hưởng đến chất lượng phục vụ buffet sáng tại nhà hàng La Maison thuộc Risemount Premier Resort Đà Nẵng")</f>
        <v>Báo cáo kết quả thực tập và thực trạng về các yếu tố ảnh hưởng đến chất lượng phục vụ buffet sáng tại nhà hàng La Maison thuộc Risemount Premier Resort Đà Nẵng</v>
      </c>
      <c r="AI134" s="1"/>
    </row>
    <row r="135" spans="1:35" x14ac:dyDescent="0.2">
      <c r="A135" s="3">
        <f ca="1">IFERROR(__xludf.DUMMYFUNCTION("""COMPUTED_VALUE"""),45999.8648897338)</f>
        <v>45999.864889733799</v>
      </c>
      <c r="B135" s="1" t="str">
        <f ca="1">IFERROR(__xludf.DUMMYFUNCTION("""COMPUTED_VALUE"""),"hiennguyen09032002zzzz@gmail.com")</f>
        <v>hiennguyen09032002zzzz@gmail.com</v>
      </c>
      <c r="C135" s="1">
        <f ca="1">IFERROR(__xludf.DUMMYFUNCTION("""COMPUTED_VALUE"""),26217126212)</f>
        <v>26217126212</v>
      </c>
      <c r="D135" s="1" t="str">
        <f ca="1">IFERROR(__xludf.DUMMYFUNCTION("""COMPUTED_VALUE"""),"Nguyễn Văn Hiền")</f>
        <v>Nguyễn Văn Hiền</v>
      </c>
      <c r="E135" s="1"/>
      <c r="F135" s="1" t="str">
        <f ca="1">IFERROR(__xludf.DUMMYFUNCTION("""COMPUTED_VALUE"""),"K26DLK16")</f>
        <v>K26DLK16</v>
      </c>
      <c r="G135" s="1" t="str">
        <f ca="1">IFERROR(__xludf.DUMMYFUNCTION("""COMPUTED_VALUE"""),"Quản trị Du lịch &amp; Khách sạn")</f>
        <v>Quản trị Du lịch &amp; Khách sạn</v>
      </c>
      <c r="H135" s="1" t="str">
        <f ca="1">IFERROR(__xludf.DUMMYFUNCTION("""COMPUTED_VALUE"""),"K26")</f>
        <v>K26</v>
      </c>
      <c r="I135" s="1" t="str">
        <f ca="1">IFERROR(__xludf.DUMMYFUNCTION("""COMPUTED_VALUE"""),"0935053962")</f>
        <v>0935053962</v>
      </c>
      <c r="J135" s="1">
        <f ca="1">IFERROR(__xludf.DUMMYFUNCTION("""COMPUTED_VALUE"""),2.64)</f>
        <v>2.64</v>
      </c>
      <c r="K135" s="1">
        <f ca="1">IFERROR(__xludf.DUMMYFUNCTION("""COMPUTED_VALUE"""),128)</f>
        <v>128</v>
      </c>
      <c r="L135" s="1" t="str">
        <f ca="1">IFERROR(__xludf.DUMMYFUNCTION("""COMPUTED_VALUE"""),"Rồi")</f>
        <v>Rồi</v>
      </c>
      <c r="M135" s="1" t="str">
        <f ca="1">IFERROR(__xludf.DUMMYFUNCTION("""COMPUTED_VALUE"""),"Thực tập tốt nghiệp, Công nhận tốt nghiệp")</f>
        <v>Thực tập tốt nghiệp, Công nhận tốt nghiệp</v>
      </c>
      <c r="N135" s="1">
        <f ca="1">IFERROR(__xludf.DUMMYFUNCTION("""COMPUTED_VALUE"""),0)</f>
        <v>0</v>
      </c>
      <c r="O135" s="1" t="str">
        <f ca="1">IFERROR(__xludf.DUMMYFUNCTION("""COMPUTED_VALUE"""),"cam kết")</f>
        <v>cam kết</v>
      </c>
      <c r="P135" s="1" t="str">
        <f ca="1">IFERROR(__xludf.DUMMYFUNCTION("""COMPUTED_VALUE"""),"CHƯA NỘP")</f>
        <v>CHƯA NỘP</v>
      </c>
      <c r="Q135" s="1">
        <f ca="1">IFERROR(__xludf.DUMMYFUNCTION("""COMPUTED_VALUE"""),10)</f>
        <v>10</v>
      </c>
      <c r="R135" s="1" t="str">
        <f ca="1">IFERROR(__xludf.DUMMYFUNCTION("""COMPUTED_VALUE"""),"18/12/2025")</f>
        <v>18/12/2025</v>
      </c>
      <c r="S135" s="1" t="str">
        <f ca="1">IFERROR(__xludf.DUMMYFUNCTION("""COMPUTED_VALUE"""),"Thực tập TN")</f>
        <v>Thực tập TN</v>
      </c>
      <c r="T135" s="1" t="str">
        <f ca="1">IFERROR(__xludf.DUMMYFUNCTION("""COMPUTED_VALUE"""),"HỦY ĐĂNG KÝ THAM DỰ THỰC TẬP TN VÌ SINH VIÊN CHƯA NỘP ĐƠN NHƯ THÔNG BÁO")</f>
        <v>HỦY ĐĂNG KÝ THAM DỰ THỰC TẬP TN VÌ SINH VIÊN CHƯA NỘP ĐƠN NHƯ THÔNG BÁO</v>
      </c>
      <c r="U135" s="1"/>
      <c r="V135" s="1"/>
      <c r="W135" s="1" t="str">
        <f ca="1">IFERROR(__xludf.DUMMYFUNCTION("""COMPUTED_VALUE"""),"K26DLK16")</f>
        <v>K26DLK16</v>
      </c>
      <c r="X135" s="1"/>
      <c r="Y135" s="1" t="str">
        <f ca="1">IFERROR(__xludf.DUMMYFUNCTION("""COMPUTED_VALUE"""),"#N/A")</f>
        <v>#N/A</v>
      </c>
      <c r="Z135" s="1" t="str">
        <f ca="1">IFERROR(__xludf.DUMMYFUNCTION("""COMPUTED_VALUE"""),"#N/A")</f>
        <v>#N/A</v>
      </c>
      <c r="AA135" s="1" t="str">
        <f ca="1">IFERROR(__xludf.DUMMYFUNCTION("""COMPUTED_VALUE"""),"#N/A")</f>
        <v>#N/A</v>
      </c>
      <c r="AB135" s="1" t="str">
        <f ca="1">IFERROR(__xludf.DUMMYFUNCTION("""COMPUTED_VALUE"""),"#N/A")</f>
        <v>#N/A</v>
      </c>
      <c r="AC135" s="1" t="str">
        <f ca="1">IFERROR(__xludf.DUMMYFUNCTION("""COMPUTED_VALUE"""),"BÁO CÁO THỰC TẬP TỐT NGHIỆP")</f>
        <v>BÁO CÁO THỰC TẬP TỐT NGHIỆP</v>
      </c>
      <c r="AD135" s="1"/>
      <c r="AE135" s="1" t="str">
        <f ca="1">IFERROR(__xludf.DUMMYFUNCTION("""COMPUTED_VALUE"""),"#N/A")</f>
        <v>#N/A</v>
      </c>
      <c r="AF135" s="1" t="str">
        <f ca="1">IFERROR(__xludf.DUMMYFUNCTION("""COMPUTED_VALUE"""),"#N/A")</f>
        <v>#N/A</v>
      </c>
      <c r="AG135" s="1" t="str">
        <f ca="1">IFERROR(__xludf.DUMMYFUNCTION("""COMPUTED_VALUE"""),"#N/A")</f>
        <v>#N/A</v>
      </c>
      <c r="AH135" s="1" t="str">
        <f ca="1">IFERROR(__xludf.DUMMYFUNCTION("""COMPUTED_VALUE"""),"#N/A")</f>
        <v>#N/A</v>
      </c>
      <c r="AI135" s="1"/>
    </row>
    <row r="136" spans="1:35" x14ac:dyDescent="0.2">
      <c r="A136" s="3">
        <f ca="1">IFERROR(__xludf.DUMMYFUNCTION("""COMPUTED_VALUE"""),45999.9457727083)</f>
        <v>45999.945772708299</v>
      </c>
      <c r="B136" s="1" t="str">
        <f ca="1">IFERROR(__xludf.DUMMYFUNCTION("""COMPUTED_VALUE"""),"vietlongpham29@gmail.com")</f>
        <v>vietlongpham29@gmail.com</v>
      </c>
      <c r="C136" s="1">
        <f ca="1">IFERROR(__xludf.DUMMYFUNCTION("""COMPUTED_VALUE"""),28218032222)</f>
        <v>28218032222</v>
      </c>
      <c r="D136" s="1" t="str">
        <f ca="1">IFERROR(__xludf.DUMMYFUNCTION("""COMPUTED_VALUE"""),"Phạm Đoàn Viết Long")</f>
        <v>Phạm Đoàn Viết Long</v>
      </c>
      <c r="E136" s="1"/>
      <c r="F136" s="1" t="str">
        <f ca="1">IFERROR(__xludf.DUMMYFUNCTION("""COMPUTED_VALUE"""),"K28 DLK2")</f>
        <v>K28 DLK2</v>
      </c>
      <c r="G136" s="1" t="str">
        <f ca="1">IFERROR(__xludf.DUMMYFUNCTION("""COMPUTED_VALUE"""),"Quản trị Du lịch &amp; Khách sạn")</f>
        <v>Quản trị Du lịch &amp; Khách sạn</v>
      </c>
      <c r="H136" s="1" t="str">
        <f ca="1">IFERROR(__xludf.DUMMYFUNCTION("""COMPUTED_VALUE"""),"K28")</f>
        <v>K28</v>
      </c>
      <c r="I136" s="1" t="str">
        <f ca="1">IFERROR(__xludf.DUMMYFUNCTION("""COMPUTED_VALUE"""),"0335612601")</f>
        <v>0335612601</v>
      </c>
      <c r="J136" s="1">
        <f ca="1">IFERROR(__xludf.DUMMYFUNCTION("""COMPUTED_VALUE"""),2.81)</f>
        <v>2.81</v>
      </c>
      <c r="K136" s="1">
        <f ca="1">IFERROR(__xludf.DUMMYFUNCTION("""COMPUTED_VALUE"""),110)</f>
        <v>110</v>
      </c>
      <c r="L136" s="1" t="str">
        <f ca="1">IFERROR(__xludf.DUMMYFUNCTION("""COMPUTED_VALUE"""),"Rồi")</f>
        <v>Rồi</v>
      </c>
      <c r="M136" s="1" t="str">
        <f ca="1">IFERROR(__xludf.DUMMYFUNCTION("""COMPUTED_VALUE"""),"Thực tập tốt nghiệp, Thi tốt nghiệp, Công nhận tốt nghiệp")</f>
        <v>Thực tập tốt nghiệp, Thi tốt nghiệp, Công nhận tốt nghiệp</v>
      </c>
      <c r="N136" s="1" t="str">
        <f ca="1">IFERROR(__xludf.DUMMYFUNCTION("""COMPUTED_VALUE"""),"15 tín")</f>
        <v>15 tín</v>
      </c>
      <c r="O136" s="1" t="str">
        <f ca="1">IFERROR(__xludf.DUMMYFUNCTION("""COMPUTED_VALUE"""),"cam kết")</f>
        <v>cam kết</v>
      </c>
      <c r="P136" s="1"/>
      <c r="Q136" s="1"/>
      <c r="R136" s="1" t="str">
        <f ca="1">IFERROR(__xludf.DUMMYFUNCTION("""COMPUTED_VALUE"""),"18/12/2025")</f>
        <v>18/12/2025</v>
      </c>
      <c r="S136" s="1" t="str">
        <f ca="1">IFERROR(__xludf.DUMMYFUNCTION("""COMPUTED_VALUE"""),"thực tập TN, Thi TN")</f>
        <v>thực tập TN, Thi TN</v>
      </c>
      <c r="T136" s="1" t="str">
        <f ca="1">IFERROR(__xludf.DUMMYFUNCTION("""COMPUTED_VALUE"""),"Đã email cấp giấy giới thiệu ngày 18/12/2025")</f>
        <v>Đã email cấp giấy giới thiệu ngày 18/12/2025</v>
      </c>
      <c r="U136" s="1"/>
      <c r="V136" s="1"/>
      <c r="W136" s="1" t="str">
        <f ca="1">IFERROR(__xludf.DUMMYFUNCTION("""COMPUTED_VALUE"""),"K28DLK2")</f>
        <v>K28DLK2</v>
      </c>
      <c r="X136" s="1"/>
      <c r="Y136" s="1" t="str">
        <f ca="1">IFERROR(__xludf.DUMMYFUNCTION("""COMPUTED_VALUE"""),"Hilton Garden Inn Da Nang")</f>
        <v>Hilton Garden Inn Da Nang</v>
      </c>
      <c r="Z136" s="1" t="str">
        <f ca="1">IFERROR(__xludf.DUMMYFUNCTION("""COMPUTED_VALUE"""),"Nhà hàng")</f>
        <v>Nhà hàng</v>
      </c>
      <c r="AA136" s="1" t="str">
        <f ca="1">IFERROR(__xludf.DUMMYFUNCTION("""COMPUTED_VALUE"""),"DUYỆT")</f>
        <v>DUYỆT</v>
      </c>
      <c r="AB136" s="1" t="str">
        <f ca="1">IFERROR(__xludf.DUMMYFUNCTION("""COMPUTED_VALUE"""),"23/01/2026")</f>
        <v>23/01/2026</v>
      </c>
      <c r="AC136" s="1" t="str">
        <f ca="1">IFERROR(__xludf.DUMMYFUNCTION("""COMPUTED_VALUE"""),"BÁO CÁO THỰC TẬP TỐT NGHIỆP")</f>
        <v>BÁO CÁO THỰC TẬP TỐT NGHIỆP</v>
      </c>
      <c r="AD136" s="1" t="str">
        <f ca="1">IFERROR(__xludf.DUMMYFUNCTION("""COMPUTED_VALUE"""),"Trần Hoàng Anh")</f>
        <v>Trần Hoàng Anh</v>
      </c>
      <c r="AE136" s="1" t="str">
        <f ca="1">IFERROR(__xludf.DUMMYFUNCTION("""COMPUTED_VALUE"""),"Thạc sĩ")</f>
        <v>Thạc sĩ</v>
      </c>
      <c r="AF136" s="1" t="str">
        <f ca="1">IFERROR(__xludf.DUMMYFUNCTION("""COMPUTED_VALUE"""),"0906 029 602")</f>
        <v>0906 029 602</v>
      </c>
      <c r="AG136" s="1" t="str">
        <f ca="1">IFERROR(__xludf.DUMMYFUNCTION("""COMPUTED_VALUE"""),"tranhoanganh@dtu-hti.edu.vn")</f>
        <v>tranhoanganh@dtu-hti.edu.vn</v>
      </c>
      <c r="AH136" s="1" t="str">
        <f ca="1">IFERROR(__xludf.DUMMYFUNCTION("""COMPUTED_VALUE""")," Báo cáo kết quả thực tập và thực trạng quy trình phục vụ A La Carte tại nhà hàng Together&amp;Co tại khách sạn Hilton Garden Inn Da Nang")</f>
        <v xml:space="preserve"> Báo cáo kết quả thực tập và thực trạng quy trình phục vụ A La Carte tại nhà hàng Together&amp;Co tại khách sạn Hilton Garden Inn Da Nang</v>
      </c>
      <c r="AI136" s="1"/>
    </row>
    <row r="137" spans="1:35" x14ac:dyDescent="0.2">
      <c r="A137" s="3">
        <f ca="1">IFERROR(__xludf.DUMMYFUNCTION("""COMPUTED_VALUE"""),46000.0247025925)</f>
        <v>46000.024702592498</v>
      </c>
      <c r="B137" s="1" t="str">
        <f ca="1">IFERROR(__xludf.DUMMYFUNCTION("""COMPUTED_VALUE"""),"anhngoc05102004@gmail.com")</f>
        <v>anhngoc05102004@gmail.com</v>
      </c>
      <c r="C137" s="1">
        <f ca="1">IFERROR(__xludf.DUMMYFUNCTION("""COMPUTED_VALUE"""),28209306717)</f>
        <v>28209306717</v>
      </c>
      <c r="D137" s="1" t="str">
        <f ca="1">IFERROR(__xludf.DUMMYFUNCTION("""COMPUTED_VALUE"""),"Huỳnh Thị Ngọc Ánh ")</f>
        <v xml:space="preserve">Huỳnh Thị Ngọc Ánh </v>
      </c>
      <c r="E137" s="1"/>
      <c r="F137" s="1" t="str">
        <f ca="1">IFERROR(__xludf.DUMMYFUNCTION("""COMPUTED_VALUE"""),"K28DLK4")</f>
        <v>K28DLK4</v>
      </c>
      <c r="G137" s="1" t="str">
        <f ca="1">IFERROR(__xludf.DUMMYFUNCTION("""COMPUTED_VALUE"""),"Quản trị Du lịch &amp; Khách sạn")</f>
        <v>Quản trị Du lịch &amp; Khách sạn</v>
      </c>
      <c r="H137" s="1" t="str">
        <f ca="1">IFERROR(__xludf.DUMMYFUNCTION("""COMPUTED_VALUE"""),"K28")</f>
        <v>K28</v>
      </c>
      <c r="I137" s="1" t="str">
        <f ca="1">IFERROR(__xludf.DUMMYFUNCTION("""COMPUTED_VALUE"""),"0936033035")</f>
        <v>0936033035</v>
      </c>
      <c r="J137" s="1">
        <f ca="1">IFERROR(__xludf.DUMMYFUNCTION("""COMPUTED_VALUE"""),2.11)</f>
        <v>2.11</v>
      </c>
      <c r="K137" s="1">
        <f ca="1">IFERROR(__xludf.DUMMYFUNCTION("""COMPUTED_VALUE"""),115)</f>
        <v>115</v>
      </c>
      <c r="L137" s="1" t="str">
        <f ca="1">IFERROR(__xludf.DUMMYFUNCTION("""COMPUTED_VALUE"""),"Rồi")</f>
        <v>Rồi</v>
      </c>
      <c r="M137" s="1" t="str">
        <f ca="1">IFERROR(__xludf.DUMMYFUNCTION("""COMPUTED_VALUE"""),"Thực tập tốt nghiệp")</f>
        <v>Thực tập tốt nghiệp</v>
      </c>
      <c r="N137" s="1">
        <f ca="1">IFERROR(__xludf.DUMMYFUNCTION("""COMPUTED_VALUE"""),26)</f>
        <v>26</v>
      </c>
      <c r="O137" s="1" t="str">
        <f ca="1">IFERROR(__xludf.DUMMYFUNCTION("""COMPUTED_VALUE"""),"cam kết")</f>
        <v>cam kết</v>
      </c>
      <c r="P137" s="1"/>
      <c r="Q137" s="1"/>
      <c r="R137" s="1" t="str">
        <f ca="1">IFERROR(__xludf.DUMMYFUNCTION("""COMPUTED_VALUE"""),"18/12/2025")</f>
        <v>18/12/2025</v>
      </c>
      <c r="S137" s="1" t="str">
        <f ca="1">IFERROR(__xludf.DUMMYFUNCTION("""COMPUTED_VALUE"""),"không đủ điều kiện thực tập")</f>
        <v>không đủ điều kiện thực tập</v>
      </c>
      <c r="T137" s="1"/>
      <c r="U137" s="1"/>
      <c r="V137" s="1"/>
      <c r="W137" s="1" t="str">
        <f ca="1">IFERROR(__xludf.DUMMYFUNCTION("""COMPUTED_VALUE"""),"K28DLK4")</f>
        <v>K28DLK4</v>
      </c>
      <c r="X137" s="1"/>
      <c r="Y137" s="1" t="str">
        <f ca="1">IFERROR(__xludf.DUMMYFUNCTION("""COMPUTED_VALUE"""),"#N/A")</f>
        <v>#N/A</v>
      </c>
      <c r="Z137" s="1" t="str">
        <f ca="1">IFERROR(__xludf.DUMMYFUNCTION("""COMPUTED_VALUE"""),"#N/A")</f>
        <v>#N/A</v>
      </c>
      <c r="AA137" s="1" t="str">
        <f ca="1">IFERROR(__xludf.DUMMYFUNCTION("""COMPUTED_VALUE"""),"#N/A")</f>
        <v>#N/A</v>
      </c>
      <c r="AB137" s="1" t="str">
        <f ca="1">IFERROR(__xludf.DUMMYFUNCTION("""COMPUTED_VALUE"""),"#N/A")</f>
        <v>#N/A</v>
      </c>
      <c r="AC137" s="1" t="str">
        <f ca="1">IFERROR(__xludf.DUMMYFUNCTION("""COMPUTED_VALUE""")," ")</f>
        <v xml:space="preserve"> </v>
      </c>
      <c r="AD137" s="1"/>
      <c r="AE137" s="1" t="str">
        <f ca="1">IFERROR(__xludf.DUMMYFUNCTION("""COMPUTED_VALUE"""),"#N/A")</f>
        <v>#N/A</v>
      </c>
      <c r="AF137" s="1" t="str">
        <f ca="1">IFERROR(__xludf.DUMMYFUNCTION("""COMPUTED_VALUE"""),"#N/A")</f>
        <v>#N/A</v>
      </c>
      <c r="AG137" s="1" t="str">
        <f ca="1">IFERROR(__xludf.DUMMYFUNCTION("""COMPUTED_VALUE"""),"#N/A")</f>
        <v>#N/A</v>
      </c>
      <c r="AH137" s="1"/>
      <c r="AI137" s="1"/>
    </row>
    <row r="138" spans="1:35" x14ac:dyDescent="0.2">
      <c r="A138" s="3">
        <f ca="1">IFERROR(__xludf.DUMMYFUNCTION("""COMPUTED_VALUE"""),46000.5487955208)</f>
        <v>46000.548795520801</v>
      </c>
      <c r="B138" s="1" t="str">
        <f ca="1">IFERROR(__xludf.DUMMYFUNCTION("""COMPUTED_VALUE"""),"im.chau0212@gmail.com")</f>
        <v>im.chau0212@gmail.com</v>
      </c>
      <c r="C138" s="1">
        <f ca="1">IFERROR(__xludf.DUMMYFUNCTION("""COMPUTED_VALUE"""),28208054910)</f>
        <v>28208054910</v>
      </c>
      <c r="D138" s="1" t="str">
        <f ca="1">IFERROR(__xludf.DUMMYFUNCTION("""COMPUTED_VALUE"""),"Lê Thị Bảo Châu")</f>
        <v>Lê Thị Bảo Châu</v>
      </c>
      <c r="E138" s="1"/>
      <c r="F138" s="1" t="str">
        <f ca="1">IFERROR(__xludf.DUMMYFUNCTION("""COMPUTED_VALUE"""),"K28DLK8 ")</f>
        <v xml:space="preserve">K28DLK8 </v>
      </c>
      <c r="G138" s="1" t="str">
        <f ca="1">IFERROR(__xludf.DUMMYFUNCTION("""COMPUTED_VALUE"""),"Quản trị Du lịch &amp; Khách sạn")</f>
        <v>Quản trị Du lịch &amp; Khách sạn</v>
      </c>
      <c r="H138" s="1" t="str">
        <f ca="1">IFERROR(__xludf.DUMMYFUNCTION("""COMPUTED_VALUE"""),"K28")</f>
        <v>K28</v>
      </c>
      <c r="I138" s="1" t="str">
        <f ca="1">IFERROR(__xludf.DUMMYFUNCTION("""COMPUTED_VALUE"""),"0934991471")</f>
        <v>0934991471</v>
      </c>
      <c r="J138" s="1">
        <f ca="1">IFERROR(__xludf.DUMMYFUNCTION("""COMPUTED_VALUE"""),3.29)</f>
        <v>3.29</v>
      </c>
      <c r="K138" s="1">
        <f ca="1">IFERROR(__xludf.DUMMYFUNCTION("""COMPUTED_VALUE"""),120)</f>
        <v>120</v>
      </c>
      <c r="L138" s="1" t="str">
        <f ca="1">IFERROR(__xludf.DUMMYFUNCTION("""COMPUTED_VALUE"""),"Rồi")</f>
        <v>Rồi</v>
      </c>
      <c r="M138" s="1" t="str">
        <f ca="1">IFERROR(__xludf.DUMMYFUNCTION("""COMPUTED_VALUE"""),"Thực tập tốt nghiệp, Thi tốt nghiệp, Công nhận tốt nghiệp")</f>
        <v>Thực tập tốt nghiệp, Thi tốt nghiệp, Công nhận tốt nghiệp</v>
      </c>
      <c r="N138" s="1">
        <f ca="1">IFERROR(__xludf.DUMMYFUNCTION("""COMPUTED_VALUE"""),6)</f>
        <v>6</v>
      </c>
      <c r="O138" s="1" t="str">
        <f ca="1">IFERROR(__xludf.DUMMYFUNCTION("""COMPUTED_VALUE"""),"cam kết")</f>
        <v>cam kết</v>
      </c>
      <c r="P138" s="1"/>
      <c r="Q138" s="1"/>
      <c r="R138" s="1" t="str">
        <f ca="1">IFERROR(__xludf.DUMMYFUNCTION("""COMPUTED_VALUE"""),"18/12/2025")</f>
        <v>18/12/2025</v>
      </c>
      <c r="S138" s="1" t="str">
        <f ca="1">IFERROR(__xludf.DUMMYFUNCTION("""COMPUTED_VALUE"""),"thực tập TN, Thi TN")</f>
        <v>thực tập TN, Thi TN</v>
      </c>
      <c r="T138" s="1" t="str">
        <f ca="1">IFERROR(__xludf.DUMMYFUNCTION("""COMPUTED_VALUE"""),"Đã email cấp giấy giới thiệu ngày 18/12/2025")</f>
        <v>Đã email cấp giấy giới thiệu ngày 18/12/2025</v>
      </c>
      <c r="U138" s="1"/>
      <c r="V138" s="1"/>
      <c r="W138" s="1" t="str">
        <f ca="1">IFERROR(__xludf.DUMMYFUNCTION("""COMPUTED_VALUE"""),"K28DLK8")</f>
        <v>K28DLK8</v>
      </c>
      <c r="X138" s="1"/>
      <c r="Y138" s="1" t="str">
        <f ca="1">IFERROR(__xludf.DUMMYFUNCTION("""COMPUTED_VALUE"""),"Novotel Danang Premier")</f>
        <v>Novotel Danang Premier</v>
      </c>
      <c r="Z138" s="1" t="str">
        <f ca="1">IFERROR(__xludf.DUMMYFUNCTION("""COMPUTED_VALUE"""),"Buồng phòng")</f>
        <v>Buồng phòng</v>
      </c>
      <c r="AA138" s="1" t="str">
        <f ca="1">IFERROR(__xludf.DUMMYFUNCTION("""COMPUTED_VALUE"""),"DUYỆT")</f>
        <v>DUYỆT</v>
      </c>
      <c r="AB138" s="1" t="str">
        <f ca="1">IFERROR(__xludf.DUMMYFUNCTION("""COMPUTED_VALUE"""),"21/01/2026")</f>
        <v>21/01/2026</v>
      </c>
      <c r="AC138" s="1" t="str">
        <f ca="1">IFERROR(__xludf.DUMMYFUNCTION("""COMPUTED_VALUE"""),"BÁO CÁO THỰC TẬP TỐT NGHIỆP")</f>
        <v>BÁO CÁO THỰC TẬP TỐT NGHIỆP</v>
      </c>
      <c r="AD138" s="1" t="str">
        <f ca="1">IFERROR(__xludf.DUMMYFUNCTION("""COMPUTED_VALUE"""),"Phạm Thị Thu Thủy")</f>
        <v>Phạm Thị Thu Thủy</v>
      </c>
      <c r="AE138" s="1" t="str">
        <f ca="1">IFERROR(__xludf.DUMMYFUNCTION("""COMPUTED_VALUE"""),"Thạc sĩ")</f>
        <v>Thạc sĩ</v>
      </c>
      <c r="AF138" s="1" t="str">
        <f ca="1">IFERROR(__xludf.DUMMYFUNCTION("""COMPUTED_VALUE"""),"0938290678")</f>
        <v>0938290678</v>
      </c>
      <c r="AG138" s="1" t="str">
        <f ca="1">IFERROR(__xludf.DUMMYFUNCTION("""COMPUTED_VALUE"""),"phamtthuthuy2@dtu-hti.edu.vn")</f>
        <v>phamtthuthuy2@dtu-hti.edu.vn</v>
      </c>
      <c r="AH138" s="1" t="str">
        <f ca="1">IFERROR(__xludf.DUMMYFUNCTION("""COMPUTED_VALUE"""),"Báo cáo kết quả thực tập và thực trạng quy trình phục vụ khách trong thời gian lưu trú tại bộ phận buồng khách sạn Novotel Danang Premier Han River")</f>
        <v>Báo cáo kết quả thực tập và thực trạng quy trình phục vụ khách trong thời gian lưu trú tại bộ phận buồng khách sạn Novotel Danang Premier Han River</v>
      </c>
      <c r="AI138" s="1"/>
    </row>
    <row r="139" spans="1:35" x14ac:dyDescent="0.2">
      <c r="A139" s="3">
        <f ca="1">IFERROR(__xludf.DUMMYFUNCTION("""COMPUTED_VALUE"""),46041.960112743)</f>
        <v>46041.960112743</v>
      </c>
      <c r="B139" s="1" t="str">
        <f ca="1">IFERROR(__xludf.DUMMYFUNCTION("""COMPUTED_VALUE"""),"hoa200379@gmail.com")</f>
        <v>hoa200379@gmail.com</v>
      </c>
      <c r="C139" s="1">
        <f ca="1">IFERROR(__xludf.DUMMYFUNCTION("""COMPUTED_VALUE"""),27217132618)</f>
        <v>27217132618</v>
      </c>
      <c r="D139" s="1" t="str">
        <f ca="1">IFERROR(__xludf.DUMMYFUNCTION("""COMPUTED_VALUE"""),"Lữ Đình Hoà")</f>
        <v>Lữ Đình Hoà</v>
      </c>
      <c r="E139" s="1"/>
      <c r="F139" s="1" t="str">
        <f ca="1">IFERROR(__xludf.DUMMYFUNCTION("""COMPUTED_VALUE"""),"K27DLK 7")</f>
        <v>K27DLK 7</v>
      </c>
      <c r="G139" s="1" t="str">
        <f ca="1">IFERROR(__xludf.DUMMYFUNCTION("""COMPUTED_VALUE"""),"Quản trị Du lịch &amp; Khách sạn")</f>
        <v>Quản trị Du lịch &amp; Khách sạn</v>
      </c>
      <c r="H139" s="1" t="str">
        <f ca="1">IFERROR(__xludf.DUMMYFUNCTION("""COMPUTED_VALUE"""),"K27")</f>
        <v>K27</v>
      </c>
      <c r="I139" s="1" t="str">
        <f ca="1">IFERROR(__xludf.DUMMYFUNCTION("""COMPUTED_VALUE"""),"0905887309")</f>
        <v>0905887309</v>
      </c>
      <c r="J139" s="1">
        <f ca="1">IFERROR(__xludf.DUMMYFUNCTION("""COMPUTED_VALUE"""),2.82)</f>
        <v>2.82</v>
      </c>
      <c r="K139" s="1">
        <f ca="1">IFERROR(__xludf.DUMMYFUNCTION("""COMPUTED_VALUE"""),124)</f>
        <v>124</v>
      </c>
      <c r="L139" s="1" t="str">
        <f ca="1">IFERROR(__xludf.DUMMYFUNCTION("""COMPUTED_VALUE"""),"Rồi")</f>
        <v>Rồi</v>
      </c>
      <c r="M139" s="1" t="str">
        <f ca="1">IFERROR(__xludf.DUMMYFUNCTION("""COMPUTED_VALUE"""),"Công nhận tốt nghiệp")</f>
        <v>Công nhận tốt nghiệp</v>
      </c>
      <c r="N139" s="1">
        <f ca="1">IFERROR(__xludf.DUMMYFUNCTION("""COMPUTED_VALUE"""),0)</f>
        <v>0</v>
      </c>
      <c r="O139" s="1" t="str">
        <f ca="1">IFERROR(__xludf.DUMMYFUNCTION("""COMPUTED_VALUE"""),"cam kết")</f>
        <v>cam kết</v>
      </c>
      <c r="P139" s="1" t="str">
        <f ca="1">IFERROR(__xludf.DUMMYFUNCTION("""COMPUTED_VALUE"""),"ĐÃ NỘP")</f>
        <v>ĐÃ NỘP</v>
      </c>
      <c r="Q139" s="1">
        <f ca="1">IFERROR(__xludf.DUMMYFUNCTION("""COMPUTED_VALUE"""),11)</f>
        <v>11</v>
      </c>
      <c r="R139" s="1" t="str">
        <f ca="1">IFERROR(__xludf.DUMMYFUNCTION("""COMPUTED_VALUE"""),"18/12/2025")</f>
        <v>18/12/2025</v>
      </c>
      <c r="S139" s="1" t="str">
        <f ca="1">IFERROR(__xludf.DUMMYFUNCTION("""COMPUTED_VALUE"""),"xét công nhận TN")</f>
        <v>xét công nhận TN</v>
      </c>
      <c r="T139" s="1"/>
      <c r="U139" s="1"/>
      <c r="V139" s="1"/>
      <c r="W139" s="1" t="str">
        <f ca="1">IFERROR(__xludf.DUMMYFUNCTION("""COMPUTED_VALUE"""),"K27DLK7")</f>
        <v>K27DLK7</v>
      </c>
      <c r="X139" s="1"/>
      <c r="Y139" s="1" t="str">
        <f ca="1">IFERROR(__xludf.DUMMYFUNCTION("""COMPUTED_VALUE"""),"#N/A")</f>
        <v>#N/A</v>
      </c>
      <c r="Z139" s="1" t="str">
        <f ca="1">IFERROR(__xludf.DUMMYFUNCTION("""COMPUTED_VALUE"""),"#N/A")</f>
        <v>#N/A</v>
      </c>
      <c r="AA139" s="1" t="str">
        <f ca="1">IFERROR(__xludf.DUMMYFUNCTION("""COMPUTED_VALUE"""),"#N/A")</f>
        <v>#N/A</v>
      </c>
      <c r="AB139" s="1" t="str">
        <f ca="1">IFERROR(__xludf.DUMMYFUNCTION("""COMPUTED_VALUE"""),"#N/A")</f>
        <v>#N/A</v>
      </c>
      <c r="AC139" s="1" t="str">
        <f ca="1">IFERROR(__xludf.DUMMYFUNCTION("""COMPUTED_VALUE""")," ")</f>
        <v xml:space="preserve"> </v>
      </c>
      <c r="AD139" s="1"/>
      <c r="AE139" s="1"/>
      <c r="AF139" s="1"/>
      <c r="AG139" s="1"/>
      <c r="AH139" s="1"/>
      <c r="AI139" s="1"/>
    </row>
    <row r="140" spans="1:35" x14ac:dyDescent="0.2">
      <c r="A140" s="3">
        <f ca="1">IFERROR(__xludf.DUMMYFUNCTION("""COMPUTED_VALUE"""),46000.5959197337)</f>
        <v>46000.5959197337</v>
      </c>
      <c r="B140" s="1" t="str">
        <f ca="1">IFERROR(__xludf.DUMMYFUNCTION("""COMPUTED_VALUE"""),"trankhanhhuyen412@gmail.com")</f>
        <v>trankhanhhuyen412@gmail.com</v>
      </c>
      <c r="C140" s="1">
        <f ca="1">IFERROR(__xludf.DUMMYFUNCTION("""COMPUTED_VALUE"""),28208027850)</f>
        <v>28208027850</v>
      </c>
      <c r="D140" s="1" t="str">
        <f ca="1">IFERROR(__xludf.DUMMYFUNCTION("""COMPUTED_VALUE"""),"Trần Thị Khánh Huyền")</f>
        <v>Trần Thị Khánh Huyền</v>
      </c>
      <c r="E140" s="1"/>
      <c r="F140" s="1" t="str">
        <f ca="1">IFERROR(__xludf.DUMMYFUNCTION("""COMPUTED_VALUE"""),"K28DLK1")</f>
        <v>K28DLK1</v>
      </c>
      <c r="G140" s="1" t="str">
        <f ca="1">IFERROR(__xludf.DUMMYFUNCTION("""COMPUTED_VALUE"""),"Quản trị Du lịch &amp; Khách sạn")</f>
        <v>Quản trị Du lịch &amp; Khách sạn</v>
      </c>
      <c r="H140" s="1" t="str">
        <f ca="1">IFERROR(__xludf.DUMMYFUNCTION("""COMPUTED_VALUE"""),"K28")</f>
        <v>K28</v>
      </c>
      <c r="I140" s="1" t="str">
        <f ca="1">IFERROR(__xludf.DUMMYFUNCTION("""COMPUTED_VALUE"""),"0348421604")</f>
        <v>0348421604</v>
      </c>
      <c r="J140" s="1">
        <f ca="1">IFERROR(__xludf.DUMMYFUNCTION("""COMPUTED_VALUE"""),2.56)</f>
        <v>2.56</v>
      </c>
      <c r="K140" s="1">
        <f ca="1">IFERROR(__xludf.DUMMYFUNCTION("""COMPUTED_VALUE"""),116)</f>
        <v>116</v>
      </c>
      <c r="L140" s="1" t="str">
        <f ca="1">IFERROR(__xludf.DUMMYFUNCTION("""COMPUTED_VALUE"""),"Rồi")</f>
        <v>Rồi</v>
      </c>
      <c r="M140" s="1" t="str">
        <f ca="1">IFERROR(__xludf.DUMMYFUNCTION("""COMPUTED_VALUE"""),"Thực tập tốt nghiệp, Thi tốt nghiệp")</f>
        <v>Thực tập tốt nghiệp, Thi tốt nghiệp</v>
      </c>
      <c r="N140" s="1">
        <f ca="1">IFERROR(__xludf.DUMMYFUNCTION("""COMPUTED_VALUE"""),14)</f>
        <v>14</v>
      </c>
      <c r="O140" s="1" t="str">
        <f ca="1">IFERROR(__xludf.DUMMYFUNCTION("""COMPUTED_VALUE"""),"cam kết")</f>
        <v>cam kết</v>
      </c>
      <c r="P140" s="1"/>
      <c r="Q140" s="1"/>
      <c r="R140" s="1" t="str">
        <f ca="1">IFERROR(__xludf.DUMMYFUNCTION("""COMPUTED_VALUE"""),"18/12/2025")</f>
        <v>18/12/2025</v>
      </c>
      <c r="S140" s="1" t="str">
        <f ca="1">IFERROR(__xludf.DUMMYFUNCTION("""COMPUTED_VALUE"""),"thực tập TN, Thi TN")</f>
        <v>thực tập TN, Thi TN</v>
      </c>
      <c r="T140" s="1" t="str">
        <f ca="1">IFERROR(__xludf.DUMMYFUNCTION("""COMPUTED_VALUE"""),"Đã email cấp giấy giới thiệu ngày 18/12/2025")</f>
        <v>Đã email cấp giấy giới thiệu ngày 18/12/2025</v>
      </c>
      <c r="U140" s="1"/>
      <c r="V140" s="1"/>
      <c r="W140" s="1" t="str">
        <f ca="1">IFERROR(__xludf.DUMMYFUNCTION("""COMPUTED_VALUE"""),"K28DLK1")</f>
        <v>K28DLK1</v>
      </c>
      <c r="X140" s="1"/>
      <c r="Y140" s="1" t="str">
        <f ca="1">IFERROR(__xludf.DUMMYFUNCTION("""COMPUTED_VALUE"""),"Da Nang Mikazuki Japanese Resorts and Spa")</f>
        <v>Da Nang Mikazuki Japanese Resorts and Spa</v>
      </c>
      <c r="Z140" s="1" t="str">
        <f ca="1">IFERROR(__xludf.DUMMYFUNCTION("""COMPUTED_VALUE"""),"Nhà hàng")</f>
        <v>Nhà hàng</v>
      </c>
      <c r="AA140" s="1" t="str">
        <f ca="1">IFERROR(__xludf.DUMMYFUNCTION("""COMPUTED_VALUE"""),"DUYỆT")</f>
        <v>DUYỆT</v>
      </c>
      <c r="AB140" s="1" t="str">
        <f ca="1">IFERROR(__xludf.DUMMYFUNCTION("""COMPUTED_VALUE"""),"14/01/2026")</f>
        <v>14/01/2026</v>
      </c>
      <c r="AC140" s="1" t="str">
        <f ca="1">IFERROR(__xludf.DUMMYFUNCTION("""COMPUTED_VALUE"""),"BÁO CÁO THỰC TẬP TỐT NGHIỆP")</f>
        <v>BÁO CÁO THỰC TẬP TỐT NGHIỆP</v>
      </c>
      <c r="AD140" s="1" t="str">
        <f ca="1">IFERROR(__xludf.DUMMYFUNCTION("""COMPUTED_VALUE"""),"Nguyễn Thị Minh Thư")</f>
        <v>Nguyễn Thị Minh Thư</v>
      </c>
      <c r="AE140" s="1" t="str">
        <f ca="1">IFERROR(__xludf.DUMMYFUNCTION("""COMPUTED_VALUE"""),"Thạc sĩ")</f>
        <v>Thạc sĩ</v>
      </c>
      <c r="AF140" s="1" t="str">
        <f ca="1">IFERROR(__xludf.DUMMYFUNCTION("""COMPUTED_VALUE"""),"0396.153.687")</f>
        <v>0396.153.687</v>
      </c>
      <c r="AG140" s="1" t="str">
        <f ca="1">IFERROR(__xludf.DUMMYFUNCTION("""COMPUTED_VALUE"""),"nguyentminhthu@dtu-hti.edu.vn")</f>
        <v>nguyentminhthu@dtu-hti.edu.vn</v>
      </c>
      <c r="AH140" s="1" t="str">
        <f ca="1">IFERROR(__xludf.DUMMYFUNCTION("""COMPUTED_VALUE"""),"Báo cáo kết quả thực tập và thực trạng quy trình phục vụ A La Carte tại nhà hàng Matsuri thuộc Da Nang Mikazuki Japanese Resorts &amp; Spa ")</f>
        <v xml:space="preserve">Báo cáo kết quả thực tập và thực trạng quy trình phục vụ A La Carte tại nhà hàng Matsuri thuộc Da Nang Mikazuki Japanese Resorts &amp; Spa </v>
      </c>
      <c r="AI140" s="1"/>
    </row>
    <row r="141" spans="1:35" x14ac:dyDescent="0.2">
      <c r="A141" s="3">
        <f ca="1">IFERROR(__xludf.DUMMYFUNCTION("""COMPUTED_VALUE"""),46000.6485813426)</f>
        <v>46000.648581342597</v>
      </c>
      <c r="B141" s="1" t="str">
        <f ca="1">IFERROR(__xludf.DUMMYFUNCTION("""COMPUTED_VALUE"""),"truongnguyenminhhau2004@gmail.com")</f>
        <v>truongnguyenminhhau2004@gmail.com</v>
      </c>
      <c r="C141" s="1">
        <f ca="1">IFERROR(__xludf.DUMMYFUNCTION("""COMPUTED_VALUE"""),28218002769)</f>
        <v>28218002769</v>
      </c>
      <c r="D141" s="1" t="str">
        <f ca="1">IFERROR(__xludf.DUMMYFUNCTION("""COMPUTED_VALUE"""),"Trương Nguyễn Minh Hậu")</f>
        <v>Trương Nguyễn Minh Hậu</v>
      </c>
      <c r="E141" s="1"/>
      <c r="F141" s="1" t="str">
        <f ca="1">IFERROR(__xludf.DUMMYFUNCTION("""COMPUTED_VALUE"""),"K28DLK4")</f>
        <v>K28DLK4</v>
      </c>
      <c r="G141" s="1" t="str">
        <f ca="1">IFERROR(__xludf.DUMMYFUNCTION("""COMPUTED_VALUE"""),"Quản trị Du lịch &amp; Khách sạn")</f>
        <v>Quản trị Du lịch &amp; Khách sạn</v>
      </c>
      <c r="H141" s="1" t="str">
        <f ca="1">IFERROR(__xludf.DUMMYFUNCTION("""COMPUTED_VALUE"""),"K28")</f>
        <v>K28</v>
      </c>
      <c r="I141" s="1" t="str">
        <f ca="1">IFERROR(__xludf.DUMMYFUNCTION("""COMPUTED_VALUE"""),"0935747462")</f>
        <v>0935747462</v>
      </c>
      <c r="J141" s="1">
        <f ca="1">IFERROR(__xludf.DUMMYFUNCTION("""COMPUTED_VALUE"""),2.36)</f>
        <v>2.36</v>
      </c>
      <c r="K141" s="1">
        <f ca="1">IFERROR(__xludf.DUMMYFUNCTION("""COMPUTED_VALUE"""),108)</f>
        <v>108</v>
      </c>
      <c r="L141" s="1" t="str">
        <f ca="1">IFERROR(__xludf.DUMMYFUNCTION("""COMPUTED_VALUE"""),"Rồi")</f>
        <v>Rồi</v>
      </c>
      <c r="M141" s="1" t="str">
        <f ca="1">IFERROR(__xludf.DUMMYFUNCTION("""COMPUTED_VALUE"""),"Thực tập tốt nghiệp")</f>
        <v>Thực tập tốt nghiệp</v>
      </c>
      <c r="N141" s="1">
        <f ca="1">IFERROR(__xludf.DUMMYFUNCTION("""COMPUTED_VALUE"""),4)</f>
        <v>4</v>
      </c>
      <c r="O141" s="1" t="str">
        <f ca="1">IFERROR(__xludf.DUMMYFUNCTION("""COMPUTED_VALUE"""),"cam kết")</f>
        <v>cam kết</v>
      </c>
      <c r="P141" s="1"/>
      <c r="Q141" s="1"/>
      <c r="R141" s="1" t="str">
        <f ca="1">IFERROR(__xludf.DUMMYFUNCTION("""COMPUTED_VALUE"""),"18/12/2025")</f>
        <v>18/12/2025</v>
      </c>
      <c r="S141" s="1" t="str">
        <f ca="1">IFERROR(__xludf.DUMMYFUNCTION("""COMPUTED_VALUE"""),"thực tập TN, Thi TN")</f>
        <v>thực tập TN, Thi TN</v>
      </c>
      <c r="T141" s="1" t="str">
        <f ca="1">IFERROR(__xludf.DUMMYFUNCTION("""COMPUTED_VALUE"""),"Đã email cấp giấy giới thiệu ngày 18/12/2025")</f>
        <v>Đã email cấp giấy giới thiệu ngày 18/12/2025</v>
      </c>
      <c r="U141" s="1"/>
      <c r="V141" s="1"/>
      <c r="W141" s="1" t="str">
        <f ca="1">IFERROR(__xludf.DUMMYFUNCTION("""COMPUTED_VALUE"""),"K28DLK4")</f>
        <v>K28DLK4</v>
      </c>
      <c r="X141" s="1"/>
      <c r="Y141" s="1" t="str">
        <f ca="1">IFERROR(__xludf.DUMMYFUNCTION("""COMPUTED_VALUE"""),"Novotel Danang Premier")</f>
        <v>Novotel Danang Premier</v>
      </c>
      <c r="Z141" s="1" t="str">
        <f ca="1">IFERROR(__xludf.DUMMYFUNCTION("""COMPUTED_VALUE"""),"Nhà hàng")</f>
        <v>Nhà hàng</v>
      </c>
      <c r="AA141" s="1" t="str">
        <f ca="1">IFERROR(__xludf.DUMMYFUNCTION("""COMPUTED_VALUE"""),"DUYỆT")</f>
        <v>DUYỆT</v>
      </c>
      <c r="AB141" s="1" t="str">
        <f ca="1">IFERROR(__xludf.DUMMYFUNCTION("""COMPUTED_VALUE"""),"29/01/2026")</f>
        <v>29/01/2026</v>
      </c>
      <c r="AC141" s="1" t="str">
        <f ca="1">IFERROR(__xludf.DUMMYFUNCTION("""COMPUTED_VALUE"""),"BÁO CÁO THỰC TẬP TỐT NGHIỆP")</f>
        <v>BÁO CÁO THỰC TẬP TỐT NGHIỆP</v>
      </c>
      <c r="AD141" s="1" t="str">
        <f ca="1">IFERROR(__xludf.DUMMYFUNCTION("""COMPUTED_VALUE"""),"Huỳnh Lý Thùy Linh")</f>
        <v>Huỳnh Lý Thùy Linh</v>
      </c>
      <c r="AE141" s="1" t="str">
        <f ca="1">IFERROR(__xludf.DUMMYFUNCTION("""COMPUTED_VALUE"""),"Thạc sĩ")</f>
        <v>Thạc sĩ</v>
      </c>
      <c r="AF141" s="1" t="str">
        <f ca="1">IFERROR(__xludf.DUMMYFUNCTION("""COMPUTED_VALUE"""),"0702605664")</f>
        <v>0702605664</v>
      </c>
      <c r="AG141" s="1" t="str">
        <f ca="1">IFERROR(__xludf.DUMMYFUNCTION("""COMPUTED_VALUE"""),"huynhlthuylinh@dtu-hti.edu.vn")</f>
        <v>huynhlthuylinh@dtu-hti.edu.vn</v>
      </c>
      <c r="AH141" s="1" t="str">
        <f ca="1">IFERROR(__xludf.DUMMYFUNCTION("""COMPUTED_VALUE"""),"Báo cáo kết quả thực tập và thực trạng về chất lượng đội ngũ lao động của nhà hàng Gourmet Bar thuộc Novotel Danang Premier Han River")</f>
        <v>Báo cáo kết quả thực tập và thực trạng về chất lượng đội ngũ lao động của nhà hàng Gourmet Bar thuộc Novotel Danang Premier Han River</v>
      </c>
      <c r="AI141" s="1"/>
    </row>
    <row r="142" spans="1:35" x14ac:dyDescent="0.2">
      <c r="A142" s="3">
        <f ca="1">IFERROR(__xludf.DUMMYFUNCTION("""COMPUTED_VALUE"""),46000.6836300115)</f>
        <v>46000.683630011503</v>
      </c>
      <c r="B142" s="1" t="str">
        <f ca="1">IFERROR(__xludf.DUMMYFUNCTION("""COMPUTED_VALUE"""),"anh1nguyet04@gmail.com")</f>
        <v>anh1nguyet04@gmail.com</v>
      </c>
      <c r="C142" s="1">
        <f ca="1">IFERROR(__xludf.DUMMYFUNCTION("""COMPUTED_VALUE"""),28208002425)</f>
        <v>28208002425</v>
      </c>
      <c r="D142" s="1" t="str">
        <f ca="1">IFERROR(__xludf.DUMMYFUNCTION("""COMPUTED_VALUE"""),"Trương Thị Ánh Nguyệt")</f>
        <v>Trương Thị Ánh Nguyệt</v>
      </c>
      <c r="E142" s="1"/>
      <c r="F142" s="1" t="str">
        <f ca="1">IFERROR(__xludf.DUMMYFUNCTION("""COMPUTED_VALUE"""),"K28DLK2")</f>
        <v>K28DLK2</v>
      </c>
      <c r="G142" s="1" t="str">
        <f ca="1">IFERROR(__xludf.DUMMYFUNCTION("""COMPUTED_VALUE"""),"Quản trị Du lịch &amp; Khách sạn")</f>
        <v>Quản trị Du lịch &amp; Khách sạn</v>
      </c>
      <c r="H142" s="1" t="str">
        <f ca="1">IFERROR(__xludf.DUMMYFUNCTION("""COMPUTED_VALUE"""),"K28")</f>
        <v>K28</v>
      </c>
      <c r="I142" s="1" t="str">
        <f ca="1">IFERROR(__xludf.DUMMYFUNCTION("""COMPUTED_VALUE"""),"0374574862")</f>
        <v>0374574862</v>
      </c>
      <c r="J142" s="1">
        <f ca="1">IFERROR(__xludf.DUMMYFUNCTION("""COMPUTED_VALUE"""),2.68)</f>
        <v>2.68</v>
      </c>
      <c r="K142" s="1">
        <f ca="1">IFERROR(__xludf.DUMMYFUNCTION("""COMPUTED_VALUE"""),112)</f>
        <v>112</v>
      </c>
      <c r="L142" s="1" t="str">
        <f ca="1">IFERROR(__xludf.DUMMYFUNCTION("""COMPUTED_VALUE"""),"Rồi")</f>
        <v>Rồi</v>
      </c>
      <c r="M142" s="1" t="str">
        <f ca="1">IFERROR(__xludf.DUMMYFUNCTION("""COMPUTED_VALUE"""),"Thực tập tốt nghiệp, Thi tốt nghiệp, Công nhận tốt nghiệp")</f>
        <v>Thực tập tốt nghiệp, Thi tốt nghiệp, Công nhận tốt nghiệp</v>
      </c>
      <c r="N142" s="1">
        <f ca="1">IFERROR(__xludf.DUMMYFUNCTION("""COMPUTED_VALUE"""),11)</f>
        <v>11</v>
      </c>
      <c r="O142" s="1" t="str">
        <f ca="1">IFERROR(__xludf.DUMMYFUNCTION("""COMPUTED_VALUE"""),"cam kết")</f>
        <v>cam kết</v>
      </c>
      <c r="P142" s="1"/>
      <c r="Q142" s="1"/>
      <c r="R142" s="1" t="str">
        <f ca="1">IFERROR(__xludf.DUMMYFUNCTION("""COMPUTED_VALUE"""),"18/12/2025")</f>
        <v>18/12/2025</v>
      </c>
      <c r="S142" s="1" t="str">
        <f ca="1">IFERROR(__xludf.DUMMYFUNCTION("""COMPUTED_VALUE"""),"thực tập TN, Thi TN")</f>
        <v>thực tập TN, Thi TN</v>
      </c>
      <c r="T142" s="1" t="str">
        <f ca="1">IFERROR(__xludf.DUMMYFUNCTION("""COMPUTED_VALUE"""),"Đã email cấp giấy giới thiệu ngày 18/12/2025")</f>
        <v>Đã email cấp giấy giới thiệu ngày 18/12/2025</v>
      </c>
      <c r="U142" s="1"/>
      <c r="V142" s="1"/>
      <c r="W142" s="1" t="str">
        <f ca="1">IFERROR(__xludf.DUMMYFUNCTION("""COMPUTED_VALUE"""),"K28DLK2")</f>
        <v>K28DLK2</v>
      </c>
      <c r="X142" s="1"/>
      <c r="Y142" s="1" t="str">
        <f ca="1">IFERROR(__xludf.DUMMYFUNCTION("""COMPUTED_VALUE"""),"Wyndham Danang Golden Bay Hotel")</f>
        <v>Wyndham Danang Golden Bay Hotel</v>
      </c>
      <c r="Z142" s="1" t="str">
        <f ca="1">IFERROR(__xludf.DUMMYFUNCTION("""COMPUTED_VALUE"""),"Nhà hàng")</f>
        <v>Nhà hàng</v>
      </c>
      <c r="AA142" s="1" t="str">
        <f ca="1">IFERROR(__xludf.DUMMYFUNCTION("""COMPUTED_VALUE"""),"DUYỆT")</f>
        <v>DUYỆT</v>
      </c>
      <c r="AB142" s="1" t="str">
        <f ca="1">IFERROR(__xludf.DUMMYFUNCTION("""COMPUTED_VALUE"""),"23/12/2025")</f>
        <v>23/12/2025</v>
      </c>
      <c r="AC142" s="1" t="str">
        <f ca="1">IFERROR(__xludf.DUMMYFUNCTION("""COMPUTED_VALUE"""),"BÁO CÁO THỰC TẬP TỐT NGHIỆP")</f>
        <v>BÁO CÁO THỰC TẬP TỐT NGHIỆP</v>
      </c>
      <c r="AD142" s="1" t="str">
        <f ca="1">IFERROR(__xludf.DUMMYFUNCTION("""COMPUTED_VALUE"""),"Trần Hoàng Anh")</f>
        <v>Trần Hoàng Anh</v>
      </c>
      <c r="AE142" s="1" t="str">
        <f ca="1">IFERROR(__xludf.DUMMYFUNCTION("""COMPUTED_VALUE"""),"Thạc sĩ")</f>
        <v>Thạc sĩ</v>
      </c>
      <c r="AF142" s="1" t="str">
        <f ca="1">IFERROR(__xludf.DUMMYFUNCTION("""COMPUTED_VALUE"""),"0906 029 602")</f>
        <v>0906 029 602</v>
      </c>
      <c r="AG142" s="1" t="str">
        <f ca="1">IFERROR(__xludf.DUMMYFUNCTION("""COMPUTED_VALUE"""),"tranhoanganh@dtu-hti.edu.vn")</f>
        <v>tranhoanganh@dtu-hti.edu.vn</v>
      </c>
      <c r="AH142" s="1" t="str">
        <f ca="1">IFERROR(__xludf.DUMMYFUNCTION("""COMPUTED_VALUE"""),"Báo cáo kết quả thực tập và thực trạng các yếu tố ảnh hưởng đến chất lượng phục vụ buffet sáng tại nhà hàng The Horizon tại khách sạn Wyndham Danang Golden Bay Hotel")</f>
        <v>Báo cáo kết quả thực tập và thực trạng các yếu tố ảnh hưởng đến chất lượng phục vụ buffet sáng tại nhà hàng The Horizon tại khách sạn Wyndham Danang Golden Bay Hotel</v>
      </c>
      <c r="AI142" s="1"/>
    </row>
    <row r="143" spans="1:35" x14ac:dyDescent="0.2">
      <c r="A143" s="3">
        <f ca="1">IFERROR(__xludf.DUMMYFUNCTION("""COMPUTED_VALUE"""),46000.7625580555)</f>
        <v>46000.762558055503</v>
      </c>
      <c r="B143" s="1" t="str">
        <f ca="1">IFERROR(__xludf.DUMMYFUNCTION("""COMPUTED_VALUE"""),"trantngochoai@gmail.com")</f>
        <v>trantngochoai@gmail.com</v>
      </c>
      <c r="C143" s="1">
        <f ca="1">IFERROR(__xludf.DUMMYFUNCTION("""COMPUTED_VALUE"""),28208053246)</f>
        <v>28208053246</v>
      </c>
      <c r="D143" s="1" t="str">
        <f ca="1">IFERROR(__xludf.DUMMYFUNCTION("""COMPUTED_VALUE"""),"Trần Thị Ngọc Hoài")</f>
        <v>Trần Thị Ngọc Hoài</v>
      </c>
      <c r="E143" s="1"/>
      <c r="F143" s="1" t="str">
        <f ca="1">IFERROR(__xludf.DUMMYFUNCTION("""COMPUTED_VALUE"""),"K28DLK1")</f>
        <v>K28DLK1</v>
      </c>
      <c r="G143" s="1" t="str">
        <f ca="1">IFERROR(__xludf.DUMMYFUNCTION("""COMPUTED_VALUE"""),"Quản trị Du lịch &amp; Khách sạn")</f>
        <v>Quản trị Du lịch &amp; Khách sạn</v>
      </c>
      <c r="H143" s="1" t="str">
        <f ca="1">IFERROR(__xludf.DUMMYFUNCTION("""COMPUTED_VALUE"""),"K28")</f>
        <v>K28</v>
      </c>
      <c r="I143" s="1" t="str">
        <f ca="1">IFERROR(__xludf.DUMMYFUNCTION("""COMPUTED_VALUE"""),"0917866119")</f>
        <v>0917866119</v>
      </c>
      <c r="J143" s="1">
        <f ca="1">IFERROR(__xludf.DUMMYFUNCTION("""COMPUTED_VALUE"""),3.33)</f>
        <v>3.33</v>
      </c>
      <c r="K143" s="1">
        <f ca="1">IFERROR(__xludf.DUMMYFUNCTION("""COMPUTED_VALUE"""),113)</f>
        <v>113</v>
      </c>
      <c r="L143" s="1" t="str">
        <f ca="1">IFERROR(__xludf.DUMMYFUNCTION("""COMPUTED_VALUE"""),"Rồi")</f>
        <v>Rồi</v>
      </c>
      <c r="M143" s="1" t="str">
        <f ca="1">IFERROR(__xludf.DUMMYFUNCTION("""COMPUTED_VALUE"""),"Thực tập tốt nghiệp, Thi tốt nghiệp, Công nhận tốt nghiệp")</f>
        <v>Thực tập tốt nghiệp, Thi tốt nghiệp, Công nhận tốt nghiệp</v>
      </c>
      <c r="N143" s="1" t="str">
        <f ca="1">IFERROR(__xludf.DUMMYFUNCTION("""COMPUTED_VALUE"""),"4 chưa học và 6 đang học. ")</f>
        <v xml:space="preserve">4 chưa học và 6 đang học. </v>
      </c>
      <c r="O143" s="1" t="str">
        <f ca="1">IFERROR(__xludf.DUMMYFUNCTION("""COMPUTED_VALUE"""),"cam kết")</f>
        <v>cam kết</v>
      </c>
      <c r="P143" s="1"/>
      <c r="Q143" s="1"/>
      <c r="R143" s="1" t="str">
        <f ca="1">IFERROR(__xludf.DUMMYFUNCTION("""COMPUTED_VALUE"""),"18/12/2025")</f>
        <v>18/12/2025</v>
      </c>
      <c r="S143" s="1" t="str">
        <f ca="1">IFERROR(__xludf.DUMMYFUNCTION("""COMPUTED_VALUE"""),"thực tập TN, Thi TN")</f>
        <v>thực tập TN, Thi TN</v>
      </c>
      <c r="T143" s="1" t="str">
        <f ca="1">IFERROR(__xludf.DUMMYFUNCTION("""COMPUTED_VALUE"""),"Đã email cấp giấy giới thiệu ngày 18/12/2025")</f>
        <v>Đã email cấp giấy giới thiệu ngày 18/12/2025</v>
      </c>
      <c r="U143" s="1"/>
      <c r="V143" s="1"/>
      <c r="W143" s="1" t="str">
        <f ca="1">IFERROR(__xludf.DUMMYFUNCTION("""COMPUTED_VALUE"""),"K28DLK1")</f>
        <v>K28DLK1</v>
      </c>
      <c r="X143" s="1"/>
      <c r="Y143" s="1" t="str">
        <f ca="1">IFERROR(__xludf.DUMMYFUNCTION("""COMPUTED_VALUE"""),"Meliá Vinpearl Danang Riverfront")</f>
        <v>Meliá Vinpearl Danang Riverfront</v>
      </c>
      <c r="Z143" s="1" t="str">
        <f ca="1">IFERROR(__xludf.DUMMYFUNCTION("""COMPUTED_VALUE"""),"Nhà hàng")</f>
        <v>Nhà hàng</v>
      </c>
      <c r="AA143" s="1" t="str">
        <f ca="1">IFERROR(__xludf.DUMMYFUNCTION("""COMPUTED_VALUE"""),"DUYỆT")</f>
        <v>DUYỆT</v>
      </c>
      <c r="AB143" s="1" t="str">
        <f ca="1">IFERROR(__xludf.DUMMYFUNCTION("""COMPUTED_VALUE"""),"xin nộp trễ 05/02/2026")</f>
        <v>xin nộp trễ 05/02/2026</v>
      </c>
      <c r="AC143" s="1" t="str">
        <f ca="1">IFERROR(__xludf.DUMMYFUNCTION("""COMPUTED_VALUE"""),"BÁO CÁO THỰC TẬP TỐT NGHIỆP")</f>
        <v>BÁO CÁO THỰC TẬP TỐT NGHIỆP</v>
      </c>
      <c r="AD143" s="1" t="str">
        <f ca="1">IFERROR(__xludf.DUMMYFUNCTION("""COMPUTED_VALUE"""),"Huỳnh Lý Thùy Linh")</f>
        <v>Huỳnh Lý Thùy Linh</v>
      </c>
      <c r="AE143" s="1" t="str">
        <f ca="1">IFERROR(__xludf.DUMMYFUNCTION("""COMPUTED_VALUE"""),"Thạc sĩ")</f>
        <v>Thạc sĩ</v>
      </c>
      <c r="AF143" s="1" t="str">
        <f ca="1">IFERROR(__xludf.DUMMYFUNCTION("""COMPUTED_VALUE"""),"0702605664")</f>
        <v>0702605664</v>
      </c>
      <c r="AG143" s="1" t="str">
        <f ca="1">IFERROR(__xludf.DUMMYFUNCTION("""COMPUTED_VALUE"""),"huynhlthuylinh@dtu-hti.edu.vn")</f>
        <v>huynhlthuylinh@dtu-hti.edu.vn</v>
      </c>
      <c r="AH143" s="1" t="str">
        <f ca="1">IFERROR(__xludf.DUMMYFUNCTION("""COMPUTED_VALUE"""),"Báo cáo kết quả thực tập và thực trạng về chất lượng đội ngũ lao động của bộ phận nhà hàng tại Meliá Vinpearl Da Nang Riverfront")</f>
        <v>Báo cáo kết quả thực tập và thực trạng về chất lượng đội ngũ lao động của bộ phận nhà hàng tại Meliá Vinpearl Da Nang Riverfront</v>
      </c>
      <c r="AI143" s="1"/>
    </row>
    <row r="144" spans="1:35" x14ac:dyDescent="0.2">
      <c r="A144" s="3">
        <f ca="1">IFERROR(__xludf.DUMMYFUNCTION("""COMPUTED_VALUE"""),46011.6715385185)</f>
        <v>46011.671538518502</v>
      </c>
      <c r="B144" s="1" t="str">
        <f ca="1">IFERROR(__xludf.DUMMYFUNCTION("""COMPUTED_VALUE"""),"nganngan08087@gmail.com")</f>
        <v>nganngan08087@gmail.com</v>
      </c>
      <c r="C144" s="1">
        <f ca="1">IFERROR(__xludf.DUMMYFUNCTION("""COMPUTED_VALUE"""),28208027475)</f>
        <v>28208027475</v>
      </c>
      <c r="D144" s="1" t="str">
        <f ca="1">IFERROR(__xludf.DUMMYFUNCTION("""COMPUTED_VALUE"""),"Võ Trần Phúc Ngân")</f>
        <v>Võ Trần Phúc Ngân</v>
      </c>
      <c r="E144" s="1"/>
      <c r="F144" s="1" t="str">
        <f ca="1">IFERROR(__xludf.DUMMYFUNCTION("""COMPUTED_VALUE"""),"K28DLK8")</f>
        <v>K28DLK8</v>
      </c>
      <c r="G144" s="1" t="str">
        <f ca="1">IFERROR(__xludf.DUMMYFUNCTION("""COMPUTED_VALUE"""),"Quản trị Du lịch &amp; Khách sạn")</f>
        <v>Quản trị Du lịch &amp; Khách sạn</v>
      </c>
      <c r="H144" s="1" t="str">
        <f ca="1">IFERROR(__xludf.DUMMYFUNCTION("""COMPUTED_VALUE"""),"K28")</f>
        <v>K28</v>
      </c>
      <c r="I144" s="1" t="str">
        <f ca="1">IFERROR(__xludf.DUMMYFUNCTION("""COMPUTED_VALUE"""),"0902185561")</f>
        <v>0902185561</v>
      </c>
      <c r="J144" s="1">
        <f ca="1">IFERROR(__xludf.DUMMYFUNCTION("""COMPUTED_VALUE"""),3.21)</f>
        <v>3.21</v>
      </c>
      <c r="K144" s="1">
        <f ca="1">IFERROR(__xludf.DUMMYFUNCTION("""COMPUTED_VALUE"""),118)</f>
        <v>118</v>
      </c>
      <c r="L144" s="1" t="str">
        <f ca="1">IFERROR(__xludf.DUMMYFUNCTION("""COMPUTED_VALUE"""),"Rồi")</f>
        <v>Rồi</v>
      </c>
      <c r="M144" s="1" t="str">
        <f ca="1">IFERROR(__xludf.DUMMYFUNCTION("""COMPUTED_VALUE"""),"Thực tập tốt nghiệp, Thi tốt nghiệp, Công nhận tốt nghiệp")</f>
        <v>Thực tập tốt nghiệp, Thi tốt nghiệp, Công nhận tốt nghiệp</v>
      </c>
      <c r="N144" s="1">
        <f ca="1">IFERROR(__xludf.DUMMYFUNCTION("""COMPUTED_VALUE"""),6)</f>
        <v>6</v>
      </c>
      <c r="O144" s="1" t="str">
        <f ca="1">IFERROR(__xludf.DUMMYFUNCTION("""COMPUTED_VALUE"""),"cam kết")</f>
        <v>cam kết</v>
      </c>
      <c r="P144" s="1"/>
      <c r="Q144" s="1"/>
      <c r="R144" s="1" t="str">
        <f ca="1">IFERROR(__xludf.DUMMYFUNCTION("""COMPUTED_VALUE"""),"18/12/2025")</f>
        <v>18/12/2025</v>
      </c>
      <c r="S144" s="1" t="str">
        <f ca="1">IFERROR(__xludf.DUMMYFUNCTION("""COMPUTED_VALUE"""),"thực tập TN, Thi TN")</f>
        <v>thực tập TN, Thi TN</v>
      </c>
      <c r="T144" s="1" t="str">
        <f ca="1">IFERROR(__xludf.DUMMYFUNCTION("""COMPUTED_VALUE"""),"Đã email cấp giấy giới thiệu ngày 18/12/2025")</f>
        <v>Đã email cấp giấy giới thiệu ngày 18/12/2025</v>
      </c>
      <c r="U144" s="1"/>
      <c r="V144" s="1"/>
      <c r="W144" s="1" t="str">
        <f ca="1">IFERROR(__xludf.DUMMYFUNCTION("""COMPUTED_VALUE"""),"K28DLK8")</f>
        <v>K28DLK8</v>
      </c>
      <c r="X144" s="1"/>
      <c r="Y144" s="1" t="str">
        <f ca="1">IFERROR(__xludf.DUMMYFUNCTION("""COMPUTED_VALUE"""),"Da Nang Mikazuki Japanese Resorts and Spa")</f>
        <v>Da Nang Mikazuki Japanese Resorts and Spa</v>
      </c>
      <c r="Z144" s="1" t="str">
        <f ca="1">IFERROR(__xludf.DUMMYFUNCTION("""COMPUTED_VALUE"""),"Nhà hàng")</f>
        <v>Nhà hàng</v>
      </c>
      <c r="AA144" s="1" t="str">
        <f ca="1">IFERROR(__xludf.DUMMYFUNCTION("""COMPUTED_VALUE"""),"DUYỆT")</f>
        <v>DUYỆT</v>
      </c>
      <c r="AB144" s="1" t="str">
        <f ca="1">IFERROR(__xludf.DUMMYFUNCTION("""COMPUTED_VALUE"""),"15/01/2026")</f>
        <v>15/01/2026</v>
      </c>
      <c r="AC144" s="1" t="str">
        <f ca="1">IFERROR(__xludf.DUMMYFUNCTION("""COMPUTED_VALUE"""),"BÁO CÁO THỰC TẬP TỐT NGHIỆP")</f>
        <v>BÁO CÁO THỰC TẬP TỐT NGHIỆP</v>
      </c>
      <c r="AD144" s="1" t="str">
        <f ca="1">IFERROR(__xludf.DUMMYFUNCTION("""COMPUTED_VALUE"""),"Nguyễn Thị Minh Thư")</f>
        <v>Nguyễn Thị Minh Thư</v>
      </c>
      <c r="AE144" s="1" t="str">
        <f ca="1">IFERROR(__xludf.DUMMYFUNCTION("""COMPUTED_VALUE"""),"Thạc sĩ")</f>
        <v>Thạc sĩ</v>
      </c>
      <c r="AF144" s="1" t="str">
        <f ca="1">IFERROR(__xludf.DUMMYFUNCTION("""COMPUTED_VALUE"""),"0396.153.687")</f>
        <v>0396.153.687</v>
      </c>
      <c r="AG144" s="1" t="str">
        <f ca="1">IFERROR(__xludf.DUMMYFUNCTION("""COMPUTED_VALUE"""),"nguyentminhthu@dtu-hti.edu.vn")</f>
        <v>nguyentminhthu@dtu-hti.edu.vn</v>
      </c>
      <c r="AH144" s="1" t="str">
        <f ca="1">IFERROR(__xludf.DUMMYFUNCTION("""COMPUTED_VALUE"""),"Báo cáo kết quả thực tập và thực trạng quy trình phục vụ A La Carte tại nhà hàng Sushi Tamahime thuộc Da Nang Mikazuki Japanese Resorts &amp; Spa ")</f>
        <v xml:space="preserve">Báo cáo kết quả thực tập và thực trạng quy trình phục vụ A La Carte tại nhà hàng Sushi Tamahime thuộc Da Nang Mikazuki Japanese Resorts &amp; Spa </v>
      </c>
      <c r="AI144" s="1"/>
    </row>
    <row r="145" spans="1:35" x14ac:dyDescent="0.2">
      <c r="A145" s="3">
        <f ca="1">IFERROR(__xludf.DUMMYFUNCTION("""COMPUTED_VALUE"""),46000.8129894328)</f>
        <v>46000.812989432801</v>
      </c>
      <c r="B145" s="1" t="str">
        <f ca="1">IFERROR(__xludf.DUMMYFUNCTION("""COMPUTED_VALUE"""),"hieule.03022003@gmail.com")</f>
        <v>hieule.03022003@gmail.com</v>
      </c>
      <c r="C145" s="1">
        <f ca="1">IFERROR(__xludf.DUMMYFUNCTION("""COMPUTED_VALUE"""),28218003924)</f>
        <v>28218003924</v>
      </c>
      <c r="D145" s="1" t="str">
        <f ca="1">IFERROR(__xludf.DUMMYFUNCTION("""COMPUTED_VALUE"""),"Lê Nguyễn Nhật Hiếu")</f>
        <v>Lê Nguyễn Nhật Hiếu</v>
      </c>
      <c r="E145" s="1"/>
      <c r="F145" s="1" t="str">
        <f ca="1">IFERROR(__xludf.DUMMYFUNCTION("""COMPUTED_VALUE"""),"K28DLK7")</f>
        <v>K28DLK7</v>
      </c>
      <c r="G145" s="1" t="str">
        <f ca="1">IFERROR(__xludf.DUMMYFUNCTION("""COMPUTED_VALUE"""),"Quản trị Du lịch &amp; Khách sạn")</f>
        <v>Quản trị Du lịch &amp; Khách sạn</v>
      </c>
      <c r="H145" s="1" t="str">
        <f ca="1">IFERROR(__xludf.DUMMYFUNCTION("""COMPUTED_VALUE"""),"K28")</f>
        <v>K28</v>
      </c>
      <c r="I145" s="1" t="str">
        <f ca="1">IFERROR(__xludf.DUMMYFUNCTION("""COMPUTED_VALUE"""),"0934869580")</f>
        <v>0934869580</v>
      </c>
      <c r="J145" s="1">
        <f ca="1">IFERROR(__xludf.DUMMYFUNCTION("""COMPUTED_VALUE"""),3.3)</f>
        <v>3.3</v>
      </c>
      <c r="K145" s="1">
        <f ca="1">IFERROR(__xludf.DUMMYFUNCTION("""COMPUTED_VALUE"""),122)</f>
        <v>122</v>
      </c>
      <c r="L145" s="1" t="str">
        <f ca="1">IFERROR(__xludf.DUMMYFUNCTION("""COMPUTED_VALUE"""),"Rồi")</f>
        <v>Rồi</v>
      </c>
      <c r="M145" s="1" t="str">
        <f ca="1">IFERROR(__xludf.DUMMYFUNCTION("""COMPUTED_VALUE"""),"Thực tập tốt nghiệp")</f>
        <v>Thực tập tốt nghiệp</v>
      </c>
      <c r="N145" s="1">
        <f ca="1">IFERROR(__xludf.DUMMYFUNCTION("""COMPUTED_VALUE"""),1)</f>
        <v>1</v>
      </c>
      <c r="O145" s="1" t="str">
        <f ca="1">IFERROR(__xludf.DUMMYFUNCTION("""COMPUTED_VALUE"""),"cam kết")</f>
        <v>cam kết</v>
      </c>
      <c r="P145" s="1"/>
      <c r="Q145" s="1"/>
      <c r="R145" s="1" t="str">
        <f ca="1">IFERROR(__xludf.DUMMYFUNCTION("""COMPUTED_VALUE"""),"18/12/2025")</f>
        <v>18/12/2025</v>
      </c>
      <c r="S145" s="1" t="str">
        <f ca="1">IFERROR(__xludf.DUMMYFUNCTION("""COMPUTED_VALUE"""),"thực tập TN, Thi TN")</f>
        <v>thực tập TN, Thi TN</v>
      </c>
      <c r="T145" s="1" t="str">
        <f ca="1">IFERROR(__xludf.DUMMYFUNCTION("""COMPUTED_VALUE"""),"Đã email cấp giấy giới thiệu ngày 18/12/2025")</f>
        <v>Đã email cấp giấy giới thiệu ngày 18/12/2025</v>
      </c>
      <c r="U145" s="1"/>
      <c r="V145" s="1"/>
      <c r="W145" s="1" t="str">
        <f ca="1">IFERROR(__xludf.DUMMYFUNCTION("""COMPUTED_VALUE"""),"K28DLK7")</f>
        <v>K28DLK7</v>
      </c>
      <c r="X145" s="1"/>
      <c r="Y145" s="1" t="str">
        <f ca="1">IFERROR(__xludf.DUMMYFUNCTION("""COMPUTED_VALUE"""),"Wyndham Danang Golden Bay Hotel")</f>
        <v>Wyndham Danang Golden Bay Hotel</v>
      </c>
      <c r="Z145" s="1" t="str">
        <f ca="1">IFERROR(__xludf.DUMMYFUNCTION("""COMPUTED_VALUE"""),"Tiền sảnh")</f>
        <v>Tiền sảnh</v>
      </c>
      <c r="AA145" s="1" t="str">
        <f ca="1">IFERROR(__xludf.DUMMYFUNCTION("""COMPUTED_VALUE"""),"DUYỆT")</f>
        <v>DUYỆT</v>
      </c>
      <c r="AB145" s="1" t="str">
        <f ca="1">IFERROR(__xludf.DUMMYFUNCTION("""COMPUTED_VALUE"""),"23/12/2025")</f>
        <v>23/12/2025</v>
      </c>
      <c r="AC145" s="1" t="str">
        <f ca="1">IFERROR(__xludf.DUMMYFUNCTION("""COMPUTED_VALUE"""),"BÁO CÁO THỰC TẬP TỐT NGHIỆP")</f>
        <v>BÁO CÁO THỰC TẬP TỐT NGHIỆP</v>
      </c>
      <c r="AD145" s="1" t="str">
        <f ca="1">IFERROR(__xludf.DUMMYFUNCTION("""COMPUTED_VALUE"""),"Mai Thị Thương")</f>
        <v>Mai Thị Thương</v>
      </c>
      <c r="AE145" s="1" t="str">
        <f ca="1">IFERROR(__xludf.DUMMYFUNCTION("""COMPUTED_VALUE"""),"Thạc sĩ")</f>
        <v>Thạc sĩ</v>
      </c>
      <c r="AF145" s="1" t="str">
        <f ca="1">IFERROR(__xludf.DUMMYFUNCTION("""COMPUTED_VALUE"""),"0905767050")</f>
        <v>0905767050</v>
      </c>
      <c r="AG145" s="1" t="str">
        <f ca="1">IFERROR(__xludf.DUMMYFUNCTION("""COMPUTED_VALUE"""),"maithithuong@dtu-hti.edu.vn")</f>
        <v>maithithuong@dtu-hti.edu.vn</v>
      </c>
      <c r="AH145" s="1" t="str">
        <f ca="1">IFERROR(__xludf.DUMMYFUNCTION("""COMPUTED_VALUE"""),"Báo cáo kết quả thực tập và thực trạng về các yếu tố ảnh hưởng đến chất lượng phục vụ tại bộ phận tiền sảnh thuộc Wyndham Danang Golden Bay Hotel")</f>
        <v>Báo cáo kết quả thực tập và thực trạng về các yếu tố ảnh hưởng đến chất lượng phục vụ tại bộ phận tiền sảnh thuộc Wyndham Danang Golden Bay Hotel</v>
      </c>
      <c r="AI145" s="1"/>
    </row>
    <row r="146" spans="1:35" x14ac:dyDescent="0.2">
      <c r="A146" s="3">
        <f ca="1">IFERROR(__xludf.DUMMYFUNCTION("""COMPUTED_VALUE"""),46000.8143116782)</f>
        <v>46000.814311678201</v>
      </c>
      <c r="B146" s="1" t="str">
        <f ca="1">IFERROR(__xludf.DUMMYFUNCTION("""COMPUTED_VALUE"""),"hoangvothiphuong@gmail.com")</f>
        <v>hoangvothiphuong@gmail.com</v>
      </c>
      <c r="C146" s="1">
        <f ca="1">IFERROR(__xludf.DUMMYFUNCTION("""COMPUTED_VALUE"""),28208036351)</f>
        <v>28208036351</v>
      </c>
      <c r="D146" s="1" t="str">
        <f ca="1">IFERROR(__xludf.DUMMYFUNCTION("""COMPUTED_VALUE"""),"Võ Thị Phượng Hoàng ")</f>
        <v xml:space="preserve">Võ Thị Phượng Hoàng </v>
      </c>
      <c r="E146" s="1"/>
      <c r="F146" s="1" t="str">
        <f ca="1">IFERROR(__xludf.DUMMYFUNCTION("""COMPUTED_VALUE"""),"K28DLK7")</f>
        <v>K28DLK7</v>
      </c>
      <c r="G146" s="1" t="str">
        <f ca="1">IFERROR(__xludf.DUMMYFUNCTION("""COMPUTED_VALUE"""),"Quản trị Du lịch &amp; Khách sạn")</f>
        <v>Quản trị Du lịch &amp; Khách sạn</v>
      </c>
      <c r="H146" s="1" t="str">
        <f ca="1">IFERROR(__xludf.DUMMYFUNCTION("""COMPUTED_VALUE"""),"K28")</f>
        <v>K28</v>
      </c>
      <c r="I146" s="1" t="str">
        <f ca="1">IFERROR(__xludf.DUMMYFUNCTION("""COMPUTED_VALUE"""),"0918859234")</f>
        <v>0918859234</v>
      </c>
      <c r="J146" s="1">
        <f ca="1">IFERROR(__xludf.DUMMYFUNCTION("""COMPUTED_VALUE"""),2.79)</f>
        <v>2.79</v>
      </c>
      <c r="K146" s="1">
        <f ca="1">IFERROR(__xludf.DUMMYFUNCTION("""COMPUTED_VALUE"""),122)</f>
        <v>122</v>
      </c>
      <c r="L146" s="1" t="str">
        <f ca="1">IFERROR(__xludf.DUMMYFUNCTION("""COMPUTED_VALUE"""),"Rồi")</f>
        <v>Rồi</v>
      </c>
      <c r="M146" s="1" t="str">
        <f ca="1">IFERROR(__xludf.DUMMYFUNCTION("""COMPUTED_VALUE"""),"Thực tập tốt nghiệp")</f>
        <v>Thực tập tốt nghiệp</v>
      </c>
      <c r="N146" s="1">
        <f ca="1">IFERROR(__xludf.DUMMYFUNCTION("""COMPUTED_VALUE"""),1)</f>
        <v>1</v>
      </c>
      <c r="O146" s="1" t="str">
        <f ca="1">IFERROR(__xludf.DUMMYFUNCTION("""COMPUTED_VALUE"""),"cam kết")</f>
        <v>cam kết</v>
      </c>
      <c r="P146" s="1"/>
      <c r="Q146" s="1"/>
      <c r="R146" s="1" t="str">
        <f ca="1">IFERROR(__xludf.DUMMYFUNCTION("""COMPUTED_VALUE"""),"18/12/2025")</f>
        <v>18/12/2025</v>
      </c>
      <c r="S146" s="1" t="str">
        <f ca="1">IFERROR(__xludf.DUMMYFUNCTION("""COMPUTED_VALUE"""),"thực tập TN, Thi TN")</f>
        <v>thực tập TN, Thi TN</v>
      </c>
      <c r="T146" s="1" t="str">
        <f ca="1">IFERROR(__xludf.DUMMYFUNCTION("""COMPUTED_VALUE"""),"Đã email cấp giấy giới thiệu ngày 18/12/2025")</f>
        <v>Đã email cấp giấy giới thiệu ngày 18/12/2025</v>
      </c>
      <c r="U146" s="1"/>
      <c r="V146" s="1"/>
      <c r="W146" s="1" t="str">
        <f ca="1">IFERROR(__xludf.DUMMYFUNCTION("""COMPUTED_VALUE"""),"K28DLK7")</f>
        <v>K28DLK7</v>
      </c>
      <c r="X146" s="1"/>
      <c r="Y146" s="1" t="str">
        <f ca="1">IFERROR(__xludf.DUMMYFUNCTION("""COMPUTED_VALUE"""),"Wyndham Danang Golden Bay Hotel")</f>
        <v>Wyndham Danang Golden Bay Hotel</v>
      </c>
      <c r="Z146" s="1" t="str">
        <f ca="1">IFERROR(__xludf.DUMMYFUNCTION("""COMPUTED_VALUE"""),"Nhà hàng")</f>
        <v>Nhà hàng</v>
      </c>
      <c r="AA146" s="1" t="str">
        <f ca="1">IFERROR(__xludf.DUMMYFUNCTION("""COMPUTED_VALUE"""),"DUYỆT")</f>
        <v>DUYỆT</v>
      </c>
      <c r="AB146" s="1" t="str">
        <f ca="1">IFERROR(__xludf.DUMMYFUNCTION("""COMPUTED_VALUE"""),"23/12/2025")</f>
        <v>23/12/2025</v>
      </c>
      <c r="AC146" s="1" t="str">
        <f ca="1">IFERROR(__xludf.DUMMYFUNCTION("""COMPUTED_VALUE"""),"BÁO CÁO THỰC TẬP TỐT NGHIỆP")</f>
        <v>BÁO CÁO THỰC TẬP TỐT NGHIỆP</v>
      </c>
      <c r="AD146" s="1" t="str">
        <f ca="1">IFERROR(__xludf.DUMMYFUNCTION("""COMPUTED_VALUE"""),"Trần Hoàng Anh")</f>
        <v>Trần Hoàng Anh</v>
      </c>
      <c r="AE146" s="1" t="str">
        <f ca="1">IFERROR(__xludf.DUMMYFUNCTION("""COMPUTED_VALUE"""),"Thạc sĩ")</f>
        <v>Thạc sĩ</v>
      </c>
      <c r="AF146" s="1" t="str">
        <f ca="1">IFERROR(__xludf.DUMMYFUNCTION("""COMPUTED_VALUE"""),"0906 029 602")</f>
        <v>0906 029 602</v>
      </c>
      <c r="AG146" s="1" t="str">
        <f ca="1">IFERROR(__xludf.DUMMYFUNCTION("""COMPUTED_VALUE"""),"tranhoanganh@dtu-hti.edu.vn")</f>
        <v>tranhoanganh@dtu-hti.edu.vn</v>
      </c>
      <c r="AH146" s="1" t="str">
        <f ca="1">IFERROR(__xludf.DUMMYFUNCTION("""COMPUTED_VALUE"""),"Báo cáo kết quả thực tập và thực trạng quy trình phục vụ A La Carte tại nhà hàng F29 Golden beef and sky bar tại Wyndham Danang Golden Bay Hotel")</f>
        <v>Báo cáo kết quả thực tập và thực trạng quy trình phục vụ A La Carte tại nhà hàng F29 Golden beef and sky bar tại Wyndham Danang Golden Bay Hotel</v>
      </c>
      <c r="AI146" s="1"/>
    </row>
    <row r="147" spans="1:35" x14ac:dyDescent="0.2">
      <c r="A147" s="3">
        <f ca="1">IFERROR(__xludf.DUMMYFUNCTION("""COMPUTED_VALUE"""),46000.9094486226)</f>
        <v>46000.909448622602</v>
      </c>
      <c r="B147" s="1" t="str">
        <f ca="1">IFERROR(__xludf.DUMMYFUNCTION("""COMPUTED_VALUE"""),"myle240204@gmail.com")</f>
        <v>myle240204@gmail.com</v>
      </c>
      <c r="C147" s="1">
        <f ca="1">IFERROR(__xludf.DUMMYFUNCTION("""COMPUTED_VALUE"""),28208000844)</f>
        <v>28208000844</v>
      </c>
      <c r="D147" s="1" t="str">
        <f ca="1">IFERROR(__xludf.DUMMYFUNCTION("""COMPUTED_VALUE"""),"Võ Thị Mỹ Lệ")</f>
        <v>Võ Thị Mỹ Lệ</v>
      </c>
      <c r="E147" s="1"/>
      <c r="F147" s="1" t="str">
        <f ca="1">IFERROR(__xludf.DUMMYFUNCTION("""COMPUTED_VALUE"""),"K28DLK3")</f>
        <v>K28DLK3</v>
      </c>
      <c r="G147" s="1" t="str">
        <f ca="1">IFERROR(__xludf.DUMMYFUNCTION("""COMPUTED_VALUE"""),"Quản trị Du lịch &amp; Khách sạn")</f>
        <v>Quản trị Du lịch &amp; Khách sạn</v>
      </c>
      <c r="H147" s="1" t="str">
        <f ca="1">IFERROR(__xludf.DUMMYFUNCTION("""COMPUTED_VALUE"""),"K28")</f>
        <v>K28</v>
      </c>
      <c r="I147" s="1" t="str">
        <f ca="1">IFERROR(__xludf.DUMMYFUNCTION("""COMPUTED_VALUE"""),"0358500438")</f>
        <v>0358500438</v>
      </c>
      <c r="J147" s="1">
        <f ca="1">IFERROR(__xludf.DUMMYFUNCTION("""COMPUTED_VALUE"""),3.54)</f>
        <v>3.54</v>
      </c>
      <c r="K147" s="1">
        <f ca="1">IFERROR(__xludf.DUMMYFUNCTION("""COMPUTED_VALUE"""),114)</f>
        <v>114</v>
      </c>
      <c r="L147" s="1" t="str">
        <f ca="1">IFERROR(__xludf.DUMMYFUNCTION("""COMPUTED_VALUE"""),"Rồi")</f>
        <v>Rồi</v>
      </c>
      <c r="M147" s="1" t="str">
        <f ca="1">IFERROR(__xludf.DUMMYFUNCTION("""COMPUTED_VALUE"""),"Thực tập tốt nghiệp, Thi tốt nghiệp, Công nhận tốt nghiệp")</f>
        <v>Thực tập tốt nghiệp, Thi tốt nghiệp, Công nhận tốt nghiệp</v>
      </c>
      <c r="N147" s="1">
        <f ca="1">IFERROR(__xludf.DUMMYFUNCTION("""COMPUTED_VALUE"""),9)</f>
        <v>9</v>
      </c>
      <c r="O147" s="1" t="str">
        <f ca="1">IFERROR(__xludf.DUMMYFUNCTION("""COMPUTED_VALUE"""),"cam kết")</f>
        <v>cam kết</v>
      </c>
      <c r="P147" s="1"/>
      <c r="Q147" s="1"/>
      <c r="R147" s="1" t="str">
        <f ca="1">IFERROR(__xludf.DUMMYFUNCTION("""COMPUTED_VALUE"""),"18/12/2025")</f>
        <v>18/12/2025</v>
      </c>
      <c r="S147" s="1" t="str">
        <f ca="1">IFERROR(__xludf.DUMMYFUNCTION("""COMPUTED_VALUE"""),"thực tập TN, Thi TN")</f>
        <v>thực tập TN, Thi TN</v>
      </c>
      <c r="T147" s="1" t="str">
        <f ca="1">IFERROR(__xludf.DUMMYFUNCTION("""COMPUTED_VALUE"""),"Đã email cấp giấy giới thiệu ngày 18/12/2025")</f>
        <v>Đã email cấp giấy giới thiệu ngày 18/12/2025</v>
      </c>
      <c r="U147" s="1" t="str">
        <f ca="1">IFERROR(__xludf.DUMMYFUNCTION("""COMPUTED_VALUE"""),"Sv đã nộp đơn chuyển KL - CĐ")</f>
        <v>Sv đã nộp đơn chuyển KL - CĐ</v>
      </c>
      <c r="V147" s="1"/>
      <c r="W147" s="1" t="str">
        <f ca="1">IFERROR(__xludf.DUMMYFUNCTION("""COMPUTED_VALUE"""),"K28DLK3")</f>
        <v>K28DLK3</v>
      </c>
      <c r="X147" s="1"/>
      <c r="Y147" s="1" t="str">
        <f ca="1">IFERROR(__xludf.DUMMYFUNCTION("""COMPUTED_VALUE"""),"Renaissance Danang Hoi An Resort &amp; Spa")</f>
        <v>Renaissance Danang Hoi An Resort &amp; Spa</v>
      </c>
      <c r="Z147" s="1" t="str">
        <f ca="1">IFERROR(__xludf.DUMMYFUNCTION("""COMPUTED_VALUE"""),"Buồng phòng")</f>
        <v>Buồng phòng</v>
      </c>
      <c r="AA147" s="1" t="str">
        <f ca="1">IFERROR(__xludf.DUMMYFUNCTION("""COMPUTED_VALUE"""),"DUYỆT")</f>
        <v>DUYỆT</v>
      </c>
      <c r="AB147" s="1" t="str">
        <f ca="1">IFERROR(__xludf.DUMMYFUNCTION("""COMPUTED_VALUE"""),"14/01/2026")</f>
        <v>14/01/2026</v>
      </c>
      <c r="AC147" s="1" t="str">
        <f ca="1">IFERROR(__xludf.DUMMYFUNCTION("""COMPUTED_VALUE"""),"BÁO CÁO THỰC TẬP TỐT NGHIỆP")</f>
        <v>BÁO CÁO THỰC TẬP TỐT NGHIỆP</v>
      </c>
      <c r="AD147" s="1" t="str">
        <f ca="1">IFERROR(__xludf.DUMMYFUNCTION("""COMPUTED_VALUE"""),"Hồ Minh Phúc")</f>
        <v>Hồ Minh Phúc</v>
      </c>
      <c r="AE147" s="1" t="str">
        <f ca="1">IFERROR(__xludf.DUMMYFUNCTION("""COMPUTED_VALUE"""),"Thạc sĩ")</f>
        <v>Thạc sĩ</v>
      </c>
      <c r="AF147" s="1" t="str">
        <f ca="1">IFERROR(__xludf.DUMMYFUNCTION("""COMPUTED_VALUE"""),"0935336716")</f>
        <v>0935336716</v>
      </c>
      <c r="AG147" s="1" t="str">
        <f ca="1">IFERROR(__xludf.DUMMYFUNCTION("""COMPUTED_VALUE"""),"hominhphuc@dtu-hti.edu.vn")</f>
        <v>hominhphuc@dtu-hti.edu.vn</v>
      </c>
      <c r="AH147" s="1" t="str">
        <f ca="1">IFERROR(__xludf.DUMMYFUNCTION("""COMPUTED_VALUE"""),"Báo cáo kết quả thực tập và thực trạng quy trình vệ sinh buồng khách tại bộ phận Buồng phòng của Renaissance Da Nang Hoi An Resort &amp; Spa")</f>
        <v>Báo cáo kết quả thực tập và thực trạng quy trình vệ sinh buồng khách tại bộ phận Buồng phòng của Renaissance Da Nang Hoi An Resort &amp; Spa</v>
      </c>
      <c r="AI147" s="1"/>
    </row>
    <row r="148" spans="1:35" x14ac:dyDescent="0.2">
      <c r="A148" s="3">
        <f ca="1">IFERROR(__xludf.DUMMYFUNCTION("""COMPUTED_VALUE"""),46000.9320297569)</f>
        <v>46000.932029756899</v>
      </c>
      <c r="B148" s="1" t="str">
        <f ca="1">IFERROR(__xludf.DUMMYFUNCTION("""COMPUTED_VALUE"""),"hothithanhtientd@gmail.com")</f>
        <v>hothithanhtientd@gmail.com</v>
      </c>
      <c r="C148" s="1">
        <f ca="1">IFERROR(__xludf.DUMMYFUNCTION("""COMPUTED_VALUE"""),28208052913)</f>
        <v>28208052913</v>
      </c>
      <c r="D148" s="1" t="str">
        <f ca="1">IFERROR(__xludf.DUMMYFUNCTION("""COMPUTED_VALUE"""),"Hồ Thị Thanh Tiền")</f>
        <v>Hồ Thị Thanh Tiền</v>
      </c>
      <c r="E148" s="1"/>
      <c r="F148" s="1" t="str">
        <f ca="1">IFERROR(__xludf.DUMMYFUNCTION("""COMPUTED_VALUE"""),"K28DLK2")</f>
        <v>K28DLK2</v>
      </c>
      <c r="G148" s="1" t="str">
        <f ca="1">IFERROR(__xludf.DUMMYFUNCTION("""COMPUTED_VALUE"""),"Quản trị Du lịch &amp; Khách sạn")</f>
        <v>Quản trị Du lịch &amp; Khách sạn</v>
      </c>
      <c r="H148" s="1" t="str">
        <f ca="1">IFERROR(__xludf.DUMMYFUNCTION("""COMPUTED_VALUE"""),"K28")</f>
        <v>K28</v>
      </c>
      <c r="I148" s="1" t="str">
        <f ca="1">IFERROR(__xludf.DUMMYFUNCTION("""COMPUTED_VALUE"""),"0394279857")</f>
        <v>0394279857</v>
      </c>
      <c r="J148" s="1" t="str">
        <f ca="1">IFERROR(__xludf.DUMMYFUNCTION("""COMPUTED_VALUE"""),"3,77")</f>
        <v>3,77</v>
      </c>
      <c r="K148" s="1">
        <f ca="1">IFERROR(__xludf.DUMMYFUNCTION("""COMPUTED_VALUE"""),120)</f>
        <v>120</v>
      </c>
      <c r="L148" s="1" t="str">
        <f ca="1">IFERROR(__xludf.DUMMYFUNCTION("""COMPUTED_VALUE"""),"Rồi")</f>
        <v>Rồi</v>
      </c>
      <c r="M148" s="1" t="str">
        <f ca="1">IFERROR(__xludf.DUMMYFUNCTION("""COMPUTED_VALUE"""),"Thực tập tốt nghiệp, Thi tốt nghiệp, Công nhận tốt nghiệp")</f>
        <v>Thực tập tốt nghiệp, Thi tốt nghiệp, Công nhận tốt nghiệp</v>
      </c>
      <c r="N148" s="1">
        <f ca="1">IFERROR(__xludf.DUMMYFUNCTION("""COMPUTED_VALUE"""),3)</f>
        <v>3</v>
      </c>
      <c r="O148" s="1" t="str">
        <f ca="1">IFERROR(__xludf.DUMMYFUNCTION("""COMPUTED_VALUE"""),"cam kết")</f>
        <v>cam kết</v>
      </c>
      <c r="P148" s="1"/>
      <c r="Q148" s="1"/>
      <c r="R148" s="1" t="str">
        <f ca="1">IFERROR(__xludf.DUMMYFUNCTION("""COMPUTED_VALUE"""),"18/12/2025")</f>
        <v>18/12/2025</v>
      </c>
      <c r="S148" s="1" t="str">
        <f ca="1">IFERROR(__xludf.DUMMYFUNCTION("""COMPUTED_VALUE"""),"thực tập TN, Thi TN")</f>
        <v>thực tập TN, Thi TN</v>
      </c>
      <c r="T148" s="1" t="str">
        <f ca="1">IFERROR(__xludf.DUMMYFUNCTION("""COMPUTED_VALUE"""),"Đã email cấp giấy giới thiệu ngày 18/12/2025")</f>
        <v>Đã email cấp giấy giới thiệu ngày 18/12/2025</v>
      </c>
      <c r="U148" s="1"/>
      <c r="V148" s="1"/>
      <c r="W148" s="1" t="str">
        <f ca="1">IFERROR(__xludf.DUMMYFUNCTION("""COMPUTED_VALUE"""),"K28DLK2")</f>
        <v>K28DLK2</v>
      </c>
      <c r="X148" s="1"/>
      <c r="Y148" s="1" t="str">
        <f ca="1">IFERROR(__xludf.DUMMYFUNCTION("""COMPUTED_VALUE"""),"Renaissance Danang Hoi An Resort &amp; Spa")</f>
        <v>Renaissance Danang Hoi An Resort &amp; Spa</v>
      </c>
      <c r="Z148" s="1" t="str">
        <f ca="1">IFERROR(__xludf.DUMMYFUNCTION("""COMPUTED_VALUE"""),"Nhà hàng")</f>
        <v>Nhà hàng</v>
      </c>
      <c r="AA148" s="1" t="str">
        <f ca="1">IFERROR(__xludf.DUMMYFUNCTION("""COMPUTED_VALUE"""),"DUYỆT")</f>
        <v>DUYỆT</v>
      </c>
      <c r="AB148" s="1" t="str">
        <f ca="1">IFERROR(__xludf.DUMMYFUNCTION("""COMPUTED_VALUE"""),"23/01/2026")</f>
        <v>23/01/2026</v>
      </c>
      <c r="AC148" s="1" t="str">
        <f ca="1">IFERROR(__xludf.DUMMYFUNCTION("""COMPUTED_VALUE"""),"BÁO CÁO THỰC TẬP TỐT NGHIỆP")</f>
        <v>BÁO CÁO THỰC TẬP TỐT NGHIỆP</v>
      </c>
      <c r="AD148" s="1" t="str">
        <f ca="1">IFERROR(__xludf.DUMMYFUNCTION("""COMPUTED_VALUE"""),"Đặng Thị Thùy Trang")</f>
        <v>Đặng Thị Thùy Trang</v>
      </c>
      <c r="AE148" s="1" t="str">
        <f ca="1">IFERROR(__xludf.DUMMYFUNCTION("""COMPUTED_VALUE"""),"Thạc sĩ")</f>
        <v>Thạc sĩ</v>
      </c>
      <c r="AF148" s="1" t="str">
        <f ca="1">IFERROR(__xludf.DUMMYFUNCTION("""COMPUTED_VALUE"""),"0327892117")</f>
        <v>0327892117</v>
      </c>
      <c r="AG148" s="1" t="str">
        <f ca="1">IFERROR(__xludf.DUMMYFUNCTION("""COMPUTED_VALUE"""),"dangtthuytrang3@dtu-hti.edu.vn")</f>
        <v>dangtthuytrang3@dtu-hti.edu.vn</v>
      </c>
      <c r="AH148" s="1" t="str">
        <f ca="1">IFERROR(__xludf.DUMMYFUNCTION("""COMPUTED_VALUE"""),"Báo cáo kết quả thực tập và thực trạng về các yếu tố ảnh hưởng đến chất lượng phục vụ buffet sáng tại nhà hàng Food Studio thuộc Renaissance Danang Hoi An Resort &amp; Spa")</f>
        <v>Báo cáo kết quả thực tập và thực trạng về các yếu tố ảnh hưởng đến chất lượng phục vụ buffet sáng tại nhà hàng Food Studio thuộc Renaissance Danang Hoi An Resort &amp; Spa</v>
      </c>
      <c r="AI148" s="1"/>
    </row>
    <row r="149" spans="1:35" x14ac:dyDescent="0.2">
      <c r="A149" s="3">
        <f ca="1">IFERROR(__xludf.DUMMYFUNCTION("""COMPUTED_VALUE"""),46000.9530795138)</f>
        <v>46000.953079513798</v>
      </c>
      <c r="B149" s="1" t="str">
        <f ca="1">IFERROR(__xludf.DUMMYFUNCTION("""COMPUTED_VALUE"""),"lehuynhkimhue123@gmail.com")</f>
        <v>lehuynhkimhue123@gmail.com</v>
      </c>
      <c r="C149" s="1">
        <f ca="1">IFERROR(__xludf.DUMMYFUNCTION("""COMPUTED_VALUE"""),28208054653)</f>
        <v>28208054653</v>
      </c>
      <c r="D149" s="1" t="str">
        <f ca="1">IFERROR(__xludf.DUMMYFUNCTION("""COMPUTED_VALUE"""),"Lê Huỳnh Kim Huệ")</f>
        <v>Lê Huỳnh Kim Huệ</v>
      </c>
      <c r="E149" s="1"/>
      <c r="F149" s="1" t="str">
        <f ca="1">IFERROR(__xludf.DUMMYFUNCTION("""COMPUTED_VALUE"""),"K28 DLK2")</f>
        <v>K28 DLK2</v>
      </c>
      <c r="G149" s="1" t="str">
        <f ca="1">IFERROR(__xludf.DUMMYFUNCTION("""COMPUTED_VALUE"""),"Quản trị Du lịch &amp; Khách sạn")</f>
        <v>Quản trị Du lịch &amp; Khách sạn</v>
      </c>
      <c r="H149" s="1" t="str">
        <f ca="1">IFERROR(__xludf.DUMMYFUNCTION("""COMPUTED_VALUE"""),"K28")</f>
        <v>K28</v>
      </c>
      <c r="I149" s="1" t="str">
        <f ca="1">IFERROR(__xludf.DUMMYFUNCTION("""COMPUTED_VALUE"""),"0905716402")</f>
        <v>0905716402</v>
      </c>
      <c r="J149" s="1">
        <f ca="1">IFERROR(__xludf.DUMMYFUNCTION("""COMPUTED_VALUE"""),3.48)</f>
        <v>3.48</v>
      </c>
      <c r="K149" s="1">
        <f ca="1">IFERROR(__xludf.DUMMYFUNCTION("""COMPUTED_VALUE"""),120)</f>
        <v>120</v>
      </c>
      <c r="L149" s="1" t="str">
        <f ca="1">IFERROR(__xludf.DUMMYFUNCTION("""COMPUTED_VALUE"""),"Rồi")</f>
        <v>Rồi</v>
      </c>
      <c r="M149" s="1" t="str">
        <f ca="1">IFERROR(__xludf.DUMMYFUNCTION("""COMPUTED_VALUE"""),"Thực tập tốt nghiệp, Thi tốt nghiệp, Công nhận tốt nghiệp")</f>
        <v>Thực tập tốt nghiệp, Thi tốt nghiệp, Công nhận tốt nghiệp</v>
      </c>
      <c r="N149" s="1">
        <f ca="1">IFERROR(__xludf.DUMMYFUNCTION("""COMPUTED_VALUE"""),0)</f>
        <v>0</v>
      </c>
      <c r="O149" s="1" t="str">
        <f ca="1">IFERROR(__xludf.DUMMYFUNCTION("""COMPUTED_VALUE"""),"cam kết")</f>
        <v>cam kết</v>
      </c>
      <c r="P149" s="1"/>
      <c r="Q149" s="1"/>
      <c r="R149" s="1" t="str">
        <f ca="1">IFERROR(__xludf.DUMMYFUNCTION("""COMPUTED_VALUE"""),"18/12/2025")</f>
        <v>18/12/2025</v>
      </c>
      <c r="S149" s="1" t="str">
        <f ca="1">IFERROR(__xludf.DUMMYFUNCTION("""COMPUTED_VALUE"""),"thực tập TN, Thi TN")</f>
        <v>thực tập TN, Thi TN</v>
      </c>
      <c r="T149" s="1" t="str">
        <f ca="1">IFERROR(__xludf.DUMMYFUNCTION("""COMPUTED_VALUE"""),"Đã email cấp giấy giới thiệu ngày 18/12/2025")</f>
        <v>Đã email cấp giấy giới thiệu ngày 18/12/2025</v>
      </c>
      <c r="U149" s="1"/>
      <c r="V149" s="1"/>
      <c r="W149" s="1" t="str">
        <f ca="1">IFERROR(__xludf.DUMMYFUNCTION("""COMPUTED_VALUE"""),"K28DLK2")</f>
        <v>K28DLK2</v>
      </c>
      <c r="X149" s="1"/>
      <c r="Y149" s="1" t="str">
        <f ca="1">IFERROR(__xludf.DUMMYFUNCTION("""COMPUTED_VALUE"""),"Fusion Resort &amp; Villas Da Nang ")</f>
        <v xml:space="preserve">Fusion Resort &amp; Villas Da Nang </v>
      </c>
      <c r="Z149" s="1" t="str">
        <f ca="1">IFERROR(__xludf.DUMMYFUNCTION("""COMPUTED_VALUE"""),"Nhà hàng")</f>
        <v>Nhà hàng</v>
      </c>
      <c r="AA149" s="1" t="str">
        <f ca="1">IFERROR(__xludf.DUMMYFUNCTION("""COMPUTED_VALUE"""),"DUYỆT")</f>
        <v>DUYỆT</v>
      </c>
      <c r="AB149" s="1" t="str">
        <f ca="1">IFERROR(__xludf.DUMMYFUNCTION("""COMPUTED_VALUE"""),"22/01/2026")</f>
        <v>22/01/2026</v>
      </c>
      <c r="AC149" s="1" t="str">
        <f ca="1">IFERROR(__xludf.DUMMYFUNCTION("""COMPUTED_VALUE"""),"BÁO CÁO THỰC TẬP TỐT NGHIỆP")</f>
        <v>BÁO CÁO THỰC TẬP TỐT NGHIỆP</v>
      </c>
      <c r="AD149" s="1" t="str">
        <f ca="1">IFERROR(__xludf.DUMMYFUNCTION("""COMPUTED_VALUE"""),"Dương Thị Xuân Diệu")</f>
        <v>Dương Thị Xuân Diệu</v>
      </c>
      <c r="AE149" s="1" t="str">
        <f ca="1">IFERROR(__xludf.DUMMYFUNCTION("""COMPUTED_VALUE"""),"Thạc sĩ")</f>
        <v>Thạc sĩ</v>
      </c>
      <c r="AF149" s="1" t="str">
        <f ca="1">IFERROR(__xludf.DUMMYFUNCTION("""COMPUTED_VALUE"""),"0905938748")</f>
        <v>0905938748</v>
      </c>
      <c r="AG149" s="1" t="str">
        <f ca="1">IFERROR(__xludf.DUMMYFUNCTION("""COMPUTED_VALUE"""),"duongtxuandieu@dtu-hti.edu.vn")</f>
        <v>duongtxuandieu@dtu-hti.edu.vn</v>
      </c>
      <c r="AH149" s="1" t="str">
        <f ca="1">IFERROR(__xludf.DUMMYFUNCTION("""COMPUTED_VALUE"""),"Báo cáo kết quả thực tập và thực trạng quy trình phục vụ Buffet sáng tại Nhà hàng Fresh thuộc Fusion Resort &amp; Villas Da Nang")</f>
        <v>Báo cáo kết quả thực tập và thực trạng quy trình phục vụ Buffet sáng tại Nhà hàng Fresh thuộc Fusion Resort &amp; Villas Da Nang</v>
      </c>
      <c r="AI149" s="1"/>
    </row>
    <row r="150" spans="1:35" x14ac:dyDescent="0.2">
      <c r="A150" s="3">
        <f ca="1">IFERROR(__xludf.DUMMYFUNCTION("""COMPUTED_VALUE"""),46000.9589868634)</f>
        <v>46000.958986863399</v>
      </c>
      <c r="B150" s="1" t="str">
        <f ca="1">IFERROR(__xludf.DUMMYFUNCTION("""COMPUTED_VALUE"""),"hoangvu21321311@gmail.com")</f>
        <v>hoangvu21321311@gmail.com</v>
      </c>
      <c r="C150" s="1">
        <f ca="1">IFERROR(__xludf.DUMMYFUNCTION("""COMPUTED_VALUE"""),28214545352)</f>
        <v>28214545352</v>
      </c>
      <c r="D150" s="1" t="str">
        <f ca="1">IFERROR(__xludf.DUMMYFUNCTION("""COMPUTED_VALUE"""),"Hoàng Ngọc Vũ")</f>
        <v>Hoàng Ngọc Vũ</v>
      </c>
      <c r="E150" s="1"/>
      <c r="F150" s="1" t="str">
        <f ca="1">IFERROR(__xludf.DUMMYFUNCTION("""COMPUTED_VALUE"""),"K28-DLK2")</f>
        <v>K28-DLK2</v>
      </c>
      <c r="G150" s="1" t="str">
        <f ca="1">IFERROR(__xludf.DUMMYFUNCTION("""COMPUTED_VALUE"""),"Quản trị Du lịch &amp; Khách sạn")</f>
        <v>Quản trị Du lịch &amp; Khách sạn</v>
      </c>
      <c r="H150" s="1" t="str">
        <f ca="1">IFERROR(__xludf.DUMMYFUNCTION("""COMPUTED_VALUE"""),"K28")</f>
        <v>K28</v>
      </c>
      <c r="I150" s="1" t="str">
        <f ca="1">IFERROR(__xludf.DUMMYFUNCTION("""COMPUTED_VALUE"""),"0334950585")</f>
        <v>0334950585</v>
      </c>
      <c r="J150" s="1">
        <f ca="1">IFERROR(__xludf.DUMMYFUNCTION("""COMPUTED_VALUE"""),3.16)</f>
        <v>3.16</v>
      </c>
      <c r="K150" s="1">
        <f ca="1">IFERROR(__xludf.DUMMYFUNCTION("""COMPUTED_VALUE"""),118)</f>
        <v>118</v>
      </c>
      <c r="L150" s="1" t="str">
        <f ca="1">IFERROR(__xludf.DUMMYFUNCTION("""COMPUTED_VALUE"""),"Rồi")</f>
        <v>Rồi</v>
      </c>
      <c r="M150" s="1" t="str">
        <f ca="1">IFERROR(__xludf.DUMMYFUNCTION("""COMPUTED_VALUE"""),"Thực tập tốt nghiệp, Thi tốt nghiệp, Công nhận tốt nghiệp")</f>
        <v>Thực tập tốt nghiệp, Thi tốt nghiệp, Công nhận tốt nghiệp</v>
      </c>
      <c r="N150" s="1">
        <f ca="1">IFERROR(__xludf.DUMMYFUNCTION("""COMPUTED_VALUE"""),0)</f>
        <v>0</v>
      </c>
      <c r="O150" s="1" t="str">
        <f ca="1">IFERROR(__xludf.DUMMYFUNCTION("""COMPUTED_VALUE"""),"cam kết")</f>
        <v>cam kết</v>
      </c>
      <c r="P150" s="1"/>
      <c r="Q150" s="1"/>
      <c r="R150" s="1" t="str">
        <f ca="1">IFERROR(__xludf.DUMMYFUNCTION("""COMPUTED_VALUE"""),"18/12/2025")</f>
        <v>18/12/2025</v>
      </c>
      <c r="S150" s="1" t="str">
        <f ca="1">IFERROR(__xludf.DUMMYFUNCTION("""COMPUTED_VALUE"""),"thực tập TN, Thi TN")</f>
        <v>thực tập TN, Thi TN</v>
      </c>
      <c r="T150" s="1" t="str">
        <f ca="1">IFERROR(__xludf.DUMMYFUNCTION("""COMPUTED_VALUE"""),"Đã email cấp giấy giới thiệu ngày 18/12/2025")</f>
        <v>Đã email cấp giấy giới thiệu ngày 18/12/2025</v>
      </c>
      <c r="U150" s="1"/>
      <c r="V150" s="1"/>
      <c r="W150" s="1" t="str">
        <f ca="1">IFERROR(__xludf.DUMMYFUNCTION("""COMPUTED_VALUE"""),"K28DLK2")</f>
        <v>K28DLK2</v>
      </c>
      <c r="X150" s="1"/>
      <c r="Y150" s="1" t="str">
        <f ca="1">IFERROR(__xludf.DUMMYFUNCTION("""COMPUTED_VALUE"""),"Fusion Resort &amp; Villas Da Nang ")</f>
        <v xml:space="preserve">Fusion Resort &amp; Villas Da Nang </v>
      </c>
      <c r="Z150" s="1" t="str">
        <f ca="1">IFERROR(__xludf.DUMMYFUNCTION("""COMPUTED_VALUE"""),"Nhà hàng")</f>
        <v>Nhà hàng</v>
      </c>
      <c r="AA150" s="1" t="str">
        <f ca="1">IFERROR(__xludf.DUMMYFUNCTION("""COMPUTED_VALUE"""),"DUYỆT")</f>
        <v>DUYỆT</v>
      </c>
      <c r="AB150" s="1" t="str">
        <f ca="1">IFERROR(__xludf.DUMMYFUNCTION("""COMPUTED_VALUE"""),"22/01/2026")</f>
        <v>22/01/2026</v>
      </c>
      <c r="AC150" s="1" t="str">
        <f ca="1">IFERROR(__xludf.DUMMYFUNCTION("""COMPUTED_VALUE"""),"BÁO CÁO THỰC TẬP TỐT NGHIỆP")</f>
        <v>BÁO CÁO THỰC TẬP TỐT NGHIỆP</v>
      </c>
      <c r="AD150" s="1" t="str">
        <f ca="1">IFERROR(__xludf.DUMMYFUNCTION("""COMPUTED_VALUE"""),"Dương Thị Xuân Diệu")</f>
        <v>Dương Thị Xuân Diệu</v>
      </c>
      <c r="AE150" s="1" t="str">
        <f ca="1">IFERROR(__xludf.DUMMYFUNCTION("""COMPUTED_VALUE"""),"Thạc sĩ")</f>
        <v>Thạc sĩ</v>
      </c>
      <c r="AF150" s="1" t="str">
        <f ca="1">IFERROR(__xludf.DUMMYFUNCTION("""COMPUTED_VALUE"""),"0905938748")</f>
        <v>0905938748</v>
      </c>
      <c r="AG150" s="1" t="str">
        <f ca="1">IFERROR(__xludf.DUMMYFUNCTION("""COMPUTED_VALUE"""),"duongtxuandieu@dtu-hti.edu.vn")</f>
        <v>duongtxuandieu@dtu-hti.edu.vn</v>
      </c>
      <c r="AH150" s="1" t="str">
        <f ca="1">IFERROR(__xludf.DUMMYFUNCTION("""COMPUTED_VALUE"""),"Báo cáo kết quả thực tập và thực trạng quy trình phục vụ A La Carte tại Nhà Hàng Fresh thuộc Fusion Resort &amp; Villas Da Nang.")</f>
        <v>Báo cáo kết quả thực tập và thực trạng quy trình phục vụ A La Carte tại Nhà Hàng Fresh thuộc Fusion Resort &amp; Villas Da Nang.</v>
      </c>
      <c r="AI150" s="1"/>
    </row>
    <row r="151" spans="1:35" x14ac:dyDescent="0.2">
      <c r="A151" s="3">
        <f ca="1">IFERROR(__xludf.DUMMYFUNCTION("""COMPUTED_VALUE"""),46001.6075915856)</f>
        <v>46001.607591585598</v>
      </c>
      <c r="B151" s="1" t="str">
        <f ca="1">IFERROR(__xludf.DUMMYFUNCTION("""COMPUTED_VALUE"""),"uyencho01@gmail.com")</f>
        <v>uyencho01@gmail.com</v>
      </c>
      <c r="C151" s="1">
        <f ca="1">IFERROR(__xludf.DUMMYFUNCTION("""COMPUTED_VALUE"""),25207109975)</f>
        <v>25207109975</v>
      </c>
      <c r="D151" s="1" t="str">
        <f ca="1">IFERROR(__xludf.DUMMYFUNCTION("""COMPUTED_VALUE"""),"Trần Bá Thảo Uyên")</f>
        <v>Trần Bá Thảo Uyên</v>
      </c>
      <c r="E151" s="1"/>
      <c r="F151" s="1" t="str">
        <f ca="1">IFERROR(__xludf.DUMMYFUNCTION("""COMPUTED_VALUE"""),"K25PSUDLK8")</f>
        <v>K25PSUDLK8</v>
      </c>
      <c r="G151" s="1" t="str">
        <f ca="1">IFERROR(__xludf.DUMMYFUNCTION("""COMPUTED_VALUE"""),"Quản trị Du lịch &amp; Khách sạn chuẩn PSU")</f>
        <v>Quản trị Du lịch &amp; Khách sạn chuẩn PSU</v>
      </c>
      <c r="H151" s="1" t="str">
        <f ca="1">IFERROR(__xludf.DUMMYFUNCTION("""COMPUTED_VALUE"""),"K25")</f>
        <v>K25</v>
      </c>
      <c r="I151" s="1" t="str">
        <f ca="1">IFERROR(__xludf.DUMMYFUNCTION("""COMPUTED_VALUE"""),"0934704532")</f>
        <v>0934704532</v>
      </c>
      <c r="J151" s="1">
        <f ca="1">IFERROR(__xludf.DUMMYFUNCTION("""COMPUTED_VALUE"""),2.8)</f>
        <v>2.8</v>
      </c>
      <c r="K151" s="1">
        <f ca="1">IFERROR(__xludf.DUMMYFUNCTION("""COMPUTED_VALUE"""),118)</f>
        <v>118</v>
      </c>
      <c r="L151" s="1" t="str">
        <f ca="1">IFERROR(__xludf.DUMMYFUNCTION("""COMPUTED_VALUE"""),"Rồi")</f>
        <v>Rồi</v>
      </c>
      <c r="M151" s="1" t="str">
        <f ca="1">IFERROR(__xludf.DUMMYFUNCTION("""COMPUTED_VALUE"""),"Thực tập tốt nghiệp")</f>
        <v>Thực tập tốt nghiệp</v>
      </c>
      <c r="N151" s="1" t="str">
        <f ca="1">IFERROR(__xludf.DUMMYFUNCTION("""COMPUTED_VALUE"""),"06")</f>
        <v>06</v>
      </c>
      <c r="O151" s="1" t="str">
        <f ca="1">IFERROR(__xludf.DUMMYFUNCTION("""COMPUTED_VALUE"""),"cam kết")</f>
        <v>cam kết</v>
      </c>
      <c r="P151" s="1" t="str">
        <f ca="1">IFERROR(__xludf.DUMMYFUNCTION("""COMPUTED_VALUE"""),"CHƯA NỘP")</f>
        <v>CHƯA NỘP</v>
      </c>
      <c r="Q151" s="1">
        <f ca="1">IFERROR(__xludf.DUMMYFUNCTION("""COMPUTED_VALUE"""),12)</f>
        <v>12</v>
      </c>
      <c r="R151" s="1" t="str">
        <f ca="1">IFERROR(__xludf.DUMMYFUNCTION("""COMPUTED_VALUE"""),"18/12/2025")</f>
        <v>18/12/2025</v>
      </c>
      <c r="S151" s="1" t="str">
        <f ca="1">IFERROR(__xludf.DUMMYFUNCTION("""COMPUTED_VALUE"""),"thực tập TN, Thi TN")</f>
        <v>thực tập TN, Thi TN</v>
      </c>
      <c r="T151" s="1" t="str">
        <f ca="1">IFERROR(__xludf.DUMMYFUNCTION("""COMPUTED_VALUE"""),"Hủy đăng ký thực tập TN đợt 06/2026 do SV ko nộp đơn. 
SV có thể nộp đơn tham dự TN để đăng ký học phần Thi TN. Hạn nộp đơn: 27/02/2026")</f>
        <v>Hủy đăng ký thực tập TN đợt 06/2026 do SV ko nộp đơn. 
SV có thể nộp đơn tham dự TN để đăng ký học phần Thi TN. Hạn nộp đơn: 27/02/2026</v>
      </c>
      <c r="U151" s="1"/>
      <c r="V151" s="1"/>
      <c r="W151" s="1" t="str">
        <f ca="1">IFERROR(__xludf.DUMMYFUNCTION("""COMPUTED_VALUE"""),"K25PSU-DLK8")</f>
        <v>K25PSU-DLK8</v>
      </c>
      <c r="X151" s="1"/>
      <c r="Y151" s="1" t="str">
        <f ca="1">IFERROR(__xludf.DUMMYFUNCTION("""COMPUTED_VALUE"""),"#N/A")</f>
        <v>#N/A</v>
      </c>
      <c r="Z151" s="1" t="str">
        <f ca="1">IFERROR(__xludf.DUMMYFUNCTION("""COMPUTED_VALUE"""),"#N/A")</f>
        <v>#N/A</v>
      </c>
      <c r="AA151" s="1" t="str">
        <f ca="1">IFERROR(__xludf.DUMMYFUNCTION("""COMPUTED_VALUE"""),"#N/A")</f>
        <v>#N/A</v>
      </c>
      <c r="AB151" s="1"/>
      <c r="AC151" s="1" t="str">
        <f ca="1">IFERROR(__xludf.DUMMYFUNCTION("""COMPUTED_VALUE"""),"BÁO CÁO THỰC TẬP TỐT NGHIỆP")</f>
        <v>BÁO CÁO THỰC TẬP TỐT NGHIỆP</v>
      </c>
      <c r="AD151" s="1"/>
      <c r="AE151" s="1" t="str">
        <f ca="1">IFERROR(__xludf.DUMMYFUNCTION("""COMPUTED_VALUE"""),"#N/A")</f>
        <v>#N/A</v>
      </c>
      <c r="AF151" s="1" t="str">
        <f ca="1">IFERROR(__xludf.DUMMYFUNCTION("""COMPUTED_VALUE"""),"#N/A")</f>
        <v>#N/A</v>
      </c>
      <c r="AG151" s="1" t="str">
        <f ca="1">IFERROR(__xludf.DUMMYFUNCTION("""COMPUTED_VALUE"""),"#N/A")</f>
        <v>#N/A</v>
      </c>
      <c r="AH151" s="1" t="str">
        <f ca="1">IFERROR(__xludf.DUMMYFUNCTION("""COMPUTED_VALUE"""),"#N/A")</f>
        <v>#N/A</v>
      </c>
      <c r="AI151" s="1"/>
    </row>
    <row r="152" spans="1:35" x14ac:dyDescent="0.2">
      <c r="A152" s="3">
        <f ca="1">IFERROR(__xludf.DUMMYFUNCTION("""COMPUTED_VALUE"""),46001.4968231365)</f>
        <v>46001.496823136498</v>
      </c>
      <c r="B152" s="1" t="str">
        <f ca="1">IFERROR(__xludf.DUMMYFUNCTION("""COMPUTED_VALUE"""),"nnthihieu24@gmail.com")</f>
        <v>nnthihieu24@gmail.com</v>
      </c>
      <c r="C152" s="1">
        <f ca="1">IFERROR(__xludf.DUMMYFUNCTION("""COMPUTED_VALUE"""),28208052295)</f>
        <v>28208052295</v>
      </c>
      <c r="D152" s="1" t="str">
        <f ca="1">IFERROR(__xludf.DUMMYFUNCTION("""COMPUTED_VALUE"""),"Nguyễn Thị Ngọc Hiếu")</f>
        <v>Nguyễn Thị Ngọc Hiếu</v>
      </c>
      <c r="E152" s="1"/>
      <c r="F152" s="1" t="str">
        <f ca="1">IFERROR(__xludf.DUMMYFUNCTION("""COMPUTED_VALUE"""),"K28DLK4")</f>
        <v>K28DLK4</v>
      </c>
      <c r="G152" s="1" t="str">
        <f ca="1">IFERROR(__xludf.DUMMYFUNCTION("""COMPUTED_VALUE"""),"Quản trị Du lịch &amp; Khách sạn")</f>
        <v>Quản trị Du lịch &amp; Khách sạn</v>
      </c>
      <c r="H152" s="1" t="str">
        <f ca="1">IFERROR(__xludf.DUMMYFUNCTION("""COMPUTED_VALUE"""),"K28")</f>
        <v>K28</v>
      </c>
      <c r="I152" s="1" t="str">
        <f ca="1">IFERROR(__xludf.DUMMYFUNCTION("""COMPUTED_VALUE"""),"0967923955")</f>
        <v>0967923955</v>
      </c>
      <c r="J152" s="1">
        <f ca="1">IFERROR(__xludf.DUMMYFUNCTION("""COMPUTED_VALUE"""),3.55)</f>
        <v>3.55</v>
      </c>
      <c r="K152" s="1">
        <f ca="1">IFERROR(__xludf.DUMMYFUNCTION("""COMPUTED_VALUE"""),117)</f>
        <v>117</v>
      </c>
      <c r="L152" s="1" t="str">
        <f ca="1">IFERROR(__xludf.DUMMYFUNCTION("""COMPUTED_VALUE"""),"Rồi")</f>
        <v>Rồi</v>
      </c>
      <c r="M152" s="1" t="str">
        <f ca="1">IFERROR(__xludf.DUMMYFUNCTION("""COMPUTED_VALUE"""),"Thực tập tốt nghiệp, Thi tốt nghiệp, Công nhận tốt nghiệp")</f>
        <v>Thực tập tốt nghiệp, Thi tốt nghiệp, Công nhận tốt nghiệp</v>
      </c>
      <c r="N152" s="1">
        <f ca="1">IFERROR(__xludf.DUMMYFUNCTION("""COMPUTED_VALUE"""),7)</f>
        <v>7</v>
      </c>
      <c r="O152" s="1" t="str">
        <f ca="1">IFERROR(__xludf.DUMMYFUNCTION("""COMPUTED_VALUE"""),"cam kết")</f>
        <v>cam kết</v>
      </c>
      <c r="P152" s="1"/>
      <c r="Q152" s="1"/>
      <c r="R152" s="1" t="str">
        <f ca="1">IFERROR(__xludf.DUMMYFUNCTION("""COMPUTED_VALUE"""),"18/12/2025")</f>
        <v>18/12/2025</v>
      </c>
      <c r="S152" s="1" t="str">
        <f ca="1">IFERROR(__xludf.DUMMYFUNCTION("""COMPUTED_VALUE"""),"thực tập TN, Thi TN")</f>
        <v>thực tập TN, Thi TN</v>
      </c>
      <c r="T152" s="1" t="str">
        <f ca="1">IFERROR(__xludf.DUMMYFUNCTION("""COMPUTED_VALUE"""),"Đã email cấp giấy giới thiệu ngày 18/12/2025")</f>
        <v>Đã email cấp giấy giới thiệu ngày 18/12/2025</v>
      </c>
      <c r="U152" s="1"/>
      <c r="V152" s="1"/>
      <c r="W152" s="1" t="str">
        <f ca="1">IFERROR(__xludf.DUMMYFUNCTION("""COMPUTED_VALUE"""),"K28DLK4")</f>
        <v>K28DLK4</v>
      </c>
      <c r="X152" s="1"/>
      <c r="Y152" s="1" t="str">
        <f ca="1">IFERROR(__xludf.DUMMYFUNCTION("""COMPUTED_VALUE"""),"Novotel Danang Premier")</f>
        <v>Novotel Danang Premier</v>
      </c>
      <c r="Z152" s="1" t="str">
        <f ca="1">IFERROR(__xludf.DUMMYFUNCTION("""COMPUTED_VALUE"""),"Nhà hàng")</f>
        <v>Nhà hàng</v>
      </c>
      <c r="AA152" s="1" t="str">
        <f ca="1">IFERROR(__xludf.DUMMYFUNCTION("""COMPUTED_VALUE"""),"DUYỆT")</f>
        <v>DUYỆT</v>
      </c>
      <c r="AB152" s="1" t="str">
        <f ca="1">IFERROR(__xludf.DUMMYFUNCTION("""COMPUTED_VALUE"""),"26/12/2025")</f>
        <v>26/12/2025</v>
      </c>
      <c r="AC152" s="1" t="str">
        <f ca="1">IFERROR(__xludf.DUMMYFUNCTION("""COMPUTED_VALUE"""),"BÁO CÁO THỰC TẬP TỐT NGHIỆP")</f>
        <v>BÁO CÁO THỰC TẬP TỐT NGHIỆP</v>
      </c>
      <c r="AD152" s="1" t="str">
        <f ca="1">IFERROR(__xludf.DUMMYFUNCTION("""COMPUTED_VALUE"""),"Huỳnh Lý Thùy Linh")</f>
        <v>Huỳnh Lý Thùy Linh</v>
      </c>
      <c r="AE152" s="1" t="str">
        <f ca="1">IFERROR(__xludf.DUMMYFUNCTION("""COMPUTED_VALUE"""),"Thạc sĩ")</f>
        <v>Thạc sĩ</v>
      </c>
      <c r="AF152" s="1" t="str">
        <f ca="1">IFERROR(__xludf.DUMMYFUNCTION("""COMPUTED_VALUE"""),"0702605664")</f>
        <v>0702605664</v>
      </c>
      <c r="AG152" s="1" t="str">
        <f ca="1">IFERROR(__xludf.DUMMYFUNCTION("""COMPUTED_VALUE"""),"huynhlthuylinh@dtu-hti.edu.vn")</f>
        <v>huynhlthuylinh@dtu-hti.edu.vn</v>
      </c>
      <c r="AH152" s="1" t="str">
        <f ca="1">IFERROR(__xludf.DUMMYFUNCTION("""COMPUTED_VALUE"""),"Báo cáo kết quả thực tập và thực trạng về các yếu tố ảnh hưởng đến chất lượng phục vụ tại nhà hàng The Square thuộc Novotel Danang Premeir")</f>
        <v>Báo cáo kết quả thực tập và thực trạng về các yếu tố ảnh hưởng đến chất lượng phục vụ tại nhà hàng The Square thuộc Novotel Danang Premeir</v>
      </c>
      <c r="AI152" s="1"/>
    </row>
    <row r="153" spans="1:35" x14ac:dyDescent="0.2">
      <c r="A153" s="3">
        <f ca="1">IFERROR(__xludf.DUMMYFUNCTION("""COMPUTED_VALUE"""),46001.5027998147)</f>
        <v>46001.502799814698</v>
      </c>
      <c r="B153" s="1" t="str">
        <f ca="1">IFERROR(__xludf.DUMMYFUNCTION("""COMPUTED_VALUE"""),"kieule.260804@gmail.com")</f>
        <v>kieule.260804@gmail.com</v>
      </c>
      <c r="C153" s="1">
        <f ca="1">IFERROR(__xludf.DUMMYFUNCTION("""COMPUTED_VALUE"""),28208002969)</f>
        <v>28208002969</v>
      </c>
      <c r="D153" s="1" t="str">
        <f ca="1">IFERROR(__xludf.DUMMYFUNCTION("""COMPUTED_VALUE"""),"Lê Thị Thúy Kiều ")</f>
        <v xml:space="preserve">Lê Thị Thúy Kiều </v>
      </c>
      <c r="E153" s="1"/>
      <c r="F153" s="1" t="str">
        <f ca="1">IFERROR(__xludf.DUMMYFUNCTION("""COMPUTED_VALUE"""),"K28DLK3")</f>
        <v>K28DLK3</v>
      </c>
      <c r="G153" s="1" t="str">
        <f ca="1">IFERROR(__xludf.DUMMYFUNCTION("""COMPUTED_VALUE"""),"Quản trị Du lịch &amp; Khách sạn")</f>
        <v>Quản trị Du lịch &amp; Khách sạn</v>
      </c>
      <c r="H153" s="1" t="str">
        <f ca="1">IFERROR(__xludf.DUMMYFUNCTION("""COMPUTED_VALUE"""),"K28")</f>
        <v>K28</v>
      </c>
      <c r="I153" s="1" t="str">
        <f ca="1">IFERROR(__xludf.DUMMYFUNCTION("""COMPUTED_VALUE"""),"0762626023")</f>
        <v>0762626023</v>
      </c>
      <c r="J153" s="1">
        <f ca="1">IFERROR(__xludf.DUMMYFUNCTION("""COMPUTED_VALUE"""),3.55)</f>
        <v>3.55</v>
      </c>
      <c r="K153" s="1">
        <f ca="1">IFERROR(__xludf.DUMMYFUNCTION("""COMPUTED_VALUE"""),118)</f>
        <v>118</v>
      </c>
      <c r="L153" s="1" t="str">
        <f ca="1">IFERROR(__xludf.DUMMYFUNCTION("""COMPUTED_VALUE"""),"Rồi")</f>
        <v>Rồi</v>
      </c>
      <c r="M153" s="1" t="str">
        <f ca="1">IFERROR(__xludf.DUMMYFUNCTION("""COMPUTED_VALUE"""),"Thực tập tốt nghiệp, Thi tốt nghiệp, Công nhận tốt nghiệp")</f>
        <v>Thực tập tốt nghiệp, Thi tốt nghiệp, Công nhận tốt nghiệp</v>
      </c>
      <c r="N153" s="1">
        <f ca="1">IFERROR(__xludf.DUMMYFUNCTION("""COMPUTED_VALUE"""),6)</f>
        <v>6</v>
      </c>
      <c r="O153" s="1" t="str">
        <f ca="1">IFERROR(__xludf.DUMMYFUNCTION("""COMPUTED_VALUE"""),"cam kết")</f>
        <v>cam kết</v>
      </c>
      <c r="P153" s="1"/>
      <c r="Q153" s="1"/>
      <c r="R153" s="1" t="str">
        <f ca="1">IFERROR(__xludf.DUMMYFUNCTION("""COMPUTED_VALUE"""),"18/12/2025")</f>
        <v>18/12/2025</v>
      </c>
      <c r="S153" s="1" t="str">
        <f ca="1">IFERROR(__xludf.DUMMYFUNCTION("""COMPUTED_VALUE"""),"thực tập TN, Thi TN")</f>
        <v>thực tập TN, Thi TN</v>
      </c>
      <c r="T153" s="1" t="str">
        <f ca="1">IFERROR(__xludf.DUMMYFUNCTION("""COMPUTED_VALUE"""),"Đã email cấp giấy giới thiệu ngày 18/12/2025")</f>
        <v>Đã email cấp giấy giới thiệu ngày 18/12/2025</v>
      </c>
      <c r="U153" s="1"/>
      <c r="V153" s="1"/>
      <c r="W153" s="1" t="str">
        <f ca="1">IFERROR(__xludf.DUMMYFUNCTION("""COMPUTED_VALUE"""),"K28DLK3")</f>
        <v>K28DLK3</v>
      </c>
      <c r="X153" s="1"/>
      <c r="Y153" s="1" t="str">
        <f ca="1">IFERROR(__xludf.DUMMYFUNCTION("""COMPUTED_VALUE"""),"Da Nang Mikazuki Japanese Resorts and Spa")</f>
        <v>Da Nang Mikazuki Japanese Resorts and Spa</v>
      </c>
      <c r="Z153" s="1" t="str">
        <f ca="1">IFERROR(__xludf.DUMMYFUNCTION("""COMPUTED_VALUE"""),"Buồng phòng")</f>
        <v>Buồng phòng</v>
      </c>
      <c r="AA153" s="1" t="str">
        <f ca="1">IFERROR(__xludf.DUMMYFUNCTION("""COMPUTED_VALUE"""),"DUYỆT")</f>
        <v>DUYỆT</v>
      </c>
      <c r="AB153" s="1" t="str">
        <f ca="1">IFERROR(__xludf.DUMMYFUNCTION("""COMPUTED_VALUE"""),"31/01/2026")</f>
        <v>31/01/2026</v>
      </c>
      <c r="AC153" s="1" t="str">
        <f ca="1">IFERROR(__xludf.DUMMYFUNCTION("""COMPUTED_VALUE"""),"BÁO CÁO THỰC TẬP TỐT NGHIỆP")</f>
        <v>BÁO CÁO THỰC TẬP TỐT NGHIỆP</v>
      </c>
      <c r="AD153" s="1" t="str">
        <f ca="1">IFERROR(__xludf.DUMMYFUNCTION("""COMPUTED_VALUE"""),"Hồ Minh Phúc")</f>
        <v>Hồ Minh Phúc</v>
      </c>
      <c r="AE153" s="1" t="str">
        <f ca="1">IFERROR(__xludf.DUMMYFUNCTION("""COMPUTED_VALUE"""),"Thạc sĩ")</f>
        <v>Thạc sĩ</v>
      </c>
      <c r="AF153" s="1" t="str">
        <f ca="1">IFERROR(__xludf.DUMMYFUNCTION("""COMPUTED_VALUE"""),"0935336716")</f>
        <v>0935336716</v>
      </c>
      <c r="AG153" s="1" t="str">
        <f ca="1">IFERROR(__xludf.DUMMYFUNCTION("""COMPUTED_VALUE"""),"hominhphuc@dtu-hti.edu.vn")</f>
        <v>hominhphuc@dtu-hti.edu.vn</v>
      </c>
      <c r="AH153" s="1" t="str">
        <f ca="1">IFERROR(__xludf.DUMMYFUNCTION("""COMPUTED_VALUE"""),"Báo cáo kết quả thực tập và thực trạng chất lượng đội ngũ lao động tại bộ phận Buồng phòng của Da Nang Mikazuki Japanese Resorts &amp; Spa")</f>
        <v>Báo cáo kết quả thực tập và thực trạng chất lượng đội ngũ lao động tại bộ phận Buồng phòng của Da Nang Mikazuki Japanese Resorts &amp; Spa</v>
      </c>
      <c r="AI153" s="1"/>
    </row>
    <row r="154" spans="1:35" x14ac:dyDescent="0.2">
      <c r="A154" s="3">
        <f ca="1">IFERROR(__xludf.DUMMYFUNCTION("""COMPUTED_VALUE"""),46001.5042770833)</f>
        <v>46001.504277083302</v>
      </c>
      <c r="B154" s="1" t="str">
        <f ca="1">IFERROR(__xludf.DUMMYFUNCTION("""COMPUTED_VALUE"""),"buoikb33@gmail.com")</f>
        <v>buoikb33@gmail.com</v>
      </c>
      <c r="C154" s="1">
        <f ca="1">IFERROR(__xludf.DUMMYFUNCTION("""COMPUTED_VALUE"""),28208053169)</f>
        <v>28208053169</v>
      </c>
      <c r="D154" s="1" t="str">
        <f ca="1">IFERROR(__xludf.DUMMYFUNCTION("""COMPUTED_VALUE"""),"H Bươi Kbuôr ")</f>
        <v xml:space="preserve">H Bươi Kbuôr </v>
      </c>
      <c r="E154" s="1"/>
      <c r="F154" s="1" t="str">
        <f ca="1">IFERROR(__xludf.DUMMYFUNCTION("""COMPUTED_VALUE"""),"K28DLK4")</f>
        <v>K28DLK4</v>
      </c>
      <c r="G154" s="1" t="str">
        <f ca="1">IFERROR(__xludf.DUMMYFUNCTION("""COMPUTED_VALUE"""),"Quản trị Du lịch &amp; Khách sạn")</f>
        <v>Quản trị Du lịch &amp; Khách sạn</v>
      </c>
      <c r="H154" s="1" t="str">
        <f ca="1">IFERROR(__xludf.DUMMYFUNCTION("""COMPUTED_VALUE"""),"K28")</f>
        <v>K28</v>
      </c>
      <c r="I154" s="1" t="str">
        <f ca="1">IFERROR(__xludf.DUMMYFUNCTION("""COMPUTED_VALUE"""),"0862318490")</f>
        <v>0862318490</v>
      </c>
      <c r="J154" s="1">
        <f ca="1">IFERROR(__xludf.DUMMYFUNCTION("""COMPUTED_VALUE"""),3.17)</f>
        <v>3.17</v>
      </c>
      <c r="K154" s="1">
        <f ca="1">IFERROR(__xludf.DUMMYFUNCTION("""COMPUTED_VALUE"""),116)</f>
        <v>116</v>
      </c>
      <c r="L154" s="1" t="str">
        <f ca="1">IFERROR(__xludf.DUMMYFUNCTION("""COMPUTED_VALUE"""),"Rồi")</f>
        <v>Rồi</v>
      </c>
      <c r="M154" s="1" t="str">
        <f ca="1">IFERROR(__xludf.DUMMYFUNCTION("""COMPUTED_VALUE"""),"Thực tập tốt nghiệp, Thi tốt nghiệp, Công nhận tốt nghiệp")</f>
        <v>Thực tập tốt nghiệp, Thi tốt nghiệp, Công nhận tốt nghiệp</v>
      </c>
      <c r="N154" s="1">
        <f ca="1">IFERROR(__xludf.DUMMYFUNCTION("""COMPUTED_VALUE"""),7)</f>
        <v>7</v>
      </c>
      <c r="O154" s="1" t="str">
        <f ca="1">IFERROR(__xludf.DUMMYFUNCTION("""COMPUTED_VALUE"""),"cam kết")</f>
        <v>cam kết</v>
      </c>
      <c r="P154" s="1"/>
      <c r="Q154" s="1"/>
      <c r="R154" s="1" t="str">
        <f ca="1">IFERROR(__xludf.DUMMYFUNCTION("""COMPUTED_VALUE"""),"18/12/2025")</f>
        <v>18/12/2025</v>
      </c>
      <c r="S154" s="1" t="str">
        <f ca="1">IFERROR(__xludf.DUMMYFUNCTION("""COMPUTED_VALUE"""),"thực tập TN, Thi TN")</f>
        <v>thực tập TN, Thi TN</v>
      </c>
      <c r="T154" s="1" t="str">
        <f ca="1">IFERROR(__xludf.DUMMYFUNCTION("""COMPUTED_VALUE"""),"Đã email cấp giấy giới thiệu ngày 18/12/2025")</f>
        <v>Đã email cấp giấy giới thiệu ngày 18/12/2025</v>
      </c>
      <c r="U154" s="1"/>
      <c r="V154" s="1"/>
      <c r="W154" s="1" t="str">
        <f ca="1">IFERROR(__xludf.DUMMYFUNCTION("""COMPUTED_VALUE"""),"K28DLK4")</f>
        <v>K28DLK4</v>
      </c>
      <c r="X154" s="1"/>
      <c r="Y154" s="1" t="str">
        <f ca="1">IFERROR(__xludf.DUMMYFUNCTION("""COMPUTED_VALUE"""),"Novetel Danang Premier Han River")</f>
        <v>Novetel Danang Premier Han River</v>
      </c>
      <c r="Z154" s="1" t="str">
        <f ca="1">IFERROR(__xludf.DUMMYFUNCTION("""COMPUTED_VALUE"""),"Nhà hàng")</f>
        <v>Nhà hàng</v>
      </c>
      <c r="AA154" s="1" t="str">
        <f ca="1">IFERROR(__xludf.DUMMYFUNCTION("""COMPUTED_VALUE"""),"DUYỆT")</f>
        <v>DUYỆT</v>
      </c>
      <c r="AB154" s="1" t="str">
        <f ca="1">IFERROR(__xludf.DUMMYFUNCTION("""COMPUTED_VALUE"""),"26/12/2025")</f>
        <v>26/12/2025</v>
      </c>
      <c r="AC154" s="1" t="str">
        <f ca="1">IFERROR(__xludf.DUMMYFUNCTION("""COMPUTED_VALUE"""),"BÁO CÁO THỰC TẬP TỐT NGHIỆP")</f>
        <v>BÁO CÁO THỰC TẬP TỐT NGHIỆP</v>
      </c>
      <c r="AD154" s="1" t="str">
        <f ca="1">IFERROR(__xludf.DUMMYFUNCTION("""COMPUTED_VALUE"""),"Huỳnh Lý Thùy Linh")</f>
        <v>Huỳnh Lý Thùy Linh</v>
      </c>
      <c r="AE154" s="1" t="str">
        <f ca="1">IFERROR(__xludf.DUMMYFUNCTION("""COMPUTED_VALUE"""),"Thạc sĩ")</f>
        <v>Thạc sĩ</v>
      </c>
      <c r="AF154" s="1" t="str">
        <f ca="1">IFERROR(__xludf.DUMMYFUNCTION("""COMPUTED_VALUE"""),"0702605664")</f>
        <v>0702605664</v>
      </c>
      <c r="AG154" s="1" t="str">
        <f ca="1">IFERROR(__xludf.DUMMYFUNCTION("""COMPUTED_VALUE"""),"huynhlthuylinh@dtu-hti.edu.vn")</f>
        <v>huynhlthuylinh@dtu-hti.edu.vn</v>
      </c>
      <c r="AH154" s="1" t="str">
        <f ca="1">IFERROR(__xludf.DUMMYFUNCTION("""COMPUTED_VALUE"""),"Báo cáo kết quả thực tập và thực trạng về chất lượng đội ngũ lao động của nhà hàng The Square thuộc Novotel Danang Premeir Han River")</f>
        <v>Báo cáo kết quả thực tập và thực trạng về chất lượng đội ngũ lao động của nhà hàng The Square thuộc Novotel Danang Premeir Han River</v>
      </c>
      <c r="AI154" s="1"/>
    </row>
    <row r="155" spans="1:35" x14ac:dyDescent="0.2">
      <c r="A155" s="3">
        <f ca="1">IFERROR(__xludf.DUMMYFUNCTION("""COMPUTED_VALUE"""),46001.5072258449)</f>
        <v>46001.5072258449</v>
      </c>
      <c r="B155" s="1" t="str">
        <f ca="1">IFERROR(__xludf.DUMMYFUNCTION("""COMPUTED_VALUE"""),"nguyenttraxiem@dtu.edu.vn")</f>
        <v>nguyenttraxiem@dtu.edu.vn</v>
      </c>
      <c r="C155" s="1">
        <f ca="1">IFERROR(__xludf.DUMMYFUNCTION("""COMPUTED_VALUE"""),28208035310)</f>
        <v>28208035310</v>
      </c>
      <c r="D155" s="1" t="str">
        <f ca="1">IFERROR(__xludf.DUMMYFUNCTION("""COMPUTED_VALUE"""),"Nguyễn Thị Trà Xiêm")</f>
        <v>Nguyễn Thị Trà Xiêm</v>
      </c>
      <c r="E155" s="1"/>
      <c r="F155" s="1" t="str">
        <f ca="1">IFERROR(__xludf.DUMMYFUNCTION("""COMPUTED_VALUE"""),"K28DLK3")</f>
        <v>K28DLK3</v>
      </c>
      <c r="G155" s="1" t="str">
        <f ca="1">IFERROR(__xludf.DUMMYFUNCTION("""COMPUTED_VALUE"""),"Quản trị Du lịch &amp; Khách sạn")</f>
        <v>Quản trị Du lịch &amp; Khách sạn</v>
      </c>
      <c r="H155" s="1" t="str">
        <f ca="1">IFERROR(__xludf.DUMMYFUNCTION("""COMPUTED_VALUE"""),"K28")</f>
        <v>K28</v>
      </c>
      <c r="I155" s="1" t="str">
        <f ca="1">IFERROR(__xludf.DUMMYFUNCTION("""COMPUTED_VALUE"""),"0702640758")</f>
        <v>0702640758</v>
      </c>
      <c r="J155" s="1">
        <f ca="1">IFERROR(__xludf.DUMMYFUNCTION("""COMPUTED_VALUE"""),3.39)</f>
        <v>3.39</v>
      </c>
      <c r="K155" s="1">
        <f ca="1">IFERROR(__xludf.DUMMYFUNCTION("""COMPUTED_VALUE"""),115)</f>
        <v>115</v>
      </c>
      <c r="L155" s="1" t="str">
        <f ca="1">IFERROR(__xludf.DUMMYFUNCTION("""COMPUTED_VALUE"""),"Rồi")</f>
        <v>Rồi</v>
      </c>
      <c r="M155" s="1" t="str">
        <f ca="1">IFERROR(__xludf.DUMMYFUNCTION("""COMPUTED_VALUE"""),"Thực tập tốt nghiệp, Thi tốt nghiệp, Công nhận tốt nghiệp")</f>
        <v>Thực tập tốt nghiệp, Thi tốt nghiệp, Công nhận tốt nghiệp</v>
      </c>
      <c r="N155" s="1">
        <f ca="1">IFERROR(__xludf.DUMMYFUNCTION("""COMPUTED_VALUE"""),9)</f>
        <v>9</v>
      </c>
      <c r="O155" s="1" t="str">
        <f ca="1">IFERROR(__xludf.DUMMYFUNCTION("""COMPUTED_VALUE"""),"cam kết")</f>
        <v>cam kết</v>
      </c>
      <c r="P155" s="1"/>
      <c r="Q155" s="1"/>
      <c r="R155" s="1" t="str">
        <f ca="1">IFERROR(__xludf.DUMMYFUNCTION("""COMPUTED_VALUE"""),"18/12/2025")</f>
        <v>18/12/2025</v>
      </c>
      <c r="S155" s="1" t="str">
        <f ca="1">IFERROR(__xludf.DUMMYFUNCTION("""COMPUTED_VALUE"""),"thực tập TN, Thi TN")</f>
        <v>thực tập TN, Thi TN</v>
      </c>
      <c r="T155" s="1" t="str">
        <f ca="1">IFERROR(__xludf.DUMMYFUNCTION("""COMPUTED_VALUE"""),"Đã email cấp giấy giới thiệu ngày 18/12/2025")</f>
        <v>Đã email cấp giấy giới thiệu ngày 18/12/2025</v>
      </c>
      <c r="U155" s="1"/>
      <c r="V155" s="1"/>
      <c r="W155" s="1" t="str">
        <f ca="1">IFERROR(__xludf.DUMMYFUNCTION("""COMPUTED_VALUE"""),"K28DLK3")</f>
        <v>K28DLK3</v>
      </c>
      <c r="X155" s="1"/>
      <c r="Y155" s="1" t="str">
        <f ca="1">IFERROR(__xludf.DUMMYFUNCTION("""COMPUTED_VALUE"""),"Novotel Danang Premier Han River")</f>
        <v>Novotel Danang Premier Han River</v>
      </c>
      <c r="Z155" s="1" t="str">
        <f ca="1">IFERROR(__xludf.DUMMYFUNCTION("""COMPUTED_VALUE"""),"Nhà hàng")</f>
        <v>Nhà hàng</v>
      </c>
      <c r="AA155" s="1" t="str">
        <f ca="1">IFERROR(__xludf.DUMMYFUNCTION("""COMPUTED_VALUE"""),"DUYỆT")</f>
        <v>DUYỆT</v>
      </c>
      <c r="AB155" s="1" t="str">
        <f ca="1">IFERROR(__xludf.DUMMYFUNCTION("""COMPUTED_VALUE"""),"14/01/2026")</f>
        <v>14/01/2026</v>
      </c>
      <c r="AC155" s="1" t="str">
        <f ca="1">IFERROR(__xludf.DUMMYFUNCTION("""COMPUTED_VALUE"""),"BÁO CÁO THỰC TẬP TỐT NGHIỆP")</f>
        <v>BÁO CÁO THỰC TẬP TỐT NGHIỆP</v>
      </c>
      <c r="AD155" s="1" t="str">
        <f ca="1">IFERROR(__xludf.DUMMYFUNCTION("""COMPUTED_VALUE"""),"Huỳnh Lý Thùy Linh")</f>
        <v>Huỳnh Lý Thùy Linh</v>
      </c>
      <c r="AE155" s="1" t="str">
        <f ca="1">IFERROR(__xludf.DUMMYFUNCTION("""COMPUTED_VALUE"""),"Thạc sĩ")</f>
        <v>Thạc sĩ</v>
      </c>
      <c r="AF155" s="1" t="str">
        <f ca="1">IFERROR(__xludf.DUMMYFUNCTION("""COMPUTED_VALUE"""),"0702605664")</f>
        <v>0702605664</v>
      </c>
      <c r="AG155" s="1" t="str">
        <f ca="1">IFERROR(__xludf.DUMMYFUNCTION("""COMPUTED_VALUE"""),"huynhlthuylinh@dtu-hti.edu.vn")</f>
        <v>huynhlthuylinh@dtu-hti.edu.vn</v>
      </c>
      <c r="AH155" s="1" t="str">
        <f ca="1">IFERROR(__xludf.DUMMYFUNCTION("""COMPUTED_VALUE"""),"Báo cáo kết quả thực tập và thực trạng quy trình phục vụ tiệc buffet của bộ phận Banquet tại Novotel Danang Premier Han River.")</f>
        <v>Báo cáo kết quả thực tập và thực trạng quy trình phục vụ tiệc buffet của bộ phận Banquet tại Novotel Danang Premier Han River.</v>
      </c>
      <c r="AI155" s="1"/>
    </row>
    <row r="156" spans="1:35" x14ac:dyDescent="0.2">
      <c r="A156" s="3">
        <f ca="1">IFERROR(__xludf.DUMMYFUNCTION("""COMPUTED_VALUE"""),46001.7850710995)</f>
        <v>46001.785071099497</v>
      </c>
      <c r="B156" s="1" t="str">
        <f ca="1">IFERROR(__xludf.DUMMYFUNCTION("""COMPUTED_VALUE"""),"phanquyen2901@gmail.com")</f>
        <v>phanquyen2901@gmail.com</v>
      </c>
      <c r="C156" s="1">
        <f ca="1">IFERROR(__xludf.DUMMYFUNCTION("""COMPUTED_VALUE"""),28218001578)</f>
        <v>28218001578</v>
      </c>
      <c r="D156" s="1" t="str">
        <f ca="1">IFERROR(__xludf.DUMMYFUNCTION("""COMPUTED_VALUE"""),"Phan Thanh Quyền")</f>
        <v>Phan Thanh Quyền</v>
      </c>
      <c r="E156" s="1"/>
      <c r="F156" s="1" t="str">
        <f ca="1">IFERROR(__xludf.DUMMYFUNCTION("""COMPUTED_VALUE"""),"K28DLK1")</f>
        <v>K28DLK1</v>
      </c>
      <c r="G156" s="1" t="str">
        <f ca="1">IFERROR(__xludf.DUMMYFUNCTION("""COMPUTED_VALUE"""),"Quản trị Du lịch &amp; Khách sạn")</f>
        <v>Quản trị Du lịch &amp; Khách sạn</v>
      </c>
      <c r="H156" s="1" t="str">
        <f ca="1">IFERROR(__xludf.DUMMYFUNCTION("""COMPUTED_VALUE"""),"K28")</f>
        <v>K28</v>
      </c>
      <c r="I156" s="1" t="str">
        <f ca="1">IFERROR(__xludf.DUMMYFUNCTION("""COMPUTED_VALUE"""),"0865726326")</f>
        <v>0865726326</v>
      </c>
      <c r="J156" s="1">
        <f ca="1">IFERROR(__xludf.DUMMYFUNCTION("""COMPUTED_VALUE"""),3.37)</f>
        <v>3.37</v>
      </c>
      <c r="K156" s="1">
        <f ca="1">IFERROR(__xludf.DUMMYFUNCTION("""COMPUTED_VALUE"""),115)</f>
        <v>115</v>
      </c>
      <c r="L156" s="1" t="str">
        <f ca="1">IFERROR(__xludf.DUMMYFUNCTION("""COMPUTED_VALUE"""),"Rồi")</f>
        <v>Rồi</v>
      </c>
      <c r="M156" s="1" t="str">
        <f ca="1">IFERROR(__xludf.DUMMYFUNCTION("""COMPUTED_VALUE"""),"Thực tập tốt nghiệp, Thi tốt nghiệp, Công nhận tốt nghiệp")</f>
        <v>Thực tập tốt nghiệp, Thi tốt nghiệp, Công nhận tốt nghiệp</v>
      </c>
      <c r="N156" s="1" t="str">
        <f ca="1">IFERROR(__xludf.DUMMYFUNCTION("""COMPUTED_VALUE"""),"8 tín(Đã thi chưa có điểm và chuẩn bị thi)")</f>
        <v>8 tín(Đã thi chưa có điểm và chuẩn bị thi)</v>
      </c>
      <c r="O156" s="1" t="str">
        <f ca="1">IFERROR(__xludf.DUMMYFUNCTION("""COMPUTED_VALUE"""),"cam kết")</f>
        <v>cam kết</v>
      </c>
      <c r="P156" s="1"/>
      <c r="Q156" s="1"/>
      <c r="R156" s="1" t="str">
        <f ca="1">IFERROR(__xludf.DUMMYFUNCTION("""COMPUTED_VALUE"""),"18/12/2025")</f>
        <v>18/12/2025</v>
      </c>
      <c r="S156" s="1" t="str">
        <f ca="1">IFERROR(__xludf.DUMMYFUNCTION("""COMPUTED_VALUE"""),"thực tập TN, Thi TN")</f>
        <v>thực tập TN, Thi TN</v>
      </c>
      <c r="T156" s="1" t="str">
        <f ca="1">IFERROR(__xludf.DUMMYFUNCTION("""COMPUTED_VALUE"""),"Đã email cấp giấy giới thiệu ngày 18/12/2025")</f>
        <v>Đã email cấp giấy giới thiệu ngày 18/12/2025</v>
      </c>
      <c r="U156" s="1" t="str">
        <f ca="1">IFERROR(__xludf.DUMMYFUNCTION("""COMPUTED_VALUE"""),"Sv đã nộp đơn chuyển KL - CĐ")</f>
        <v>Sv đã nộp đơn chuyển KL - CĐ</v>
      </c>
      <c r="V156" s="1"/>
      <c r="W156" s="1" t="str">
        <f ca="1">IFERROR(__xludf.DUMMYFUNCTION("""COMPUTED_VALUE"""),"K28DLK1")</f>
        <v>K28DLK1</v>
      </c>
      <c r="X156" s="1"/>
      <c r="Y156" s="1" t="str">
        <f ca="1">IFERROR(__xludf.DUMMYFUNCTION("""COMPUTED_VALUE"""),"Grand Tourane Hotel Danang")</f>
        <v>Grand Tourane Hotel Danang</v>
      </c>
      <c r="Z156" s="1" t="str">
        <f ca="1">IFERROR(__xludf.DUMMYFUNCTION("""COMPUTED_VALUE"""),"Nhà hàng")</f>
        <v>Nhà hàng</v>
      </c>
      <c r="AA156" s="1" t="str">
        <f ca="1">IFERROR(__xludf.DUMMYFUNCTION("""COMPUTED_VALUE"""),"DUYỆT")</f>
        <v>DUYỆT</v>
      </c>
      <c r="AB156" s="4">
        <f ca="1">IFERROR(__xludf.DUMMYFUNCTION("""COMPUTED_VALUE"""),46357)</f>
        <v>46357</v>
      </c>
      <c r="AC156" s="1" t="str">
        <f ca="1">IFERROR(__xludf.DUMMYFUNCTION("""COMPUTED_VALUE"""),"BÁO CÁO THỰC TẬP TỐT NGHIỆP")</f>
        <v>BÁO CÁO THỰC TẬP TỐT NGHIỆP</v>
      </c>
      <c r="AD156" s="1" t="str">
        <f ca="1">IFERROR(__xludf.DUMMYFUNCTION("""COMPUTED_VALUE"""),"Trần Hoàng Anh")</f>
        <v>Trần Hoàng Anh</v>
      </c>
      <c r="AE156" s="1" t="str">
        <f ca="1">IFERROR(__xludf.DUMMYFUNCTION("""COMPUTED_VALUE"""),"Thạc sĩ")</f>
        <v>Thạc sĩ</v>
      </c>
      <c r="AF156" s="1" t="str">
        <f ca="1">IFERROR(__xludf.DUMMYFUNCTION("""COMPUTED_VALUE"""),"0906 029 602")</f>
        <v>0906 029 602</v>
      </c>
      <c r="AG156" s="1" t="str">
        <f ca="1">IFERROR(__xludf.DUMMYFUNCTION("""COMPUTED_VALUE"""),"tranhoanganh@dtu-hti.edu.vn")</f>
        <v>tranhoanganh@dtu-hti.edu.vn</v>
      </c>
      <c r="AH156" s="1" t="str">
        <f ca="1">IFERROR(__xludf.DUMMYFUNCTION("""COMPUTED_VALUE"""),"Báo cáo kết quả thực tập và thực trạng quy trình phục vụ AlaCarte tại nhà hàng Bella Vista tại Grand Tourane Hotel Danang")</f>
        <v>Báo cáo kết quả thực tập và thực trạng quy trình phục vụ AlaCarte tại nhà hàng Bella Vista tại Grand Tourane Hotel Danang</v>
      </c>
      <c r="AI156" s="1"/>
    </row>
    <row r="157" spans="1:35" x14ac:dyDescent="0.2">
      <c r="A157" s="3">
        <f ca="1">IFERROR(__xludf.DUMMYFUNCTION("""COMPUTED_VALUE"""),46001.5592067476)</f>
        <v>46001.559206747603</v>
      </c>
      <c r="B157" s="1" t="str">
        <f ca="1">IFERROR(__xludf.DUMMYFUNCTION("""COMPUTED_VALUE"""),"katen206@gmail.com")</f>
        <v>katen206@gmail.com</v>
      </c>
      <c r="C157" s="1">
        <f ca="1">IFERROR(__xludf.DUMMYFUNCTION("""COMPUTED_VALUE"""),27207124663)</f>
        <v>27207124663</v>
      </c>
      <c r="D157" s="1" t="str">
        <f ca="1">IFERROR(__xludf.DUMMYFUNCTION("""COMPUTED_VALUE"""),"Nguyễn Vương Thục Khanh ")</f>
        <v xml:space="preserve">Nguyễn Vương Thục Khanh </v>
      </c>
      <c r="E157" s="1"/>
      <c r="F157" s="1" t="str">
        <f ca="1">IFERROR(__xludf.DUMMYFUNCTION("""COMPUTED_VALUE"""),"K28DLK8")</f>
        <v>K28DLK8</v>
      </c>
      <c r="G157" s="1" t="str">
        <f ca="1">IFERROR(__xludf.DUMMYFUNCTION("""COMPUTED_VALUE"""),"Quản trị Du lịch &amp; Khách sạn")</f>
        <v>Quản trị Du lịch &amp; Khách sạn</v>
      </c>
      <c r="H157" s="1" t="str">
        <f ca="1">IFERROR(__xludf.DUMMYFUNCTION("""COMPUTED_VALUE"""),"K28")</f>
        <v>K28</v>
      </c>
      <c r="I157" s="1" t="str">
        <f ca="1">IFERROR(__xludf.DUMMYFUNCTION("""COMPUTED_VALUE"""),"0905108403")</f>
        <v>0905108403</v>
      </c>
      <c r="J157" s="1">
        <f ca="1">IFERROR(__xludf.DUMMYFUNCTION("""COMPUTED_VALUE"""),3.82)</f>
        <v>3.82</v>
      </c>
      <c r="K157" s="1">
        <f ca="1">IFERROR(__xludf.DUMMYFUNCTION("""COMPUTED_VALUE"""),123)</f>
        <v>123</v>
      </c>
      <c r="L157" s="1" t="str">
        <f ca="1">IFERROR(__xludf.DUMMYFUNCTION("""COMPUTED_VALUE"""),"Rồi")</f>
        <v>Rồi</v>
      </c>
      <c r="M157" s="1" t="str">
        <f ca="1">IFERROR(__xludf.DUMMYFUNCTION("""COMPUTED_VALUE"""),"Thực tập tốt nghiệp, Thi tốt nghiệp, Công nhận tốt nghiệp")</f>
        <v>Thực tập tốt nghiệp, Thi tốt nghiệp, Công nhận tốt nghiệp</v>
      </c>
      <c r="N157" s="1">
        <f ca="1">IFERROR(__xludf.DUMMYFUNCTION("""COMPUTED_VALUE"""),0)</f>
        <v>0</v>
      </c>
      <c r="O157" s="1" t="str">
        <f ca="1">IFERROR(__xludf.DUMMYFUNCTION("""COMPUTED_VALUE"""),"cam kết")</f>
        <v>cam kết</v>
      </c>
      <c r="P157" s="1"/>
      <c r="Q157" s="1"/>
      <c r="R157" s="1" t="str">
        <f ca="1">IFERROR(__xludf.DUMMYFUNCTION("""COMPUTED_VALUE"""),"18/12/2025")</f>
        <v>18/12/2025</v>
      </c>
      <c r="S157" s="1" t="str">
        <f ca="1">IFERROR(__xludf.DUMMYFUNCTION("""COMPUTED_VALUE"""),"thực tập TN, Thi TN")</f>
        <v>thực tập TN, Thi TN</v>
      </c>
      <c r="T157" s="1" t="str">
        <f ca="1">IFERROR(__xludf.DUMMYFUNCTION("""COMPUTED_VALUE"""),"Đã email cấp giấy giới thiệu ngày 18/12/2025")</f>
        <v>Đã email cấp giấy giới thiệu ngày 18/12/2025</v>
      </c>
      <c r="U157" s="1" t="str">
        <f ca="1">IFERROR(__xludf.DUMMYFUNCTION("""COMPUTED_VALUE"""),"Sv đã nộp đơn chuyển KL - CĐ")</f>
        <v>Sv đã nộp đơn chuyển KL - CĐ</v>
      </c>
      <c r="V157" s="1"/>
      <c r="W157" s="1" t="str">
        <f ca="1">IFERROR(__xludf.DUMMYFUNCTION("""COMPUTED_VALUE"""),"K28DLK8")</f>
        <v>K28DLK8</v>
      </c>
      <c r="X157" s="1"/>
      <c r="Y157" s="1" t="str">
        <f ca="1">IFERROR(__xludf.DUMMYFUNCTION("""COMPUTED_VALUE"""),"Renaissance Hong Kong Harbour View Hotel ")</f>
        <v xml:space="preserve">Renaissance Hong Kong Harbour View Hotel </v>
      </c>
      <c r="Z157" s="1" t="str">
        <f ca="1">IFERROR(__xludf.DUMMYFUNCTION("""COMPUTED_VALUE"""),"Nhà hàng")</f>
        <v>Nhà hàng</v>
      </c>
      <c r="AA157" s="1" t="str">
        <f ca="1">IFERROR(__xludf.DUMMYFUNCTION("""COMPUTED_VALUE"""),"DUYỆT")</f>
        <v>DUYỆT</v>
      </c>
      <c r="AB157" s="4">
        <f ca="1">IFERROR(__xludf.DUMMYFUNCTION("""COMPUTED_VALUE"""),46296)</f>
        <v>46296</v>
      </c>
      <c r="AC157" s="1" t="str">
        <f ca="1">IFERROR(__xludf.DUMMYFUNCTION("""COMPUTED_VALUE"""),"BÁO CÁO THỰC TẬP TỐT NGHIỆP")</f>
        <v>BÁO CÁO THỰC TẬP TỐT NGHIỆP</v>
      </c>
      <c r="AD157" s="1" t="str">
        <f ca="1">IFERROR(__xludf.DUMMYFUNCTION("""COMPUTED_VALUE"""),"Trần Hoàng Anh")</f>
        <v>Trần Hoàng Anh</v>
      </c>
      <c r="AE157" s="1" t="str">
        <f ca="1">IFERROR(__xludf.DUMMYFUNCTION("""COMPUTED_VALUE"""),"Thạc sĩ")</f>
        <v>Thạc sĩ</v>
      </c>
      <c r="AF157" s="1" t="str">
        <f ca="1">IFERROR(__xludf.DUMMYFUNCTION("""COMPUTED_VALUE"""),"0906 029 602")</f>
        <v>0906 029 602</v>
      </c>
      <c r="AG157" s="1" t="str">
        <f ca="1">IFERROR(__xludf.DUMMYFUNCTION("""COMPUTED_VALUE"""),"tranhoanganh@dtu-hti.edu.vn")</f>
        <v>tranhoanganh@dtu-hti.edu.vn</v>
      </c>
      <c r="AH157" s="1" t="str">
        <f ca="1">IFERROR(__xludf.DUMMYFUNCTION("""COMPUTED_VALUE"""),"Báo cáo kết quả thực tập và thực trạng quy trình phục vụ buffet sáng tại nhà hàng Cafe Renaissance thuộc Renaissance Hong Kong Harbour View Hotel.")</f>
        <v>Báo cáo kết quả thực tập và thực trạng quy trình phục vụ buffet sáng tại nhà hàng Cafe Renaissance thuộc Renaissance Hong Kong Harbour View Hotel.</v>
      </c>
      <c r="AI157" s="1"/>
    </row>
    <row r="158" spans="1:35" x14ac:dyDescent="0.2">
      <c r="A158" s="3">
        <f ca="1">IFERROR(__xludf.DUMMYFUNCTION("""COMPUTED_VALUE"""),46001.9044792245)</f>
        <v>46001.904479224497</v>
      </c>
      <c r="B158" s="1" t="str">
        <f ca="1">IFERROR(__xludf.DUMMYFUNCTION("""COMPUTED_VALUE"""),"letanzxc1234@gmail.com")</f>
        <v>letanzxc1234@gmail.com</v>
      </c>
      <c r="C158" s="1">
        <f ca="1">IFERROR(__xludf.DUMMYFUNCTION("""COMPUTED_VALUE"""),28216202709)</f>
        <v>28216202709</v>
      </c>
      <c r="D158" s="1" t="str">
        <f ca="1">IFERROR(__xludf.DUMMYFUNCTION("""COMPUTED_VALUE"""),"Lê Nhật Tân")</f>
        <v>Lê Nhật Tân</v>
      </c>
      <c r="E158" s="1"/>
      <c r="F158" s="1" t="str">
        <f ca="1">IFERROR(__xludf.DUMMYFUNCTION("""COMPUTED_VALUE"""),"K28DLK1")</f>
        <v>K28DLK1</v>
      </c>
      <c r="G158" s="1" t="str">
        <f ca="1">IFERROR(__xludf.DUMMYFUNCTION("""COMPUTED_VALUE"""),"Quản trị Du lịch &amp; Khách sạn")</f>
        <v>Quản trị Du lịch &amp; Khách sạn</v>
      </c>
      <c r="H158" s="1" t="str">
        <f ca="1">IFERROR(__xludf.DUMMYFUNCTION("""COMPUTED_VALUE"""),"K28")</f>
        <v>K28</v>
      </c>
      <c r="I158" s="1" t="str">
        <f ca="1">IFERROR(__xludf.DUMMYFUNCTION("""COMPUTED_VALUE"""),"0935201761")</f>
        <v>0935201761</v>
      </c>
      <c r="J158" s="1">
        <f ca="1">IFERROR(__xludf.DUMMYFUNCTION("""COMPUTED_VALUE"""),2.54)</f>
        <v>2.54</v>
      </c>
      <c r="K158" s="1">
        <f ca="1">IFERROR(__xludf.DUMMYFUNCTION("""COMPUTED_VALUE"""),110)</f>
        <v>110</v>
      </c>
      <c r="L158" s="1" t="str">
        <f ca="1">IFERROR(__xludf.DUMMYFUNCTION("""COMPUTED_VALUE"""),"Rồi")</f>
        <v>Rồi</v>
      </c>
      <c r="M158" s="1" t="str">
        <f ca="1">IFERROR(__xludf.DUMMYFUNCTION("""COMPUTED_VALUE"""),"Thực tập tốt nghiệp, Thi tốt nghiệp, Công nhận tốt nghiệp")</f>
        <v>Thực tập tốt nghiệp, Thi tốt nghiệp, Công nhận tốt nghiệp</v>
      </c>
      <c r="N158" s="1" t="str">
        <f ca="1">IFERROR(__xludf.DUMMYFUNCTION("""COMPUTED_VALUE"""),"16 ( 1 tín chưa có điểm, 12 tín sắp thi và 3 tín chưa học)")</f>
        <v>16 ( 1 tín chưa có điểm, 12 tín sắp thi và 3 tín chưa học)</v>
      </c>
      <c r="O158" s="1" t="str">
        <f ca="1">IFERROR(__xludf.DUMMYFUNCTION("""COMPUTED_VALUE"""),"cam kết")</f>
        <v>cam kết</v>
      </c>
      <c r="P158" s="1"/>
      <c r="Q158" s="1"/>
      <c r="R158" s="1" t="str">
        <f ca="1">IFERROR(__xludf.DUMMYFUNCTION("""COMPUTED_VALUE"""),"18/12/2025")</f>
        <v>18/12/2025</v>
      </c>
      <c r="S158" s="1" t="str">
        <f ca="1">IFERROR(__xludf.DUMMYFUNCTION("""COMPUTED_VALUE"""),"thực tập TN, Thi TN")</f>
        <v>thực tập TN, Thi TN</v>
      </c>
      <c r="T158" s="1" t="str">
        <f ca="1">IFERROR(__xludf.DUMMYFUNCTION("""COMPUTED_VALUE"""),"Đã email cấp giấy giới thiệu ngày 18/12/2025")</f>
        <v>Đã email cấp giấy giới thiệu ngày 18/12/2025</v>
      </c>
      <c r="U158" s="1"/>
      <c r="V158" s="1"/>
      <c r="W158" s="1" t="str">
        <f ca="1">IFERROR(__xludf.DUMMYFUNCTION("""COMPUTED_VALUE"""),"K28DLK1")</f>
        <v>K28DLK1</v>
      </c>
      <c r="X158" s="1"/>
      <c r="Y158" s="1" t="str">
        <f ca="1">IFERROR(__xludf.DUMMYFUNCTION("""COMPUTED_VALUE"""),"Fusion Resort &amp; Villas Da Nang")</f>
        <v>Fusion Resort &amp; Villas Da Nang</v>
      </c>
      <c r="Z158" s="1" t="str">
        <f ca="1">IFERROR(__xludf.DUMMYFUNCTION("""COMPUTED_VALUE"""),"Nhà hàng")</f>
        <v>Nhà hàng</v>
      </c>
      <c r="AA158" s="1" t="str">
        <f ca="1">IFERROR(__xludf.DUMMYFUNCTION("""COMPUTED_VALUE"""),"DUYỆT")</f>
        <v>DUYỆT</v>
      </c>
      <c r="AB158" s="1" t="str">
        <f ca="1">IFERROR(__xludf.DUMMYFUNCTION("""COMPUTED_VALUE"""),"29/12/2025")</f>
        <v>29/12/2025</v>
      </c>
      <c r="AC158" s="1" t="str">
        <f ca="1">IFERROR(__xludf.DUMMYFUNCTION("""COMPUTED_VALUE"""),"BÁO CÁO THỰC TẬP TỐT NGHIỆP")</f>
        <v>BÁO CÁO THỰC TẬP TỐT NGHIỆP</v>
      </c>
      <c r="AD158" s="1" t="str">
        <f ca="1">IFERROR(__xludf.DUMMYFUNCTION("""COMPUTED_VALUE"""),"Dương Thị Xuân Diệu")</f>
        <v>Dương Thị Xuân Diệu</v>
      </c>
      <c r="AE158" s="1" t="str">
        <f ca="1">IFERROR(__xludf.DUMMYFUNCTION("""COMPUTED_VALUE"""),"Thạc sĩ")</f>
        <v>Thạc sĩ</v>
      </c>
      <c r="AF158" s="1" t="str">
        <f ca="1">IFERROR(__xludf.DUMMYFUNCTION("""COMPUTED_VALUE"""),"0905938748")</f>
        <v>0905938748</v>
      </c>
      <c r="AG158" s="1" t="str">
        <f ca="1">IFERROR(__xludf.DUMMYFUNCTION("""COMPUTED_VALUE"""),"duongtxuandieu@dtu-hti.edu.vn")</f>
        <v>duongtxuandieu@dtu-hti.edu.vn</v>
      </c>
      <c r="AH158" s="1" t="str">
        <f ca="1">IFERROR(__xludf.DUMMYFUNCTION("""COMPUTED_VALUE"""),"#N/A")</f>
        <v>#N/A</v>
      </c>
      <c r="AI158" s="1"/>
    </row>
    <row r="159" spans="1:35" x14ac:dyDescent="0.2">
      <c r="A159" s="3">
        <f ca="1">IFERROR(__xludf.DUMMYFUNCTION("""COMPUTED_VALUE"""),46001.6358966898)</f>
        <v>46001.635896689797</v>
      </c>
      <c r="B159" s="1" t="str">
        <f ca="1">IFERROR(__xludf.DUMMYFUNCTION("""COMPUTED_VALUE"""),"nguyendacthanh5102003@gmail.com")</f>
        <v>nguyendacthanh5102003@gmail.com</v>
      </c>
      <c r="C159" s="1">
        <f ca="1">IFERROR(__xludf.DUMMYFUNCTION("""COMPUTED_VALUE"""),27217125401)</f>
        <v>27217125401</v>
      </c>
      <c r="D159" s="1" t="str">
        <f ca="1">IFERROR(__xludf.DUMMYFUNCTION("""COMPUTED_VALUE"""),"Nguyễn Đắc Thanh")</f>
        <v>Nguyễn Đắc Thanh</v>
      </c>
      <c r="E159" s="1"/>
      <c r="F159" s="1" t="str">
        <f ca="1">IFERROR(__xludf.DUMMYFUNCTION("""COMPUTED_VALUE"""),"K27DLK3")</f>
        <v>K27DLK3</v>
      </c>
      <c r="G159" s="1" t="str">
        <f ca="1">IFERROR(__xludf.DUMMYFUNCTION("""COMPUTED_VALUE"""),"Quản trị Du lịch &amp; Khách sạn")</f>
        <v>Quản trị Du lịch &amp; Khách sạn</v>
      </c>
      <c r="H159" s="1" t="str">
        <f ca="1">IFERROR(__xludf.DUMMYFUNCTION("""COMPUTED_VALUE"""),"K27")</f>
        <v>K27</v>
      </c>
      <c r="I159" s="1" t="str">
        <f ca="1">IFERROR(__xludf.DUMMYFUNCTION("""COMPUTED_VALUE"""),"0589048258")</f>
        <v>0589048258</v>
      </c>
      <c r="J159" s="1">
        <f ca="1">IFERROR(__xludf.DUMMYFUNCTION("""COMPUTED_VALUE"""),2.47)</f>
        <v>2.4700000000000002</v>
      </c>
      <c r="K159" s="1">
        <f ca="1">IFERROR(__xludf.DUMMYFUNCTION("""COMPUTED_VALUE"""),119)</f>
        <v>119</v>
      </c>
      <c r="L159" s="1" t="str">
        <f ca="1">IFERROR(__xludf.DUMMYFUNCTION("""COMPUTED_VALUE"""),"Rồi")</f>
        <v>Rồi</v>
      </c>
      <c r="M159" s="1" t="str">
        <f ca="1">IFERROR(__xludf.DUMMYFUNCTION("""COMPUTED_VALUE"""),"Thực tập tốt nghiệp")</f>
        <v>Thực tập tốt nghiệp</v>
      </c>
      <c r="N159" s="1">
        <f ca="1">IFERROR(__xludf.DUMMYFUNCTION("""COMPUTED_VALUE"""),5)</f>
        <v>5</v>
      </c>
      <c r="O159" s="1" t="str">
        <f ca="1">IFERROR(__xludf.DUMMYFUNCTION("""COMPUTED_VALUE"""),"cam kết")</f>
        <v>cam kết</v>
      </c>
      <c r="P159" s="1" t="str">
        <f ca="1">IFERROR(__xludf.DUMMYFUNCTION("""COMPUTED_VALUE"""),"CHƯA NỘP")</f>
        <v>CHƯA NỘP</v>
      </c>
      <c r="Q159" s="1">
        <f ca="1">IFERROR(__xludf.DUMMYFUNCTION("""COMPUTED_VALUE"""),13)</f>
        <v>13</v>
      </c>
      <c r="R159" s="1" t="str">
        <f ca="1">IFERROR(__xludf.DUMMYFUNCTION("""COMPUTED_VALUE"""),"18/12/2025")</f>
        <v>18/12/2025</v>
      </c>
      <c r="S159" s="1" t="str">
        <f ca="1">IFERROR(__xludf.DUMMYFUNCTION("""COMPUTED_VALUE"""),"thực tập TN, Thi TN")</f>
        <v>thực tập TN, Thi TN</v>
      </c>
      <c r="T159" s="1" t="str">
        <f ca="1">IFERROR(__xludf.DUMMYFUNCTION("""COMPUTED_VALUE"""),"Hủy đăng ký thực tập TN đợt 06/2026 do SV ko nộp đơn. 
SV có thể nộp đơn tham dự TN để đăng ký học phần Thi TN. Hạn nộp đơn: 27/02/2026")</f>
        <v>Hủy đăng ký thực tập TN đợt 06/2026 do SV ko nộp đơn. 
SV có thể nộp đơn tham dự TN để đăng ký học phần Thi TN. Hạn nộp đơn: 27/02/2026</v>
      </c>
      <c r="U159" s="1"/>
      <c r="V159" s="1"/>
      <c r="W159" s="1" t="str">
        <f ca="1">IFERROR(__xludf.DUMMYFUNCTION("""COMPUTED_VALUE"""),"K27DLK3")</f>
        <v>K27DLK3</v>
      </c>
      <c r="X159" s="1"/>
      <c r="Y159" s="1" t="str">
        <f ca="1">IFERROR(__xludf.DUMMYFUNCTION("""COMPUTED_VALUE"""),"#N/A")</f>
        <v>#N/A</v>
      </c>
      <c r="Z159" s="1" t="str">
        <f ca="1">IFERROR(__xludf.DUMMYFUNCTION("""COMPUTED_VALUE"""),"#N/A")</f>
        <v>#N/A</v>
      </c>
      <c r="AA159" s="1" t="str">
        <f ca="1">IFERROR(__xludf.DUMMYFUNCTION("""COMPUTED_VALUE"""),"#N/A")</f>
        <v>#N/A</v>
      </c>
      <c r="AB159" s="1"/>
      <c r="AC159" s="1" t="str">
        <f ca="1">IFERROR(__xludf.DUMMYFUNCTION("""COMPUTED_VALUE"""),"BÁO CÁO THỰC TẬP TỐT NGHIỆP")</f>
        <v>BÁO CÁO THỰC TẬP TỐT NGHIỆP</v>
      </c>
      <c r="AD159" s="1"/>
      <c r="AE159" s="1" t="str">
        <f ca="1">IFERROR(__xludf.DUMMYFUNCTION("""COMPUTED_VALUE"""),"#N/A")</f>
        <v>#N/A</v>
      </c>
      <c r="AF159" s="1" t="str">
        <f ca="1">IFERROR(__xludf.DUMMYFUNCTION("""COMPUTED_VALUE"""),"#N/A")</f>
        <v>#N/A</v>
      </c>
      <c r="AG159" s="1" t="str">
        <f ca="1">IFERROR(__xludf.DUMMYFUNCTION("""COMPUTED_VALUE"""),"#N/A")</f>
        <v>#N/A</v>
      </c>
      <c r="AH159" s="1" t="str">
        <f ca="1">IFERROR(__xludf.DUMMYFUNCTION("""COMPUTED_VALUE"""),"#N/A")</f>
        <v>#N/A</v>
      </c>
      <c r="AI159" s="1"/>
    </row>
    <row r="160" spans="1:35" x14ac:dyDescent="0.2">
      <c r="A160" s="3">
        <f ca="1">IFERROR(__xludf.DUMMYFUNCTION("""COMPUTED_VALUE"""),46001.6987229398)</f>
        <v>46001.6987229398</v>
      </c>
      <c r="B160" s="1" t="str">
        <f ca="1">IFERROR(__xludf.DUMMYFUNCTION("""COMPUTED_VALUE"""),"ngoctuyethuynh849@gmail.com")</f>
        <v>ngoctuyethuynh849@gmail.com</v>
      </c>
      <c r="C160" s="1">
        <f ca="1">IFERROR(__xludf.DUMMYFUNCTION("""COMPUTED_VALUE"""),28218042877)</f>
        <v>28218042877</v>
      </c>
      <c r="D160" s="1" t="str">
        <f ca="1">IFERROR(__xludf.DUMMYFUNCTION("""COMPUTED_VALUE"""),"Huỳnh Ngọc Tuyết ")</f>
        <v xml:space="preserve">Huỳnh Ngọc Tuyết </v>
      </c>
      <c r="E160" s="1"/>
      <c r="F160" s="1" t="str">
        <f ca="1">IFERROR(__xludf.DUMMYFUNCTION("""COMPUTED_VALUE"""),"K28DLK4 ")</f>
        <v xml:space="preserve">K28DLK4 </v>
      </c>
      <c r="G160" s="1" t="str">
        <f ca="1">IFERROR(__xludf.DUMMYFUNCTION("""COMPUTED_VALUE"""),"Quản trị Du lịch &amp; Khách sạn")</f>
        <v>Quản trị Du lịch &amp; Khách sạn</v>
      </c>
      <c r="H160" s="1" t="str">
        <f ca="1">IFERROR(__xludf.DUMMYFUNCTION("""COMPUTED_VALUE"""),"K28")</f>
        <v>K28</v>
      </c>
      <c r="I160" s="1" t="str">
        <f ca="1">IFERROR(__xludf.DUMMYFUNCTION("""COMPUTED_VALUE"""),"0848341834")</f>
        <v>0848341834</v>
      </c>
      <c r="J160" s="1">
        <f ca="1">IFERROR(__xludf.DUMMYFUNCTION("""COMPUTED_VALUE"""),2.15)</f>
        <v>2.15</v>
      </c>
      <c r="K160" s="1">
        <f ca="1">IFERROR(__xludf.DUMMYFUNCTION("""COMPUTED_VALUE"""),114)</f>
        <v>114</v>
      </c>
      <c r="L160" s="1" t="str">
        <f ca="1">IFERROR(__xludf.DUMMYFUNCTION("""COMPUTED_VALUE"""),"Rồi")</f>
        <v>Rồi</v>
      </c>
      <c r="M160" s="1" t="str">
        <f ca="1">IFERROR(__xludf.DUMMYFUNCTION("""COMPUTED_VALUE"""),"Thực tập tốt nghiệp, Thi tốt nghiệp, Công nhận tốt nghiệp")</f>
        <v>Thực tập tốt nghiệp, Thi tốt nghiệp, Công nhận tốt nghiệp</v>
      </c>
      <c r="N160" s="1" t="str">
        <f ca="1">IFERROR(__xludf.DUMMYFUNCTION("""COMPUTED_VALUE"""),"6 tín ")</f>
        <v xml:space="preserve">6 tín </v>
      </c>
      <c r="O160" s="1" t="str">
        <f ca="1">IFERROR(__xludf.DUMMYFUNCTION("""COMPUTED_VALUE"""),"cam kết")</f>
        <v>cam kết</v>
      </c>
      <c r="P160" s="1"/>
      <c r="Q160" s="1"/>
      <c r="R160" s="1" t="str">
        <f ca="1">IFERROR(__xludf.DUMMYFUNCTION("""COMPUTED_VALUE"""),"18/12/2025")</f>
        <v>18/12/2025</v>
      </c>
      <c r="S160" s="1" t="str">
        <f ca="1">IFERROR(__xludf.DUMMYFUNCTION("""COMPUTED_VALUE"""),"không đủ điều kiện thực tập")</f>
        <v>không đủ điều kiện thực tập</v>
      </c>
      <c r="T160" s="1" t="str">
        <f ca="1">IFERROR(__xludf.DUMMYFUNCTION("""COMPUTED_VALUE"""),"Đã email cấp giấy giới thiệu ngày 18/12/2025")</f>
        <v>Đã email cấp giấy giới thiệu ngày 18/12/2025</v>
      </c>
      <c r="U160" s="1"/>
      <c r="V160" s="1"/>
      <c r="W160" s="1" t="str">
        <f ca="1">IFERROR(__xludf.DUMMYFUNCTION("""COMPUTED_VALUE"""),"K28DLK4")</f>
        <v>K28DLK4</v>
      </c>
      <c r="X160" s="1"/>
      <c r="Y160" s="1" t="str">
        <f ca="1">IFERROR(__xludf.DUMMYFUNCTION("""COMPUTED_VALUE"""),"#N/A")</f>
        <v>#N/A</v>
      </c>
      <c r="Z160" s="1" t="str">
        <f ca="1">IFERROR(__xludf.DUMMYFUNCTION("""COMPUTED_VALUE"""),"#N/A")</f>
        <v>#N/A</v>
      </c>
      <c r="AA160" s="1" t="str">
        <f ca="1">IFERROR(__xludf.DUMMYFUNCTION("""COMPUTED_VALUE"""),"#N/A")</f>
        <v>#N/A</v>
      </c>
      <c r="AB160" s="1" t="str">
        <f ca="1">IFERROR(__xludf.DUMMYFUNCTION("""COMPUTED_VALUE"""),"#N/A")</f>
        <v>#N/A</v>
      </c>
      <c r="AC160" s="1" t="str">
        <f ca="1">IFERROR(__xludf.DUMMYFUNCTION("""COMPUTED_VALUE""")," ")</f>
        <v xml:space="preserve"> </v>
      </c>
      <c r="AD160" s="1"/>
      <c r="AE160" s="1" t="str">
        <f ca="1">IFERROR(__xludf.DUMMYFUNCTION("""COMPUTED_VALUE"""),"#N/A")</f>
        <v>#N/A</v>
      </c>
      <c r="AF160" s="1" t="str">
        <f ca="1">IFERROR(__xludf.DUMMYFUNCTION("""COMPUTED_VALUE"""),"#N/A")</f>
        <v>#N/A</v>
      </c>
      <c r="AG160" s="1" t="str">
        <f ca="1">IFERROR(__xludf.DUMMYFUNCTION("""COMPUTED_VALUE"""),"#N/A")</f>
        <v>#N/A</v>
      </c>
      <c r="AH160" s="1"/>
      <c r="AI160" s="1"/>
    </row>
    <row r="161" spans="1:35" x14ac:dyDescent="0.2">
      <c r="A161" s="3">
        <f ca="1">IFERROR(__xludf.DUMMYFUNCTION("""COMPUTED_VALUE"""),46001.7111053819)</f>
        <v>46001.711105381903</v>
      </c>
      <c r="B161" s="1" t="str">
        <f ca="1">IFERROR(__xludf.DUMMYFUNCTION("""COMPUTED_VALUE"""),"nganviet68@gmail.com")</f>
        <v>nganviet68@gmail.com</v>
      </c>
      <c r="C161" s="1">
        <f ca="1">IFERROR(__xludf.DUMMYFUNCTION("""COMPUTED_VALUE"""),28208054729)</f>
        <v>28208054729</v>
      </c>
      <c r="D161" s="1" t="str">
        <f ca="1">IFERROR(__xludf.DUMMYFUNCTION("""COMPUTED_VALUE"""),"Nguyễn Thị Việt Ngân ")</f>
        <v xml:space="preserve">Nguyễn Thị Việt Ngân </v>
      </c>
      <c r="E161" s="1"/>
      <c r="F161" s="1" t="str">
        <f ca="1">IFERROR(__xludf.DUMMYFUNCTION("""COMPUTED_VALUE"""),"K28DLK8")</f>
        <v>K28DLK8</v>
      </c>
      <c r="G161" s="1" t="str">
        <f ca="1">IFERROR(__xludf.DUMMYFUNCTION("""COMPUTED_VALUE"""),"Quản trị Du lịch &amp; Khách sạn")</f>
        <v>Quản trị Du lịch &amp; Khách sạn</v>
      </c>
      <c r="H161" s="1" t="str">
        <f ca="1">IFERROR(__xludf.DUMMYFUNCTION("""COMPUTED_VALUE"""),"K28")</f>
        <v>K28</v>
      </c>
      <c r="I161" s="1" t="str">
        <f ca="1">IFERROR(__xludf.DUMMYFUNCTION("""COMPUTED_VALUE"""),"0373997634")</f>
        <v>0373997634</v>
      </c>
      <c r="J161" s="1">
        <f ca="1">IFERROR(__xludf.DUMMYFUNCTION("""COMPUTED_VALUE"""),2.42)</f>
        <v>2.42</v>
      </c>
      <c r="K161" s="1">
        <f ca="1">IFERROR(__xludf.DUMMYFUNCTION("""COMPUTED_VALUE"""),121)</f>
        <v>121</v>
      </c>
      <c r="L161" s="1" t="str">
        <f ca="1">IFERROR(__xludf.DUMMYFUNCTION("""COMPUTED_VALUE"""),"Rồi")</f>
        <v>Rồi</v>
      </c>
      <c r="M161" s="1" t="str">
        <f ca="1">IFERROR(__xludf.DUMMYFUNCTION("""COMPUTED_VALUE"""),"Thực tập tốt nghiệp")</f>
        <v>Thực tập tốt nghiệp</v>
      </c>
      <c r="N161" s="1">
        <f ca="1">IFERROR(__xludf.DUMMYFUNCTION("""COMPUTED_VALUE"""),3)</f>
        <v>3</v>
      </c>
      <c r="O161" s="1" t="str">
        <f ca="1">IFERROR(__xludf.DUMMYFUNCTION("""COMPUTED_VALUE"""),"cam kết")</f>
        <v>cam kết</v>
      </c>
      <c r="P161" s="1"/>
      <c r="Q161" s="1"/>
      <c r="R161" s="1" t="str">
        <f ca="1">IFERROR(__xludf.DUMMYFUNCTION("""COMPUTED_VALUE"""),"18/12/2025")</f>
        <v>18/12/2025</v>
      </c>
      <c r="S161" s="1" t="str">
        <f ca="1">IFERROR(__xludf.DUMMYFUNCTION("""COMPUTED_VALUE"""),"thực tập TN, Thi TN")</f>
        <v>thực tập TN, Thi TN</v>
      </c>
      <c r="T161" s="1" t="str">
        <f ca="1">IFERROR(__xludf.DUMMYFUNCTION("""COMPUTED_VALUE"""),"Đã email cấp giấy giới thiệu ngày 18/12/2025")</f>
        <v>Đã email cấp giấy giới thiệu ngày 18/12/2025</v>
      </c>
      <c r="U161" s="1"/>
      <c r="V161" s="1"/>
      <c r="W161" s="1" t="str">
        <f ca="1">IFERROR(__xludf.DUMMYFUNCTION("""COMPUTED_VALUE"""),"K28DLK8")</f>
        <v>K28DLK8</v>
      </c>
      <c r="X161" s="1"/>
      <c r="Y161" s="1" t="str">
        <f ca="1">IFERROR(__xludf.DUMMYFUNCTION("""COMPUTED_VALUE"""),"Four Points by Sheraton Danang")</f>
        <v>Four Points by Sheraton Danang</v>
      </c>
      <c r="Z161" s="1" t="str">
        <f ca="1">IFERROR(__xludf.DUMMYFUNCTION("""COMPUTED_VALUE"""),"Nhà hàng")</f>
        <v>Nhà hàng</v>
      </c>
      <c r="AA161" s="1" t="str">
        <f ca="1">IFERROR(__xludf.DUMMYFUNCTION("""COMPUTED_VALUE"""),"DUYỆT")</f>
        <v>DUYỆT</v>
      </c>
      <c r="AB161" s="1" t="str">
        <f ca="1">IFERROR(__xludf.DUMMYFUNCTION("""COMPUTED_VALUE"""),"27/01/2026")</f>
        <v>27/01/2026</v>
      </c>
      <c r="AC161" s="1" t="str">
        <f ca="1">IFERROR(__xludf.DUMMYFUNCTION("""COMPUTED_VALUE"""),"BÁO CÁO THỰC TẬP TỐT NGHIỆP")</f>
        <v>BÁO CÁO THỰC TẬP TỐT NGHIỆP</v>
      </c>
      <c r="AD161" s="1" t="str">
        <f ca="1">IFERROR(__xludf.DUMMYFUNCTION("""COMPUTED_VALUE"""),"Dương Thị Xuân Diệu")</f>
        <v>Dương Thị Xuân Diệu</v>
      </c>
      <c r="AE161" s="1" t="str">
        <f ca="1">IFERROR(__xludf.DUMMYFUNCTION("""COMPUTED_VALUE"""),"Thạc sĩ")</f>
        <v>Thạc sĩ</v>
      </c>
      <c r="AF161" s="1" t="str">
        <f ca="1">IFERROR(__xludf.DUMMYFUNCTION("""COMPUTED_VALUE"""),"0905938748")</f>
        <v>0905938748</v>
      </c>
      <c r="AG161" s="1" t="str">
        <f ca="1">IFERROR(__xludf.DUMMYFUNCTION("""COMPUTED_VALUE"""),"duongtxuandieu@dtu-hti.edu.vn")</f>
        <v>duongtxuandieu@dtu-hti.edu.vn</v>
      </c>
      <c r="AH161" s="1" t="str">
        <f ca="1">IFERROR(__xludf.DUMMYFUNCTION("""COMPUTED_VALUE""")," Báo cáo kết quả thực tập và thực trạng chất lượng nguồn nhân lực tại Nhà hàng The Eatery thuộc Four Points by Sheraton Da Nang")</f>
        <v xml:space="preserve"> Báo cáo kết quả thực tập và thực trạng chất lượng nguồn nhân lực tại Nhà hàng The Eatery thuộc Four Points by Sheraton Da Nang</v>
      </c>
      <c r="AI161" s="1"/>
    </row>
    <row r="162" spans="1:35" x14ac:dyDescent="0.2">
      <c r="A162" s="3">
        <f ca="1">IFERROR(__xludf.DUMMYFUNCTION("""COMPUTED_VALUE"""),46001.726952743)</f>
        <v>46001.726952743003</v>
      </c>
      <c r="B162" s="1" t="str">
        <f ca="1">IFERROR(__xludf.DUMMYFUNCTION("""COMPUTED_VALUE"""),"ngothiet922@gmail.com")</f>
        <v>ngothiet922@gmail.com</v>
      </c>
      <c r="C162" s="1">
        <f ca="1">IFERROR(__xludf.DUMMYFUNCTION("""COMPUTED_VALUE"""),25217102936)</f>
        <v>25217102936</v>
      </c>
      <c r="D162" s="1" t="str">
        <f ca="1">IFERROR(__xludf.DUMMYFUNCTION("""COMPUTED_VALUE"""),"ngô đức thiện")</f>
        <v>ngô đức thiện</v>
      </c>
      <c r="E162" s="1"/>
      <c r="F162" s="1" t="str">
        <f ca="1">IFERROR(__xludf.DUMMYFUNCTION("""COMPUTED_VALUE"""),"K26DLK16")</f>
        <v>K26DLK16</v>
      </c>
      <c r="G162" s="1" t="str">
        <f ca="1">IFERROR(__xludf.DUMMYFUNCTION("""COMPUTED_VALUE"""),"Quản trị Du lịch &amp; Khách sạn")</f>
        <v>Quản trị Du lịch &amp; Khách sạn</v>
      </c>
      <c r="H162" s="1" t="str">
        <f ca="1">IFERROR(__xludf.DUMMYFUNCTION("""COMPUTED_VALUE"""),"K26")</f>
        <v>K26</v>
      </c>
      <c r="I162" s="1" t="str">
        <f ca="1">IFERROR(__xludf.DUMMYFUNCTION("""COMPUTED_VALUE"""),"0763634665")</f>
        <v>0763634665</v>
      </c>
      <c r="J162" s="1">
        <f ca="1">IFERROR(__xludf.DUMMYFUNCTION("""COMPUTED_VALUE"""),2.73)</f>
        <v>2.73</v>
      </c>
      <c r="K162" s="1">
        <f ca="1">IFERROR(__xludf.DUMMYFUNCTION("""COMPUTED_VALUE"""),123)</f>
        <v>123</v>
      </c>
      <c r="L162" s="1" t="str">
        <f ca="1">IFERROR(__xludf.DUMMYFUNCTION("""COMPUTED_VALUE"""),"Rồi")</f>
        <v>Rồi</v>
      </c>
      <c r="M162" s="1" t="str">
        <f ca="1">IFERROR(__xludf.DUMMYFUNCTION("""COMPUTED_VALUE"""),"Thực tập tốt nghiệp, Thi tốt nghiệp, Công nhận tốt nghiệp")</f>
        <v>Thực tập tốt nghiệp, Thi tốt nghiệp, Công nhận tốt nghiệp</v>
      </c>
      <c r="N162" s="1">
        <f ca="1">IFERROR(__xludf.DUMMYFUNCTION("""COMPUTED_VALUE"""),3)</f>
        <v>3</v>
      </c>
      <c r="O162" s="1" t="str">
        <f ca="1">IFERROR(__xludf.DUMMYFUNCTION("""COMPUTED_VALUE"""),"cam kết")</f>
        <v>cam kết</v>
      </c>
      <c r="P162" s="1" t="str">
        <f ca="1">IFERROR(__xludf.DUMMYFUNCTION("""COMPUTED_VALUE"""),"ĐÃ NỘP")</f>
        <v>ĐÃ NỘP</v>
      </c>
      <c r="Q162" s="1">
        <f ca="1">IFERROR(__xludf.DUMMYFUNCTION("""COMPUTED_VALUE"""),14)</f>
        <v>14</v>
      </c>
      <c r="R162" s="1" t="str">
        <f ca="1">IFERROR(__xludf.DUMMYFUNCTION("""COMPUTED_VALUE"""),"18/12/2025")</f>
        <v>18/12/2025</v>
      </c>
      <c r="S162" s="1" t="str">
        <f ca="1">IFERROR(__xludf.DUMMYFUNCTION("""COMPUTED_VALUE"""),"thực tập TN, Thi TN")</f>
        <v>thực tập TN, Thi TN</v>
      </c>
      <c r="T162" s="1" t="str">
        <f ca="1">IFERROR(__xludf.DUMMYFUNCTION("""COMPUTED_VALUE"""),"Đã email cấp giấy giới thiệu ngày 18/12/2025")</f>
        <v>Đã email cấp giấy giới thiệu ngày 18/12/2025</v>
      </c>
      <c r="U162" s="1"/>
      <c r="V162" s="1"/>
      <c r="W162" s="1" t="str">
        <f ca="1">IFERROR(__xludf.DUMMYFUNCTION("""COMPUTED_VALUE"""),"K26DLK10")</f>
        <v>K26DLK10</v>
      </c>
      <c r="X162" s="1"/>
      <c r="Y162" s="1" t="str">
        <f ca="1">IFERROR(__xludf.DUMMYFUNCTION("""COMPUTED_VALUE"""),"Renaissance Danang Hoi An Resort &amp; Spa")</f>
        <v>Renaissance Danang Hoi An Resort &amp; Spa</v>
      </c>
      <c r="Z162" s="1" t="str">
        <f ca="1">IFERROR(__xludf.DUMMYFUNCTION("""COMPUTED_VALUE"""),"Nhà hàng")</f>
        <v>Nhà hàng</v>
      </c>
      <c r="AA162" s="1" t="str">
        <f ca="1">IFERROR(__xludf.DUMMYFUNCTION("""COMPUTED_VALUE"""),"DUYỆT")</f>
        <v>DUYỆT</v>
      </c>
      <c r="AB162" s="1" t="str">
        <f ca="1">IFERROR(__xludf.DUMMYFUNCTION("""COMPUTED_VALUE"""),"30/01/2026")</f>
        <v>30/01/2026</v>
      </c>
      <c r="AC162" s="1" t="str">
        <f ca="1">IFERROR(__xludf.DUMMYFUNCTION("""COMPUTED_VALUE"""),"BÁO CÁO THỰC TẬP TỐT NGHIỆP")</f>
        <v>BÁO CÁO THỰC TẬP TỐT NGHIỆP</v>
      </c>
      <c r="AD162" s="1" t="str">
        <f ca="1">IFERROR(__xludf.DUMMYFUNCTION("""COMPUTED_VALUE"""),"Đặng Thị Thùy Trang")</f>
        <v>Đặng Thị Thùy Trang</v>
      </c>
      <c r="AE162" s="1" t="str">
        <f ca="1">IFERROR(__xludf.DUMMYFUNCTION("""COMPUTED_VALUE"""),"Thạc sĩ")</f>
        <v>Thạc sĩ</v>
      </c>
      <c r="AF162" s="1" t="str">
        <f ca="1">IFERROR(__xludf.DUMMYFUNCTION("""COMPUTED_VALUE"""),"0327892117")</f>
        <v>0327892117</v>
      </c>
      <c r="AG162" s="1" t="str">
        <f ca="1">IFERROR(__xludf.DUMMYFUNCTION("""COMPUTED_VALUE"""),"dangtthuytrang3@dtu-hti.edu.vn")</f>
        <v>dangtthuytrang3@dtu-hti.edu.vn</v>
      </c>
      <c r="AH162" s="1" t="str">
        <f ca="1">IFERROR(__xludf.DUMMYFUNCTION("""COMPUTED_VALUE"""),"Báo cáo kết quả thực tập và thực trạng quy trình phục vụ À La Carte cho khách VIP tại nhà hàng R Lounge thuộc Renaissance Danang Hoian Resort &amp; Spa")</f>
        <v>Báo cáo kết quả thực tập và thực trạng quy trình phục vụ À La Carte cho khách VIP tại nhà hàng R Lounge thuộc Renaissance Danang Hoian Resort &amp; Spa</v>
      </c>
      <c r="AI162" s="1"/>
    </row>
    <row r="163" spans="1:35" x14ac:dyDescent="0.2">
      <c r="A163" s="3">
        <f ca="1">IFERROR(__xludf.DUMMYFUNCTION("""COMPUTED_VALUE"""),46001.7590440625)</f>
        <v>46001.759044062499</v>
      </c>
      <c r="B163" s="1" t="str">
        <f ca="1">IFERROR(__xludf.DUMMYFUNCTION("""COMPUTED_VALUE"""),"tuongvi191104@gmail.com")</f>
        <v>tuongvi191104@gmail.com</v>
      </c>
      <c r="C163" s="1">
        <f ca="1">IFERROR(__xludf.DUMMYFUNCTION("""COMPUTED_VALUE"""),28208052980)</f>
        <v>28208052980</v>
      </c>
      <c r="D163" s="1" t="str">
        <f ca="1">IFERROR(__xludf.DUMMYFUNCTION("""COMPUTED_VALUE"""),"Nguyễn Đỗ Tường Vi")</f>
        <v>Nguyễn Đỗ Tường Vi</v>
      </c>
      <c r="E163" s="1"/>
      <c r="F163" s="1" t="str">
        <f ca="1">IFERROR(__xludf.DUMMYFUNCTION("""COMPUTED_VALUE"""),"K28DLK8")</f>
        <v>K28DLK8</v>
      </c>
      <c r="G163" s="1" t="str">
        <f ca="1">IFERROR(__xludf.DUMMYFUNCTION("""COMPUTED_VALUE"""),"Quản trị Du lịch &amp; Khách sạn")</f>
        <v>Quản trị Du lịch &amp; Khách sạn</v>
      </c>
      <c r="H163" s="1" t="str">
        <f ca="1">IFERROR(__xludf.DUMMYFUNCTION("""COMPUTED_VALUE"""),"K28")</f>
        <v>K28</v>
      </c>
      <c r="I163" s="1" t="str">
        <f ca="1">IFERROR(__xludf.DUMMYFUNCTION("""COMPUTED_VALUE"""),"0704414754")</f>
        <v>0704414754</v>
      </c>
      <c r="J163" s="1">
        <f ca="1">IFERROR(__xludf.DUMMYFUNCTION("""COMPUTED_VALUE"""),2.09)</f>
        <v>2.09</v>
      </c>
      <c r="K163" s="1">
        <f ca="1">IFERROR(__xludf.DUMMYFUNCTION("""COMPUTED_VALUE"""),115)</f>
        <v>115</v>
      </c>
      <c r="L163" s="1" t="str">
        <f ca="1">IFERROR(__xludf.DUMMYFUNCTION("""COMPUTED_VALUE"""),"Rồi")</f>
        <v>Rồi</v>
      </c>
      <c r="M163" s="1" t="str">
        <f ca="1">IFERROR(__xludf.DUMMYFUNCTION("""COMPUTED_VALUE"""),"Thực tập tốt nghiệp, Thi tốt nghiệp, Công nhận tốt nghiệp")</f>
        <v>Thực tập tốt nghiệp, Thi tốt nghiệp, Công nhận tốt nghiệp</v>
      </c>
      <c r="N163" s="1">
        <f ca="1">IFERROR(__xludf.DUMMYFUNCTION("""COMPUTED_VALUE"""),4)</f>
        <v>4</v>
      </c>
      <c r="O163" s="1" t="str">
        <f ca="1">IFERROR(__xludf.DUMMYFUNCTION("""COMPUTED_VALUE"""),"cam kết")</f>
        <v>cam kết</v>
      </c>
      <c r="P163" s="1"/>
      <c r="Q163" s="1"/>
      <c r="R163" s="1" t="str">
        <f ca="1">IFERROR(__xludf.DUMMYFUNCTION("""COMPUTED_VALUE"""),"18/12/2025")</f>
        <v>18/12/2025</v>
      </c>
      <c r="S163" s="1" t="str">
        <f ca="1">IFERROR(__xludf.DUMMYFUNCTION("""COMPUTED_VALUE"""),"không đủ điều kiện thực tập")</f>
        <v>không đủ điều kiện thực tập</v>
      </c>
      <c r="T163" s="1" t="str">
        <f ca="1">IFERROR(__xludf.DUMMYFUNCTION("""COMPUTED_VALUE"""),"Đã email cấp giấy giới thiệu ngày 18/12/2025")</f>
        <v>Đã email cấp giấy giới thiệu ngày 18/12/2025</v>
      </c>
      <c r="U163" s="1"/>
      <c r="V163" s="1"/>
      <c r="W163" s="1" t="str">
        <f ca="1">IFERROR(__xludf.DUMMYFUNCTION("""COMPUTED_VALUE"""),"K28DLK8")</f>
        <v>K28DLK8</v>
      </c>
      <c r="X163" s="1"/>
      <c r="Y163" s="1" t="str">
        <f ca="1">IFERROR(__xludf.DUMMYFUNCTION("""COMPUTED_VALUE"""),"#N/A")</f>
        <v>#N/A</v>
      </c>
      <c r="Z163" s="1" t="str">
        <f ca="1">IFERROR(__xludf.DUMMYFUNCTION("""COMPUTED_VALUE"""),"#N/A")</f>
        <v>#N/A</v>
      </c>
      <c r="AA163" s="1" t="str">
        <f ca="1">IFERROR(__xludf.DUMMYFUNCTION("""COMPUTED_VALUE"""),"#N/A")</f>
        <v>#N/A</v>
      </c>
      <c r="AB163" s="1" t="str">
        <f ca="1">IFERROR(__xludf.DUMMYFUNCTION("""COMPUTED_VALUE"""),"#N/A")</f>
        <v>#N/A</v>
      </c>
      <c r="AC163" s="1" t="str">
        <f ca="1">IFERROR(__xludf.DUMMYFUNCTION("""COMPUTED_VALUE""")," ")</f>
        <v xml:space="preserve"> </v>
      </c>
      <c r="AD163" s="1"/>
      <c r="AE163" s="1" t="str">
        <f ca="1">IFERROR(__xludf.DUMMYFUNCTION("""COMPUTED_VALUE"""),"#N/A")</f>
        <v>#N/A</v>
      </c>
      <c r="AF163" s="1" t="str">
        <f ca="1">IFERROR(__xludf.DUMMYFUNCTION("""COMPUTED_VALUE"""),"#N/A")</f>
        <v>#N/A</v>
      </c>
      <c r="AG163" s="1" t="str">
        <f ca="1">IFERROR(__xludf.DUMMYFUNCTION("""COMPUTED_VALUE"""),"#N/A")</f>
        <v>#N/A</v>
      </c>
      <c r="AH163" s="1"/>
      <c r="AI163" s="1"/>
    </row>
    <row r="164" spans="1:35" x14ac:dyDescent="0.2">
      <c r="A164" s="3">
        <f ca="1">IFERROR(__xludf.DUMMYFUNCTION("""COMPUTED_VALUE"""),46001.7603958449)</f>
        <v>46001.760395844904</v>
      </c>
      <c r="B164" s="1" t="str">
        <f ca="1">IFERROR(__xludf.DUMMYFUNCTION("""COMPUTED_VALUE"""),"uyendangdn06122004@gmail.com")</f>
        <v>uyendangdn06122004@gmail.com</v>
      </c>
      <c r="C164" s="1">
        <f ca="1">IFERROR(__xludf.DUMMYFUNCTION("""COMPUTED_VALUE"""),28206105368)</f>
        <v>28206105368</v>
      </c>
      <c r="D164" s="1" t="str">
        <f ca="1">IFERROR(__xludf.DUMMYFUNCTION("""COMPUTED_VALUE"""),"Đặng Nguyễn Ngọc Uyên")</f>
        <v>Đặng Nguyễn Ngọc Uyên</v>
      </c>
      <c r="E164" s="1"/>
      <c r="F164" s="1" t="str">
        <f ca="1">IFERROR(__xludf.DUMMYFUNCTION("""COMPUTED_VALUE"""),"K28DLK5")</f>
        <v>K28DLK5</v>
      </c>
      <c r="G164" s="1" t="str">
        <f ca="1">IFERROR(__xludf.DUMMYFUNCTION("""COMPUTED_VALUE"""),"Quản trị Du lịch &amp; Khách sạn")</f>
        <v>Quản trị Du lịch &amp; Khách sạn</v>
      </c>
      <c r="H164" s="1" t="str">
        <f ca="1">IFERROR(__xludf.DUMMYFUNCTION("""COMPUTED_VALUE"""),"K28")</f>
        <v>K28</v>
      </c>
      <c r="I164" s="1" t="str">
        <f ca="1">IFERROR(__xludf.DUMMYFUNCTION("""COMPUTED_VALUE"""),"0932153652")</f>
        <v>0932153652</v>
      </c>
      <c r="J164" s="1">
        <f ca="1">IFERROR(__xludf.DUMMYFUNCTION("""COMPUTED_VALUE"""),2.66)</f>
        <v>2.66</v>
      </c>
      <c r="K164" s="1">
        <f ca="1">IFERROR(__xludf.DUMMYFUNCTION("""COMPUTED_VALUE"""),117)</f>
        <v>117</v>
      </c>
      <c r="L164" s="1" t="str">
        <f ca="1">IFERROR(__xludf.DUMMYFUNCTION("""COMPUTED_VALUE"""),"Rồi")</f>
        <v>Rồi</v>
      </c>
      <c r="M164" s="1" t="str">
        <f ca="1">IFERROR(__xludf.DUMMYFUNCTION("""COMPUTED_VALUE"""),"Thực tập tốt nghiệp, Thi tốt nghiệp, Công nhận tốt nghiệp")</f>
        <v>Thực tập tốt nghiệp, Thi tốt nghiệp, Công nhận tốt nghiệp</v>
      </c>
      <c r="N164" s="1">
        <f ca="1">IFERROR(__xludf.DUMMYFUNCTION("""COMPUTED_VALUE"""),0)</f>
        <v>0</v>
      </c>
      <c r="O164" s="1" t="str">
        <f ca="1">IFERROR(__xludf.DUMMYFUNCTION("""COMPUTED_VALUE"""),"cam kết")</f>
        <v>cam kết</v>
      </c>
      <c r="P164" s="1"/>
      <c r="Q164" s="1"/>
      <c r="R164" s="1" t="str">
        <f ca="1">IFERROR(__xludf.DUMMYFUNCTION("""COMPUTED_VALUE"""),"18/12/2025")</f>
        <v>18/12/2025</v>
      </c>
      <c r="S164" s="1" t="str">
        <f ca="1">IFERROR(__xludf.DUMMYFUNCTION("""COMPUTED_VALUE"""),"thực tập TN, Thi TN")</f>
        <v>thực tập TN, Thi TN</v>
      </c>
      <c r="T164" s="1" t="str">
        <f ca="1">IFERROR(__xludf.DUMMYFUNCTION("""COMPUTED_VALUE"""),"Đã email cấp giấy giới thiệu ngày 18/12/2025")</f>
        <v>Đã email cấp giấy giới thiệu ngày 18/12/2025</v>
      </c>
      <c r="U164" s="1"/>
      <c r="V164" s="1"/>
      <c r="W164" s="1" t="str">
        <f ca="1">IFERROR(__xludf.DUMMYFUNCTION("""COMPUTED_VALUE"""),"K28DLK5")</f>
        <v>K28DLK5</v>
      </c>
      <c r="X164" s="1"/>
      <c r="Y164" s="1" t="str">
        <f ca="1">IFERROR(__xludf.DUMMYFUNCTION("""COMPUTED_VALUE"""),"Meliá Vinpearl Danang Riverfront")</f>
        <v>Meliá Vinpearl Danang Riverfront</v>
      </c>
      <c r="Z164" s="1" t="str">
        <f ca="1">IFERROR(__xludf.DUMMYFUNCTION("""COMPUTED_VALUE"""),"Nhà hàng")</f>
        <v>Nhà hàng</v>
      </c>
      <c r="AA164" s="1" t="str">
        <f ca="1">IFERROR(__xludf.DUMMYFUNCTION("""COMPUTED_VALUE"""),"DUYỆT")</f>
        <v>DUYỆT</v>
      </c>
      <c r="AB164" s="1" t="str">
        <f ca="1">IFERROR(__xludf.DUMMYFUNCTION("""COMPUTED_VALUE"""),"20/01/2026")</f>
        <v>20/01/2026</v>
      </c>
      <c r="AC164" s="1" t="str">
        <f ca="1">IFERROR(__xludf.DUMMYFUNCTION("""COMPUTED_VALUE"""),"BÁO CÁO THỰC TẬP TỐT NGHIỆP")</f>
        <v>BÁO CÁO THỰC TẬP TỐT NGHIỆP</v>
      </c>
      <c r="AD164" s="1" t="str">
        <f ca="1">IFERROR(__xludf.DUMMYFUNCTION("""COMPUTED_VALUE"""),"Huỳnh Lý Thùy Linh")</f>
        <v>Huỳnh Lý Thùy Linh</v>
      </c>
      <c r="AE164" s="1" t="str">
        <f ca="1">IFERROR(__xludf.DUMMYFUNCTION("""COMPUTED_VALUE"""),"Thạc sĩ")</f>
        <v>Thạc sĩ</v>
      </c>
      <c r="AF164" s="1" t="str">
        <f ca="1">IFERROR(__xludf.DUMMYFUNCTION("""COMPUTED_VALUE"""),"0702605664")</f>
        <v>0702605664</v>
      </c>
      <c r="AG164" s="1" t="str">
        <f ca="1">IFERROR(__xludf.DUMMYFUNCTION("""COMPUTED_VALUE"""),"huynhlthuylinh@dtu-hti.edu.vn")</f>
        <v>huynhlthuylinh@dtu-hti.edu.vn</v>
      </c>
      <c r="AH164" s="1" t="str">
        <f ca="1">IFERROR(__xludf.DUMMYFUNCTION("""COMPUTED_VALUE"""),"Báo cáo kết quả thực tập và thực trạng quy trình phục vụ buffet sáng tại nhà hàng Rumba thuộc Meliá Vinpearl Danang Riverfront")</f>
        <v>Báo cáo kết quả thực tập và thực trạng quy trình phục vụ buffet sáng tại nhà hàng Rumba thuộc Meliá Vinpearl Danang Riverfront</v>
      </c>
      <c r="AI164" s="1"/>
    </row>
    <row r="165" spans="1:35" x14ac:dyDescent="0.2">
      <c r="A165" s="3">
        <f ca="1">IFERROR(__xludf.DUMMYFUNCTION("""COMPUTED_VALUE"""),46001.7877451273)</f>
        <v>46001.787745127302</v>
      </c>
      <c r="B165" s="1" t="str">
        <f ca="1">IFERROR(__xludf.DUMMYFUNCTION("""COMPUTED_VALUE"""),"nnguyendomyna@gmail.com")</f>
        <v>nnguyendomyna@gmail.com</v>
      </c>
      <c r="C165" s="1">
        <f ca="1">IFERROR(__xludf.DUMMYFUNCTION("""COMPUTED_VALUE"""),28208227611)</f>
        <v>28208227611</v>
      </c>
      <c r="D165" s="1" t="str">
        <f ca="1">IFERROR(__xludf.DUMMYFUNCTION("""COMPUTED_VALUE"""),"Nguyễn Đỗ My Na")</f>
        <v>Nguyễn Đỗ My Na</v>
      </c>
      <c r="E165" s="1"/>
      <c r="F165" s="1" t="str">
        <f ca="1">IFERROR(__xludf.DUMMYFUNCTION("""COMPUTED_VALUE"""),"K28DLK1")</f>
        <v>K28DLK1</v>
      </c>
      <c r="G165" s="1" t="str">
        <f ca="1">IFERROR(__xludf.DUMMYFUNCTION("""COMPUTED_VALUE"""),"Quản trị Du lịch &amp; Khách sạn")</f>
        <v>Quản trị Du lịch &amp; Khách sạn</v>
      </c>
      <c r="H165" s="1" t="str">
        <f ca="1">IFERROR(__xludf.DUMMYFUNCTION("""COMPUTED_VALUE"""),"K28")</f>
        <v>K28</v>
      </c>
      <c r="I165" s="1" t="str">
        <f ca="1">IFERROR(__xludf.DUMMYFUNCTION("""COMPUTED_VALUE"""),"0935090013")</f>
        <v>0935090013</v>
      </c>
      <c r="J165" s="1">
        <f ca="1">IFERROR(__xludf.DUMMYFUNCTION("""COMPUTED_VALUE"""),3.63)</f>
        <v>3.63</v>
      </c>
      <c r="K165" s="1">
        <f ca="1">IFERROR(__xludf.DUMMYFUNCTION("""COMPUTED_VALUE"""),108)</f>
        <v>108</v>
      </c>
      <c r="L165" s="1" t="str">
        <f ca="1">IFERROR(__xludf.DUMMYFUNCTION("""COMPUTED_VALUE"""),"Rồi")</f>
        <v>Rồi</v>
      </c>
      <c r="M165" s="1" t="str">
        <f ca="1">IFERROR(__xludf.DUMMYFUNCTION("""COMPUTED_VALUE"""),"Thực tập tốt nghiệp")</f>
        <v>Thực tập tốt nghiệp</v>
      </c>
      <c r="N165" s="1" t="str">
        <f ca="1">IFERROR(__xludf.DUMMYFUNCTION("""COMPUTED_VALUE"""),"15 ( 10 tín chuẩn bị thi, 4 tín chưa học, 1 tín chưa lên điểm) ")</f>
        <v xml:space="preserve">15 ( 10 tín chuẩn bị thi, 4 tín chưa học, 1 tín chưa lên điểm) </v>
      </c>
      <c r="O165" s="1" t="str">
        <f ca="1">IFERROR(__xludf.DUMMYFUNCTION("""COMPUTED_VALUE"""),"cam kết")</f>
        <v>cam kết</v>
      </c>
      <c r="P165" s="1"/>
      <c r="Q165" s="1"/>
      <c r="R165" s="1" t="str">
        <f ca="1">IFERROR(__xludf.DUMMYFUNCTION("""COMPUTED_VALUE"""),"18/12/2025")</f>
        <v>18/12/2025</v>
      </c>
      <c r="S165" s="1" t="str">
        <f ca="1">IFERROR(__xludf.DUMMYFUNCTION("""COMPUTED_VALUE"""),"thực tập TN, Thi TN")</f>
        <v>thực tập TN, Thi TN</v>
      </c>
      <c r="T165" s="1" t="str">
        <f ca="1">IFERROR(__xludf.DUMMYFUNCTION("""COMPUTED_VALUE"""),"Đã email cấp giấy giới thiệu ngày 18/12/2025")</f>
        <v>Đã email cấp giấy giới thiệu ngày 18/12/2025</v>
      </c>
      <c r="U165" s="1"/>
      <c r="V165" s="1"/>
      <c r="W165" s="1" t="str">
        <f ca="1">IFERROR(__xludf.DUMMYFUNCTION("""COMPUTED_VALUE"""),"K28DLK1")</f>
        <v>K28DLK1</v>
      </c>
      <c r="X165" s="1"/>
      <c r="Y165" s="1" t="str">
        <f ca="1">IFERROR(__xludf.DUMMYFUNCTION("""COMPUTED_VALUE"""),"Grand Tourane Hotel Danang")</f>
        <v>Grand Tourane Hotel Danang</v>
      </c>
      <c r="Z165" s="1" t="str">
        <f ca="1">IFERROR(__xludf.DUMMYFUNCTION("""COMPUTED_VALUE"""),"Nhà hàng")</f>
        <v>Nhà hàng</v>
      </c>
      <c r="AA165" s="1" t="str">
        <f ca="1">IFERROR(__xludf.DUMMYFUNCTION("""COMPUTED_VALUE"""),"DUYỆT")</f>
        <v>DUYỆT</v>
      </c>
      <c r="AB165" s="4">
        <f ca="1">IFERROR(__xludf.DUMMYFUNCTION("""COMPUTED_VALUE"""),46357)</f>
        <v>46357</v>
      </c>
      <c r="AC165" s="1" t="str">
        <f ca="1">IFERROR(__xludf.DUMMYFUNCTION("""COMPUTED_VALUE"""),"BÁO CÁO THỰC TẬP TỐT NGHIỆP")</f>
        <v>BÁO CÁO THỰC TẬP TỐT NGHIỆP</v>
      </c>
      <c r="AD165" s="1" t="str">
        <f ca="1">IFERROR(__xludf.DUMMYFUNCTION("""COMPUTED_VALUE"""),"Trần Hoàng Anh")</f>
        <v>Trần Hoàng Anh</v>
      </c>
      <c r="AE165" s="1" t="str">
        <f ca="1">IFERROR(__xludf.DUMMYFUNCTION("""COMPUTED_VALUE"""),"Thạc sĩ")</f>
        <v>Thạc sĩ</v>
      </c>
      <c r="AF165" s="1" t="str">
        <f ca="1">IFERROR(__xludf.DUMMYFUNCTION("""COMPUTED_VALUE"""),"0906 029 602")</f>
        <v>0906 029 602</v>
      </c>
      <c r="AG165" s="1" t="str">
        <f ca="1">IFERROR(__xludf.DUMMYFUNCTION("""COMPUTED_VALUE"""),"tranhoanganh@dtu-hti.edu.vn")</f>
        <v>tranhoanganh@dtu-hti.edu.vn</v>
      </c>
      <c r="AH165" s="1" t="str">
        <f ca="1">IFERROR(__xludf.DUMMYFUNCTION("""COMPUTED_VALUE"""),"Báo cáo kết quả thực tập và thực trạng quy trình phục vụ buffet sáng tại nhà hàng Bella Vista tại khách sạn Grand Tourance")</f>
        <v>Báo cáo kết quả thực tập và thực trạng quy trình phục vụ buffet sáng tại nhà hàng Bella Vista tại khách sạn Grand Tourance</v>
      </c>
      <c r="AI165" s="1"/>
    </row>
    <row r="166" spans="1:35" x14ac:dyDescent="0.2">
      <c r="A166" s="3">
        <f ca="1">IFERROR(__xludf.DUMMYFUNCTION("""COMPUTED_VALUE"""),46001.7972814814)</f>
        <v>46001.797281481398</v>
      </c>
      <c r="B166" s="1" t="str">
        <f ca="1">IFERROR(__xludf.DUMMYFUNCTION("""COMPUTED_VALUE"""),"anhongg27@gmail.com")</f>
        <v>anhongg27@gmail.com</v>
      </c>
      <c r="C166" s="1">
        <f ca="1">IFERROR(__xludf.DUMMYFUNCTION("""COMPUTED_VALUE"""),28208402533)</f>
        <v>28208402533</v>
      </c>
      <c r="D166" s="1" t="str">
        <f ca="1">IFERROR(__xludf.DUMMYFUNCTION("""COMPUTED_VALUE"""),"Trần Ánh Hồng")</f>
        <v>Trần Ánh Hồng</v>
      </c>
      <c r="E166" s="1"/>
      <c r="F166" s="1" t="str">
        <f ca="1">IFERROR(__xludf.DUMMYFUNCTION("""COMPUTED_VALUE"""),"K28DLK1")</f>
        <v>K28DLK1</v>
      </c>
      <c r="G166" s="1" t="str">
        <f ca="1">IFERROR(__xludf.DUMMYFUNCTION("""COMPUTED_VALUE"""),"Quản trị Du lịch &amp; Khách sạn")</f>
        <v>Quản trị Du lịch &amp; Khách sạn</v>
      </c>
      <c r="H166" s="1" t="str">
        <f ca="1">IFERROR(__xludf.DUMMYFUNCTION("""COMPUTED_VALUE"""),"K28")</f>
        <v>K28</v>
      </c>
      <c r="I166" s="1" t="str">
        <f ca="1">IFERROR(__xludf.DUMMYFUNCTION("""COMPUTED_VALUE"""),"0394369504")</f>
        <v>0394369504</v>
      </c>
      <c r="J166" s="1">
        <f ca="1">IFERROR(__xludf.DUMMYFUNCTION("""COMPUTED_VALUE"""),2.67)</f>
        <v>2.67</v>
      </c>
      <c r="K166" s="1">
        <f ca="1">IFERROR(__xludf.DUMMYFUNCTION("""COMPUTED_VALUE"""),114)</f>
        <v>114</v>
      </c>
      <c r="L166" s="1" t="str">
        <f ca="1">IFERROR(__xludf.DUMMYFUNCTION("""COMPUTED_VALUE"""),"Rồi")</f>
        <v>Rồi</v>
      </c>
      <c r="M166" s="1" t="str">
        <f ca="1">IFERROR(__xludf.DUMMYFUNCTION("""COMPUTED_VALUE"""),"Thực tập tốt nghiệp")</f>
        <v>Thực tập tốt nghiệp</v>
      </c>
      <c r="N166" s="1">
        <f ca="1">IFERROR(__xludf.DUMMYFUNCTION("""COMPUTED_VALUE"""),12)</f>
        <v>12</v>
      </c>
      <c r="O166" s="1" t="str">
        <f ca="1">IFERROR(__xludf.DUMMYFUNCTION("""COMPUTED_VALUE"""),"cam kết")</f>
        <v>cam kết</v>
      </c>
      <c r="P166" s="1"/>
      <c r="Q166" s="1"/>
      <c r="R166" s="1" t="str">
        <f ca="1">IFERROR(__xludf.DUMMYFUNCTION("""COMPUTED_VALUE"""),"18/12/2025")</f>
        <v>18/12/2025</v>
      </c>
      <c r="S166" s="1" t="str">
        <f ca="1">IFERROR(__xludf.DUMMYFUNCTION("""COMPUTED_VALUE"""),"thực tập TN, Thi TN")</f>
        <v>thực tập TN, Thi TN</v>
      </c>
      <c r="T166" s="1" t="str">
        <f ca="1">IFERROR(__xludf.DUMMYFUNCTION("""COMPUTED_VALUE"""),"Đã email cấp giấy giới thiệu ngày 18/12/2025")</f>
        <v>Đã email cấp giấy giới thiệu ngày 18/12/2025</v>
      </c>
      <c r="U166" s="1"/>
      <c r="V166" s="1"/>
      <c r="W166" s="1" t="str">
        <f ca="1">IFERROR(__xludf.DUMMYFUNCTION("""COMPUTED_VALUE"""),"K28DLK1")</f>
        <v>K28DLK1</v>
      </c>
      <c r="X166" s="1"/>
      <c r="Y166" s="1" t="str">
        <f ca="1">IFERROR(__xludf.DUMMYFUNCTION("""COMPUTED_VALUE"""),"DLG Hotel Danang")</f>
        <v>DLG Hotel Danang</v>
      </c>
      <c r="Z166" s="1" t="str">
        <f ca="1">IFERROR(__xludf.DUMMYFUNCTION("""COMPUTED_VALUE"""),"Nhà hàng")</f>
        <v>Nhà hàng</v>
      </c>
      <c r="AA166" s="1" t="str">
        <f ca="1">IFERROR(__xludf.DUMMYFUNCTION("""COMPUTED_VALUE"""),"DUYỆT")</f>
        <v>DUYỆT</v>
      </c>
      <c r="AB166" s="1" t="str">
        <f ca="1">IFERROR(__xludf.DUMMYFUNCTION("""COMPUTED_VALUE"""),"28/01/2026")</f>
        <v>28/01/2026</v>
      </c>
      <c r="AC166" s="1" t="str">
        <f ca="1">IFERROR(__xludf.DUMMYFUNCTION("""COMPUTED_VALUE"""),"BÁO CÁO THỰC TẬP TỐT NGHIỆP")</f>
        <v>BÁO CÁO THỰC TẬP TỐT NGHIỆP</v>
      </c>
      <c r="AD166" s="1" t="str">
        <f ca="1">IFERROR(__xludf.DUMMYFUNCTION("""COMPUTED_VALUE"""),"Dương Thị Xuân Diệu")</f>
        <v>Dương Thị Xuân Diệu</v>
      </c>
      <c r="AE166" s="1" t="str">
        <f ca="1">IFERROR(__xludf.DUMMYFUNCTION("""COMPUTED_VALUE"""),"Thạc sĩ")</f>
        <v>Thạc sĩ</v>
      </c>
      <c r="AF166" s="1" t="str">
        <f ca="1">IFERROR(__xludf.DUMMYFUNCTION("""COMPUTED_VALUE"""),"0905938748")</f>
        <v>0905938748</v>
      </c>
      <c r="AG166" s="1" t="str">
        <f ca="1">IFERROR(__xludf.DUMMYFUNCTION("""COMPUTED_VALUE"""),"duongtxuandieu@dtu-hti.edu.vn")</f>
        <v>duongtxuandieu@dtu-hti.edu.vn</v>
      </c>
      <c r="AH166" s="1" t="str">
        <f ca="1">IFERROR(__xludf.DUMMYFUNCTION("""COMPUTED_VALUE"""),"Báo cáo kết quả thực tập và thực trạng quy trình phục vụ Buffet sáng tại bộ phận Nhà hàng Sonata Of The Sea của DLG Hotel Danang")</f>
        <v>Báo cáo kết quả thực tập và thực trạng quy trình phục vụ Buffet sáng tại bộ phận Nhà hàng Sonata Of The Sea của DLG Hotel Danang</v>
      </c>
      <c r="AI166" s="1"/>
    </row>
    <row r="167" spans="1:35" x14ac:dyDescent="0.2">
      <c r="A167" s="3">
        <f ca="1">IFERROR(__xludf.DUMMYFUNCTION("""COMPUTED_VALUE"""),46001.8696326736)</f>
        <v>46001.869632673603</v>
      </c>
      <c r="B167" s="1" t="str">
        <f ca="1">IFERROR(__xludf.DUMMYFUNCTION("""COMPUTED_VALUE"""),"baohoa17112001@gmail.com")</f>
        <v>baohoa17112001@gmail.com</v>
      </c>
      <c r="C167" s="1">
        <f ca="1">IFERROR(__xludf.DUMMYFUNCTION("""COMPUTED_VALUE"""),25217117091)</f>
        <v>25217117091</v>
      </c>
      <c r="D167" s="1" t="str">
        <f ca="1">IFERROR(__xludf.DUMMYFUNCTION("""COMPUTED_VALUE"""),"Mai Bảo Hoà")</f>
        <v>Mai Bảo Hoà</v>
      </c>
      <c r="E167" s="1"/>
      <c r="F167" s="1" t="str">
        <f ca="1">IFERROR(__xludf.DUMMYFUNCTION("""COMPUTED_VALUE"""),"K25PSUDLK15")</f>
        <v>K25PSUDLK15</v>
      </c>
      <c r="G167" s="1" t="str">
        <f ca="1">IFERROR(__xludf.DUMMYFUNCTION("""COMPUTED_VALUE"""),"Quản trị Du lịch &amp; Khách sạn chuẩn PSU")</f>
        <v>Quản trị Du lịch &amp; Khách sạn chuẩn PSU</v>
      </c>
      <c r="H167" s="1" t="str">
        <f ca="1">IFERROR(__xludf.DUMMYFUNCTION("""COMPUTED_VALUE"""),"K25")</f>
        <v>K25</v>
      </c>
      <c r="I167" s="1" t="str">
        <f ca="1">IFERROR(__xludf.DUMMYFUNCTION("""COMPUTED_VALUE"""),"0921116230")</f>
        <v>0921116230</v>
      </c>
      <c r="J167" s="1">
        <f ca="1">IFERROR(__xludf.DUMMYFUNCTION("""COMPUTED_VALUE"""),2.47)</f>
        <v>2.4700000000000002</v>
      </c>
      <c r="K167" s="1">
        <f ca="1">IFERROR(__xludf.DUMMYFUNCTION("""COMPUTED_VALUE"""),137)</f>
        <v>137</v>
      </c>
      <c r="L167" s="1" t="str">
        <f ca="1">IFERROR(__xludf.DUMMYFUNCTION("""COMPUTED_VALUE"""),"Rồi")</f>
        <v>Rồi</v>
      </c>
      <c r="M167" s="1" t="str">
        <f ca="1">IFERROR(__xludf.DUMMYFUNCTION("""COMPUTED_VALUE"""),"Thực tập tốt nghiệp, Thi tốt nghiệp, Công nhận tốt nghiệp")</f>
        <v>Thực tập tốt nghiệp, Thi tốt nghiệp, Công nhận tốt nghiệp</v>
      </c>
      <c r="N167" s="1">
        <f ca="1">IFERROR(__xludf.DUMMYFUNCTION("""COMPUTED_VALUE"""),0)</f>
        <v>0</v>
      </c>
      <c r="O167" s="1" t="str">
        <f ca="1">IFERROR(__xludf.DUMMYFUNCTION("""COMPUTED_VALUE"""),"cam kết")</f>
        <v>cam kết</v>
      </c>
      <c r="P167" s="1" t="str">
        <f ca="1">IFERROR(__xludf.DUMMYFUNCTION("""COMPUTED_VALUE"""),"CHƯA NỘP")</f>
        <v>CHƯA NỘP</v>
      </c>
      <c r="Q167" s="1">
        <f ca="1">IFERROR(__xludf.DUMMYFUNCTION("""COMPUTED_VALUE"""),15)</f>
        <v>15</v>
      </c>
      <c r="R167" s="1" t="str">
        <f ca="1">IFERROR(__xludf.DUMMYFUNCTION("""COMPUTED_VALUE"""),"18/12/2025")</f>
        <v>18/12/2025</v>
      </c>
      <c r="S167" s="1" t="str">
        <f ca="1">IFERROR(__xludf.DUMMYFUNCTION("""COMPUTED_VALUE"""),"thực tập TN, Thi TN")</f>
        <v>thực tập TN, Thi TN</v>
      </c>
      <c r="T167" s="1" t="str">
        <f ca="1">IFERROR(__xludf.DUMMYFUNCTION("""COMPUTED_VALUE"""),"Hủy đăng ký thực tập TN đợt 06/2026 do SV ko nộp đơn. 
SV có thể nộp đơn tham dự TN để đăng ký học phần Thi TN. Hạn nộp đơn: 27/02/2026")</f>
        <v>Hủy đăng ký thực tập TN đợt 06/2026 do SV ko nộp đơn. 
SV có thể nộp đơn tham dự TN để đăng ký học phần Thi TN. Hạn nộp đơn: 27/02/2026</v>
      </c>
      <c r="U167" s="1"/>
      <c r="V167" s="1"/>
      <c r="W167" s="1" t="str">
        <f ca="1">IFERROR(__xludf.DUMMYFUNCTION("""COMPUTED_VALUE"""),"K25PSU-DLK15")</f>
        <v>K25PSU-DLK15</v>
      </c>
      <c r="X167" s="1"/>
      <c r="Y167" s="1" t="str">
        <f ca="1">IFERROR(__xludf.DUMMYFUNCTION("""COMPUTED_VALUE"""),"#N/A")</f>
        <v>#N/A</v>
      </c>
      <c r="Z167" s="1" t="str">
        <f ca="1">IFERROR(__xludf.DUMMYFUNCTION("""COMPUTED_VALUE"""),"#N/A")</f>
        <v>#N/A</v>
      </c>
      <c r="AA167" s="1" t="str">
        <f ca="1">IFERROR(__xludf.DUMMYFUNCTION("""COMPUTED_VALUE"""),"#N/A")</f>
        <v>#N/A</v>
      </c>
      <c r="AB167" s="1"/>
      <c r="AC167" s="1" t="str">
        <f ca="1">IFERROR(__xludf.DUMMYFUNCTION("""COMPUTED_VALUE"""),"BÁO CÁO THỰC TẬP TỐT NGHIỆP")</f>
        <v>BÁO CÁO THỰC TẬP TỐT NGHIỆP</v>
      </c>
      <c r="AD167" s="1"/>
      <c r="AE167" s="1" t="str">
        <f ca="1">IFERROR(__xludf.DUMMYFUNCTION("""COMPUTED_VALUE"""),"#N/A")</f>
        <v>#N/A</v>
      </c>
      <c r="AF167" s="1" t="str">
        <f ca="1">IFERROR(__xludf.DUMMYFUNCTION("""COMPUTED_VALUE"""),"#N/A")</f>
        <v>#N/A</v>
      </c>
      <c r="AG167" s="1" t="str">
        <f ca="1">IFERROR(__xludf.DUMMYFUNCTION("""COMPUTED_VALUE"""),"#N/A")</f>
        <v>#N/A</v>
      </c>
      <c r="AH167" s="1" t="str">
        <f ca="1">IFERROR(__xludf.DUMMYFUNCTION("""COMPUTED_VALUE"""),"#N/A")</f>
        <v>#N/A</v>
      </c>
      <c r="AI167" s="1"/>
    </row>
    <row r="168" spans="1:35" x14ac:dyDescent="0.2">
      <c r="A168" s="3">
        <f ca="1">IFERROR(__xludf.DUMMYFUNCTION("""COMPUTED_VALUE"""),46002.0363328009)</f>
        <v>46002.036332800897</v>
      </c>
      <c r="B168" s="1" t="str">
        <f ca="1">IFERROR(__xludf.DUMMYFUNCTION("""COMPUTED_VALUE"""),"nguyendongoctran08012004@gmail.com")</f>
        <v>nguyendongoctran08012004@gmail.com</v>
      </c>
      <c r="C168" s="1">
        <f ca="1">IFERROR(__xludf.DUMMYFUNCTION("""COMPUTED_VALUE"""),28208048257)</f>
        <v>28208048257</v>
      </c>
      <c r="D168" s="1" t="str">
        <f ca="1">IFERROR(__xludf.DUMMYFUNCTION("""COMPUTED_VALUE"""),"Nguyễn Đỗ Ngọc Trân")</f>
        <v>Nguyễn Đỗ Ngọc Trân</v>
      </c>
      <c r="E168" s="1"/>
      <c r="F168" s="1" t="str">
        <f ca="1">IFERROR(__xludf.DUMMYFUNCTION("""COMPUTED_VALUE"""),"K28DLK8")</f>
        <v>K28DLK8</v>
      </c>
      <c r="G168" s="1" t="str">
        <f ca="1">IFERROR(__xludf.DUMMYFUNCTION("""COMPUTED_VALUE"""),"Quản trị Du lịch &amp; Khách sạn")</f>
        <v>Quản trị Du lịch &amp; Khách sạn</v>
      </c>
      <c r="H168" s="1" t="str">
        <f ca="1">IFERROR(__xludf.DUMMYFUNCTION("""COMPUTED_VALUE"""),"K28")</f>
        <v>K28</v>
      </c>
      <c r="I168" s="1" t="str">
        <f ca="1">IFERROR(__xludf.DUMMYFUNCTION("""COMPUTED_VALUE"""),"0905136020")</f>
        <v>0905136020</v>
      </c>
      <c r="J168" s="1">
        <f ca="1">IFERROR(__xludf.DUMMYFUNCTION("""COMPUTED_VALUE"""),2.84)</f>
        <v>2.84</v>
      </c>
      <c r="K168" s="1">
        <f ca="1">IFERROR(__xludf.DUMMYFUNCTION("""COMPUTED_VALUE"""),120)</f>
        <v>120</v>
      </c>
      <c r="L168" s="1" t="str">
        <f ca="1">IFERROR(__xludf.DUMMYFUNCTION("""COMPUTED_VALUE"""),"Rồi")</f>
        <v>Rồi</v>
      </c>
      <c r="M168" s="1" t="str">
        <f ca="1">IFERROR(__xludf.DUMMYFUNCTION("""COMPUTED_VALUE"""),"Thực tập tốt nghiệp, Thi tốt nghiệp, Công nhận tốt nghiệp")</f>
        <v>Thực tập tốt nghiệp, Thi tốt nghiệp, Công nhận tốt nghiệp</v>
      </c>
      <c r="N168" s="1">
        <f ca="1">IFERROR(__xludf.DUMMYFUNCTION("""COMPUTED_VALUE"""),1)</f>
        <v>1</v>
      </c>
      <c r="O168" s="1" t="str">
        <f ca="1">IFERROR(__xludf.DUMMYFUNCTION("""COMPUTED_VALUE"""),"cam kết")</f>
        <v>cam kết</v>
      </c>
      <c r="P168" s="1"/>
      <c r="Q168" s="1"/>
      <c r="R168" s="1" t="str">
        <f ca="1">IFERROR(__xludf.DUMMYFUNCTION("""COMPUTED_VALUE"""),"18/12/2025")</f>
        <v>18/12/2025</v>
      </c>
      <c r="S168" s="1" t="str">
        <f ca="1">IFERROR(__xludf.DUMMYFUNCTION("""COMPUTED_VALUE"""),"thực tập TN, Thi TN")</f>
        <v>thực tập TN, Thi TN</v>
      </c>
      <c r="T168" s="1" t="str">
        <f ca="1">IFERROR(__xludf.DUMMYFUNCTION("""COMPUTED_VALUE"""),"Đã email cấp giấy giới thiệu ngày 18/12/2025")</f>
        <v>Đã email cấp giấy giới thiệu ngày 18/12/2025</v>
      </c>
      <c r="U168" s="1"/>
      <c r="V168" s="1"/>
      <c r="W168" s="1" t="str">
        <f ca="1">IFERROR(__xludf.DUMMYFUNCTION("""COMPUTED_VALUE"""),"K28DLK8")</f>
        <v>K28DLK8</v>
      </c>
      <c r="X168" s="1"/>
      <c r="Y168" s="1" t="str">
        <f ca="1">IFERROR(__xludf.DUMMYFUNCTION("""COMPUTED_VALUE"""),"Radisson Hotel Danang")</f>
        <v>Radisson Hotel Danang</v>
      </c>
      <c r="Z168" s="1" t="str">
        <f ca="1">IFERROR(__xludf.DUMMYFUNCTION("""COMPUTED_VALUE"""),"Nhà hàng")</f>
        <v>Nhà hàng</v>
      </c>
      <c r="AA168" s="1" t="str">
        <f ca="1">IFERROR(__xludf.DUMMYFUNCTION("""COMPUTED_VALUE"""),"DUYỆT")</f>
        <v>DUYỆT</v>
      </c>
      <c r="AB168" s="4">
        <f ca="1">IFERROR(__xludf.DUMMYFUNCTION("""COMPUTED_VALUE"""),46296)</f>
        <v>46296</v>
      </c>
      <c r="AC168" s="1" t="str">
        <f ca="1">IFERROR(__xludf.DUMMYFUNCTION("""COMPUTED_VALUE"""),"BÁO CÁO THỰC TẬP TỐT NGHIỆP")</f>
        <v>BÁO CÁO THỰC TẬP TỐT NGHIỆP</v>
      </c>
      <c r="AD168" s="1" t="str">
        <f ca="1">IFERROR(__xludf.DUMMYFUNCTION("""COMPUTED_VALUE"""),"Mai Thị Thương")</f>
        <v>Mai Thị Thương</v>
      </c>
      <c r="AE168" s="1" t="str">
        <f ca="1">IFERROR(__xludf.DUMMYFUNCTION("""COMPUTED_VALUE"""),"Thạc sĩ")</f>
        <v>Thạc sĩ</v>
      </c>
      <c r="AF168" s="1" t="str">
        <f ca="1">IFERROR(__xludf.DUMMYFUNCTION("""COMPUTED_VALUE"""),"0905767050")</f>
        <v>0905767050</v>
      </c>
      <c r="AG168" s="1" t="str">
        <f ca="1">IFERROR(__xludf.DUMMYFUNCTION("""COMPUTED_VALUE"""),"maithithuong@dtu-hti.edu.vn")</f>
        <v>maithithuong@dtu-hti.edu.vn</v>
      </c>
      <c r="AH168" s="1" t="str">
        <f ca="1">IFERROR(__xludf.DUMMYFUNCTION("""COMPUTED_VALUE"""),"Báo cáo kết quả thực tập và thực trạng về quy trình phục vụ tại nhà hàng The Market Place thuộc khách sạn Radisson Hotel Danang")</f>
        <v>Báo cáo kết quả thực tập và thực trạng về quy trình phục vụ tại nhà hàng The Market Place thuộc khách sạn Radisson Hotel Danang</v>
      </c>
      <c r="AI168" s="1"/>
    </row>
    <row r="169" spans="1:35" x14ac:dyDescent="0.2">
      <c r="A169" s="3">
        <f ca="1">IFERROR(__xludf.DUMMYFUNCTION("""COMPUTED_VALUE"""),46002.3767937731)</f>
        <v>46002.376793773103</v>
      </c>
      <c r="B169" s="1" t="str">
        <f ca="1">IFERROR(__xludf.DUMMYFUNCTION("""COMPUTED_VALUE"""),"lengoctan5@dtu.edu.vn")</f>
        <v>lengoctan5@dtu.edu.vn</v>
      </c>
      <c r="C169" s="1">
        <f ca="1">IFERROR(__xludf.DUMMYFUNCTION("""COMPUTED_VALUE"""),28218048381)</f>
        <v>28218048381</v>
      </c>
      <c r="D169" s="1" t="str">
        <f ca="1">IFERROR(__xludf.DUMMYFUNCTION("""COMPUTED_VALUE"""),"Lê Ngọc Tấn")</f>
        <v>Lê Ngọc Tấn</v>
      </c>
      <c r="E169" s="1"/>
      <c r="F169" s="1" t="str">
        <f ca="1">IFERROR(__xludf.DUMMYFUNCTION("""COMPUTED_VALUE"""),"K28DLK1")</f>
        <v>K28DLK1</v>
      </c>
      <c r="G169" s="1" t="str">
        <f ca="1">IFERROR(__xludf.DUMMYFUNCTION("""COMPUTED_VALUE"""),"Quản trị Du lịch &amp; Khách sạn")</f>
        <v>Quản trị Du lịch &amp; Khách sạn</v>
      </c>
      <c r="H169" s="1" t="str">
        <f ca="1">IFERROR(__xludf.DUMMYFUNCTION("""COMPUTED_VALUE"""),"K28")</f>
        <v>K28</v>
      </c>
      <c r="I169" s="1" t="str">
        <f ca="1">IFERROR(__xludf.DUMMYFUNCTION("""COMPUTED_VALUE"""),"0935275234")</f>
        <v>0935275234</v>
      </c>
      <c r="J169" s="1">
        <f ca="1">IFERROR(__xludf.DUMMYFUNCTION("""COMPUTED_VALUE"""),3.21)</f>
        <v>3.21</v>
      </c>
      <c r="K169" s="1">
        <f ca="1">IFERROR(__xludf.DUMMYFUNCTION("""COMPUTED_VALUE"""),110)</f>
        <v>110</v>
      </c>
      <c r="L169" s="1" t="str">
        <f ca="1">IFERROR(__xludf.DUMMYFUNCTION("""COMPUTED_VALUE"""),"Rồi")</f>
        <v>Rồi</v>
      </c>
      <c r="M169" s="1" t="str">
        <f ca="1">IFERROR(__xludf.DUMMYFUNCTION("""COMPUTED_VALUE"""),"Thực tập tốt nghiệp, Thi tốt nghiệp, Công nhận tốt nghiệp")</f>
        <v>Thực tập tốt nghiệp, Thi tốt nghiệp, Công nhận tốt nghiệp</v>
      </c>
      <c r="N169" s="1" t="str">
        <f ca="1">IFERROR(__xludf.DUMMYFUNCTION("""COMPUTED_VALUE"""),"13 tín (1 tín chưa có điểm + 10 tín chuẩn bị thi + 2 tín chưa học)")</f>
        <v>13 tín (1 tín chưa có điểm + 10 tín chuẩn bị thi + 2 tín chưa học)</v>
      </c>
      <c r="O169" s="1" t="str">
        <f ca="1">IFERROR(__xludf.DUMMYFUNCTION("""COMPUTED_VALUE"""),"cam kết")</f>
        <v>cam kết</v>
      </c>
      <c r="P169" s="1"/>
      <c r="Q169" s="1"/>
      <c r="R169" s="1" t="str">
        <f ca="1">IFERROR(__xludf.DUMMYFUNCTION("""COMPUTED_VALUE"""),"18/12/2025")</f>
        <v>18/12/2025</v>
      </c>
      <c r="S169" s="1" t="str">
        <f ca="1">IFERROR(__xludf.DUMMYFUNCTION("""COMPUTED_VALUE"""),"thực tập TN, Thi TN")</f>
        <v>thực tập TN, Thi TN</v>
      </c>
      <c r="T169" s="1" t="str">
        <f ca="1">IFERROR(__xludf.DUMMYFUNCTION("""COMPUTED_VALUE"""),"Đã email cấp giấy giới thiệu ngày 18/12/2025")</f>
        <v>Đã email cấp giấy giới thiệu ngày 18/12/2025</v>
      </c>
      <c r="U169" s="1"/>
      <c r="V169" s="1"/>
      <c r="W169" s="1" t="str">
        <f ca="1">IFERROR(__xludf.DUMMYFUNCTION("""COMPUTED_VALUE"""),"K28DLK1")</f>
        <v>K28DLK1</v>
      </c>
      <c r="X169" s="1"/>
      <c r="Y169" s="1" t="str">
        <f ca="1">IFERROR(__xludf.DUMMYFUNCTION("""COMPUTED_VALUE"""),"Grand Tourane Hotel Danang")</f>
        <v>Grand Tourane Hotel Danang</v>
      </c>
      <c r="Z169" s="1" t="str">
        <f ca="1">IFERROR(__xludf.DUMMYFUNCTION("""COMPUTED_VALUE"""),"Nhà hàng")</f>
        <v>Nhà hàng</v>
      </c>
      <c r="AA169" s="1" t="str">
        <f ca="1">IFERROR(__xludf.DUMMYFUNCTION("""COMPUTED_VALUE"""),"DUYỆT")</f>
        <v>DUYỆT</v>
      </c>
      <c r="AB169" s="4">
        <f ca="1">IFERROR(__xludf.DUMMYFUNCTION("""COMPUTED_VALUE"""),46357)</f>
        <v>46357</v>
      </c>
      <c r="AC169" s="1" t="str">
        <f ca="1">IFERROR(__xludf.DUMMYFUNCTION("""COMPUTED_VALUE"""),"BÁO CÁO THỰC TẬP TỐT NGHIỆP")</f>
        <v>BÁO CÁO THỰC TẬP TỐT NGHIỆP</v>
      </c>
      <c r="AD169" s="1" t="str">
        <f ca="1">IFERROR(__xludf.DUMMYFUNCTION("""COMPUTED_VALUE"""),"Trần Hoàng Anh")</f>
        <v>Trần Hoàng Anh</v>
      </c>
      <c r="AE169" s="1" t="str">
        <f ca="1">IFERROR(__xludf.DUMMYFUNCTION("""COMPUTED_VALUE"""),"Thạc sĩ")</f>
        <v>Thạc sĩ</v>
      </c>
      <c r="AF169" s="1" t="str">
        <f ca="1">IFERROR(__xludf.DUMMYFUNCTION("""COMPUTED_VALUE"""),"0906 029 602")</f>
        <v>0906 029 602</v>
      </c>
      <c r="AG169" s="1" t="str">
        <f ca="1">IFERROR(__xludf.DUMMYFUNCTION("""COMPUTED_VALUE"""),"tranhoanganh@dtu-hti.edu.vn")</f>
        <v>tranhoanganh@dtu-hti.edu.vn</v>
      </c>
      <c r="AH169" s="1" t="str">
        <f ca="1">IFERROR(__xludf.DUMMYFUNCTION("""COMPUTED_VALUE"""),"Báo cáo kết quả thực tập và thực trạng quy trình phục vụ tiệc tại nhà hàng Bella Vista tại khách sạn Grand Tourane Đà Nẵng")</f>
        <v>Báo cáo kết quả thực tập và thực trạng quy trình phục vụ tiệc tại nhà hàng Bella Vista tại khách sạn Grand Tourane Đà Nẵng</v>
      </c>
      <c r="AI169" s="1"/>
    </row>
    <row r="170" spans="1:35" x14ac:dyDescent="0.2">
      <c r="A170" s="3">
        <f ca="1">IFERROR(__xludf.DUMMYFUNCTION("""COMPUTED_VALUE"""),46002.5610615625)</f>
        <v>46002.561061562497</v>
      </c>
      <c r="B170" s="1" t="str">
        <f ca="1">IFERROR(__xludf.DUMMYFUNCTION("""COMPUTED_VALUE"""),"tthao5159@gmail.com")</f>
        <v>tthao5159@gmail.com</v>
      </c>
      <c r="C170" s="1">
        <f ca="1">IFERROR(__xludf.DUMMYFUNCTION("""COMPUTED_VALUE"""),25207110560)</f>
        <v>25207110560</v>
      </c>
      <c r="D170" s="1" t="str">
        <f ca="1">IFERROR(__xludf.DUMMYFUNCTION("""COMPUTED_VALUE"""),"Bùi Thị Thanh Thảo")</f>
        <v>Bùi Thị Thanh Thảo</v>
      </c>
      <c r="E170" s="1"/>
      <c r="F170" s="1" t="str">
        <f ca="1">IFERROR(__xludf.DUMMYFUNCTION("""COMPUTED_VALUE"""),"K26DLK11")</f>
        <v>K26DLK11</v>
      </c>
      <c r="G170" s="1" t="str">
        <f ca="1">IFERROR(__xludf.DUMMYFUNCTION("""COMPUTED_VALUE"""),"Quản trị Du lịch &amp; Khách sạn")</f>
        <v>Quản trị Du lịch &amp; Khách sạn</v>
      </c>
      <c r="H170" s="1" t="str">
        <f ca="1">IFERROR(__xludf.DUMMYFUNCTION("""COMPUTED_VALUE"""),"K26")</f>
        <v>K26</v>
      </c>
      <c r="I170" s="1" t="str">
        <f ca="1">IFERROR(__xludf.DUMMYFUNCTION("""COMPUTED_VALUE"""),"0932534378")</f>
        <v>0932534378</v>
      </c>
      <c r="J170" s="1">
        <f ca="1">IFERROR(__xludf.DUMMYFUNCTION("""COMPUTED_VALUE"""),2.72)</f>
        <v>2.72</v>
      </c>
      <c r="K170" s="1">
        <f ca="1">IFERROR(__xludf.DUMMYFUNCTION("""COMPUTED_VALUE"""),122)</f>
        <v>122</v>
      </c>
      <c r="L170" s="1" t="str">
        <f ca="1">IFERROR(__xludf.DUMMYFUNCTION("""COMPUTED_VALUE"""),"Rồi")</f>
        <v>Rồi</v>
      </c>
      <c r="M170" s="1" t="str">
        <f ca="1">IFERROR(__xludf.DUMMYFUNCTION("""COMPUTED_VALUE"""),"Thực tập tốt nghiệp, Thi tốt nghiệp")</f>
        <v>Thực tập tốt nghiệp, Thi tốt nghiệp</v>
      </c>
      <c r="N170" s="1">
        <f ca="1">IFERROR(__xludf.DUMMYFUNCTION("""COMPUTED_VALUE"""),6)</f>
        <v>6</v>
      </c>
      <c r="O170" s="1" t="str">
        <f ca="1">IFERROR(__xludf.DUMMYFUNCTION("""COMPUTED_VALUE"""),"cam kết")</f>
        <v>cam kết</v>
      </c>
      <c r="P170" s="1" t="str">
        <f ca="1">IFERROR(__xludf.DUMMYFUNCTION("""COMPUTED_VALUE"""),"ĐÃ NỘP")</f>
        <v>ĐÃ NỘP</v>
      </c>
      <c r="Q170" s="1">
        <f ca="1">IFERROR(__xludf.DUMMYFUNCTION("""COMPUTED_VALUE"""),16)</f>
        <v>16</v>
      </c>
      <c r="R170" s="1" t="str">
        <f ca="1">IFERROR(__xludf.DUMMYFUNCTION("""COMPUTED_VALUE"""),"18/12/2025")</f>
        <v>18/12/2025</v>
      </c>
      <c r="S170" s="1" t="str">
        <f ca="1">IFERROR(__xludf.DUMMYFUNCTION("""COMPUTED_VALUE"""),"thực tập TN, Thi TN")</f>
        <v>thực tập TN, Thi TN</v>
      </c>
      <c r="T170" s="1"/>
      <c r="U170" s="1" t="str">
        <f ca="1">IFERROR(__xludf.DUMMYFUNCTION("""COMPUTED_VALUE"""),"Sv chưa thi TN, đề nghị SV đến khoa chỉnh sửa lại phiếu, bổ sung thêm Thi TN")</f>
        <v>Sv chưa thi TN, đề nghị SV đến khoa chỉnh sửa lại phiếu, bổ sung thêm Thi TN</v>
      </c>
      <c r="V170" s="1"/>
      <c r="W170" s="1" t="str">
        <f ca="1">IFERROR(__xludf.DUMMYFUNCTION("""COMPUTED_VALUE"""),"K26DLK11")</f>
        <v>K26DLK11</v>
      </c>
      <c r="X170" s="1"/>
      <c r="Y170" s="1" t="str">
        <f ca="1">IFERROR(__xludf.DUMMYFUNCTION("""COMPUTED_VALUE"""),"#N/A")</f>
        <v>#N/A</v>
      </c>
      <c r="Z170" s="1" t="str">
        <f ca="1">IFERROR(__xludf.DUMMYFUNCTION("""COMPUTED_VALUE"""),"#N/A")</f>
        <v>#N/A</v>
      </c>
      <c r="AA170" s="1" t="str">
        <f ca="1">IFERROR(__xludf.DUMMYFUNCTION("""COMPUTED_VALUE"""),"#N/A")</f>
        <v>#N/A</v>
      </c>
      <c r="AB170" s="1" t="str">
        <f ca="1">IFERROR(__xludf.DUMMYFUNCTION("""COMPUTED_VALUE"""),"#N/A")</f>
        <v>#N/A</v>
      </c>
      <c r="AC170" s="1" t="str">
        <f ca="1">IFERROR(__xludf.DUMMYFUNCTION("""COMPUTED_VALUE"""),"BÁO CÁO THỰC TẬP TỐT NGHIỆP")</f>
        <v>BÁO CÁO THỰC TẬP TỐT NGHIỆP</v>
      </c>
      <c r="AD170" s="1">
        <f ca="1">IFERROR(__xludf.DUMMYFUNCTION("""COMPUTED_VALUE"""),0)</f>
        <v>0</v>
      </c>
      <c r="AE170" s="1" t="str">
        <f ca="1">IFERROR(__xludf.DUMMYFUNCTION("""COMPUTED_VALUE"""),"#N/A")</f>
        <v>#N/A</v>
      </c>
      <c r="AF170" s="1" t="str">
        <f ca="1">IFERROR(__xludf.DUMMYFUNCTION("""COMPUTED_VALUE"""),"#N/A")</f>
        <v>#N/A</v>
      </c>
      <c r="AG170" s="1" t="str">
        <f ca="1">IFERROR(__xludf.DUMMYFUNCTION("""COMPUTED_VALUE"""),"#N/A")</f>
        <v>#N/A</v>
      </c>
      <c r="AH170" s="1" t="str">
        <f ca="1">IFERROR(__xludf.DUMMYFUNCTION("""COMPUTED_VALUE"""),"#N/A")</f>
        <v>#N/A</v>
      </c>
      <c r="AI170" s="1"/>
    </row>
    <row r="171" spans="1:35" x14ac:dyDescent="0.2">
      <c r="A171" s="3">
        <f ca="1">IFERROR(__xludf.DUMMYFUNCTION("""COMPUTED_VALUE"""),46002.5762426041)</f>
        <v>46002.576242604096</v>
      </c>
      <c r="B171" s="1" t="str">
        <f ca="1">IFERROR(__xludf.DUMMYFUNCTION("""COMPUTED_VALUE"""),"vyl069618@gmail.com")</f>
        <v>vyl069618@gmail.com</v>
      </c>
      <c r="C171" s="1">
        <f ca="1">IFERROR(__xludf.DUMMYFUNCTION("""COMPUTED_VALUE"""),28208052750)</f>
        <v>28208052750</v>
      </c>
      <c r="D171" s="1" t="str">
        <f ca="1">IFERROR(__xludf.DUMMYFUNCTION("""COMPUTED_VALUE"""),"Lê Thị Phương Vy")</f>
        <v>Lê Thị Phương Vy</v>
      </c>
      <c r="E171" s="1"/>
      <c r="F171" s="1" t="str">
        <f ca="1">IFERROR(__xludf.DUMMYFUNCTION("""COMPUTED_VALUE"""),"K28 DLK6")</f>
        <v>K28 DLK6</v>
      </c>
      <c r="G171" s="1" t="str">
        <f ca="1">IFERROR(__xludf.DUMMYFUNCTION("""COMPUTED_VALUE"""),"Quản trị Du lịch &amp; Khách sạn")</f>
        <v>Quản trị Du lịch &amp; Khách sạn</v>
      </c>
      <c r="H171" s="1" t="str">
        <f ca="1">IFERROR(__xludf.DUMMYFUNCTION("""COMPUTED_VALUE"""),"K28")</f>
        <v>K28</v>
      </c>
      <c r="I171" s="1" t="str">
        <f ca="1">IFERROR(__xludf.DUMMYFUNCTION("""COMPUTED_VALUE"""),"0794933398")</f>
        <v>0794933398</v>
      </c>
      <c r="J171" s="1">
        <f ca="1">IFERROR(__xludf.DUMMYFUNCTION("""COMPUTED_VALUE"""),2.04)</f>
        <v>2.04</v>
      </c>
      <c r="K171" s="1">
        <f ca="1">IFERROR(__xludf.DUMMYFUNCTION("""COMPUTED_VALUE"""),126)</f>
        <v>126</v>
      </c>
      <c r="L171" s="1" t="str">
        <f ca="1">IFERROR(__xludf.DUMMYFUNCTION("""COMPUTED_VALUE"""),"Rồi")</f>
        <v>Rồi</v>
      </c>
      <c r="M171" s="1" t="str">
        <f ca="1">IFERROR(__xludf.DUMMYFUNCTION("""COMPUTED_VALUE"""),"Thi tốt nghiệp")</f>
        <v>Thi tốt nghiệp</v>
      </c>
      <c r="N171" s="1" t="str">
        <f ca="1">IFERROR(__xludf.DUMMYFUNCTION("""COMPUTED_VALUE"""),"4 tín ")</f>
        <v xml:space="preserve">4 tín </v>
      </c>
      <c r="O171" s="1" t="str">
        <f ca="1">IFERROR(__xludf.DUMMYFUNCTION("""COMPUTED_VALUE"""),"cam kết")</f>
        <v>cam kết</v>
      </c>
      <c r="P171" s="1"/>
      <c r="Q171" s="1"/>
      <c r="R171" s="1" t="str">
        <f ca="1">IFERROR(__xludf.DUMMYFUNCTION("""COMPUTED_VALUE"""),"18/12/2025")</f>
        <v>18/12/2025</v>
      </c>
      <c r="S171" s="1" t="str">
        <f ca="1">IFERROR(__xludf.DUMMYFUNCTION("""COMPUTED_VALUE"""),"không đủ điều kiện thực tập")</f>
        <v>không đủ điều kiện thực tập</v>
      </c>
      <c r="T171" s="1" t="str">
        <f ca="1">IFERROR(__xludf.DUMMYFUNCTION("""COMPUTED_VALUE"""),"Đã email cấp giấy giới thiệu ngày 18/12/2025")</f>
        <v>Đã email cấp giấy giới thiệu ngày 18/12/2025</v>
      </c>
      <c r="U171" s="1"/>
      <c r="V171" s="1"/>
      <c r="W171" s="1" t="str">
        <f ca="1">IFERROR(__xludf.DUMMYFUNCTION("""COMPUTED_VALUE"""),"K28DLK6")</f>
        <v>K28DLK6</v>
      </c>
      <c r="X171" s="1"/>
      <c r="Y171" s="1" t="str">
        <f ca="1">IFERROR(__xludf.DUMMYFUNCTION("""COMPUTED_VALUE"""),"Altara Suites Da Nang")</f>
        <v>Altara Suites Da Nang</v>
      </c>
      <c r="Z171" s="1" t="str">
        <f ca="1">IFERROR(__xludf.DUMMYFUNCTION("""COMPUTED_VALUE"""),"Nhà hàng")</f>
        <v>Nhà hàng</v>
      </c>
      <c r="AA171" s="1" t="str">
        <f ca="1">IFERROR(__xludf.DUMMYFUNCTION("""COMPUTED_VALUE"""),"DUYỆT")</f>
        <v>DUYỆT</v>
      </c>
      <c r="AB171" s="1"/>
      <c r="AC171" s="1" t="str">
        <f ca="1">IFERROR(__xludf.DUMMYFUNCTION("""COMPUTED_VALUE""")," ")</f>
        <v xml:space="preserve"> </v>
      </c>
      <c r="AD171" s="1"/>
      <c r="AE171" s="1" t="str">
        <f ca="1">IFERROR(__xludf.DUMMYFUNCTION("""COMPUTED_VALUE"""),"#N/A")</f>
        <v>#N/A</v>
      </c>
      <c r="AF171" s="1" t="str">
        <f ca="1">IFERROR(__xludf.DUMMYFUNCTION("""COMPUTED_VALUE"""),"#N/A")</f>
        <v>#N/A</v>
      </c>
      <c r="AG171" s="1" t="str">
        <f ca="1">IFERROR(__xludf.DUMMYFUNCTION("""COMPUTED_VALUE"""),"#N/A")</f>
        <v>#N/A</v>
      </c>
      <c r="AH171" s="1"/>
      <c r="AI171" s="1"/>
    </row>
    <row r="172" spans="1:35" x14ac:dyDescent="0.2">
      <c r="A172" s="3">
        <f ca="1">IFERROR(__xludf.DUMMYFUNCTION("""COMPUTED_VALUE"""),46002.8813912384)</f>
        <v>46002.881391238399</v>
      </c>
      <c r="B172" s="1" t="str">
        <f ca="1">IFERROR(__xludf.DUMMYFUNCTION("""COMPUTED_VALUE"""),"nthanhthuyqn6@gmail.com")</f>
        <v>nthanhthuyqn6@gmail.com</v>
      </c>
      <c r="C172" s="1">
        <f ca="1">IFERROR(__xludf.DUMMYFUNCTION("""COMPUTED_VALUE"""),28208038493)</f>
        <v>28208038493</v>
      </c>
      <c r="D172" s="1" t="str">
        <f ca="1">IFERROR(__xludf.DUMMYFUNCTION("""COMPUTED_VALUE"""),"Nguyễn Thanh Thuỷ")</f>
        <v>Nguyễn Thanh Thuỷ</v>
      </c>
      <c r="E172" s="1"/>
      <c r="F172" s="1" t="str">
        <f ca="1">IFERROR(__xludf.DUMMYFUNCTION("""COMPUTED_VALUE"""),"K28DLK6")</f>
        <v>K28DLK6</v>
      </c>
      <c r="G172" s="1" t="str">
        <f ca="1">IFERROR(__xludf.DUMMYFUNCTION("""COMPUTED_VALUE"""),"Quản trị Du lịch &amp; Khách sạn")</f>
        <v>Quản trị Du lịch &amp; Khách sạn</v>
      </c>
      <c r="H172" s="1" t="str">
        <f ca="1">IFERROR(__xludf.DUMMYFUNCTION("""COMPUTED_VALUE"""),"K28")</f>
        <v>K28</v>
      </c>
      <c r="I172" s="1" t="str">
        <f ca="1">IFERROR(__xludf.DUMMYFUNCTION("""COMPUTED_VALUE"""),"0345608202")</f>
        <v>0345608202</v>
      </c>
      <c r="J172" s="1">
        <f ca="1">IFERROR(__xludf.DUMMYFUNCTION("""COMPUTED_VALUE"""),3.09)</f>
        <v>3.09</v>
      </c>
      <c r="K172" s="1">
        <f ca="1">IFERROR(__xludf.DUMMYFUNCTION("""COMPUTED_VALUE"""),116)</f>
        <v>116</v>
      </c>
      <c r="L172" s="1" t="str">
        <f ca="1">IFERROR(__xludf.DUMMYFUNCTION("""COMPUTED_VALUE"""),"Rồi")</f>
        <v>Rồi</v>
      </c>
      <c r="M172" s="1" t="str">
        <f ca="1">IFERROR(__xludf.DUMMYFUNCTION("""COMPUTED_VALUE"""),"Thực tập tốt nghiệp, Thi tốt nghiệp, Công nhận tốt nghiệp")</f>
        <v>Thực tập tốt nghiệp, Thi tốt nghiệp, Công nhận tốt nghiệp</v>
      </c>
      <c r="N172" s="1">
        <f ca="1">IFERROR(__xludf.DUMMYFUNCTION("""COMPUTED_VALUE"""),9)</f>
        <v>9</v>
      </c>
      <c r="O172" s="1" t="str">
        <f ca="1">IFERROR(__xludf.DUMMYFUNCTION("""COMPUTED_VALUE"""),"cam kết")</f>
        <v>cam kết</v>
      </c>
      <c r="P172" s="1"/>
      <c r="Q172" s="1"/>
      <c r="R172" s="1" t="str">
        <f ca="1">IFERROR(__xludf.DUMMYFUNCTION("""COMPUTED_VALUE"""),"18/12/2025")</f>
        <v>18/12/2025</v>
      </c>
      <c r="S172" s="1" t="str">
        <f ca="1">IFERROR(__xludf.DUMMYFUNCTION("""COMPUTED_VALUE"""),"thực tập TN, Thi TN")</f>
        <v>thực tập TN, Thi TN</v>
      </c>
      <c r="T172" s="1" t="str">
        <f ca="1">IFERROR(__xludf.DUMMYFUNCTION("""COMPUTED_VALUE"""),"Đã email cấp giấy giới thiệu ngày 18/12/2025")</f>
        <v>Đã email cấp giấy giới thiệu ngày 18/12/2025</v>
      </c>
      <c r="U172" s="1"/>
      <c r="V172" s="1"/>
      <c r="W172" s="1" t="str">
        <f ca="1">IFERROR(__xludf.DUMMYFUNCTION("""COMPUTED_VALUE"""),"K28DLK6")</f>
        <v>K28DLK6</v>
      </c>
      <c r="X172" s="1"/>
      <c r="Y172" s="1" t="str">
        <f ca="1">IFERROR(__xludf.DUMMYFUNCTION("""COMPUTED_VALUE"""),"Meliá Vinpearl Danang Riverfront")</f>
        <v>Meliá Vinpearl Danang Riverfront</v>
      </c>
      <c r="Z172" s="1" t="str">
        <f ca="1">IFERROR(__xludf.DUMMYFUNCTION("""COMPUTED_VALUE"""),"Buồng phòng")</f>
        <v>Buồng phòng</v>
      </c>
      <c r="AA172" s="1" t="str">
        <f ca="1">IFERROR(__xludf.DUMMYFUNCTION("""COMPUTED_VALUE"""),"DUYỆT")</f>
        <v>DUYỆT</v>
      </c>
      <c r="AB172" s="1" t="str">
        <f ca="1">IFERROR(__xludf.DUMMYFUNCTION("""COMPUTED_VALUE"""),"27/01/2026")</f>
        <v>27/01/2026</v>
      </c>
      <c r="AC172" s="1" t="str">
        <f ca="1">IFERROR(__xludf.DUMMYFUNCTION("""COMPUTED_VALUE"""),"BÁO CÁO THỰC TẬP TỐT NGHIỆP")</f>
        <v>BÁO CÁO THỰC TẬP TỐT NGHIỆP</v>
      </c>
      <c r="AD172" s="1" t="str">
        <f ca="1">IFERROR(__xludf.DUMMYFUNCTION("""COMPUTED_VALUE"""),"Phạm Thị Thu Thủy")</f>
        <v>Phạm Thị Thu Thủy</v>
      </c>
      <c r="AE172" s="1" t="str">
        <f ca="1">IFERROR(__xludf.DUMMYFUNCTION("""COMPUTED_VALUE"""),"Thạc sĩ")</f>
        <v>Thạc sĩ</v>
      </c>
      <c r="AF172" s="1" t="str">
        <f ca="1">IFERROR(__xludf.DUMMYFUNCTION("""COMPUTED_VALUE"""),"0938290678")</f>
        <v>0938290678</v>
      </c>
      <c r="AG172" s="1" t="str">
        <f ca="1">IFERROR(__xludf.DUMMYFUNCTION("""COMPUTED_VALUE"""),"phamtthuthuy2@dtu-hti.edu.vn")</f>
        <v>phamtthuthuy2@dtu-hti.edu.vn</v>
      </c>
      <c r="AH172" s="1" t="str">
        <f ca="1">IFERROR(__xludf.DUMMYFUNCTION("""COMPUTED_VALUE"""),"Báo cáo kết quả thực tập và thực trạng quy trình phục vụ khách trong thời gian lưu trú tại bộ phận buồng khách sạn Meliá Vinpearl Danang Riverfront")</f>
        <v>Báo cáo kết quả thực tập và thực trạng quy trình phục vụ khách trong thời gian lưu trú tại bộ phận buồng khách sạn Meliá Vinpearl Danang Riverfront</v>
      </c>
      <c r="AI172" s="1"/>
    </row>
    <row r="173" spans="1:35" x14ac:dyDescent="0.2">
      <c r="A173" s="3">
        <f ca="1">IFERROR(__xludf.DUMMYFUNCTION("""COMPUTED_VALUE"""),46048.7763288773)</f>
        <v>46048.776328877299</v>
      </c>
      <c r="B173" s="1" t="str">
        <f ca="1">IFERROR(__xludf.DUMMYFUNCTION("""COMPUTED_VALUE"""),"bestekko2017@gmail.com")</f>
        <v>bestekko2017@gmail.com</v>
      </c>
      <c r="C173" s="1">
        <f ca="1">IFERROR(__xludf.DUMMYFUNCTION("""COMPUTED_VALUE"""),28218001585)</f>
        <v>28218001585</v>
      </c>
      <c r="D173" s="1" t="str">
        <f ca="1">IFERROR(__xludf.DUMMYFUNCTION("""COMPUTED_VALUE"""),"Vũ Tài Lân")</f>
        <v>Vũ Tài Lân</v>
      </c>
      <c r="E173" s="1"/>
      <c r="F173" s="1" t="str">
        <f ca="1">IFERROR(__xludf.DUMMYFUNCTION("""COMPUTED_VALUE"""),"K28DLK3")</f>
        <v>K28DLK3</v>
      </c>
      <c r="G173" s="1" t="str">
        <f ca="1">IFERROR(__xludf.DUMMYFUNCTION("""COMPUTED_VALUE"""),"Quản trị Du lịch &amp; Khách sạn")</f>
        <v>Quản trị Du lịch &amp; Khách sạn</v>
      </c>
      <c r="H173" s="1" t="str">
        <f ca="1">IFERROR(__xludf.DUMMYFUNCTION("""COMPUTED_VALUE"""),"K28")</f>
        <v>K28</v>
      </c>
      <c r="I173" s="1" t="str">
        <f ca="1">IFERROR(__xludf.DUMMYFUNCTION("""COMPUTED_VALUE"""),"0328940728")</f>
        <v>0328940728</v>
      </c>
      <c r="J173" s="1">
        <f ca="1">IFERROR(__xludf.DUMMYFUNCTION("""COMPUTED_VALUE"""),2.19)</f>
        <v>2.19</v>
      </c>
      <c r="K173" s="1">
        <f ca="1">IFERROR(__xludf.DUMMYFUNCTION("""COMPUTED_VALUE"""),113)</f>
        <v>113</v>
      </c>
      <c r="L173" s="1" t="str">
        <f ca="1">IFERROR(__xludf.DUMMYFUNCTION("""COMPUTED_VALUE"""),"Rồi")</f>
        <v>Rồi</v>
      </c>
      <c r="M173" s="1" t="str">
        <f ca="1">IFERROR(__xludf.DUMMYFUNCTION("""COMPUTED_VALUE"""),"Thực tập tốt nghiệp, Thi tốt nghiệp")</f>
        <v>Thực tập tốt nghiệp, Thi tốt nghiệp</v>
      </c>
      <c r="N173" s="1" t="str">
        <f ca="1">IFERROR(__xludf.DUMMYFUNCTION("""COMPUTED_VALUE"""),"3tc")</f>
        <v>3tc</v>
      </c>
      <c r="O173" s="1" t="str">
        <f ca="1">IFERROR(__xludf.DUMMYFUNCTION("""COMPUTED_VALUE"""),"cam kết")</f>
        <v>cam kết</v>
      </c>
      <c r="P173" s="1"/>
      <c r="Q173" s="1"/>
      <c r="R173" s="1" t="str">
        <f ca="1">IFERROR(__xludf.DUMMYFUNCTION("""COMPUTED_VALUE"""),"18/12/2025")</f>
        <v>18/12/2025</v>
      </c>
      <c r="S173" s="1" t="str">
        <f ca="1">IFERROR(__xludf.DUMMYFUNCTION("""COMPUTED_VALUE"""),"thực tập TN, Thi TN")</f>
        <v>thực tập TN, Thi TN</v>
      </c>
      <c r="T173" s="1" t="str">
        <f ca="1">IFERROR(__xludf.DUMMYFUNCTION("""COMPUTED_VALUE"""),"Đã email cấp giấy giới thiệu ngày 18/12/2025")</f>
        <v>Đã email cấp giấy giới thiệu ngày 18/12/2025</v>
      </c>
      <c r="U173" s="1"/>
      <c r="V173" s="1"/>
      <c r="W173" s="1" t="str">
        <f ca="1">IFERROR(__xludf.DUMMYFUNCTION("""COMPUTED_VALUE"""),"K28DLK3")</f>
        <v>K28DLK3</v>
      </c>
      <c r="X173" s="1"/>
      <c r="Y173" s="1" t="str">
        <f ca="1">IFERROR(__xludf.DUMMYFUNCTION("""COMPUTED_VALUE"""),"Novotel Danang Premier")</f>
        <v>Novotel Danang Premier</v>
      </c>
      <c r="Z173" s="1" t="str">
        <f ca="1">IFERROR(__xludf.DUMMYFUNCTION("""COMPUTED_VALUE"""),"Buồng phòng")</f>
        <v>Buồng phòng</v>
      </c>
      <c r="AA173" s="1" t="str">
        <f ca="1">IFERROR(__xludf.DUMMYFUNCTION("""COMPUTED_VALUE"""),"DUYỆT")</f>
        <v>DUYỆT</v>
      </c>
      <c r="AB173" s="1" t="str">
        <f ca="1">IFERROR(__xludf.DUMMYFUNCTION("""COMPUTED_VALUE"""),"23/01/2026")</f>
        <v>23/01/2026</v>
      </c>
      <c r="AC173" s="1" t="str">
        <f ca="1">IFERROR(__xludf.DUMMYFUNCTION("""COMPUTED_VALUE"""),"BÁO CÁO THỰC TẬP TỐT NGHIỆP")</f>
        <v>BÁO CÁO THỰC TẬP TỐT NGHIỆP</v>
      </c>
      <c r="AD173" s="1" t="str">
        <f ca="1">IFERROR(__xludf.DUMMYFUNCTION("""COMPUTED_VALUE"""),"Phạm Thị Thu Thủy")</f>
        <v>Phạm Thị Thu Thủy</v>
      </c>
      <c r="AE173" s="1" t="str">
        <f ca="1">IFERROR(__xludf.DUMMYFUNCTION("""COMPUTED_VALUE"""),"Thạc sĩ")</f>
        <v>Thạc sĩ</v>
      </c>
      <c r="AF173" s="1" t="str">
        <f ca="1">IFERROR(__xludf.DUMMYFUNCTION("""COMPUTED_VALUE"""),"0938290678")</f>
        <v>0938290678</v>
      </c>
      <c r="AG173" s="1" t="str">
        <f ca="1">IFERROR(__xludf.DUMMYFUNCTION("""COMPUTED_VALUE"""),"phamtthuthuy2@dtu-hti.edu.vn")</f>
        <v>phamtthuthuy2@dtu-hti.edu.vn</v>
      </c>
      <c r="AH173" s="1" t="str">
        <f ca="1">IFERROR(__xludf.DUMMYFUNCTION("""COMPUTED_VALUE"""),"Báo cáo kết quả thực tập và thực trạng quy trình vệ sinh Buồng tại bộ phận Buồng khách sạn Novotel Danang Premier ")</f>
        <v xml:space="preserve">Báo cáo kết quả thực tập và thực trạng quy trình vệ sinh Buồng tại bộ phận Buồng khách sạn Novotel Danang Premier </v>
      </c>
      <c r="AI173" s="1"/>
    </row>
    <row r="174" spans="1:35" x14ac:dyDescent="0.2">
      <c r="A174" s="3">
        <f ca="1">IFERROR(__xludf.DUMMYFUNCTION("""COMPUTED_VALUE"""),46003.0748798379)</f>
        <v>46003.074879837899</v>
      </c>
      <c r="B174" s="1" t="str">
        <f ca="1">IFERROR(__xludf.DUMMYFUNCTION("""COMPUTED_VALUE"""),"hienlovetea1995@gmail.com")</f>
        <v>hienlovetea1995@gmail.com</v>
      </c>
      <c r="C174" s="1">
        <f ca="1">IFERROR(__xludf.DUMMYFUNCTION("""COMPUTED_VALUE"""),27202225386)</f>
        <v>27202225386</v>
      </c>
      <c r="D174" s="1" t="str">
        <f ca="1">IFERROR(__xludf.DUMMYFUNCTION("""COMPUTED_VALUE"""),"Lê Tống Thu Hiền")</f>
        <v>Lê Tống Thu Hiền</v>
      </c>
      <c r="E174" s="1"/>
      <c r="F174" s="1" t="str">
        <f ca="1">IFERROR(__xludf.DUMMYFUNCTION("""COMPUTED_VALUE"""),"K27PSUDLK1")</f>
        <v>K27PSUDLK1</v>
      </c>
      <c r="G174" s="1" t="str">
        <f ca="1">IFERROR(__xludf.DUMMYFUNCTION("""COMPUTED_VALUE"""),"Quản trị Du lịch &amp; Khách sạn chuẩn PSU")</f>
        <v>Quản trị Du lịch &amp; Khách sạn chuẩn PSU</v>
      </c>
      <c r="H174" s="1" t="str">
        <f ca="1">IFERROR(__xludf.DUMMYFUNCTION("""COMPUTED_VALUE"""),"K27")</f>
        <v>K27</v>
      </c>
      <c r="I174" s="1" t="str">
        <f ca="1">IFERROR(__xludf.DUMMYFUNCTION("""COMPUTED_VALUE"""),"0779511590")</f>
        <v>0779511590</v>
      </c>
      <c r="J174" s="1">
        <f ca="1">IFERROR(__xludf.DUMMYFUNCTION("""COMPUTED_VALUE"""),2.75)</f>
        <v>2.75</v>
      </c>
      <c r="K174" s="1">
        <f ca="1">IFERROR(__xludf.DUMMYFUNCTION("""COMPUTED_VALUE"""),126)</f>
        <v>126</v>
      </c>
      <c r="L174" s="1" t="str">
        <f ca="1">IFERROR(__xludf.DUMMYFUNCTION("""COMPUTED_VALUE"""),"Rồi")</f>
        <v>Rồi</v>
      </c>
      <c r="M174" s="1" t="str">
        <f ca="1">IFERROR(__xludf.DUMMYFUNCTION("""COMPUTED_VALUE"""),"Thi tốt nghiệp")</f>
        <v>Thi tốt nghiệp</v>
      </c>
      <c r="N174" s="1">
        <f ca="1">IFERROR(__xludf.DUMMYFUNCTION("""COMPUTED_VALUE"""),3)</f>
        <v>3</v>
      </c>
      <c r="O174" s="1" t="str">
        <f ca="1">IFERROR(__xludf.DUMMYFUNCTION("""COMPUTED_VALUE"""),"cam kết")</f>
        <v>cam kết</v>
      </c>
      <c r="P174" s="1" t="str">
        <f ca="1">IFERROR(__xludf.DUMMYFUNCTION("""COMPUTED_VALUE"""),"CHƯA NỘP")</f>
        <v>CHƯA NỘP</v>
      </c>
      <c r="Q174" s="1">
        <f ca="1">IFERROR(__xludf.DUMMYFUNCTION("""COMPUTED_VALUE"""),17)</f>
        <v>17</v>
      </c>
      <c r="R174" s="1" t="str">
        <f ca="1">IFERROR(__xludf.DUMMYFUNCTION("""COMPUTED_VALUE"""),"18/12/2025")</f>
        <v>18/12/2025</v>
      </c>
      <c r="S174" s="1" t="str">
        <f ca="1">IFERROR(__xludf.DUMMYFUNCTION("""COMPUTED_VALUE"""),"thực tập TN, Thi TN")</f>
        <v>thực tập TN, Thi TN</v>
      </c>
      <c r="T174" s="1"/>
      <c r="U174" s="1"/>
      <c r="V174" s="1"/>
      <c r="W174" s="1" t="str">
        <f ca="1">IFERROR(__xludf.DUMMYFUNCTION("""COMPUTED_VALUE"""),"K28PSU-DLK")</f>
        <v>K28PSU-DLK</v>
      </c>
      <c r="X174" s="1"/>
      <c r="Y174" s="1" t="str">
        <f ca="1">IFERROR(__xludf.DUMMYFUNCTION("""COMPUTED_VALUE"""),"#N/A")</f>
        <v>#N/A</v>
      </c>
      <c r="Z174" s="1" t="str">
        <f ca="1">IFERROR(__xludf.DUMMYFUNCTION("""COMPUTED_VALUE"""),"#N/A")</f>
        <v>#N/A</v>
      </c>
      <c r="AA174" s="1" t="str">
        <f ca="1">IFERROR(__xludf.DUMMYFUNCTION("""COMPUTED_VALUE"""),"#N/A")</f>
        <v>#N/A</v>
      </c>
      <c r="AB174" s="1"/>
      <c r="AC174" s="1" t="str">
        <f ca="1">IFERROR(__xludf.DUMMYFUNCTION("""COMPUTED_VALUE"""),"BÁO CÁO THỰC TẬP TỐT NGHIỆP")</f>
        <v>BÁO CÁO THỰC TẬP TỐT NGHIỆP</v>
      </c>
      <c r="AD174" s="1">
        <f ca="1">IFERROR(__xludf.DUMMYFUNCTION("""COMPUTED_VALUE"""),0)</f>
        <v>0</v>
      </c>
      <c r="AE174" s="1" t="str">
        <f ca="1">IFERROR(__xludf.DUMMYFUNCTION("""COMPUTED_VALUE"""),"#N/A")</f>
        <v>#N/A</v>
      </c>
      <c r="AF174" s="1" t="str">
        <f ca="1">IFERROR(__xludf.DUMMYFUNCTION("""COMPUTED_VALUE"""),"#N/A")</f>
        <v>#N/A</v>
      </c>
      <c r="AG174" s="1" t="str">
        <f ca="1">IFERROR(__xludf.DUMMYFUNCTION("""COMPUTED_VALUE"""),"#N/A")</f>
        <v>#N/A</v>
      </c>
      <c r="AH174" s="1" t="str">
        <f ca="1">IFERROR(__xludf.DUMMYFUNCTION("""COMPUTED_VALUE"""),"#N/A")</f>
        <v>#N/A</v>
      </c>
      <c r="AI174" s="1"/>
    </row>
    <row r="175" spans="1:35" x14ac:dyDescent="0.2">
      <c r="A175" s="3">
        <f ca="1">IFERROR(__xludf.DUMMYFUNCTION("""COMPUTED_VALUE"""),46020.468823912)</f>
        <v>46020.468823912001</v>
      </c>
      <c r="B175" s="1" t="str">
        <f ca="1">IFERROR(__xludf.DUMMYFUNCTION("""COMPUTED_VALUE"""),"lethuyan120803@gmail.com")</f>
        <v>lethuyan120803@gmail.com</v>
      </c>
      <c r="C175" s="1">
        <f ca="1">IFERROR(__xludf.DUMMYFUNCTION("""COMPUTED_VALUE"""),27217142131)</f>
        <v>27217142131</v>
      </c>
      <c r="D175" s="1" t="str">
        <f ca="1">IFERROR(__xludf.DUMMYFUNCTION("""COMPUTED_VALUE"""),"Lê Thị Thuỳ An")</f>
        <v>Lê Thị Thuỳ An</v>
      </c>
      <c r="E175" s="1"/>
      <c r="F175" s="1" t="str">
        <f ca="1">IFERROR(__xludf.DUMMYFUNCTION("""COMPUTED_VALUE"""),"K28PSUDLK")</f>
        <v>K28PSUDLK</v>
      </c>
      <c r="G175" s="1" t="str">
        <f ca="1">IFERROR(__xludf.DUMMYFUNCTION("""COMPUTED_VALUE"""),"Quản trị Du lịch &amp; Khách sạn chuẩn PSU")</f>
        <v>Quản trị Du lịch &amp; Khách sạn chuẩn PSU</v>
      </c>
      <c r="H175" s="1" t="str">
        <f ca="1">IFERROR(__xludf.DUMMYFUNCTION("""COMPUTED_VALUE"""),"K28")</f>
        <v>K28</v>
      </c>
      <c r="I175" s="1" t="str">
        <f ca="1">IFERROR(__xludf.DUMMYFUNCTION("""COMPUTED_VALUE"""),"0964630850")</f>
        <v>0964630850</v>
      </c>
      <c r="J175" s="1">
        <f ca="1">IFERROR(__xludf.DUMMYFUNCTION("""COMPUTED_VALUE"""),3.85)</f>
        <v>3.85</v>
      </c>
      <c r="K175" s="1">
        <f ca="1">IFERROR(__xludf.DUMMYFUNCTION("""COMPUTED_VALUE"""),120)</f>
        <v>120</v>
      </c>
      <c r="L175" s="1" t="str">
        <f ca="1">IFERROR(__xludf.DUMMYFUNCTION("""COMPUTED_VALUE"""),"Rồi")</f>
        <v>Rồi</v>
      </c>
      <c r="M175" s="1" t="str">
        <f ca="1">IFERROR(__xludf.DUMMYFUNCTION("""COMPUTED_VALUE"""),"Thực tập tốt nghiệp, Công nhận tốt nghiệp")</f>
        <v>Thực tập tốt nghiệp, Công nhận tốt nghiệp</v>
      </c>
      <c r="N175" s="1">
        <f ca="1">IFERROR(__xludf.DUMMYFUNCTION("""COMPUTED_VALUE"""),6)</f>
        <v>6</v>
      </c>
      <c r="O175" s="1" t="str">
        <f ca="1">IFERROR(__xludf.DUMMYFUNCTION("""COMPUTED_VALUE"""),"cam kết")</f>
        <v>cam kết</v>
      </c>
      <c r="P175" s="1"/>
      <c r="Q175" s="1"/>
      <c r="R175" s="1" t="str">
        <f ca="1">IFERROR(__xludf.DUMMYFUNCTION("""COMPUTED_VALUE"""),"18/12/2025")</f>
        <v>18/12/2025</v>
      </c>
      <c r="S175" s="1" t="str">
        <f ca="1">IFERROR(__xludf.DUMMYFUNCTION("""COMPUTED_VALUE"""),"khóa luận TN")</f>
        <v>khóa luận TN</v>
      </c>
      <c r="T175" s="1" t="str">
        <f ca="1">IFERROR(__xludf.DUMMYFUNCTION("""COMPUTED_VALUE"""),"đã email ngày 05/01/2026")</f>
        <v>đã email ngày 05/01/2026</v>
      </c>
      <c r="U175" s="1"/>
      <c r="V175" s="1"/>
      <c r="W175" s="1" t="str">
        <f ca="1">IFERROR(__xludf.DUMMYFUNCTION("""COMPUTED_VALUE"""),"K28PSU-DLK")</f>
        <v>K28PSU-DLK</v>
      </c>
      <c r="X175" s="1"/>
      <c r="Y175" s="1" t="str">
        <f ca="1">IFERROR(__xludf.DUMMYFUNCTION("""COMPUTED_VALUE"""),"Hyatt Regency Danang Resort and Spa")</f>
        <v>Hyatt Regency Danang Resort and Spa</v>
      </c>
      <c r="Z175" s="1" t="str">
        <f ca="1">IFERROR(__xludf.DUMMYFUNCTION("""COMPUTED_VALUE"""),"Nhà hàng")</f>
        <v>Nhà hàng</v>
      </c>
      <c r="AA175" s="1" t="str">
        <f ca="1">IFERROR(__xludf.DUMMYFUNCTION("""COMPUTED_VALUE"""),"DUYỆT")</f>
        <v>DUYỆT</v>
      </c>
      <c r="AB175" s="1" t="str">
        <f ca="1">IFERROR(__xludf.DUMMYFUNCTION("""COMPUTED_VALUE"""),"27/01/2026")</f>
        <v>27/01/2026</v>
      </c>
      <c r="AC175" s="1" t="str">
        <f ca="1">IFERROR(__xludf.DUMMYFUNCTION("""COMPUTED_VALUE"""),"KHÓA LUẬN")</f>
        <v>KHÓA LUẬN</v>
      </c>
      <c r="AD175" s="1" t="str">
        <f ca="1">IFERROR(__xludf.DUMMYFUNCTION("""COMPUTED_VALUE"""),"Phạm Thị Hoàng Dung")</f>
        <v>Phạm Thị Hoàng Dung</v>
      </c>
      <c r="AE175" s="1" t="str">
        <f ca="1">IFERROR(__xludf.DUMMYFUNCTION("""COMPUTED_VALUE"""),"Tiến sĩ")</f>
        <v>Tiến sĩ</v>
      </c>
      <c r="AF175" s="1" t="str">
        <f ca="1">IFERROR(__xludf.DUMMYFUNCTION("""COMPUTED_VALUE"""),"0935 141614")</f>
        <v>0935 141614</v>
      </c>
      <c r="AG175" s="1" t="str">
        <f ca="1">IFERROR(__xludf.DUMMYFUNCTION("""COMPUTED_VALUE"""),"phamthoangdung@duytan.edu.vn")</f>
        <v>phamthoangdung@duytan.edu.vn</v>
      </c>
      <c r="AH175" s="1" t="str">
        <f ca="1">IFERROR(__xludf.DUMMYFUNCTION("""COMPUTED_VALUE"""),"Đề xuất xây dựng chương trình đào tạo nhân viên Food &amp; Beverage tại Hyatt Regency Danang Resort and Spa")</f>
        <v>Đề xuất xây dựng chương trình đào tạo nhân viên Food &amp; Beverage tại Hyatt Regency Danang Resort and Spa</v>
      </c>
      <c r="AI175" s="1"/>
    </row>
    <row r="176" spans="1:35" x14ac:dyDescent="0.2">
      <c r="A176" s="3">
        <f ca="1">IFERROR(__xludf.DUMMYFUNCTION("""COMPUTED_VALUE"""),46003.576519537)</f>
        <v>46003.576519536997</v>
      </c>
      <c r="B176" s="1" t="str">
        <f ca="1">IFERROR(__xludf.DUMMYFUNCTION("""COMPUTED_VALUE"""),"vnhi014@gmail.com")</f>
        <v>vnhi014@gmail.com</v>
      </c>
      <c r="C176" s="1">
        <f ca="1">IFERROR(__xludf.DUMMYFUNCTION("""COMPUTED_VALUE"""),28218050044)</f>
        <v>28218050044</v>
      </c>
      <c r="D176" s="1" t="str">
        <f ca="1">IFERROR(__xludf.DUMMYFUNCTION("""COMPUTED_VALUE"""),"Võ Quỳnh Nhi")</f>
        <v>Võ Quỳnh Nhi</v>
      </c>
      <c r="E176" s="1"/>
      <c r="F176" s="1" t="str">
        <f ca="1">IFERROR(__xludf.DUMMYFUNCTION("""COMPUTED_VALUE"""),"K28DLK1")</f>
        <v>K28DLK1</v>
      </c>
      <c r="G176" s="1" t="str">
        <f ca="1">IFERROR(__xludf.DUMMYFUNCTION("""COMPUTED_VALUE"""),"Quản trị Du lịch &amp; Khách sạn")</f>
        <v>Quản trị Du lịch &amp; Khách sạn</v>
      </c>
      <c r="H176" s="1" t="str">
        <f ca="1">IFERROR(__xludf.DUMMYFUNCTION("""COMPUTED_VALUE"""),"K28")</f>
        <v>K28</v>
      </c>
      <c r="I176" s="1" t="str">
        <f ca="1">IFERROR(__xludf.DUMMYFUNCTION("""COMPUTED_VALUE"""),"0389107633")</f>
        <v>0389107633</v>
      </c>
      <c r="J176" s="1">
        <f ca="1">IFERROR(__xludf.DUMMYFUNCTION("""COMPUTED_VALUE"""),2.71)</f>
        <v>2.71</v>
      </c>
      <c r="K176" s="1">
        <f ca="1">IFERROR(__xludf.DUMMYFUNCTION("""COMPUTED_VALUE"""),111)</f>
        <v>111</v>
      </c>
      <c r="L176" s="1" t="str">
        <f ca="1">IFERROR(__xludf.DUMMYFUNCTION("""COMPUTED_VALUE"""),"Rồi")</f>
        <v>Rồi</v>
      </c>
      <c r="M176" s="1" t="str">
        <f ca="1">IFERROR(__xludf.DUMMYFUNCTION("""COMPUTED_VALUE"""),"Thực tập tốt nghiệp, Thi tốt nghiệp, Công nhận tốt nghiệp")</f>
        <v>Thực tập tốt nghiệp, Thi tốt nghiệp, Công nhận tốt nghiệp</v>
      </c>
      <c r="N176" s="1">
        <f ca="1">IFERROR(__xludf.DUMMYFUNCTION("""COMPUTED_VALUE"""),4)</f>
        <v>4</v>
      </c>
      <c r="O176" s="1" t="str">
        <f ca="1">IFERROR(__xludf.DUMMYFUNCTION("""COMPUTED_VALUE"""),"cam kết")</f>
        <v>cam kết</v>
      </c>
      <c r="P176" s="1"/>
      <c r="Q176" s="1"/>
      <c r="R176" s="1" t="str">
        <f ca="1">IFERROR(__xludf.DUMMYFUNCTION("""COMPUTED_VALUE"""),"18/12/2025")</f>
        <v>18/12/2025</v>
      </c>
      <c r="S176" s="1" t="str">
        <f ca="1">IFERROR(__xludf.DUMMYFUNCTION("""COMPUTED_VALUE"""),"thực tập TN, Thi TN")</f>
        <v>thực tập TN, Thi TN</v>
      </c>
      <c r="T176" s="1" t="str">
        <f ca="1">IFERROR(__xludf.DUMMYFUNCTION("""COMPUTED_VALUE"""),"Đã email cấp giấy giới thiệu ngày 18/12/2025")</f>
        <v>Đã email cấp giấy giới thiệu ngày 18/12/2025</v>
      </c>
      <c r="U176" s="1"/>
      <c r="V176" s="1"/>
      <c r="W176" s="1" t="str">
        <f ca="1">IFERROR(__xludf.DUMMYFUNCTION("""COMPUTED_VALUE"""),"K28DLK1")</f>
        <v>K28DLK1</v>
      </c>
      <c r="X176" s="1"/>
      <c r="Y176" s="1" t="str">
        <f ca="1">IFERROR(__xludf.DUMMYFUNCTION("""COMPUTED_VALUE"""),"Da Nang Mikazuki Japanese Resorts and Spa")</f>
        <v>Da Nang Mikazuki Japanese Resorts and Spa</v>
      </c>
      <c r="Z176" s="1" t="str">
        <f ca="1">IFERROR(__xludf.DUMMYFUNCTION("""COMPUTED_VALUE"""),"Nhà hàng")</f>
        <v>Nhà hàng</v>
      </c>
      <c r="AA176" s="1" t="str">
        <f ca="1">IFERROR(__xludf.DUMMYFUNCTION("""COMPUTED_VALUE"""),"DUYỆT")</f>
        <v>DUYỆT</v>
      </c>
      <c r="AB176" s="1" t="str">
        <f ca="1">IFERROR(__xludf.DUMMYFUNCTION("""COMPUTED_VALUE"""),"23/12/2025")</f>
        <v>23/12/2025</v>
      </c>
      <c r="AC176" s="1" t="str">
        <f ca="1">IFERROR(__xludf.DUMMYFUNCTION("""COMPUTED_VALUE"""),"BÁO CÁO THỰC TẬP TỐT NGHIỆP")</f>
        <v>BÁO CÁO THỰC TẬP TỐT NGHIỆP</v>
      </c>
      <c r="AD176" s="1" t="str">
        <f ca="1">IFERROR(__xludf.DUMMYFUNCTION("""COMPUTED_VALUE"""),"Nguyễn Thị Minh Thư")</f>
        <v>Nguyễn Thị Minh Thư</v>
      </c>
      <c r="AE176" s="1" t="str">
        <f ca="1">IFERROR(__xludf.DUMMYFUNCTION("""COMPUTED_VALUE"""),"Thạc sĩ")</f>
        <v>Thạc sĩ</v>
      </c>
      <c r="AF176" s="1" t="str">
        <f ca="1">IFERROR(__xludf.DUMMYFUNCTION("""COMPUTED_VALUE"""),"0396.153.687")</f>
        <v>0396.153.687</v>
      </c>
      <c r="AG176" s="1" t="str">
        <f ca="1">IFERROR(__xludf.DUMMYFUNCTION("""COMPUTED_VALUE"""),"nguyentminhthu@dtu-hti.edu.vn")</f>
        <v>nguyentminhthu@dtu-hti.edu.vn</v>
      </c>
      <c r="AH176" s="1" t="str">
        <f ca="1">IFERROR(__xludf.DUMMYFUNCTION("""COMPUTED_VALUE""")," Báo cáo kết quả thực tập và thực trạng quy trình phục vụ Buffet sáng tại nhà hàng The Blue thuộc Da Nang Mikazuki Japanese Resorts &amp; Spa.")</f>
        <v xml:space="preserve"> Báo cáo kết quả thực tập và thực trạng quy trình phục vụ Buffet sáng tại nhà hàng The Blue thuộc Da Nang Mikazuki Japanese Resorts &amp; Spa.</v>
      </c>
      <c r="AI176" s="1"/>
    </row>
    <row r="177" spans="1:35" x14ac:dyDescent="0.2">
      <c r="A177" s="3">
        <f ca="1">IFERROR(__xludf.DUMMYFUNCTION("""COMPUTED_VALUE"""),46003.7423441898)</f>
        <v>46003.742344189799</v>
      </c>
      <c r="B177" s="1" t="str">
        <f ca="1">IFERROR(__xludf.DUMMYFUNCTION("""COMPUTED_VALUE"""),"sonp2255@gmail.com")</f>
        <v>sonp2255@gmail.com</v>
      </c>
      <c r="C177" s="1">
        <f ca="1">IFERROR(__xludf.DUMMYFUNCTION("""COMPUTED_VALUE"""),28212405074)</f>
        <v>28212405074</v>
      </c>
      <c r="D177" s="1" t="str">
        <f ca="1">IFERROR(__xludf.DUMMYFUNCTION("""COMPUTED_VALUE"""),"Phạm Trường Sơn")</f>
        <v>Phạm Trường Sơn</v>
      </c>
      <c r="E177" s="1"/>
      <c r="F177" s="1" t="str">
        <f ca="1">IFERROR(__xludf.DUMMYFUNCTION("""COMPUTED_VALUE"""),"K28DLK6")</f>
        <v>K28DLK6</v>
      </c>
      <c r="G177" s="1" t="str">
        <f ca="1">IFERROR(__xludf.DUMMYFUNCTION("""COMPUTED_VALUE"""),"Quản trị Du lịch &amp; Khách sạn")</f>
        <v>Quản trị Du lịch &amp; Khách sạn</v>
      </c>
      <c r="H177" s="1" t="str">
        <f ca="1">IFERROR(__xludf.DUMMYFUNCTION("""COMPUTED_VALUE"""),"K28")</f>
        <v>K28</v>
      </c>
      <c r="I177" s="1" t="str">
        <f ca="1">IFERROR(__xludf.DUMMYFUNCTION("""COMPUTED_VALUE"""),"0785861480")</f>
        <v>0785861480</v>
      </c>
      <c r="J177" s="1">
        <f ca="1">IFERROR(__xludf.DUMMYFUNCTION("""COMPUTED_VALUE"""),2.45)</f>
        <v>2.4500000000000002</v>
      </c>
      <c r="K177" s="1">
        <f ca="1">IFERROR(__xludf.DUMMYFUNCTION("""COMPUTED_VALUE"""),111)</f>
        <v>111</v>
      </c>
      <c r="L177" s="1" t="str">
        <f ca="1">IFERROR(__xludf.DUMMYFUNCTION("""COMPUTED_VALUE"""),"Rồi")</f>
        <v>Rồi</v>
      </c>
      <c r="M177" s="1" t="str">
        <f ca="1">IFERROR(__xludf.DUMMYFUNCTION("""COMPUTED_VALUE"""),"Thực tập tốt nghiệp")</f>
        <v>Thực tập tốt nghiệp</v>
      </c>
      <c r="N177" s="1">
        <f ca="1">IFERROR(__xludf.DUMMYFUNCTION("""COMPUTED_VALUE"""),6)</f>
        <v>6</v>
      </c>
      <c r="O177" s="1" t="str">
        <f ca="1">IFERROR(__xludf.DUMMYFUNCTION("""COMPUTED_VALUE"""),"cam kết")</f>
        <v>cam kết</v>
      </c>
      <c r="P177" s="1"/>
      <c r="Q177" s="1"/>
      <c r="R177" s="1" t="str">
        <f ca="1">IFERROR(__xludf.DUMMYFUNCTION("""COMPUTED_VALUE"""),"18/12/2025")</f>
        <v>18/12/2025</v>
      </c>
      <c r="S177" s="1" t="str">
        <f ca="1">IFERROR(__xludf.DUMMYFUNCTION("""COMPUTED_VALUE"""),"thực tập TN, Thi TN")</f>
        <v>thực tập TN, Thi TN</v>
      </c>
      <c r="T177" s="1" t="str">
        <f ca="1">IFERROR(__xludf.DUMMYFUNCTION("""COMPUTED_VALUE"""),"Đã email cấp giấy giới thiệu ngày 18/12/2025")</f>
        <v>Đã email cấp giấy giới thiệu ngày 18/12/2025</v>
      </c>
      <c r="U177" s="1"/>
      <c r="V177" s="1"/>
      <c r="W177" s="1" t="str">
        <f ca="1">IFERROR(__xludf.DUMMYFUNCTION("""COMPUTED_VALUE"""),"K28DLK6")</f>
        <v>K28DLK6</v>
      </c>
      <c r="X177" s="1"/>
      <c r="Y177" s="1" t="str">
        <f ca="1">IFERROR(__xludf.DUMMYFUNCTION("""COMPUTED_VALUE"""),"Rosamia Da Nang Hotel")</f>
        <v>Rosamia Da Nang Hotel</v>
      </c>
      <c r="Z177" s="1" t="str">
        <f ca="1">IFERROR(__xludf.DUMMYFUNCTION("""COMPUTED_VALUE"""),"Nhà hàng")</f>
        <v>Nhà hàng</v>
      </c>
      <c r="AA177" s="1" t="str">
        <f ca="1">IFERROR(__xludf.DUMMYFUNCTION("""COMPUTED_VALUE"""),"DUYỆT")</f>
        <v>DUYỆT</v>
      </c>
      <c r="AB177" s="1" t="str">
        <f ca="1">IFERROR(__xludf.DUMMYFUNCTION("""COMPUTED_VALUE"""),"21/01/2026")</f>
        <v>21/01/2026</v>
      </c>
      <c r="AC177" s="1" t="str">
        <f ca="1">IFERROR(__xludf.DUMMYFUNCTION("""COMPUTED_VALUE"""),"BÁO CÁO THỰC TẬP TỐT NGHIỆP")</f>
        <v>BÁO CÁO THỰC TẬP TỐT NGHIỆP</v>
      </c>
      <c r="AD177" s="1" t="str">
        <f ca="1">IFERROR(__xludf.DUMMYFUNCTION("""COMPUTED_VALUE"""),"Mai Thị Thương")</f>
        <v>Mai Thị Thương</v>
      </c>
      <c r="AE177" s="1" t="str">
        <f ca="1">IFERROR(__xludf.DUMMYFUNCTION("""COMPUTED_VALUE"""),"Thạc sĩ")</f>
        <v>Thạc sĩ</v>
      </c>
      <c r="AF177" s="1" t="str">
        <f ca="1">IFERROR(__xludf.DUMMYFUNCTION("""COMPUTED_VALUE"""),"0905767050")</f>
        <v>0905767050</v>
      </c>
      <c r="AG177" s="1" t="str">
        <f ca="1">IFERROR(__xludf.DUMMYFUNCTION("""COMPUTED_VALUE"""),"maithithuong@dtu-hti.edu.vn")</f>
        <v>maithithuong@dtu-hti.edu.vn</v>
      </c>
      <c r="AH177" s="1" t="str">
        <f ca="1">IFERROR(__xludf.DUMMYFUNCTION("""COMPUTED_VALUE"""),"Báo cáo kết quả thực tập và thực trạng về các yếu tố ảnh hưởng đến chất lượng phục vụ tại nhà hàng Marina khách sạn Rosamia Da Nang Hotel")</f>
        <v>Báo cáo kết quả thực tập và thực trạng về các yếu tố ảnh hưởng đến chất lượng phục vụ tại nhà hàng Marina khách sạn Rosamia Da Nang Hotel</v>
      </c>
      <c r="AI177" s="1"/>
    </row>
    <row r="178" spans="1:35" x14ac:dyDescent="0.2">
      <c r="A178" s="3">
        <f ca="1">IFERROR(__xludf.DUMMYFUNCTION("""COMPUTED_VALUE"""),46003.7752585069)</f>
        <v>46003.775258506903</v>
      </c>
      <c r="B178" s="1" t="str">
        <f ca="1">IFERROR(__xludf.DUMMYFUNCTION("""COMPUTED_VALUE"""),"nguyenminhthu20040102@gmail.com")</f>
        <v>nguyenminhthu20040102@gmail.com</v>
      </c>
      <c r="C178" s="1">
        <f ca="1">IFERROR(__xludf.DUMMYFUNCTION("""COMPUTED_VALUE"""),28208045207)</f>
        <v>28208045207</v>
      </c>
      <c r="D178" s="1" t="str">
        <f ca="1">IFERROR(__xludf.DUMMYFUNCTION("""COMPUTED_VALUE"""),"Lương Nguyễn Minh Thư")</f>
        <v>Lương Nguyễn Minh Thư</v>
      </c>
      <c r="E178" s="1"/>
      <c r="F178" s="1" t="str">
        <f ca="1">IFERROR(__xludf.DUMMYFUNCTION("""COMPUTED_VALUE"""),"K28DLK4")</f>
        <v>K28DLK4</v>
      </c>
      <c r="G178" s="1" t="str">
        <f ca="1">IFERROR(__xludf.DUMMYFUNCTION("""COMPUTED_VALUE"""),"Quản trị Du lịch &amp; Khách sạn")</f>
        <v>Quản trị Du lịch &amp; Khách sạn</v>
      </c>
      <c r="H178" s="1" t="str">
        <f ca="1">IFERROR(__xludf.DUMMYFUNCTION("""COMPUTED_VALUE"""),"K28")</f>
        <v>K28</v>
      </c>
      <c r="I178" s="1" t="str">
        <f ca="1">IFERROR(__xludf.DUMMYFUNCTION("""COMPUTED_VALUE"""),"0775545515")</f>
        <v>0775545515</v>
      </c>
      <c r="J178" s="1">
        <f ca="1">IFERROR(__xludf.DUMMYFUNCTION("""COMPUTED_VALUE"""),2.84)</f>
        <v>2.84</v>
      </c>
      <c r="K178" s="1">
        <f ca="1">IFERROR(__xludf.DUMMYFUNCTION("""COMPUTED_VALUE"""),120)</f>
        <v>120</v>
      </c>
      <c r="L178" s="1" t="str">
        <f ca="1">IFERROR(__xludf.DUMMYFUNCTION("""COMPUTED_VALUE"""),"Rồi")</f>
        <v>Rồi</v>
      </c>
      <c r="M178" s="1" t="str">
        <f ca="1">IFERROR(__xludf.DUMMYFUNCTION("""COMPUTED_VALUE"""),"Thực tập tốt nghiệp, Thi tốt nghiệp, Công nhận tốt nghiệp")</f>
        <v>Thực tập tốt nghiệp, Thi tốt nghiệp, Công nhận tốt nghiệp</v>
      </c>
      <c r="N178" s="1">
        <f ca="1">IFERROR(__xludf.DUMMYFUNCTION("""COMPUTED_VALUE"""),5)</f>
        <v>5</v>
      </c>
      <c r="O178" s="1" t="str">
        <f ca="1">IFERROR(__xludf.DUMMYFUNCTION("""COMPUTED_VALUE"""),"cam kết")</f>
        <v>cam kết</v>
      </c>
      <c r="P178" s="1"/>
      <c r="Q178" s="1"/>
      <c r="R178" s="1" t="str">
        <f ca="1">IFERROR(__xludf.DUMMYFUNCTION("""COMPUTED_VALUE"""),"18/12/2025")</f>
        <v>18/12/2025</v>
      </c>
      <c r="S178" s="1" t="str">
        <f ca="1">IFERROR(__xludf.DUMMYFUNCTION("""COMPUTED_VALUE"""),"thực tập TN, Thi TN")</f>
        <v>thực tập TN, Thi TN</v>
      </c>
      <c r="T178" s="1" t="str">
        <f ca="1">IFERROR(__xludf.DUMMYFUNCTION("""COMPUTED_VALUE"""),"Đã email cấp giấy giới thiệu ngày 18/12/2025")</f>
        <v>Đã email cấp giấy giới thiệu ngày 18/12/2025</v>
      </c>
      <c r="U178" s="1"/>
      <c r="V178" s="1"/>
      <c r="W178" s="1" t="str">
        <f ca="1">IFERROR(__xludf.DUMMYFUNCTION("""COMPUTED_VALUE"""),"K28DLK4")</f>
        <v>K28DLK4</v>
      </c>
      <c r="X178" s="1"/>
      <c r="Y178" s="1" t="str">
        <f ca="1">IFERROR(__xludf.DUMMYFUNCTION("""COMPUTED_VALUE"""),"Radisson Hotel Danang")</f>
        <v>Radisson Hotel Danang</v>
      </c>
      <c r="Z178" s="1" t="str">
        <f ca="1">IFERROR(__xludf.DUMMYFUNCTION("""COMPUTED_VALUE"""),"Buồng phòng")</f>
        <v>Buồng phòng</v>
      </c>
      <c r="AA178" s="1" t="str">
        <f ca="1">IFERROR(__xludf.DUMMYFUNCTION("""COMPUTED_VALUE"""),"DUYỆT")</f>
        <v>DUYỆT</v>
      </c>
      <c r="AB178" s="1" t="str">
        <f ca="1">IFERROR(__xludf.DUMMYFUNCTION("""COMPUTED_VALUE"""),"29/01/2026")</f>
        <v>29/01/2026</v>
      </c>
      <c r="AC178" s="1" t="str">
        <f ca="1">IFERROR(__xludf.DUMMYFUNCTION("""COMPUTED_VALUE"""),"BÁO CÁO THỰC TẬP TỐT NGHIỆP")</f>
        <v>BÁO CÁO THỰC TẬP TỐT NGHIỆP</v>
      </c>
      <c r="AD178" s="1" t="str">
        <f ca="1">IFERROR(__xludf.DUMMYFUNCTION("""COMPUTED_VALUE"""),"Phạm Thị Thu Thủy")</f>
        <v>Phạm Thị Thu Thủy</v>
      </c>
      <c r="AE178" s="1" t="str">
        <f ca="1">IFERROR(__xludf.DUMMYFUNCTION("""COMPUTED_VALUE"""),"Thạc sĩ")</f>
        <v>Thạc sĩ</v>
      </c>
      <c r="AF178" s="1" t="str">
        <f ca="1">IFERROR(__xludf.DUMMYFUNCTION("""COMPUTED_VALUE"""),"0938290678")</f>
        <v>0938290678</v>
      </c>
      <c r="AG178" s="1" t="str">
        <f ca="1">IFERROR(__xludf.DUMMYFUNCTION("""COMPUTED_VALUE"""),"phamtthuthuy2@dtu-hti.edu.vn")</f>
        <v>phamtthuthuy2@dtu-hti.edu.vn</v>
      </c>
      <c r="AH178" s="1" t="str">
        <f ca="1">IFERROR(__xludf.DUMMYFUNCTION("""COMPUTED_VALUE"""),"Báo cáo kết quả thực tập và thực trạng quy trình vệ sinh buồng tại bộ phận buồng khách sạn Radisson Hotel Danang")</f>
        <v>Báo cáo kết quả thực tập và thực trạng quy trình vệ sinh buồng tại bộ phận buồng khách sạn Radisson Hotel Danang</v>
      </c>
      <c r="AI178" s="1"/>
    </row>
    <row r="179" spans="1:35" x14ac:dyDescent="0.2">
      <c r="A179" s="3">
        <f ca="1">IFERROR(__xludf.DUMMYFUNCTION("""COMPUTED_VALUE"""),46003.841480949)</f>
        <v>46003.841480948999</v>
      </c>
      <c r="B179" s="1" t="str">
        <f ca="1">IFERROR(__xludf.DUMMYFUNCTION("""COMPUTED_VALUE"""),"phanngocxuanhan.ps@gmail.com")</f>
        <v>phanngocxuanhan.ps@gmail.com</v>
      </c>
      <c r="C179" s="1">
        <f ca="1">IFERROR(__xludf.DUMMYFUNCTION("""COMPUTED_VALUE"""),28208151980)</f>
        <v>28208151980</v>
      </c>
      <c r="D179" s="1" t="str">
        <f ca="1">IFERROR(__xludf.DUMMYFUNCTION("""COMPUTED_VALUE"""),"Phan Ngọc Xuân Hân")</f>
        <v>Phan Ngọc Xuân Hân</v>
      </c>
      <c r="E179" s="1"/>
      <c r="F179" s="1" t="str">
        <f ca="1">IFERROR(__xludf.DUMMYFUNCTION("""COMPUTED_VALUE"""),"K28DLK2")</f>
        <v>K28DLK2</v>
      </c>
      <c r="G179" s="1" t="str">
        <f ca="1">IFERROR(__xludf.DUMMYFUNCTION("""COMPUTED_VALUE"""),"Quản trị Du lịch &amp; Khách sạn")</f>
        <v>Quản trị Du lịch &amp; Khách sạn</v>
      </c>
      <c r="H179" s="1" t="str">
        <f ca="1">IFERROR(__xludf.DUMMYFUNCTION("""COMPUTED_VALUE"""),"K28")</f>
        <v>K28</v>
      </c>
      <c r="I179" s="1" t="str">
        <f ca="1">IFERROR(__xludf.DUMMYFUNCTION("""COMPUTED_VALUE"""),"0708086437")</f>
        <v>0708086437</v>
      </c>
      <c r="J179" s="1">
        <f ca="1">IFERROR(__xludf.DUMMYFUNCTION("""COMPUTED_VALUE"""),2.13)</f>
        <v>2.13</v>
      </c>
      <c r="K179" s="1">
        <f ca="1">IFERROR(__xludf.DUMMYFUNCTION("""COMPUTED_VALUE"""),114)</f>
        <v>114</v>
      </c>
      <c r="L179" s="1" t="str">
        <f ca="1">IFERROR(__xludf.DUMMYFUNCTION("""COMPUTED_VALUE"""),"Rồi")</f>
        <v>Rồi</v>
      </c>
      <c r="M179" s="1" t="str">
        <f ca="1">IFERROR(__xludf.DUMMYFUNCTION("""COMPUTED_VALUE"""),"Thực tập tốt nghiệp, Thi tốt nghiệp, Công nhận tốt nghiệp")</f>
        <v>Thực tập tốt nghiệp, Thi tốt nghiệp, Công nhận tốt nghiệp</v>
      </c>
      <c r="N179" s="1" t="str">
        <f ca="1">IFERROR(__xludf.DUMMYFUNCTION("""COMPUTED_VALUE"""),"20 tín chỉ")</f>
        <v>20 tín chỉ</v>
      </c>
      <c r="O179" s="1" t="str">
        <f ca="1">IFERROR(__xludf.DUMMYFUNCTION("""COMPUTED_VALUE"""),"cam kết")</f>
        <v>cam kết</v>
      </c>
      <c r="P179" s="1"/>
      <c r="Q179" s="1"/>
      <c r="R179" s="1" t="str">
        <f ca="1">IFERROR(__xludf.DUMMYFUNCTION("""COMPUTED_VALUE"""),"18/12/2025")</f>
        <v>18/12/2025</v>
      </c>
      <c r="S179" s="1" t="str">
        <f ca="1">IFERROR(__xludf.DUMMYFUNCTION("""COMPUTED_VALUE"""),"thực tập TN, Thi TN")</f>
        <v>thực tập TN, Thi TN</v>
      </c>
      <c r="T179" s="1" t="str">
        <f ca="1">IFERROR(__xludf.DUMMYFUNCTION("""COMPUTED_VALUE"""),"Đã email cấp giấy giới thiệu ngày 18/12/2025")</f>
        <v>Đã email cấp giấy giới thiệu ngày 18/12/2025</v>
      </c>
      <c r="U179" s="1"/>
      <c r="V179" s="1"/>
      <c r="W179" s="1" t="str">
        <f ca="1">IFERROR(__xludf.DUMMYFUNCTION("""COMPUTED_VALUE"""),"K28DLK4")</f>
        <v>K28DLK4</v>
      </c>
      <c r="X179" s="1"/>
      <c r="Y179" s="1" t="str">
        <f ca="1">IFERROR(__xludf.DUMMYFUNCTION("""COMPUTED_VALUE"""),"Da Nang Mikazuki Japanese Resorts and Spa")</f>
        <v>Da Nang Mikazuki Japanese Resorts and Spa</v>
      </c>
      <c r="Z179" s="1" t="str">
        <f ca="1">IFERROR(__xludf.DUMMYFUNCTION("""COMPUTED_VALUE"""),"Buồng phòng")</f>
        <v>Buồng phòng</v>
      </c>
      <c r="AA179" s="1" t="str">
        <f ca="1">IFERROR(__xludf.DUMMYFUNCTION("""COMPUTED_VALUE"""),"DUYỆT")</f>
        <v>DUYỆT</v>
      </c>
      <c r="AB179" s="1" t="str">
        <f ca="1">IFERROR(__xludf.DUMMYFUNCTION("""COMPUTED_VALUE"""),"29/01/2026")</f>
        <v>29/01/2026</v>
      </c>
      <c r="AC179" s="1" t="str">
        <f ca="1">IFERROR(__xludf.DUMMYFUNCTION("""COMPUTED_VALUE"""),"BÁO CÁO THỰC TẬP TỐT NGHIỆP")</f>
        <v>BÁO CÁO THỰC TẬP TỐT NGHIỆP</v>
      </c>
      <c r="AD179" s="1" t="str">
        <f ca="1">IFERROR(__xludf.DUMMYFUNCTION("""COMPUTED_VALUE"""),"Hồ Minh Phúc")</f>
        <v>Hồ Minh Phúc</v>
      </c>
      <c r="AE179" s="1" t="str">
        <f ca="1">IFERROR(__xludf.DUMMYFUNCTION("""COMPUTED_VALUE"""),"Thạc sĩ")</f>
        <v>Thạc sĩ</v>
      </c>
      <c r="AF179" s="1" t="str">
        <f ca="1">IFERROR(__xludf.DUMMYFUNCTION("""COMPUTED_VALUE"""),"0935336716")</f>
        <v>0935336716</v>
      </c>
      <c r="AG179" s="1" t="str">
        <f ca="1">IFERROR(__xludf.DUMMYFUNCTION("""COMPUTED_VALUE"""),"hominhphuc@dtu-hti.edu.vn")</f>
        <v>hominhphuc@dtu-hti.edu.vn</v>
      </c>
      <c r="AH179" s="1" t="str">
        <f ca="1">IFERROR(__xludf.DUMMYFUNCTION("""COMPUTED_VALUE"""),"Báo cáo kết quả thực tập và thực trạng các yếu tố ảnh hưởng đến chất lượng phục vụ tại bộ phận Buồng phòng của Danang Mikazuki Japanese Resorts and Spa")</f>
        <v>Báo cáo kết quả thực tập và thực trạng các yếu tố ảnh hưởng đến chất lượng phục vụ tại bộ phận Buồng phòng của Danang Mikazuki Japanese Resorts and Spa</v>
      </c>
      <c r="AI179" s="1"/>
    </row>
    <row r="180" spans="1:35" x14ac:dyDescent="0.2">
      <c r="A180" s="3">
        <f ca="1">IFERROR(__xludf.DUMMYFUNCTION("""COMPUTED_VALUE"""),46004.3396085763)</f>
        <v>46004.339608576302</v>
      </c>
      <c r="B180" s="1" t="str">
        <f ca="1">IFERROR(__xludf.DUMMYFUNCTION("""COMPUTED_VALUE"""),"tranhuykhang080@gmail.com")</f>
        <v>tranhuykhang080@gmail.com</v>
      </c>
      <c r="C180" s="1">
        <f ca="1">IFERROR(__xludf.DUMMYFUNCTION("""COMPUTED_VALUE"""),28218054522)</f>
        <v>28218054522</v>
      </c>
      <c r="D180" s="1" t="str">
        <f ca="1">IFERROR(__xludf.DUMMYFUNCTION("""COMPUTED_VALUE"""),"Trần Huy Khang ")</f>
        <v xml:space="preserve">Trần Huy Khang </v>
      </c>
      <c r="E180" s="1"/>
      <c r="F180" s="1" t="str">
        <f ca="1">IFERROR(__xludf.DUMMYFUNCTION("""COMPUTED_VALUE"""),"K28DLK7")</f>
        <v>K28DLK7</v>
      </c>
      <c r="G180" s="1" t="str">
        <f ca="1">IFERROR(__xludf.DUMMYFUNCTION("""COMPUTED_VALUE"""),"Quản trị Du lịch &amp; Khách sạn")</f>
        <v>Quản trị Du lịch &amp; Khách sạn</v>
      </c>
      <c r="H180" s="1" t="str">
        <f ca="1">IFERROR(__xludf.DUMMYFUNCTION("""COMPUTED_VALUE"""),"K28")</f>
        <v>K28</v>
      </c>
      <c r="I180" s="1" t="str">
        <f ca="1">IFERROR(__xludf.DUMMYFUNCTION("""COMPUTED_VALUE"""),"0763159837")</f>
        <v>0763159837</v>
      </c>
      <c r="J180" s="1">
        <f ca="1">IFERROR(__xludf.DUMMYFUNCTION("""COMPUTED_VALUE"""),2.36)</f>
        <v>2.36</v>
      </c>
      <c r="K180" s="1">
        <f ca="1">IFERROR(__xludf.DUMMYFUNCTION("""COMPUTED_VALUE"""),111)</f>
        <v>111</v>
      </c>
      <c r="L180" s="1" t="str">
        <f ca="1">IFERROR(__xludf.DUMMYFUNCTION("""COMPUTED_VALUE"""),"Rồi")</f>
        <v>Rồi</v>
      </c>
      <c r="M180" s="1" t="str">
        <f ca="1">IFERROR(__xludf.DUMMYFUNCTION("""COMPUTED_VALUE"""),"Thực tập tốt nghiệp, Thi tốt nghiệp, Công nhận tốt nghiệp")</f>
        <v>Thực tập tốt nghiệp, Thi tốt nghiệp, Công nhận tốt nghiệp</v>
      </c>
      <c r="N180" s="1">
        <f ca="1">IFERROR(__xludf.DUMMYFUNCTION("""COMPUTED_VALUE"""),12)</f>
        <v>12</v>
      </c>
      <c r="O180" s="1" t="str">
        <f ca="1">IFERROR(__xludf.DUMMYFUNCTION("""COMPUTED_VALUE"""),"cam kết")</f>
        <v>cam kết</v>
      </c>
      <c r="P180" s="1"/>
      <c r="Q180" s="1"/>
      <c r="R180" s="1" t="str">
        <f ca="1">IFERROR(__xludf.DUMMYFUNCTION("""COMPUTED_VALUE"""),"18/12/2025")</f>
        <v>18/12/2025</v>
      </c>
      <c r="S180" s="1" t="str">
        <f ca="1">IFERROR(__xludf.DUMMYFUNCTION("""COMPUTED_VALUE"""),"thực tập TN, Thi TN")</f>
        <v>thực tập TN, Thi TN</v>
      </c>
      <c r="T180" s="1" t="str">
        <f ca="1">IFERROR(__xludf.DUMMYFUNCTION("""COMPUTED_VALUE"""),"Đã email cấp giấy giới thiệu ngày 18/12/2025")</f>
        <v>Đã email cấp giấy giới thiệu ngày 18/12/2025</v>
      </c>
      <c r="U180" s="1"/>
      <c r="V180" s="1"/>
      <c r="W180" s="1" t="str">
        <f ca="1">IFERROR(__xludf.DUMMYFUNCTION("""COMPUTED_VALUE"""),"K28DLK7")</f>
        <v>K28DLK7</v>
      </c>
      <c r="X180" s="1"/>
      <c r="Y180" s="1" t="str">
        <f ca="1">IFERROR(__xludf.DUMMYFUNCTION("""COMPUTED_VALUE"""),"Wyndham Danang Golden Bay Hotel")</f>
        <v>Wyndham Danang Golden Bay Hotel</v>
      </c>
      <c r="Z180" s="1" t="str">
        <f ca="1">IFERROR(__xludf.DUMMYFUNCTION("""COMPUTED_VALUE"""),"Nhà hàng")</f>
        <v>Nhà hàng</v>
      </c>
      <c r="AA180" s="1" t="str">
        <f ca="1">IFERROR(__xludf.DUMMYFUNCTION("""COMPUTED_VALUE"""),"DUYỆT")</f>
        <v>DUYỆT</v>
      </c>
      <c r="AB180" s="1" t="str">
        <f ca="1">IFERROR(__xludf.DUMMYFUNCTION("""COMPUTED_VALUE"""),"27/01/2026")</f>
        <v>27/01/2026</v>
      </c>
      <c r="AC180" s="1" t="str">
        <f ca="1">IFERROR(__xludf.DUMMYFUNCTION("""COMPUTED_VALUE"""),"BÁO CÁO THỰC TẬP TỐT NGHIỆP")</f>
        <v>BÁO CÁO THỰC TẬP TỐT NGHIỆP</v>
      </c>
      <c r="AD180" s="1" t="str">
        <f ca="1">IFERROR(__xludf.DUMMYFUNCTION("""COMPUTED_VALUE"""),"Trần Hoàng Anh")</f>
        <v>Trần Hoàng Anh</v>
      </c>
      <c r="AE180" s="1" t="str">
        <f ca="1">IFERROR(__xludf.DUMMYFUNCTION("""COMPUTED_VALUE"""),"Thạc sĩ")</f>
        <v>Thạc sĩ</v>
      </c>
      <c r="AF180" s="1" t="str">
        <f ca="1">IFERROR(__xludf.DUMMYFUNCTION("""COMPUTED_VALUE"""),"0906 029 602")</f>
        <v>0906 029 602</v>
      </c>
      <c r="AG180" s="1" t="str">
        <f ca="1">IFERROR(__xludf.DUMMYFUNCTION("""COMPUTED_VALUE"""),"tranhoanganh@dtu-hti.edu.vn")</f>
        <v>tranhoanganh@dtu-hti.edu.vn</v>
      </c>
      <c r="AH180" s="1" t="str">
        <f ca="1">IFERROR(__xludf.DUMMYFUNCTION("""COMPUTED_VALUE"""),"Báo cáo kết quả thực tập và thực trạng cơ sở vật chất kĩ thuật tại nhà hàng The Horizon thuộc khách sạn Wyndham Danang Golden Bay Hotel ")</f>
        <v xml:space="preserve">Báo cáo kết quả thực tập và thực trạng cơ sở vật chất kĩ thuật tại nhà hàng The Horizon thuộc khách sạn Wyndham Danang Golden Bay Hotel </v>
      </c>
      <c r="AI180" s="1"/>
    </row>
    <row r="181" spans="1:35" x14ac:dyDescent="0.2">
      <c r="A181" s="3">
        <f ca="1">IFERROR(__xludf.DUMMYFUNCTION("""COMPUTED_VALUE"""),46004.3707407986)</f>
        <v>46004.3707407986</v>
      </c>
      <c r="B181" s="1" t="str">
        <f ca="1">IFERROR(__xludf.DUMMYFUNCTION("""COMPUTED_VALUE"""),"hagiang3584@gmail.com")</f>
        <v>hagiang3584@gmail.com</v>
      </c>
      <c r="C181" s="1">
        <f ca="1">IFERROR(__xludf.DUMMYFUNCTION("""COMPUTED_VALUE"""),28208053626)</f>
        <v>28208053626</v>
      </c>
      <c r="D181" s="1" t="str">
        <f ca="1">IFERROR(__xludf.DUMMYFUNCTION("""COMPUTED_VALUE"""),"Dương Thị Minh Thảo  ")</f>
        <v xml:space="preserve">Dương Thị Minh Thảo  </v>
      </c>
      <c r="E181" s="1"/>
      <c r="F181" s="1" t="str">
        <f ca="1">IFERROR(__xludf.DUMMYFUNCTION("""COMPUTED_VALUE"""),"K28 DLK 6")</f>
        <v>K28 DLK 6</v>
      </c>
      <c r="G181" s="1" t="str">
        <f ca="1">IFERROR(__xludf.DUMMYFUNCTION("""COMPUTED_VALUE"""),"Quản trị Du lịch &amp; Khách sạn")</f>
        <v>Quản trị Du lịch &amp; Khách sạn</v>
      </c>
      <c r="H181" s="1" t="str">
        <f ca="1">IFERROR(__xludf.DUMMYFUNCTION("""COMPUTED_VALUE"""),"K28")</f>
        <v>K28</v>
      </c>
      <c r="I181" s="1" t="str">
        <f ca="1">IFERROR(__xludf.DUMMYFUNCTION("""COMPUTED_VALUE"""),"0981815622")</f>
        <v>0981815622</v>
      </c>
      <c r="J181" s="1">
        <f ca="1">IFERROR(__xludf.DUMMYFUNCTION("""COMPUTED_VALUE"""),2.43)</f>
        <v>2.4300000000000002</v>
      </c>
      <c r="K181" s="1">
        <f ca="1">IFERROR(__xludf.DUMMYFUNCTION("""COMPUTED_VALUE"""),117)</f>
        <v>117</v>
      </c>
      <c r="L181" s="1" t="str">
        <f ca="1">IFERROR(__xludf.DUMMYFUNCTION("""COMPUTED_VALUE"""),"Rồi")</f>
        <v>Rồi</v>
      </c>
      <c r="M181" s="1" t="str">
        <f ca="1">IFERROR(__xludf.DUMMYFUNCTION("""COMPUTED_VALUE"""),"Thực tập tốt nghiệp, Thi tốt nghiệp, Công nhận tốt nghiệp")</f>
        <v>Thực tập tốt nghiệp, Thi tốt nghiệp, Công nhận tốt nghiệp</v>
      </c>
      <c r="N181" s="1">
        <f ca="1">IFERROR(__xludf.DUMMYFUNCTION("""COMPUTED_VALUE"""),6)</f>
        <v>6</v>
      </c>
      <c r="O181" s="1" t="str">
        <f ca="1">IFERROR(__xludf.DUMMYFUNCTION("""COMPUTED_VALUE"""),"cam kết")</f>
        <v>cam kết</v>
      </c>
      <c r="P181" s="1"/>
      <c r="Q181" s="1"/>
      <c r="R181" s="1" t="str">
        <f ca="1">IFERROR(__xludf.DUMMYFUNCTION("""COMPUTED_VALUE"""),"18/12/2025")</f>
        <v>18/12/2025</v>
      </c>
      <c r="S181" s="1" t="str">
        <f ca="1">IFERROR(__xludf.DUMMYFUNCTION("""COMPUTED_VALUE"""),"thực tập TN, Thi TN")</f>
        <v>thực tập TN, Thi TN</v>
      </c>
      <c r="T181" s="1" t="str">
        <f ca="1">IFERROR(__xludf.DUMMYFUNCTION("""COMPUTED_VALUE"""),"Đã email cấp giấy giới thiệu ngày 18/12/2025")</f>
        <v>Đã email cấp giấy giới thiệu ngày 18/12/2025</v>
      </c>
      <c r="U181" s="1"/>
      <c r="V181" s="1"/>
      <c r="W181" s="1" t="str">
        <f ca="1">IFERROR(__xludf.DUMMYFUNCTION("""COMPUTED_VALUE"""),"K28DLK6")</f>
        <v>K28DLK6</v>
      </c>
      <c r="X181" s="1"/>
      <c r="Y181" s="1" t="str">
        <f ca="1">IFERROR(__xludf.DUMMYFUNCTION("""COMPUTED_VALUE"""),"Shilla Monogram Danang")</f>
        <v>Shilla Monogram Danang</v>
      </c>
      <c r="Z181" s="1" t="str">
        <f ca="1">IFERROR(__xludf.DUMMYFUNCTION("""COMPUTED_VALUE"""),"Buồng phòng")</f>
        <v>Buồng phòng</v>
      </c>
      <c r="AA181" s="1" t="str">
        <f ca="1">IFERROR(__xludf.DUMMYFUNCTION("""COMPUTED_VALUE"""),"DUYỆT")</f>
        <v>DUYỆT</v>
      </c>
      <c r="AB181" s="1" t="str">
        <f ca="1">IFERROR(__xludf.DUMMYFUNCTION("""COMPUTED_VALUE"""),"23/01/2026")</f>
        <v>23/01/2026</v>
      </c>
      <c r="AC181" s="1" t="str">
        <f ca="1">IFERROR(__xludf.DUMMYFUNCTION("""COMPUTED_VALUE"""),"BÁO CÁO THỰC TẬP TỐT NGHIỆP")</f>
        <v>BÁO CÁO THỰC TẬP TỐT NGHIỆP</v>
      </c>
      <c r="AD181" s="1" t="str">
        <f ca="1">IFERROR(__xludf.DUMMYFUNCTION("""COMPUTED_VALUE"""),"Hồ Minh Phúc")</f>
        <v>Hồ Minh Phúc</v>
      </c>
      <c r="AE181" s="1" t="str">
        <f ca="1">IFERROR(__xludf.DUMMYFUNCTION("""COMPUTED_VALUE"""),"Thạc sĩ")</f>
        <v>Thạc sĩ</v>
      </c>
      <c r="AF181" s="1" t="str">
        <f ca="1">IFERROR(__xludf.DUMMYFUNCTION("""COMPUTED_VALUE"""),"0935336716")</f>
        <v>0935336716</v>
      </c>
      <c r="AG181" s="1" t="str">
        <f ca="1">IFERROR(__xludf.DUMMYFUNCTION("""COMPUTED_VALUE"""),"hominhphuc@dtu-hti.edu.vn")</f>
        <v>hominhphuc@dtu-hti.edu.vn</v>
      </c>
      <c r="AH181" s="1" t="str">
        <f ca="1">IFERROR(__xludf.DUMMYFUNCTION("""COMPUTED_VALUE"""),"  Báo cáo kết quả thực tập và thực trạng quy trình vệ sinh khu vực công cộng tại bộ phận Buồng phòng của Shilla Monogram DaNang Resort  ")</f>
        <v xml:space="preserve">  Báo cáo kết quả thực tập và thực trạng quy trình vệ sinh khu vực công cộng tại bộ phận Buồng phòng của Shilla Monogram DaNang Resort  </v>
      </c>
      <c r="AI181" s="1"/>
    </row>
    <row r="182" spans="1:35" x14ac:dyDescent="0.2">
      <c r="A182" s="3">
        <f ca="1">IFERROR(__xludf.DUMMYFUNCTION("""COMPUTED_VALUE"""),46015.7107750231)</f>
        <v>46015.710775023101</v>
      </c>
      <c r="B182" s="1" t="str">
        <f ca="1">IFERROR(__xludf.DUMMYFUNCTION("""COMPUTED_VALUE"""),"myvo56454@gmail.com")</f>
        <v>myvo56454@gmail.com</v>
      </c>
      <c r="C182" s="1">
        <f ca="1">IFERROR(__xludf.DUMMYFUNCTION("""COMPUTED_VALUE"""),28204651620)</f>
        <v>28204651620</v>
      </c>
      <c r="D182" s="1" t="str">
        <f ca="1">IFERROR(__xludf.DUMMYFUNCTION("""COMPUTED_VALUE"""),"Võ Thị Diễm My")</f>
        <v>Võ Thị Diễm My</v>
      </c>
      <c r="E182" s="1"/>
      <c r="F182" s="1" t="str">
        <f ca="1">IFERROR(__xludf.DUMMYFUNCTION("""COMPUTED_VALUE"""),"K28DLK8")</f>
        <v>K28DLK8</v>
      </c>
      <c r="G182" s="1" t="str">
        <f ca="1">IFERROR(__xludf.DUMMYFUNCTION("""COMPUTED_VALUE"""),"Quản trị Du lịch &amp; Khách sạn")</f>
        <v>Quản trị Du lịch &amp; Khách sạn</v>
      </c>
      <c r="H182" s="1" t="str">
        <f ca="1">IFERROR(__xludf.DUMMYFUNCTION("""COMPUTED_VALUE"""),"K28")</f>
        <v>K28</v>
      </c>
      <c r="I182" s="1" t="str">
        <f ca="1">IFERROR(__xludf.DUMMYFUNCTION("""COMPUTED_VALUE"""),"0397556709")</f>
        <v>0397556709</v>
      </c>
      <c r="J182" s="1">
        <f ca="1">IFERROR(__xludf.DUMMYFUNCTION("""COMPUTED_VALUE"""),3.06)</f>
        <v>3.06</v>
      </c>
      <c r="K182" s="1">
        <f ca="1">IFERROR(__xludf.DUMMYFUNCTION("""COMPUTED_VALUE"""),120)</f>
        <v>120</v>
      </c>
      <c r="L182" s="1" t="str">
        <f ca="1">IFERROR(__xludf.DUMMYFUNCTION("""COMPUTED_VALUE"""),"Rồi")</f>
        <v>Rồi</v>
      </c>
      <c r="M182" s="1" t="str">
        <f ca="1">IFERROR(__xludf.DUMMYFUNCTION("""COMPUTED_VALUE"""),"Thực tập tốt nghiệp, Thi tốt nghiệp, Công nhận tốt nghiệp")</f>
        <v>Thực tập tốt nghiệp, Thi tốt nghiệp, Công nhận tốt nghiệp</v>
      </c>
      <c r="N182" s="1">
        <f ca="1">IFERROR(__xludf.DUMMYFUNCTION("""COMPUTED_VALUE"""),4)</f>
        <v>4</v>
      </c>
      <c r="O182" s="1" t="str">
        <f ca="1">IFERROR(__xludf.DUMMYFUNCTION("""COMPUTED_VALUE"""),"cam kết")</f>
        <v>cam kết</v>
      </c>
      <c r="P182" s="1"/>
      <c r="Q182" s="1"/>
      <c r="R182" s="1" t="str">
        <f ca="1">IFERROR(__xludf.DUMMYFUNCTION("""COMPUTED_VALUE"""),"18/12/2025")</f>
        <v>18/12/2025</v>
      </c>
      <c r="S182" s="1" t="str">
        <f ca="1">IFERROR(__xludf.DUMMYFUNCTION("""COMPUTED_VALUE"""),"thực tập TN, Thi TN")</f>
        <v>thực tập TN, Thi TN</v>
      </c>
      <c r="T182" s="1" t="str">
        <f ca="1">IFERROR(__xludf.DUMMYFUNCTION("""COMPUTED_VALUE"""),"Đã email cấp giấy giới thiệu ngày 18/12/2025")</f>
        <v>Đã email cấp giấy giới thiệu ngày 18/12/2025</v>
      </c>
      <c r="U182" s="1"/>
      <c r="V182" s="1"/>
      <c r="W182" s="1" t="str">
        <f ca="1">IFERROR(__xludf.DUMMYFUNCTION("""COMPUTED_VALUE"""),"K28DLK8")</f>
        <v>K28DLK8</v>
      </c>
      <c r="X182" s="1"/>
      <c r="Y182" s="1" t="str">
        <f ca="1">IFERROR(__xludf.DUMMYFUNCTION("""COMPUTED_VALUE"""),"Altara Suites Da Nang")</f>
        <v>Altara Suites Da Nang</v>
      </c>
      <c r="Z182" s="1" t="str">
        <f ca="1">IFERROR(__xludf.DUMMYFUNCTION("""COMPUTED_VALUE"""),"Nhà hàng")</f>
        <v>Nhà hàng</v>
      </c>
      <c r="AA182" s="1" t="str">
        <f ca="1">IFERROR(__xludf.DUMMYFUNCTION("""COMPUTED_VALUE"""),"DUYỆT")</f>
        <v>DUYỆT</v>
      </c>
      <c r="AB182" s="1" t="str">
        <f ca="1">IFERROR(__xludf.DUMMYFUNCTION("""COMPUTED_VALUE"""),"22/01/2026")</f>
        <v>22/01/2026</v>
      </c>
      <c r="AC182" s="1" t="str">
        <f ca="1">IFERROR(__xludf.DUMMYFUNCTION("""COMPUTED_VALUE"""),"BÁO CÁO THỰC TẬP TỐT NGHIỆP")</f>
        <v>BÁO CÁO THỰC TẬP TỐT NGHIỆP</v>
      </c>
      <c r="AD182" s="1" t="str">
        <f ca="1">IFERROR(__xludf.DUMMYFUNCTION("""COMPUTED_VALUE"""),"Mai Thị Thương")</f>
        <v>Mai Thị Thương</v>
      </c>
      <c r="AE182" s="1" t="str">
        <f ca="1">IFERROR(__xludf.DUMMYFUNCTION("""COMPUTED_VALUE"""),"Thạc sĩ")</f>
        <v>Thạc sĩ</v>
      </c>
      <c r="AF182" s="1" t="str">
        <f ca="1">IFERROR(__xludf.DUMMYFUNCTION("""COMPUTED_VALUE"""),"0905767050")</f>
        <v>0905767050</v>
      </c>
      <c r="AG182" s="1" t="str">
        <f ca="1">IFERROR(__xludf.DUMMYFUNCTION("""COMPUTED_VALUE"""),"maithithuong@dtu-hti.edu.vn")</f>
        <v>maithithuong@dtu-hti.edu.vn</v>
      </c>
      <c r="AH182" s="1" t="str">
        <f ca="1">IFERROR(__xludf.DUMMYFUNCTION("""COMPUTED_VALUE"""),"Báo cáo kết quả thực tập và thực trạng về các yếu tố ảnh hưởng đến chất lượng phục vụ tại nhà hàng Altitude thuộc Altara Suites Da Nang")</f>
        <v>Báo cáo kết quả thực tập và thực trạng về các yếu tố ảnh hưởng đến chất lượng phục vụ tại nhà hàng Altitude thuộc Altara Suites Da Nang</v>
      </c>
      <c r="AI182" s="1"/>
    </row>
    <row r="183" spans="1:35" x14ac:dyDescent="0.2">
      <c r="A183" s="3">
        <f ca="1">IFERROR(__xludf.DUMMYFUNCTION("""COMPUTED_VALUE"""),46004.7719772685)</f>
        <v>46004.771977268501</v>
      </c>
      <c r="B183" s="1" t="str">
        <f ca="1">IFERROR(__xludf.DUMMYFUNCTION("""COMPUTED_VALUE"""),"vnhi014@gmail.com")</f>
        <v>vnhi014@gmail.com</v>
      </c>
      <c r="C183" s="1">
        <f ca="1">IFERROR(__xludf.DUMMYFUNCTION("""COMPUTED_VALUE"""),28218050044)</f>
        <v>28218050044</v>
      </c>
      <c r="D183" s="1" t="str">
        <f ca="1">IFERROR(__xludf.DUMMYFUNCTION("""COMPUTED_VALUE"""),"Võ Quỳnh Nhi")</f>
        <v>Võ Quỳnh Nhi</v>
      </c>
      <c r="E183" s="1"/>
      <c r="F183" s="1" t="str">
        <f ca="1">IFERROR(__xludf.DUMMYFUNCTION("""COMPUTED_VALUE"""),"K28DLK1")</f>
        <v>K28DLK1</v>
      </c>
      <c r="G183" s="1" t="str">
        <f ca="1">IFERROR(__xludf.DUMMYFUNCTION("""COMPUTED_VALUE"""),"Quản trị Du lịch &amp; Khách sạn")</f>
        <v>Quản trị Du lịch &amp; Khách sạn</v>
      </c>
      <c r="H183" s="1" t="str">
        <f ca="1">IFERROR(__xludf.DUMMYFUNCTION("""COMPUTED_VALUE"""),"K28")</f>
        <v>K28</v>
      </c>
      <c r="I183" s="1" t="str">
        <f ca="1">IFERROR(__xludf.DUMMYFUNCTION("""COMPUTED_VALUE"""),"0389107632")</f>
        <v>0389107632</v>
      </c>
      <c r="J183" s="1">
        <f ca="1">IFERROR(__xludf.DUMMYFUNCTION("""COMPUTED_VALUE"""),2.71)</f>
        <v>2.71</v>
      </c>
      <c r="K183" s="1">
        <f ca="1">IFERROR(__xludf.DUMMYFUNCTION("""COMPUTED_VALUE"""),111)</f>
        <v>111</v>
      </c>
      <c r="L183" s="1" t="str">
        <f ca="1">IFERROR(__xludf.DUMMYFUNCTION("""COMPUTED_VALUE"""),"Rồi")</f>
        <v>Rồi</v>
      </c>
      <c r="M183" s="1" t="str">
        <f ca="1">IFERROR(__xludf.DUMMYFUNCTION("""COMPUTED_VALUE"""),"Thực tập tốt nghiệp, Thi tốt nghiệp, Công nhận tốt nghiệp")</f>
        <v>Thực tập tốt nghiệp, Thi tốt nghiệp, Công nhận tốt nghiệp</v>
      </c>
      <c r="N183" s="1" t="str">
        <f ca="1">IFERROR(__xludf.DUMMYFUNCTION("""COMPUTED_VALUE"""),"Đang học 13 tín, chưa học 2 tín")</f>
        <v>Đang học 13 tín, chưa học 2 tín</v>
      </c>
      <c r="O183" s="1" t="str">
        <f ca="1">IFERROR(__xludf.DUMMYFUNCTION("""COMPUTED_VALUE"""),"cam kết")</f>
        <v>cam kết</v>
      </c>
      <c r="P183" s="1"/>
      <c r="Q183" s="1"/>
      <c r="R183" s="1" t="str">
        <f ca="1">IFERROR(__xludf.DUMMYFUNCTION("""COMPUTED_VALUE"""),"18/12/2025")</f>
        <v>18/12/2025</v>
      </c>
      <c r="S183" s="1" t="str">
        <f ca="1">IFERROR(__xludf.DUMMYFUNCTION("""COMPUTED_VALUE"""),"thực tập TN, Thi TN")</f>
        <v>thực tập TN, Thi TN</v>
      </c>
      <c r="T183" s="1" t="str">
        <f ca="1">IFERROR(__xludf.DUMMYFUNCTION("""COMPUTED_VALUE"""),"Đã email cấp giấy giới thiệu ngày 18/12/2025")</f>
        <v>Đã email cấp giấy giới thiệu ngày 18/12/2025</v>
      </c>
      <c r="U183" s="1"/>
      <c r="V183" s="1"/>
      <c r="W183" s="1" t="str">
        <f ca="1">IFERROR(__xludf.DUMMYFUNCTION("""COMPUTED_VALUE"""),"K28DLK1")</f>
        <v>K28DLK1</v>
      </c>
      <c r="X183" s="1"/>
      <c r="Y183" s="1" t="str">
        <f ca="1">IFERROR(__xludf.DUMMYFUNCTION("""COMPUTED_VALUE"""),"Da Nang Mikazuki Japanese Resorts and Spa")</f>
        <v>Da Nang Mikazuki Japanese Resorts and Spa</v>
      </c>
      <c r="Z183" s="1" t="str">
        <f ca="1">IFERROR(__xludf.DUMMYFUNCTION("""COMPUTED_VALUE"""),"Nhà hàng")</f>
        <v>Nhà hàng</v>
      </c>
      <c r="AA183" s="1" t="str">
        <f ca="1">IFERROR(__xludf.DUMMYFUNCTION("""COMPUTED_VALUE"""),"DUYỆT")</f>
        <v>DUYỆT</v>
      </c>
      <c r="AB183" s="1" t="str">
        <f ca="1">IFERROR(__xludf.DUMMYFUNCTION("""COMPUTED_VALUE"""),"23/12/2025")</f>
        <v>23/12/2025</v>
      </c>
      <c r="AC183" s="1" t="str">
        <f ca="1">IFERROR(__xludf.DUMMYFUNCTION("""COMPUTED_VALUE"""),"BÁO CÁO THỰC TẬP TỐT NGHIỆP")</f>
        <v>BÁO CÁO THỰC TẬP TỐT NGHIỆP</v>
      </c>
      <c r="AD183" s="1" t="str">
        <f ca="1">IFERROR(__xludf.DUMMYFUNCTION("""COMPUTED_VALUE"""),"Nguyễn Thị Minh Thư")</f>
        <v>Nguyễn Thị Minh Thư</v>
      </c>
      <c r="AE183" s="1" t="str">
        <f ca="1">IFERROR(__xludf.DUMMYFUNCTION("""COMPUTED_VALUE"""),"Thạc sĩ")</f>
        <v>Thạc sĩ</v>
      </c>
      <c r="AF183" s="1" t="str">
        <f ca="1">IFERROR(__xludf.DUMMYFUNCTION("""COMPUTED_VALUE"""),"0396.153.687")</f>
        <v>0396.153.687</v>
      </c>
      <c r="AG183" s="1" t="str">
        <f ca="1">IFERROR(__xludf.DUMMYFUNCTION("""COMPUTED_VALUE"""),"nguyentminhthu@dtu-hti.edu.vn")</f>
        <v>nguyentminhthu@dtu-hti.edu.vn</v>
      </c>
      <c r="AH183" s="1" t="str">
        <f ca="1">IFERROR(__xludf.DUMMYFUNCTION("""COMPUTED_VALUE""")," Báo cáo kết quả thực tập và thực trạng quy trình phục vụ Buffet sáng tại nhà hàng The Blue thuộc Da Nang Mikazuki Japanese Resorts &amp; Spa.")</f>
        <v xml:space="preserve"> Báo cáo kết quả thực tập và thực trạng quy trình phục vụ Buffet sáng tại nhà hàng The Blue thuộc Da Nang Mikazuki Japanese Resorts &amp; Spa.</v>
      </c>
      <c r="AI183" s="1"/>
    </row>
    <row r="184" spans="1:35" x14ac:dyDescent="0.2">
      <c r="A184" s="3">
        <f ca="1">IFERROR(__xludf.DUMMYFUNCTION("""COMPUTED_VALUE"""),46005.4350997222)</f>
        <v>46005.435099722199</v>
      </c>
      <c r="B184" s="1" t="str">
        <f ca="1">IFERROR(__xludf.DUMMYFUNCTION("""COMPUTED_VALUE"""),"ngduy9202@gmail.com")</f>
        <v>ngduy9202@gmail.com</v>
      </c>
      <c r="C184" s="1">
        <f ca="1">IFERROR(__xludf.DUMMYFUNCTION("""COMPUTED_VALUE"""),26212932260)</f>
        <v>26212932260</v>
      </c>
      <c r="D184" s="1" t="str">
        <f ca="1">IFERROR(__xludf.DUMMYFUNCTION("""COMPUTED_VALUE"""),"Nguyễn Lê Anh Duy")</f>
        <v>Nguyễn Lê Anh Duy</v>
      </c>
      <c r="E184" s="1"/>
      <c r="F184" s="1" t="str">
        <f ca="1">IFERROR(__xludf.DUMMYFUNCTION("""COMPUTED_VALUE"""),"K26PSUDLK 1")</f>
        <v>K26PSUDLK 1</v>
      </c>
      <c r="G184" s="1" t="str">
        <f ca="1">IFERROR(__xludf.DUMMYFUNCTION("""COMPUTED_VALUE"""),"Quản trị Du lịch &amp; Khách sạn chuẩn PSU")</f>
        <v>Quản trị Du lịch &amp; Khách sạn chuẩn PSU</v>
      </c>
      <c r="H184" s="1" t="str">
        <f ca="1">IFERROR(__xludf.DUMMYFUNCTION("""COMPUTED_VALUE"""),"K26")</f>
        <v>K26</v>
      </c>
      <c r="I184" s="1" t="str">
        <f ca="1">IFERROR(__xludf.DUMMYFUNCTION("""COMPUTED_VALUE"""),"0905556020")</f>
        <v>0905556020</v>
      </c>
      <c r="J184" s="1">
        <f ca="1">IFERROR(__xludf.DUMMYFUNCTION("""COMPUTED_VALUE"""),3.32)</f>
        <v>3.32</v>
      </c>
      <c r="K184" s="1">
        <f ca="1">IFERROR(__xludf.DUMMYFUNCTION("""COMPUTED_VALUE"""),133)</f>
        <v>133</v>
      </c>
      <c r="L184" s="1" t="str">
        <f ca="1">IFERROR(__xludf.DUMMYFUNCTION("""COMPUTED_VALUE"""),"Rồi")</f>
        <v>Rồi</v>
      </c>
      <c r="M184" s="1" t="str">
        <f ca="1">IFERROR(__xludf.DUMMYFUNCTION("""COMPUTED_VALUE"""),"Thực tập tốt nghiệp, Công nhận tốt nghiệp")</f>
        <v>Thực tập tốt nghiệp, Công nhận tốt nghiệp</v>
      </c>
      <c r="N184" s="1">
        <f ca="1">IFERROR(__xludf.DUMMYFUNCTION("""COMPUTED_VALUE"""),3)</f>
        <v>3</v>
      </c>
      <c r="O184" s="1" t="str">
        <f ca="1">IFERROR(__xludf.DUMMYFUNCTION("""COMPUTED_VALUE"""),"cam kết")</f>
        <v>cam kết</v>
      </c>
      <c r="P184" s="1" t="str">
        <f ca="1">IFERROR(__xludf.DUMMYFUNCTION("""COMPUTED_VALUE"""),"ĐÃ NỘP")</f>
        <v>ĐÃ NỘP</v>
      </c>
      <c r="Q184" s="1">
        <f ca="1">IFERROR(__xludf.DUMMYFUNCTION("""COMPUTED_VALUE"""),19)</f>
        <v>19</v>
      </c>
      <c r="R184" s="1" t="str">
        <f ca="1">IFERROR(__xludf.DUMMYFUNCTION("""COMPUTED_VALUE"""),"18/12/2025")</f>
        <v>18/12/2025</v>
      </c>
      <c r="S184" s="1" t="str">
        <f ca="1">IFERROR(__xludf.DUMMYFUNCTION("""COMPUTED_VALUE"""),"Thực tập TN")</f>
        <v>Thực tập TN</v>
      </c>
      <c r="T184" s="1" t="str">
        <f ca="1">IFERROR(__xludf.DUMMYFUNCTION("""COMPUTED_VALUE"""),"đã email ngày 05/01/2026")</f>
        <v>đã email ngày 05/01/2026</v>
      </c>
      <c r="U184" s="1"/>
      <c r="V184" s="1"/>
      <c r="W184" s="1" t="str">
        <f ca="1">IFERROR(__xludf.DUMMYFUNCTION("""COMPUTED_VALUE"""),"K26PSU-DLK1")</f>
        <v>K26PSU-DLK1</v>
      </c>
      <c r="X184" s="1"/>
      <c r="Y184" s="1" t="str">
        <f ca="1">IFERROR(__xludf.DUMMYFUNCTION("""COMPUTED_VALUE"""),"Fusion Resort &amp; Villas Da Nang")</f>
        <v>Fusion Resort &amp; Villas Da Nang</v>
      </c>
      <c r="Z184" s="1" t="str">
        <f ca="1">IFERROR(__xludf.DUMMYFUNCTION("""COMPUTED_VALUE"""),"Nhà hàng")</f>
        <v>Nhà hàng</v>
      </c>
      <c r="AA184" s="1" t="str">
        <f ca="1">IFERROR(__xludf.DUMMYFUNCTION("""COMPUTED_VALUE"""),"DUYỆT")</f>
        <v>DUYỆT</v>
      </c>
      <c r="AB184" s="1" t="str">
        <f ca="1">IFERROR(__xludf.DUMMYFUNCTION("""COMPUTED_VALUE"""),"xin nộp trễ 11/02/2026")</f>
        <v>xin nộp trễ 11/02/2026</v>
      </c>
      <c r="AC184" s="1" t="str">
        <f ca="1">IFERROR(__xludf.DUMMYFUNCTION("""COMPUTED_VALUE"""),"BÁO CÁO THỰC TẬP TỐT NGHIỆP")</f>
        <v>BÁO CÁO THỰC TẬP TỐT NGHIỆP</v>
      </c>
      <c r="AD184" s="1" t="str">
        <f ca="1">IFERROR(__xludf.DUMMYFUNCTION("""COMPUTED_VALUE"""),"Dương Thị Xuân Diệu")</f>
        <v>Dương Thị Xuân Diệu</v>
      </c>
      <c r="AE184" s="1" t="str">
        <f ca="1">IFERROR(__xludf.DUMMYFUNCTION("""COMPUTED_VALUE"""),"Thạc sĩ")</f>
        <v>Thạc sĩ</v>
      </c>
      <c r="AF184" s="1" t="str">
        <f ca="1">IFERROR(__xludf.DUMMYFUNCTION("""COMPUTED_VALUE"""),"0905938748")</f>
        <v>0905938748</v>
      </c>
      <c r="AG184" s="1" t="str">
        <f ca="1">IFERROR(__xludf.DUMMYFUNCTION("""COMPUTED_VALUE"""),"duongtxuandieu@dtu-hti.edu.vn")</f>
        <v>duongtxuandieu@dtu-hti.edu.vn</v>
      </c>
      <c r="AH184" s="1" t="str">
        <f ca="1">IFERROR(__xludf.DUMMYFUNCTION("""COMPUTED_VALUE"""),"Báo cáo kết quả thực tập và thực trạng nguồn nhân lực tại nhà hàng Fresh thuộc Fusion resort &amp; villas Da Nang")</f>
        <v>Báo cáo kết quả thực tập và thực trạng nguồn nhân lực tại nhà hàng Fresh thuộc Fusion resort &amp; villas Da Nang</v>
      </c>
      <c r="AI184" s="1"/>
    </row>
    <row r="185" spans="1:35" x14ac:dyDescent="0.2">
      <c r="A185" s="3">
        <f ca="1">IFERROR(__xludf.DUMMYFUNCTION("""COMPUTED_VALUE"""),46007.7802529166)</f>
        <v>46007.7802529166</v>
      </c>
      <c r="B185" s="1" t="str">
        <f ca="1">IFERROR(__xludf.DUMMYFUNCTION("""COMPUTED_VALUE"""),"Ngockhue.6148@gmail.com")</f>
        <v>Ngockhue.6148@gmail.com</v>
      </c>
      <c r="C185" s="1">
        <f ca="1">IFERROR(__xludf.DUMMYFUNCTION("""COMPUTED_VALUE"""),28203500810)</f>
        <v>28203500810</v>
      </c>
      <c r="D185" s="1" t="str">
        <f ca="1">IFERROR(__xludf.DUMMYFUNCTION("""COMPUTED_VALUE"""),"Nông Đặng Ngọc Khuê")</f>
        <v>Nông Đặng Ngọc Khuê</v>
      </c>
      <c r="E185" s="1"/>
      <c r="F185" s="1" t="str">
        <f ca="1">IFERROR(__xludf.DUMMYFUNCTION("""COMPUTED_VALUE"""),"K28DLK7")</f>
        <v>K28DLK7</v>
      </c>
      <c r="G185" s="1" t="str">
        <f ca="1">IFERROR(__xludf.DUMMYFUNCTION("""COMPUTED_VALUE"""),"Quản trị Du lịch &amp; Khách sạn")</f>
        <v>Quản trị Du lịch &amp; Khách sạn</v>
      </c>
      <c r="H185" s="1" t="str">
        <f ca="1">IFERROR(__xludf.DUMMYFUNCTION("""COMPUTED_VALUE"""),"K28")</f>
        <v>K28</v>
      </c>
      <c r="I185" s="1" t="str">
        <f ca="1">IFERROR(__xludf.DUMMYFUNCTION("""COMPUTED_VALUE"""),"0935847015")</f>
        <v>0935847015</v>
      </c>
      <c r="J185" s="1">
        <f ca="1">IFERROR(__xludf.DUMMYFUNCTION("""COMPUTED_VALUE"""),2.43)</f>
        <v>2.4300000000000002</v>
      </c>
      <c r="K185" s="1">
        <f ca="1">IFERROR(__xludf.DUMMYFUNCTION("""COMPUTED_VALUE"""),107)</f>
        <v>107</v>
      </c>
      <c r="L185" s="1" t="str">
        <f ca="1">IFERROR(__xludf.DUMMYFUNCTION("""COMPUTED_VALUE"""),"Rồi")</f>
        <v>Rồi</v>
      </c>
      <c r="M185" s="1" t="str">
        <f ca="1">IFERROR(__xludf.DUMMYFUNCTION("""COMPUTED_VALUE"""),"Thực tập tốt nghiệp, Thi tốt nghiệp, Công nhận tốt nghiệp")</f>
        <v>Thực tập tốt nghiệp, Thi tốt nghiệp, Công nhận tốt nghiệp</v>
      </c>
      <c r="N185" s="1">
        <f ca="1">IFERROR(__xludf.DUMMYFUNCTION("""COMPUTED_VALUE"""),17)</f>
        <v>17</v>
      </c>
      <c r="O185" s="1" t="str">
        <f ca="1">IFERROR(__xludf.DUMMYFUNCTION("""COMPUTED_VALUE"""),"cam kết")</f>
        <v>cam kết</v>
      </c>
      <c r="P185" s="1"/>
      <c r="Q185" s="1"/>
      <c r="R185" s="1" t="str">
        <f ca="1">IFERROR(__xludf.DUMMYFUNCTION("""COMPUTED_VALUE"""),"18/12/2025")</f>
        <v>18/12/2025</v>
      </c>
      <c r="S185" s="1" t="str">
        <f ca="1">IFERROR(__xludf.DUMMYFUNCTION("""COMPUTED_VALUE"""),"thực tập TN, Thi TN")</f>
        <v>thực tập TN, Thi TN</v>
      </c>
      <c r="T185" s="1" t="str">
        <f ca="1">IFERROR(__xludf.DUMMYFUNCTION("""COMPUTED_VALUE"""),"Đã email cấp giấy giới thiệu ngày 18/12/2025")</f>
        <v>Đã email cấp giấy giới thiệu ngày 18/12/2025</v>
      </c>
      <c r="U185" s="1"/>
      <c r="V185" s="1"/>
      <c r="W185" s="1" t="str">
        <f ca="1">IFERROR(__xludf.DUMMYFUNCTION("""COMPUTED_VALUE"""),"K28DLK7")</f>
        <v>K28DLK7</v>
      </c>
      <c r="X185" s="1"/>
      <c r="Y185" s="1" t="str">
        <f ca="1">IFERROR(__xludf.DUMMYFUNCTION("""COMPUTED_VALUE"""),"Four Points by Sheraton Danang")</f>
        <v>Four Points by Sheraton Danang</v>
      </c>
      <c r="Z185" s="1" t="str">
        <f ca="1">IFERROR(__xludf.DUMMYFUNCTION("""COMPUTED_VALUE"""),"Buồng phòng")</f>
        <v>Buồng phòng</v>
      </c>
      <c r="AA185" s="1" t="str">
        <f ca="1">IFERROR(__xludf.DUMMYFUNCTION("""COMPUTED_VALUE"""),"DUYỆT")</f>
        <v>DUYỆT</v>
      </c>
      <c r="AB185" s="1"/>
      <c r="AC185" s="1" t="str">
        <f ca="1">IFERROR(__xludf.DUMMYFUNCTION("""COMPUTED_VALUE"""),"BÁO CÁO THỰC TẬP TỐT NGHIỆP")</f>
        <v>BÁO CÁO THỰC TẬP TỐT NGHIỆP</v>
      </c>
      <c r="AD185" s="1" t="str">
        <f ca="1">IFERROR(__xludf.DUMMYFUNCTION("""COMPUTED_VALUE"""),"Phạm Thị Thu Thủy")</f>
        <v>Phạm Thị Thu Thủy</v>
      </c>
      <c r="AE185" s="1" t="str">
        <f ca="1">IFERROR(__xludf.DUMMYFUNCTION("""COMPUTED_VALUE"""),"Thạc sĩ")</f>
        <v>Thạc sĩ</v>
      </c>
      <c r="AF185" s="1" t="str">
        <f ca="1">IFERROR(__xludf.DUMMYFUNCTION("""COMPUTED_VALUE"""),"0938290678")</f>
        <v>0938290678</v>
      </c>
      <c r="AG185" s="1" t="str">
        <f ca="1">IFERROR(__xludf.DUMMYFUNCTION("""COMPUTED_VALUE"""),"phamtthuthuy2@dtu-hti.edu.vn")</f>
        <v>phamtthuthuy2@dtu-hti.edu.vn</v>
      </c>
      <c r="AH185" s="1" t="str">
        <f ca="1">IFERROR(__xludf.DUMMYFUNCTION("""COMPUTED_VALUE"""),"#N/A")</f>
        <v>#N/A</v>
      </c>
      <c r="AI185" s="1"/>
    </row>
    <row r="186" spans="1:35" x14ac:dyDescent="0.2">
      <c r="A186" s="3">
        <f ca="1">IFERROR(__xludf.DUMMYFUNCTION("""COMPUTED_VALUE"""),46006.5203741088)</f>
        <v>46006.520374108797</v>
      </c>
      <c r="B186" s="1" t="str">
        <f ca="1">IFERROR(__xludf.DUMMYFUNCTION("""COMPUTED_VALUE"""),"nguyencbk@gmail.com")</f>
        <v>nguyencbk@gmail.com</v>
      </c>
      <c r="C186" s="1">
        <f ca="1">IFERROR(__xludf.DUMMYFUNCTION("""COMPUTED_VALUE"""),25217216024)</f>
        <v>25217216024</v>
      </c>
      <c r="D186" s="1" t="str">
        <f ca="1">IFERROR(__xludf.DUMMYFUNCTION("""COMPUTED_VALUE"""),"Trần Công Nguyên")</f>
        <v>Trần Công Nguyên</v>
      </c>
      <c r="E186" s="1"/>
      <c r="F186" s="1" t="str">
        <f ca="1">IFERROR(__xludf.DUMMYFUNCTION("""COMPUTED_VALUE"""),"k25DLK18")</f>
        <v>k25DLK18</v>
      </c>
      <c r="G186" s="1" t="str">
        <f ca="1">IFERROR(__xludf.DUMMYFUNCTION("""COMPUTED_VALUE"""),"Quản trị Du lịch &amp; Khách sạn")</f>
        <v>Quản trị Du lịch &amp; Khách sạn</v>
      </c>
      <c r="H186" s="1" t="str">
        <f ca="1">IFERROR(__xludf.DUMMYFUNCTION("""COMPUTED_VALUE"""),"K25")</f>
        <v>K25</v>
      </c>
      <c r="I186" s="1" t="str">
        <f ca="1">IFERROR(__xludf.DUMMYFUNCTION("""COMPUTED_VALUE"""),"0342912285")</f>
        <v>0342912285</v>
      </c>
      <c r="J186" s="1">
        <f ca="1">IFERROR(__xludf.DUMMYFUNCTION("""COMPUTED_VALUE"""),2.5)</f>
        <v>2.5</v>
      </c>
      <c r="K186" s="1">
        <f ca="1">IFERROR(__xludf.DUMMYFUNCTION("""COMPUTED_VALUE"""),128)</f>
        <v>128</v>
      </c>
      <c r="L186" s="1" t="str">
        <f ca="1">IFERROR(__xludf.DUMMYFUNCTION("""COMPUTED_VALUE"""),"Rồi")</f>
        <v>Rồi</v>
      </c>
      <c r="M186" s="1" t="str">
        <f ca="1">IFERROR(__xludf.DUMMYFUNCTION("""COMPUTED_VALUE"""),"Thực tập tốt nghiệp, Thi tốt nghiệp, Công nhận tốt nghiệp")</f>
        <v>Thực tập tốt nghiệp, Thi tốt nghiệp, Công nhận tốt nghiệp</v>
      </c>
      <c r="N186" s="1">
        <f ca="1">IFERROR(__xludf.DUMMYFUNCTION("""COMPUTED_VALUE"""),4)</f>
        <v>4</v>
      </c>
      <c r="O186" s="1" t="str">
        <f ca="1">IFERROR(__xludf.DUMMYFUNCTION("""COMPUTED_VALUE"""),"cam kết")</f>
        <v>cam kết</v>
      </c>
      <c r="P186" s="1" t="str">
        <f ca="1">IFERROR(__xludf.DUMMYFUNCTION("""COMPUTED_VALUE"""),"ĐÃ NỘP")</f>
        <v>ĐÃ NỘP</v>
      </c>
      <c r="Q186" s="1">
        <f ca="1">IFERROR(__xludf.DUMMYFUNCTION("""COMPUTED_VALUE"""),20)</f>
        <v>20</v>
      </c>
      <c r="R186" s="1" t="str">
        <f ca="1">IFERROR(__xludf.DUMMYFUNCTION("""COMPUTED_VALUE"""),"18/12/2025")</f>
        <v>18/12/2025</v>
      </c>
      <c r="S186" s="1" t="str">
        <f ca="1">IFERROR(__xludf.DUMMYFUNCTION("""COMPUTED_VALUE"""),"thực tập TN, Thi TN")</f>
        <v>thực tập TN, Thi TN</v>
      </c>
      <c r="T186" s="1"/>
      <c r="U186" s="1"/>
      <c r="V186" s="1"/>
      <c r="W186" s="1" t="str">
        <f ca="1">IFERROR(__xludf.DUMMYFUNCTION("""COMPUTED_VALUE"""),"K25DLK18")</f>
        <v>K25DLK18</v>
      </c>
      <c r="X186" s="1"/>
      <c r="Y186" s="1" t="str">
        <f ca="1">IFERROR(__xludf.DUMMYFUNCTION("""COMPUTED_VALUE"""),"Wyndham Danang Golden Bay Hotel")</f>
        <v>Wyndham Danang Golden Bay Hotel</v>
      </c>
      <c r="Z186" s="1" t="str">
        <f ca="1">IFERROR(__xludf.DUMMYFUNCTION("""COMPUTED_VALUE"""),"Nhà hàng")</f>
        <v>Nhà hàng</v>
      </c>
      <c r="AA186" s="1" t="str">
        <f ca="1">IFERROR(__xludf.DUMMYFUNCTION("""COMPUTED_VALUE"""),"DUYỆT")</f>
        <v>DUYỆT</v>
      </c>
      <c r="AB186" s="4">
        <f ca="1">IFERROR(__xludf.DUMMYFUNCTION("""COMPUTED_VALUE"""),46083)</f>
        <v>46083</v>
      </c>
      <c r="AC186" s="1" t="str">
        <f ca="1">IFERROR(__xludf.DUMMYFUNCTION("""COMPUTED_VALUE"""),"BÁO CÁO THỰC TẬP TỐT NGHIỆP")</f>
        <v>BÁO CÁO THỰC TẬP TỐT NGHIỆP</v>
      </c>
      <c r="AD186" s="1" t="str">
        <f ca="1">IFERROR(__xludf.DUMMYFUNCTION("""COMPUTED_VALUE"""),"Mai Thị Thương")</f>
        <v>Mai Thị Thương</v>
      </c>
      <c r="AE186" s="1" t="str">
        <f ca="1">IFERROR(__xludf.DUMMYFUNCTION("""COMPUTED_VALUE"""),"Thạc sĩ")</f>
        <v>Thạc sĩ</v>
      </c>
      <c r="AF186" s="1" t="str">
        <f ca="1">IFERROR(__xludf.DUMMYFUNCTION("""COMPUTED_VALUE"""),"0905767050")</f>
        <v>0905767050</v>
      </c>
      <c r="AG186" s="1" t="str">
        <f ca="1">IFERROR(__xludf.DUMMYFUNCTION("""COMPUTED_VALUE"""),"maithithuong@dtu-hti.edu.vn")</f>
        <v>maithithuong@dtu-hti.edu.vn</v>
      </c>
      <c r="AH186" s="1" t="str">
        <f ca="1">IFERROR(__xludf.DUMMYFUNCTION("""COMPUTED_VALUE"""),"Báo cáo kết quả thực tập và thực trạng về chất lượng đội ngũ lao động tại bộ phận nhà hàng thuộc Wyndham Danang Golden Bay Hotel")</f>
        <v>Báo cáo kết quả thực tập và thực trạng về chất lượng đội ngũ lao động tại bộ phận nhà hàng thuộc Wyndham Danang Golden Bay Hotel</v>
      </c>
      <c r="AI186" s="1"/>
    </row>
    <row r="187" spans="1:35" x14ac:dyDescent="0.2">
      <c r="A187" s="3">
        <f ca="1">IFERROR(__xludf.DUMMYFUNCTION("""COMPUTED_VALUE"""),46006.6138538541)</f>
        <v>46006.613853854098</v>
      </c>
      <c r="B187" s="1" t="str">
        <f ca="1">IFERROR(__xludf.DUMMYFUNCTION("""COMPUTED_VALUE"""),"nhunnhun.ntpn.203@gmail.com")</f>
        <v>nhunnhun.ntpn.203@gmail.com</v>
      </c>
      <c r="C187" s="1">
        <f ca="1">IFERROR(__xludf.DUMMYFUNCTION("""COMPUTED_VALUE"""),27207142526)</f>
        <v>27207142526</v>
      </c>
      <c r="D187" s="1" t="str">
        <f ca="1">IFERROR(__xludf.DUMMYFUNCTION("""COMPUTED_VALUE"""),"Ngô Thị Phương Nhung ")</f>
        <v xml:space="preserve">Ngô Thị Phương Nhung </v>
      </c>
      <c r="E187" s="1"/>
      <c r="F187" s="1" t="str">
        <f ca="1">IFERROR(__xludf.DUMMYFUNCTION("""COMPUTED_VALUE"""),"K27DLK 2")</f>
        <v>K27DLK 2</v>
      </c>
      <c r="G187" s="1" t="str">
        <f ca="1">IFERROR(__xludf.DUMMYFUNCTION("""COMPUTED_VALUE"""),"Quản trị Du lịch &amp; Khách sạn")</f>
        <v>Quản trị Du lịch &amp; Khách sạn</v>
      </c>
      <c r="H187" s="1" t="str">
        <f ca="1">IFERROR(__xludf.DUMMYFUNCTION("""COMPUTED_VALUE"""),"K27")</f>
        <v>K27</v>
      </c>
      <c r="I187" s="1" t="str">
        <f ca="1">IFERROR(__xludf.DUMMYFUNCTION("""COMPUTED_VALUE"""),"0797495387")</f>
        <v>0797495387</v>
      </c>
      <c r="J187" s="1">
        <f ca="1">IFERROR(__xludf.DUMMYFUNCTION("""COMPUTED_VALUE"""),2.94)</f>
        <v>2.94</v>
      </c>
      <c r="K187" s="1">
        <f ca="1">IFERROR(__xludf.DUMMYFUNCTION("""COMPUTED_VALUE"""),123)</f>
        <v>123</v>
      </c>
      <c r="L187" s="1" t="str">
        <f ca="1">IFERROR(__xludf.DUMMYFUNCTION("""COMPUTED_VALUE"""),"Rồi")</f>
        <v>Rồi</v>
      </c>
      <c r="M187" s="1" t="str">
        <f ca="1">IFERROR(__xludf.DUMMYFUNCTION("""COMPUTED_VALUE"""),"Thực tập tốt nghiệp, Thi tốt nghiệp, Công nhận tốt nghiệp")</f>
        <v>Thực tập tốt nghiệp, Thi tốt nghiệp, Công nhận tốt nghiệp</v>
      </c>
      <c r="N187" s="1">
        <f ca="1">IFERROR(__xludf.DUMMYFUNCTION("""COMPUTED_VALUE"""),0)</f>
        <v>0</v>
      </c>
      <c r="O187" s="1" t="str">
        <f ca="1">IFERROR(__xludf.DUMMYFUNCTION("""COMPUTED_VALUE"""),"cam kết")</f>
        <v>cam kết</v>
      </c>
      <c r="P187" s="1" t="str">
        <f ca="1">IFERROR(__xludf.DUMMYFUNCTION("""COMPUTED_VALUE"""),"ĐÃ NỘP")</f>
        <v>ĐÃ NỘP</v>
      </c>
      <c r="Q187" s="1">
        <f ca="1">IFERROR(__xludf.DUMMYFUNCTION("""COMPUTED_VALUE"""),21)</f>
        <v>21</v>
      </c>
      <c r="R187" s="1" t="str">
        <f ca="1">IFERROR(__xludf.DUMMYFUNCTION("""COMPUTED_VALUE"""),"18/12/2025")</f>
        <v>18/12/2025</v>
      </c>
      <c r="S187" s="1" t="str">
        <f ca="1">IFERROR(__xludf.DUMMYFUNCTION("""COMPUTED_VALUE"""),"thực tập TN, Thi TN")</f>
        <v>thực tập TN, Thi TN</v>
      </c>
      <c r="T187" s="1" t="str">
        <f ca="1">IFERROR(__xludf.DUMMYFUNCTION("""COMPUTED_VALUE"""),"đã email cấp giấy giới thiệu ngày 25/12/2025")</f>
        <v>đã email cấp giấy giới thiệu ngày 25/12/2025</v>
      </c>
      <c r="U187" s="1"/>
      <c r="V187" s="1"/>
      <c r="W187" s="1" t="str">
        <f ca="1">IFERROR(__xludf.DUMMYFUNCTION("""COMPUTED_VALUE"""),"K27DLK2")</f>
        <v>K27DLK2</v>
      </c>
      <c r="X187" s="1"/>
      <c r="Y187" s="1" t="str">
        <f ca="1">IFERROR(__xludf.DUMMYFUNCTION("""COMPUTED_VALUE"""),"Rosamia Da Nang Hotel")</f>
        <v>Rosamia Da Nang Hotel</v>
      </c>
      <c r="Z187" s="1" t="str">
        <f ca="1">IFERROR(__xludf.DUMMYFUNCTION("""COMPUTED_VALUE"""),"Buồng phòng")</f>
        <v>Buồng phòng</v>
      </c>
      <c r="AA187" s="1" t="str">
        <f ca="1">IFERROR(__xludf.DUMMYFUNCTION("""COMPUTED_VALUE"""),"DUYỆT")</f>
        <v>DUYỆT</v>
      </c>
      <c r="AB187" s="1" t="str">
        <f ca="1">IFERROR(__xludf.DUMMYFUNCTION("""COMPUTED_VALUE"""),"30/01/2026")</f>
        <v>30/01/2026</v>
      </c>
      <c r="AC187" s="1" t="str">
        <f ca="1">IFERROR(__xludf.DUMMYFUNCTION("""COMPUTED_VALUE"""),"BÁO CÁO THỰC TẬP TỐT NGHIỆP")</f>
        <v>BÁO CÁO THỰC TẬP TỐT NGHIỆP</v>
      </c>
      <c r="AD187" s="1" t="str">
        <f ca="1">IFERROR(__xludf.DUMMYFUNCTION("""COMPUTED_VALUE"""),"Mai Thị Thương")</f>
        <v>Mai Thị Thương</v>
      </c>
      <c r="AE187" s="1" t="str">
        <f ca="1">IFERROR(__xludf.DUMMYFUNCTION("""COMPUTED_VALUE"""),"Thạc sĩ")</f>
        <v>Thạc sĩ</v>
      </c>
      <c r="AF187" s="1" t="str">
        <f ca="1">IFERROR(__xludf.DUMMYFUNCTION("""COMPUTED_VALUE"""),"0905767050")</f>
        <v>0905767050</v>
      </c>
      <c r="AG187" s="1" t="str">
        <f ca="1">IFERROR(__xludf.DUMMYFUNCTION("""COMPUTED_VALUE"""),"maithithuong@dtu-hti.edu.vn")</f>
        <v>maithithuong@dtu-hti.edu.vn</v>
      </c>
      <c r="AH187" s="1" t="str">
        <f ca="1">IFERROR(__xludf.DUMMYFUNCTION("""COMPUTED_VALUE"""),"Báo cáo kết quả thực tập và thực trạng về các yếu tố ảnh hưởng đến chất lượng phục vụ tại bộ phận buồng phòng thuộc Rosamia Da Nang Hotel")</f>
        <v>Báo cáo kết quả thực tập và thực trạng về các yếu tố ảnh hưởng đến chất lượng phục vụ tại bộ phận buồng phòng thuộc Rosamia Da Nang Hotel</v>
      </c>
      <c r="AI187" s="1"/>
    </row>
    <row r="188" spans="1:35" x14ac:dyDescent="0.2">
      <c r="A188" s="3">
        <f ca="1">IFERROR(__xludf.DUMMYFUNCTION("""COMPUTED_VALUE"""),46006.6818975924)</f>
        <v>46006.681897592403</v>
      </c>
      <c r="B188" s="1" t="str">
        <f ca="1">IFERROR(__xludf.DUMMYFUNCTION("""COMPUTED_VALUE"""),"huynhgiakhang@dtu.edu.vn")</f>
        <v>huynhgiakhang@dtu.edu.vn</v>
      </c>
      <c r="C188" s="1">
        <f ca="1">IFERROR(__xludf.DUMMYFUNCTION("""COMPUTED_VALUE"""),27217145651)</f>
        <v>27217145651</v>
      </c>
      <c r="D188" s="1" t="str">
        <f ca="1">IFERROR(__xludf.DUMMYFUNCTION("""COMPUTED_VALUE"""),"Huỳnh Gia Khang")</f>
        <v>Huỳnh Gia Khang</v>
      </c>
      <c r="E188" s="1"/>
      <c r="F188" s="1" t="str">
        <f ca="1">IFERROR(__xludf.DUMMYFUNCTION("""COMPUTED_VALUE"""),"K28PSU-DLK")</f>
        <v>K28PSU-DLK</v>
      </c>
      <c r="G188" s="1" t="str">
        <f ca="1">IFERROR(__xludf.DUMMYFUNCTION("""COMPUTED_VALUE"""),"Quản trị Du lịch &amp; Khách sạn chuẩn PSU")</f>
        <v>Quản trị Du lịch &amp; Khách sạn chuẩn PSU</v>
      </c>
      <c r="H188" s="1" t="str">
        <f ca="1">IFERROR(__xludf.DUMMYFUNCTION("""COMPUTED_VALUE"""),"K28")</f>
        <v>K28</v>
      </c>
      <c r="I188" s="1" t="str">
        <f ca="1">IFERROR(__xludf.DUMMYFUNCTION("""COMPUTED_VALUE"""),"0949380270")</f>
        <v>0949380270</v>
      </c>
      <c r="J188" s="1">
        <f ca="1">IFERROR(__xludf.DUMMYFUNCTION("""COMPUTED_VALUE"""),2.92)</f>
        <v>2.92</v>
      </c>
      <c r="K188" s="1">
        <f ca="1">IFERROR(__xludf.DUMMYFUNCTION("""COMPUTED_VALUE"""),112)</f>
        <v>112</v>
      </c>
      <c r="L188" s="1" t="str">
        <f ca="1">IFERROR(__xludf.DUMMYFUNCTION("""COMPUTED_VALUE"""),"Rồi")</f>
        <v>Rồi</v>
      </c>
      <c r="M188" s="1" t="str">
        <f ca="1">IFERROR(__xludf.DUMMYFUNCTION("""COMPUTED_VALUE"""),"Thi tốt nghiệp")</f>
        <v>Thi tốt nghiệp</v>
      </c>
      <c r="N188" s="1">
        <f ca="1">IFERROR(__xludf.DUMMYFUNCTION("""COMPUTED_VALUE"""),14)</f>
        <v>14</v>
      </c>
      <c r="O188" s="1" t="str">
        <f ca="1">IFERROR(__xludf.DUMMYFUNCTION("""COMPUTED_VALUE"""),"cam kết")</f>
        <v>cam kết</v>
      </c>
      <c r="P188" s="1"/>
      <c r="Q188" s="1">
        <f ca="1">IFERROR(__xludf.DUMMYFUNCTION("""COMPUTED_VALUE"""),22)</f>
        <v>22</v>
      </c>
      <c r="R188" s="1" t="str">
        <f ca="1">IFERROR(__xludf.DUMMYFUNCTION("""COMPUTED_VALUE"""),"18/12/2025")</f>
        <v>18/12/2025</v>
      </c>
      <c r="S188" s="1" t="str">
        <f ca="1">IFERROR(__xludf.DUMMYFUNCTION("""COMPUTED_VALUE"""),"thực tập TN, Thi TN")</f>
        <v>thực tập TN, Thi TN</v>
      </c>
      <c r="T188" s="1" t="str">
        <f ca="1">IFERROR(__xludf.DUMMYFUNCTION("""COMPUTED_VALUE"""),"đã email cấp giấy giới thiệu ngày 16/01/2026")</f>
        <v>đã email cấp giấy giới thiệu ngày 16/01/2026</v>
      </c>
      <c r="U188" s="1"/>
      <c r="V188" s="1"/>
      <c r="W188" s="1" t="str">
        <f ca="1">IFERROR(__xludf.DUMMYFUNCTION("""COMPUTED_VALUE"""),"K28PSU-DLK")</f>
        <v>K28PSU-DLK</v>
      </c>
      <c r="X188" s="1"/>
      <c r="Y188" s="1" t="str">
        <f ca="1">IFERROR(__xludf.DUMMYFUNCTION("""COMPUTED_VALUE"""),"Sheraton &amp; FourPoints by Sheraton Tung Chung Hong Kong")</f>
        <v>Sheraton &amp; FourPoints by Sheraton Tung Chung Hong Kong</v>
      </c>
      <c r="Z188" s="1" t="str">
        <f ca="1">IFERROR(__xludf.DUMMYFUNCTION("""COMPUTED_VALUE"""),"Tiền sảnh")</f>
        <v>Tiền sảnh</v>
      </c>
      <c r="AA188" s="1" t="str">
        <f ca="1">IFERROR(__xludf.DUMMYFUNCTION("""COMPUTED_VALUE"""),"DUYỆT")</f>
        <v>DUYỆT</v>
      </c>
      <c r="AB188" s="1" t="str">
        <f ca="1">IFERROR(__xludf.DUMMYFUNCTION("""COMPUTED_VALUE"""),"23/01/2026")</f>
        <v>23/01/2026</v>
      </c>
      <c r="AC188" s="1" t="str">
        <f ca="1">IFERROR(__xludf.DUMMYFUNCTION("""COMPUTED_VALUE"""),"BÁO CÁO THỰC TẬP TỐT NGHIỆP")</f>
        <v>BÁO CÁO THỰC TẬP TỐT NGHIỆP</v>
      </c>
      <c r="AD188" s="1" t="str">
        <f ca="1">IFERROR(__xludf.DUMMYFUNCTION("""COMPUTED_VALUE"""),"Võ Đức Hiếu")</f>
        <v>Võ Đức Hiếu</v>
      </c>
      <c r="AE188" s="1" t="str">
        <f ca="1">IFERROR(__xludf.DUMMYFUNCTION("""COMPUTED_VALUE"""),"Thạc sĩ")</f>
        <v>Thạc sĩ</v>
      </c>
      <c r="AF188" s="1" t="str">
        <f ca="1">IFERROR(__xludf.DUMMYFUNCTION("""COMPUTED_VALUE"""),"0905767997")</f>
        <v>0905767997</v>
      </c>
      <c r="AG188" s="1" t="str">
        <f ca="1">IFERROR(__xludf.DUMMYFUNCTION("""COMPUTED_VALUE"""),"voduchieu@dtu-hti.edu.vn")</f>
        <v>voduchieu@dtu-hti.edu.vn</v>
      </c>
      <c r="AH188" s="1" t="str">
        <f ca="1">IFERROR(__xludf.DUMMYFUNCTION("""COMPUTED_VALUE"""),"Báo cáo kết quả thực tập và 1 số giải pháp nâng cao hiệu quả hoạt động của bộ phận Concierge nhằm tối ưu hóa trải nghiệm khách hàng tại Khách Sạn Sheraton &amp; FourPoints by Sheraton Tung Chung Hong Kong.")</f>
        <v>Báo cáo kết quả thực tập và 1 số giải pháp nâng cao hiệu quả hoạt động của bộ phận Concierge nhằm tối ưu hóa trải nghiệm khách hàng tại Khách Sạn Sheraton &amp; FourPoints by Sheraton Tung Chung Hong Kong.</v>
      </c>
      <c r="AI188" s="1"/>
    </row>
    <row r="189" spans="1:35" x14ac:dyDescent="0.2">
      <c r="A189" s="3">
        <f ca="1">IFERROR(__xludf.DUMMYFUNCTION("""COMPUTED_VALUE"""),46037.0042672685)</f>
        <v>46037.004267268501</v>
      </c>
      <c r="B189" s="1" t="str">
        <f ca="1">IFERROR(__xludf.DUMMYFUNCTION("""COMPUTED_VALUE"""),"leanh1405004@gmail.com")</f>
        <v>leanh1405004@gmail.com</v>
      </c>
      <c r="C189" s="1">
        <f ca="1">IFERROR(__xludf.DUMMYFUNCTION("""COMPUTED_VALUE"""),28208006728)</f>
        <v>28208006728</v>
      </c>
      <c r="D189" s="1" t="str">
        <f ca="1">IFERROR(__xludf.DUMMYFUNCTION("""COMPUTED_VALUE"""),"Lê Thị Anh")</f>
        <v>Lê Thị Anh</v>
      </c>
      <c r="E189" s="1"/>
      <c r="F189" s="1" t="str">
        <f ca="1">IFERROR(__xludf.DUMMYFUNCTION("""COMPUTED_VALUE"""),"K28DLK3")</f>
        <v>K28DLK3</v>
      </c>
      <c r="G189" s="1" t="str">
        <f ca="1">IFERROR(__xludf.DUMMYFUNCTION("""COMPUTED_VALUE"""),"Quản trị Du lịch &amp; Khách sạn")</f>
        <v>Quản trị Du lịch &amp; Khách sạn</v>
      </c>
      <c r="H189" s="1" t="str">
        <f ca="1">IFERROR(__xludf.DUMMYFUNCTION("""COMPUTED_VALUE"""),"K28")</f>
        <v>K28</v>
      </c>
      <c r="I189" s="1" t="str">
        <f ca="1">IFERROR(__xludf.DUMMYFUNCTION("""COMPUTED_VALUE"""),"0918879531")</f>
        <v>0918879531</v>
      </c>
      <c r="J189" s="1">
        <f ca="1">IFERROR(__xludf.DUMMYFUNCTION("""COMPUTED_VALUE"""),3.19)</f>
        <v>3.19</v>
      </c>
      <c r="K189" s="1">
        <f ca="1">IFERROR(__xludf.DUMMYFUNCTION("""COMPUTED_VALUE"""),117)</f>
        <v>117</v>
      </c>
      <c r="L189" s="1" t="str">
        <f ca="1">IFERROR(__xludf.DUMMYFUNCTION("""COMPUTED_VALUE"""),"Rồi")</f>
        <v>Rồi</v>
      </c>
      <c r="M189" s="1" t="str">
        <f ca="1">IFERROR(__xludf.DUMMYFUNCTION("""COMPUTED_VALUE"""),"Thực tập tốt nghiệp, Thi tốt nghiệp, Công nhận tốt nghiệp")</f>
        <v>Thực tập tốt nghiệp, Thi tốt nghiệp, Công nhận tốt nghiệp</v>
      </c>
      <c r="N189" s="1">
        <f ca="1">IFERROR(__xludf.DUMMYFUNCTION("""COMPUTED_VALUE"""),10)</f>
        <v>10</v>
      </c>
      <c r="O189" s="1" t="str">
        <f ca="1">IFERROR(__xludf.DUMMYFUNCTION("""COMPUTED_VALUE"""),"cam kết")</f>
        <v>cam kết</v>
      </c>
      <c r="P189" s="1"/>
      <c r="Q189" s="1"/>
      <c r="R189" s="1" t="str">
        <f ca="1">IFERROR(__xludf.DUMMYFUNCTION("""COMPUTED_VALUE"""),"18/12/2025")</f>
        <v>18/12/2025</v>
      </c>
      <c r="S189" s="1" t="str">
        <f ca="1">IFERROR(__xludf.DUMMYFUNCTION("""COMPUTED_VALUE"""),"thực tập TN, Thi TN")</f>
        <v>thực tập TN, Thi TN</v>
      </c>
      <c r="T189" s="1" t="str">
        <f ca="1">IFERROR(__xludf.DUMMYFUNCTION("""COMPUTED_VALUE"""),"Đã email cấp giấy giới thiệu ngày 18/12/2025")</f>
        <v>Đã email cấp giấy giới thiệu ngày 18/12/2025</v>
      </c>
      <c r="U189" s="1" t="str">
        <f ca="1">IFERROR(__xludf.DUMMYFUNCTION("""COMPUTED_VALUE"""),"Sv đã nộp đơn chuyển KL - CĐ")</f>
        <v>Sv đã nộp đơn chuyển KL - CĐ</v>
      </c>
      <c r="V189" s="1"/>
      <c r="W189" s="1" t="str">
        <f ca="1">IFERROR(__xludf.DUMMYFUNCTION("""COMPUTED_VALUE"""),"K28DLK3")</f>
        <v>K28DLK3</v>
      </c>
      <c r="X189" s="1"/>
      <c r="Y189" s="1" t="str">
        <f ca="1">IFERROR(__xludf.DUMMYFUNCTION("""COMPUTED_VALUE"""),"Da Nang Mikazuki Japanese Resorts and Spa")</f>
        <v>Da Nang Mikazuki Japanese Resorts and Spa</v>
      </c>
      <c r="Z189" s="1" t="str">
        <f ca="1">IFERROR(__xludf.DUMMYFUNCTION("""COMPUTED_VALUE"""),"Nhà hàng")</f>
        <v>Nhà hàng</v>
      </c>
      <c r="AA189" s="1" t="str">
        <f ca="1">IFERROR(__xludf.DUMMYFUNCTION("""COMPUTED_VALUE"""),"DUYỆT")</f>
        <v>DUYỆT</v>
      </c>
      <c r="AB189" s="1" t="str">
        <f ca="1">IFERROR(__xludf.DUMMYFUNCTION("""COMPUTED_VALUE"""),"22/01/2026")</f>
        <v>22/01/2026</v>
      </c>
      <c r="AC189" s="1" t="str">
        <f ca="1">IFERROR(__xludf.DUMMYFUNCTION("""COMPUTED_VALUE"""),"BÁO CÁO THỰC TẬP TỐT NGHIỆP")</f>
        <v>BÁO CÁO THỰC TẬP TỐT NGHIỆP</v>
      </c>
      <c r="AD189" s="1" t="str">
        <f ca="1">IFERROR(__xludf.DUMMYFUNCTION("""COMPUTED_VALUE"""),"Nguyễn Thị Minh Thư")</f>
        <v>Nguyễn Thị Minh Thư</v>
      </c>
      <c r="AE189" s="1" t="str">
        <f ca="1">IFERROR(__xludf.DUMMYFUNCTION("""COMPUTED_VALUE"""),"Thạc sĩ")</f>
        <v>Thạc sĩ</v>
      </c>
      <c r="AF189" s="1" t="str">
        <f ca="1">IFERROR(__xludf.DUMMYFUNCTION("""COMPUTED_VALUE"""),"0396.153.687")</f>
        <v>0396.153.687</v>
      </c>
      <c r="AG189" s="1" t="str">
        <f ca="1">IFERROR(__xludf.DUMMYFUNCTION("""COMPUTED_VALUE"""),"nguyentminhthu@dtu-hti.edu.vn")</f>
        <v>nguyentminhthu@dtu-hti.edu.vn</v>
      </c>
      <c r="AH189" s="1" t="str">
        <f ca="1">IFERROR(__xludf.DUMMYFUNCTION("""COMPUTED_VALUE"""),"Báo cáo kết quả thực tập và thực trạng về các yếu tố ảnh hưởng đến chất lượng phục vụ tại nhà hàng Karan Hot Pot thuộc Da Nang Mikazuki Japanese Resorts &amp; Spa.")</f>
        <v>Báo cáo kết quả thực tập và thực trạng về các yếu tố ảnh hưởng đến chất lượng phục vụ tại nhà hàng Karan Hot Pot thuộc Da Nang Mikazuki Japanese Resorts &amp; Spa.</v>
      </c>
      <c r="AI189" s="1"/>
    </row>
    <row r="190" spans="1:35" x14ac:dyDescent="0.2">
      <c r="A190" s="3">
        <f ca="1">IFERROR(__xludf.DUMMYFUNCTION("""COMPUTED_VALUE"""),46006.7281433333)</f>
        <v>46006.728143333297</v>
      </c>
      <c r="B190" s="1" t="str">
        <f ca="1">IFERROR(__xludf.DUMMYFUNCTION("""COMPUTED_VALUE"""),"truclinhsalin@gmail.com")</f>
        <v>truclinhsalin@gmail.com</v>
      </c>
      <c r="C190" s="1">
        <f ca="1">IFERROR(__xludf.DUMMYFUNCTION("""COMPUTED_VALUE"""),28206535441)</f>
        <v>28206535441</v>
      </c>
      <c r="D190" s="1" t="str">
        <f ca="1">IFERROR(__xludf.DUMMYFUNCTION("""COMPUTED_VALUE"""),"Hồ Thị Trúc Linh")</f>
        <v>Hồ Thị Trúc Linh</v>
      </c>
      <c r="E190" s="1"/>
      <c r="F190" s="1" t="str">
        <f ca="1">IFERROR(__xludf.DUMMYFUNCTION("""COMPUTED_VALUE"""),"K28DLK6")</f>
        <v>K28DLK6</v>
      </c>
      <c r="G190" s="1" t="str">
        <f ca="1">IFERROR(__xludf.DUMMYFUNCTION("""COMPUTED_VALUE"""),"Quản trị Du lịch &amp; Khách sạn")</f>
        <v>Quản trị Du lịch &amp; Khách sạn</v>
      </c>
      <c r="H190" s="1" t="str">
        <f ca="1">IFERROR(__xludf.DUMMYFUNCTION("""COMPUTED_VALUE"""),"K28")</f>
        <v>K28</v>
      </c>
      <c r="I190" s="1" t="str">
        <f ca="1">IFERROR(__xludf.DUMMYFUNCTION("""COMPUTED_VALUE"""),"0366148574")</f>
        <v>0366148574</v>
      </c>
      <c r="J190" s="1">
        <f ca="1">IFERROR(__xludf.DUMMYFUNCTION("""COMPUTED_VALUE"""),2.53)</f>
        <v>2.5299999999999998</v>
      </c>
      <c r="K190" s="1">
        <f ca="1">IFERROR(__xludf.DUMMYFUNCTION("""COMPUTED_VALUE"""),121)</f>
        <v>121</v>
      </c>
      <c r="L190" s="1" t="str">
        <f ca="1">IFERROR(__xludf.DUMMYFUNCTION("""COMPUTED_VALUE"""),"Rồi")</f>
        <v>Rồi</v>
      </c>
      <c r="M190" s="1" t="str">
        <f ca="1">IFERROR(__xludf.DUMMYFUNCTION("""COMPUTED_VALUE"""),"Thực tập tốt nghiệp")</f>
        <v>Thực tập tốt nghiệp</v>
      </c>
      <c r="N190" s="1">
        <f ca="1">IFERROR(__xludf.DUMMYFUNCTION("""COMPUTED_VALUE"""),8)</f>
        <v>8</v>
      </c>
      <c r="O190" s="1" t="str">
        <f ca="1">IFERROR(__xludf.DUMMYFUNCTION("""COMPUTED_VALUE"""),"cam kết")</f>
        <v>cam kết</v>
      </c>
      <c r="P190" s="1"/>
      <c r="Q190" s="1"/>
      <c r="R190" s="1" t="str">
        <f ca="1">IFERROR(__xludf.DUMMYFUNCTION("""COMPUTED_VALUE"""),"18/12/2025")</f>
        <v>18/12/2025</v>
      </c>
      <c r="S190" s="1" t="str">
        <f ca="1">IFERROR(__xludf.DUMMYFUNCTION("""COMPUTED_VALUE"""),"thực tập TN, Thi TN")</f>
        <v>thực tập TN, Thi TN</v>
      </c>
      <c r="T190" s="1" t="str">
        <f ca="1">IFERROR(__xludf.DUMMYFUNCTION("""COMPUTED_VALUE"""),"Đã email cấp giấy giới thiệu ngày 18/12/2025")</f>
        <v>Đã email cấp giấy giới thiệu ngày 18/12/2025</v>
      </c>
      <c r="U190" s="1"/>
      <c r="V190" s="1"/>
      <c r="W190" s="1" t="str">
        <f ca="1">IFERROR(__xludf.DUMMYFUNCTION("""COMPUTED_VALUE"""),"K28DLK6")</f>
        <v>K28DLK6</v>
      </c>
      <c r="X190" s="1"/>
      <c r="Y190" s="1" t="str">
        <f ca="1">IFERROR(__xludf.DUMMYFUNCTION("""COMPUTED_VALUE"""),"Sheraton Grand Danang Resort &amp; Convention Center")</f>
        <v>Sheraton Grand Danang Resort &amp; Convention Center</v>
      </c>
      <c r="Z190" s="1" t="str">
        <f ca="1">IFERROR(__xludf.DUMMYFUNCTION("""COMPUTED_VALUE"""),"Nhà hàng")</f>
        <v>Nhà hàng</v>
      </c>
      <c r="AA190" s="1" t="str">
        <f ca="1">IFERROR(__xludf.DUMMYFUNCTION("""COMPUTED_VALUE"""),"DUYỆT")</f>
        <v>DUYỆT</v>
      </c>
      <c r="AB190" s="1" t="str">
        <f ca="1">IFERROR(__xludf.DUMMYFUNCTION("""COMPUTED_VALUE"""),"27/01/2026")</f>
        <v>27/01/2026</v>
      </c>
      <c r="AC190" s="1" t="str">
        <f ca="1">IFERROR(__xludf.DUMMYFUNCTION("""COMPUTED_VALUE"""),"BÁO CÁO THỰC TẬP TỐT NGHIỆP")</f>
        <v>BÁO CÁO THỰC TẬP TỐT NGHIỆP</v>
      </c>
      <c r="AD190" s="1" t="str">
        <f ca="1">IFERROR(__xludf.DUMMYFUNCTION("""COMPUTED_VALUE"""),"Trần Hoàng Anh")</f>
        <v>Trần Hoàng Anh</v>
      </c>
      <c r="AE190" s="1" t="str">
        <f ca="1">IFERROR(__xludf.DUMMYFUNCTION("""COMPUTED_VALUE"""),"Thạc sĩ")</f>
        <v>Thạc sĩ</v>
      </c>
      <c r="AF190" s="1" t="str">
        <f ca="1">IFERROR(__xludf.DUMMYFUNCTION("""COMPUTED_VALUE"""),"0906 029 602")</f>
        <v>0906 029 602</v>
      </c>
      <c r="AG190" s="1" t="str">
        <f ca="1">IFERROR(__xludf.DUMMYFUNCTION("""COMPUTED_VALUE"""),"tranhoanganh@dtu-hti.edu.vn")</f>
        <v>tranhoanganh@dtu-hti.edu.vn</v>
      </c>
      <c r="AH190" s="1" t="str">
        <f ca="1">IFERROR(__xludf.DUMMYFUNCTION("""COMPUTED_VALUE"""),"Báo cáo kết quả thực tập và thực trạng quy trình phục vụ tiệc tại bộ phận Banquet thuộc Sheraton Grand Danang Resort &amp; Convention Center ")</f>
        <v xml:space="preserve">Báo cáo kết quả thực tập và thực trạng quy trình phục vụ tiệc tại bộ phận Banquet thuộc Sheraton Grand Danang Resort &amp; Convention Center </v>
      </c>
      <c r="AI190" s="1"/>
    </row>
    <row r="191" spans="1:35" x14ac:dyDescent="0.2">
      <c r="A191" s="3">
        <f ca="1">IFERROR(__xludf.DUMMYFUNCTION("""COMPUTED_VALUE"""),46040.4979785879)</f>
        <v>46040.497978587897</v>
      </c>
      <c r="B191" s="1" t="str">
        <f ca="1">IFERROR(__xludf.DUMMYFUNCTION("""COMPUTED_VALUE"""),"tranminhtri260503@gmail.com")</f>
        <v>tranminhtri260503@gmail.com</v>
      </c>
      <c r="C191" s="1">
        <f ca="1">IFERROR(__xludf.DUMMYFUNCTION("""COMPUTED_VALUE"""),27217144391)</f>
        <v>27217144391</v>
      </c>
      <c r="D191" s="1" t="str">
        <f ca="1">IFERROR(__xludf.DUMMYFUNCTION("""COMPUTED_VALUE"""),"Trần Minh Trí")</f>
        <v>Trần Minh Trí</v>
      </c>
      <c r="E191" s="1"/>
      <c r="F191" s="1" t="str">
        <f ca="1">IFERROR(__xludf.DUMMYFUNCTION("""COMPUTED_VALUE"""),"K27DLK7")</f>
        <v>K27DLK7</v>
      </c>
      <c r="G191" s="1" t="str">
        <f ca="1">IFERROR(__xludf.DUMMYFUNCTION("""COMPUTED_VALUE"""),"Quản trị Du lịch &amp; Khách sạn")</f>
        <v>Quản trị Du lịch &amp; Khách sạn</v>
      </c>
      <c r="H191" s="1" t="str">
        <f ca="1">IFERROR(__xludf.DUMMYFUNCTION("""COMPUTED_VALUE"""),"K27")</f>
        <v>K27</v>
      </c>
      <c r="I191" s="1" t="str">
        <f ca="1">IFERROR(__xludf.DUMMYFUNCTION("""COMPUTED_VALUE"""),"0772714703")</f>
        <v>0772714703</v>
      </c>
      <c r="J191" s="1">
        <f ca="1">IFERROR(__xludf.DUMMYFUNCTION("""COMPUTED_VALUE"""),2.21)</f>
        <v>2.21</v>
      </c>
      <c r="K191" s="1">
        <f ca="1">IFERROR(__xludf.DUMMYFUNCTION("""COMPUTED_VALUE"""),117)</f>
        <v>117</v>
      </c>
      <c r="L191" s="1" t="str">
        <f ca="1">IFERROR(__xludf.DUMMYFUNCTION("""COMPUTED_VALUE"""),"Rồi")</f>
        <v>Rồi</v>
      </c>
      <c r="M191" s="1" t="str">
        <f ca="1">IFERROR(__xludf.DUMMYFUNCTION("""COMPUTED_VALUE"""),"Thực tập tốt nghiệp")</f>
        <v>Thực tập tốt nghiệp</v>
      </c>
      <c r="N191" s="1">
        <f ca="1">IFERROR(__xludf.DUMMYFUNCTION("""COMPUTED_VALUE"""),5)</f>
        <v>5</v>
      </c>
      <c r="O191" s="1" t="str">
        <f ca="1">IFERROR(__xludf.DUMMYFUNCTION("""COMPUTED_VALUE"""),"cam kết")</f>
        <v>cam kết</v>
      </c>
      <c r="P191" s="1" t="str">
        <f ca="1">IFERROR(__xludf.DUMMYFUNCTION("""COMPUTED_VALUE"""),"CHƯA NỘP")</f>
        <v>CHƯA NỘP</v>
      </c>
      <c r="Q191" s="1">
        <f ca="1">IFERROR(__xludf.DUMMYFUNCTION("""COMPUTED_VALUE"""),23)</f>
        <v>23</v>
      </c>
      <c r="R191" s="1" t="str">
        <f ca="1">IFERROR(__xludf.DUMMYFUNCTION("""COMPUTED_VALUE"""),"18/12/2025")</f>
        <v>18/12/2025</v>
      </c>
      <c r="S191" s="1" t="str">
        <f ca="1">IFERROR(__xludf.DUMMYFUNCTION("""COMPUTED_VALUE"""),"thực tập TN, Thi TN")</f>
        <v>thực tập TN, Thi TN</v>
      </c>
      <c r="T191" s="1" t="str">
        <f ca="1">IFERROR(__xludf.DUMMYFUNCTION("""COMPUTED_VALUE"""),"Hủy đăng ký thực tập TN đợt 06/2026 do SV ko nộp đơn. 
SV có thể nộp đơn tham dự TN để đăng ký học phần Thi TN. Hạn nộp đơn: 27/02/2026")</f>
        <v>Hủy đăng ký thực tập TN đợt 06/2026 do SV ko nộp đơn. 
SV có thể nộp đơn tham dự TN để đăng ký học phần Thi TN. Hạn nộp đơn: 27/02/2026</v>
      </c>
      <c r="U191" s="1"/>
      <c r="V191" s="1"/>
      <c r="W191" s="1" t="str">
        <f ca="1">IFERROR(__xludf.DUMMYFUNCTION("""COMPUTED_VALUE"""),"K27DLK7")</f>
        <v>K27DLK7</v>
      </c>
      <c r="X191" s="1"/>
      <c r="Y191" s="1" t="str">
        <f ca="1">IFERROR(__xludf.DUMMYFUNCTION("""COMPUTED_VALUE"""),"#N/A")</f>
        <v>#N/A</v>
      </c>
      <c r="Z191" s="1" t="str">
        <f ca="1">IFERROR(__xludf.DUMMYFUNCTION("""COMPUTED_VALUE"""),"#N/A")</f>
        <v>#N/A</v>
      </c>
      <c r="AA191" s="1" t="str">
        <f ca="1">IFERROR(__xludf.DUMMYFUNCTION("""COMPUTED_VALUE"""),"#N/A")</f>
        <v>#N/A</v>
      </c>
      <c r="AB191" s="1"/>
      <c r="AC191" s="1" t="str">
        <f ca="1">IFERROR(__xludf.DUMMYFUNCTION("""COMPUTED_VALUE"""),"BÁO CÁO THỰC TẬP TỐT NGHIỆP")</f>
        <v>BÁO CÁO THỰC TẬP TỐT NGHIỆP</v>
      </c>
      <c r="AD191" s="1"/>
      <c r="AE191" s="1" t="str">
        <f ca="1">IFERROR(__xludf.DUMMYFUNCTION("""COMPUTED_VALUE"""),"#N/A")</f>
        <v>#N/A</v>
      </c>
      <c r="AF191" s="1" t="str">
        <f ca="1">IFERROR(__xludf.DUMMYFUNCTION("""COMPUTED_VALUE"""),"#N/A")</f>
        <v>#N/A</v>
      </c>
      <c r="AG191" s="1" t="str">
        <f ca="1">IFERROR(__xludf.DUMMYFUNCTION("""COMPUTED_VALUE"""),"#N/A")</f>
        <v>#N/A</v>
      </c>
      <c r="AH191" s="1" t="str">
        <f ca="1">IFERROR(__xludf.DUMMYFUNCTION("""COMPUTED_VALUE"""),"#N/A")</f>
        <v>#N/A</v>
      </c>
      <c r="AI191" s="1"/>
    </row>
    <row r="192" spans="1:35" x14ac:dyDescent="0.2">
      <c r="A192" s="3">
        <f ca="1">IFERROR(__xludf.DUMMYFUNCTION("""COMPUTED_VALUE"""),46031.4146660648)</f>
        <v>46031.414666064797</v>
      </c>
      <c r="B192" s="1" t="str">
        <f ca="1">IFERROR(__xludf.DUMMYFUNCTION("""COMPUTED_VALUE"""),"tinnguyenduc0@gmail.com")</f>
        <v>tinnguyenduc0@gmail.com</v>
      </c>
      <c r="C192" s="1">
        <f ca="1">IFERROR(__xludf.DUMMYFUNCTION("""COMPUTED_VALUE"""),28218004440)</f>
        <v>28218004440</v>
      </c>
      <c r="D192" s="1" t="str">
        <f ca="1">IFERROR(__xludf.DUMMYFUNCTION("""COMPUTED_VALUE"""),"Nguyễn Đức Tin")</f>
        <v>Nguyễn Đức Tin</v>
      </c>
      <c r="E192" s="1"/>
      <c r="F192" s="1" t="str">
        <f ca="1">IFERROR(__xludf.DUMMYFUNCTION("""COMPUTED_VALUE"""),"K28DLK7")</f>
        <v>K28DLK7</v>
      </c>
      <c r="G192" s="1" t="str">
        <f ca="1">IFERROR(__xludf.DUMMYFUNCTION("""COMPUTED_VALUE"""),"Quản trị Du lịch &amp; Khách sạn")</f>
        <v>Quản trị Du lịch &amp; Khách sạn</v>
      </c>
      <c r="H192" s="1" t="str">
        <f ca="1">IFERROR(__xludf.DUMMYFUNCTION("""COMPUTED_VALUE"""),"K28")</f>
        <v>K28</v>
      </c>
      <c r="I192" s="1" t="str">
        <f ca="1">IFERROR(__xludf.DUMMYFUNCTION("""COMPUTED_VALUE"""),"0702353696")</f>
        <v>0702353696</v>
      </c>
      <c r="J192" s="1">
        <f ca="1">IFERROR(__xludf.DUMMYFUNCTION("""COMPUTED_VALUE"""),2.85)</f>
        <v>2.85</v>
      </c>
      <c r="K192" s="1">
        <f ca="1">IFERROR(__xludf.DUMMYFUNCTION("""COMPUTED_VALUE"""),106)</f>
        <v>106</v>
      </c>
      <c r="L192" s="1" t="str">
        <f ca="1">IFERROR(__xludf.DUMMYFUNCTION("""COMPUTED_VALUE"""),"Rồi")</f>
        <v>Rồi</v>
      </c>
      <c r="M192" s="1" t="str">
        <f ca="1">IFERROR(__xludf.DUMMYFUNCTION("""COMPUTED_VALUE"""),"Thực tập tốt nghiệp, Thi tốt nghiệp")</f>
        <v>Thực tập tốt nghiệp, Thi tốt nghiệp</v>
      </c>
      <c r="N192" s="1">
        <f ca="1">IFERROR(__xludf.DUMMYFUNCTION("""COMPUTED_VALUE"""),17)</f>
        <v>17</v>
      </c>
      <c r="O192" s="1" t="str">
        <f ca="1">IFERROR(__xludf.DUMMYFUNCTION("""COMPUTED_VALUE"""),"cam kết")</f>
        <v>cam kết</v>
      </c>
      <c r="P192" s="1"/>
      <c r="Q192" s="1"/>
      <c r="R192" s="1" t="str">
        <f ca="1">IFERROR(__xludf.DUMMYFUNCTION("""COMPUTED_VALUE"""),"18/12/2025")</f>
        <v>18/12/2025</v>
      </c>
      <c r="S192" s="1" t="str">
        <f ca="1">IFERROR(__xludf.DUMMYFUNCTION("""COMPUTED_VALUE"""),"thực tập TN, Thi TN")</f>
        <v>thực tập TN, Thi TN</v>
      </c>
      <c r="T192" s="1" t="str">
        <f ca="1">IFERROR(__xludf.DUMMYFUNCTION("""COMPUTED_VALUE"""),"đã email ngày 09/01/2026")</f>
        <v>đã email ngày 09/01/2026</v>
      </c>
      <c r="U192" s="1"/>
      <c r="V192" s="1"/>
      <c r="W192" s="1" t="str">
        <f ca="1">IFERROR(__xludf.DUMMYFUNCTION("""COMPUTED_VALUE"""),"K28DLK7")</f>
        <v>K28DLK7</v>
      </c>
      <c r="X192" s="1"/>
      <c r="Y192" s="1" t="str">
        <f ca="1">IFERROR(__xludf.DUMMYFUNCTION("""COMPUTED_VALUE"""),"Four Points by Sheraton Danang")</f>
        <v>Four Points by Sheraton Danang</v>
      </c>
      <c r="Z192" s="1" t="str">
        <f ca="1">IFERROR(__xludf.DUMMYFUNCTION("""COMPUTED_VALUE"""),"Nhà hàng")</f>
        <v>Nhà hàng</v>
      </c>
      <c r="AA192" s="1" t="str">
        <f ca="1">IFERROR(__xludf.DUMMYFUNCTION("""COMPUTED_VALUE"""),"DUYỆT")</f>
        <v>DUYỆT</v>
      </c>
      <c r="AB192" s="1"/>
      <c r="AC192" s="1" t="str">
        <f ca="1">IFERROR(__xludf.DUMMYFUNCTION("""COMPUTED_VALUE"""),"BÁO CÁO THỰC TẬP TỐT NGHIỆP")</f>
        <v>BÁO CÁO THỰC TẬP TỐT NGHIỆP</v>
      </c>
      <c r="AD192" s="1" t="str">
        <f ca="1">IFERROR(__xludf.DUMMYFUNCTION("""COMPUTED_VALUE"""),"Dương Thị Xuân Diệu")</f>
        <v>Dương Thị Xuân Diệu</v>
      </c>
      <c r="AE192" s="1" t="str">
        <f ca="1">IFERROR(__xludf.DUMMYFUNCTION("""COMPUTED_VALUE"""),"Thạc sĩ")</f>
        <v>Thạc sĩ</v>
      </c>
      <c r="AF192" s="1" t="str">
        <f ca="1">IFERROR(__xludf.DUMMYFUNCTION("""COMPUTED_VALUE"""),"0905938748")</f>
        <v>0905938748</v>
      </c>
      <c r="AG192" s="1" t="str">
        <f ca="1">IFERROR(__xludf.DUMMYFUNCTION("""COMPUTED_VALUE"""),"duongtxuandieu@dtu-hti.edu.vn")</f>
        <v>duongtxuandieu@dtu-hti.edu.vn</v>
      </c>
      <c r="AH192" s="1" t="str">
        <f ca="1">IFERROR(__xludf.DUMMYFUNCTION("""COMPUTED_VALUE"""),"#N/A")</f>
        <v>#N/A</v>
      </c>
      <c r="AI192" s="1"/>
    </row>
    <row r="193" spans="1:35" x14ac:dyDescent="0.2">
      <c r="A193" s="3">
        <f ca="1">IFERROR(__xludf.DUMMYFUNCTION("""COMPUTED_VALUE"""),46031.8745567824)</f>
        <v>46031.874556782401</v>
      </c>
      <c r="B193" s="1" t="str">
        <f ca="1">IFERROR(__xludf.DUMMYFUNCTION("""COMPUTED_VALUE"""),"phamthevy12.4@gmail.com")</f>
        <v>phamthevy12.4@gmail.com</v>
      </c>
      <c r="C193" s="1">
        <f ca="1">IFERROR(__xludf.DUMMYFUNCTION("""COMPUTED_VALUE"""),28210334081)</f>
        <v>28210334081</v>
      </c>
      <c r="D193" s="1" t="str">
        <f ca="1">IFERROR(__xludf.DUMMYFUNCTION("""COMPUTED_VALUE"""),"Phạm Thế Vỹ")</f>
        <v>Phạm Thế Vỹ</v>
      </c>
      <c r="E193" s="1"/>
      <c r="F193" s="1" t="str">
        <f ca="1">IFERROR(__xludf.DUMMYFUNCTION("""COMPUTED_VALUE"""),"K28 DLK3")</f>
        <v>K28 DLK3</v>
      </c>
      <c r="G193" s="1" t="str">
        <f ca="1">IFERROR(__xludf.DUMMYFUNCTION("""COMPUTED_VALUE"""),"Quản trị Du lịch &amp; Khách sạn")</f>
        <v>Quản trị Du lịch &amp; Khách sạn</v>
      </c>
      <c r="H193" s="1" t="str">
        <f ca="1">IFERROR(__xludf.DUMMYFUNCTION("""COMPUTED_VALUE"""),"K28")</f>
        <v>K28</v>
      </c>
      <c r="I193" s="1" t="str">
        <f ca="1">IFERROR(__xludf.DUMMYFUNCTION("""COMPUTED_VALUE"""),"0948486389")</f>
        <v>0948486389</v>
      </c>
      <c r="J193" s="1">
        <f ca="1">IFERROR(__xludf.DUMMYFUNCTION("""COMPUTED_VALUE"""),2.8)</f>
        <v>2.8</v>
      </c>
      <c r="K193" s="1">
        <f ca="1">IFERROR(__xludf.DUMMYFUNCTION("""COMPUTED_VALUE"""),117)</f>
        <v>117</v>
      </c>
      <c r="L193" s="1" t="str">
        <f ca="1">IFERROR(__xludf.DUMMYFUNCTION("""COMPUTED_VALUE"""),"Rồi")</f>
        <v>Rồi</v>
      </c>
      <c r="M193" s="1" t="str">
        <f ca="1">IFERROR(__xludf.DUMMYFUNCTION("""COMPUTED_VALUE"""),"Thực tập tốt nghiệp, Thi tốt nghiệp, Công nhận tốt nghiệp")</f>
        <v>Thực tập tốt nghiệp, Thi tốt nghiệp, Công nhận tốt nghiệp</v>
      </c>
      <c r="N193" s="1">
        <f ca="1">IFERROR(__xludf.DUMMYFUNCTION("""COMPUTED_VALUE"""),0)</f>
        <v>0</v>
      </c>
      <c r="O193" s="1" t="str">
        <f ca="1">IFERROR(__xludf.DUMMYFUNCTION("""COMPUTED_VALUE"""),"cam kết")</f>
        <v>cam kết</v>
      </c>
      <c r="P193" s="1"/>
      <c r="Q193" s="1"/>
      <c r="R193" s="1" t="str">
        <f ca="1">IFERROR(__xludf.DUMMYFUNCTION("""COMPUTED_VALUE"""),"18/12/2025")</f>
        <v>18/12/2025</v>
      </c>
      <c r="S193" s="1" t="str">
        <f ca="1">IFERROR(__xludf.DUMMYFUNCTION("""COMPUTED_VALUE"""),"thực tập TN, Thi TN")</f>
        <v>thực tập TN, Thi TN</v>
      </c>
      <c r="T193" s="1" t="str">
        <f ca="1">IFERROR(__xludf.DUMMYFUNCTION("""COMPUTED_VALUE"""),"Đã email cấp giấy giới thiệu ngày 18/12/2025")</f>
        <v>Đã email cấp giấy giới thiệu ngày 18/12/2025</v>
      </c>
      <c r="U193" s="1"/>
      <c r="V193" s="1"/>
      <c r="W193" s="1" t="str">
        <f ca="1">IFERROR(__xludf.DUMMYFUNCTION("""COMPUTED_VALUE"""),"K28DLK3")</f>
        <v>K28DLK3</v>
      </c>
      <c r="X193" s="1"/>
      <c r="Y193" s="1" t="str">
        <f ca="1">IFERROR(__xludf.DUMMYFUNCTION("""COMPUTED_VALUE"""),"Marriot Resort Danang - Non Nuoc Beach Villas")</f>
        <v>Marriot Resort Danang - Non Nuoc Beach Villas</v>
      </c>
      <c r="Z193" s="1" t="str">
        <f ca="1">IFERROR(__xludf.DUMMYFUNCTION("""COMPUTED_VALUE"""),"Nhân sự")</f>
        <v>Nhân sự</v>
      </c>
      <c r="AA193" s="1" t="str">
        <f ca="1">IFERROR(__xludf.DUMMYFUNCTION("""COMPUTED_VALUE"""),"DUYỆT")</f>
        <v>DUYỆT</v>
      </c>
      <c r="AB193" s="1" t="str">
        <f ca="1">IFERROR(__xludf.DUMMYFUNCTION("""COMPUTED_VALUE"""),"28/01/2026")</f>
        <v>28/01/2026</v>
      </c>
      <c r="AC193" s="1" t="str">
        <f ca="1">IFERROR(__xludf.DUMMYFUNCTION("""COMPUTED_VALUE"""),"BÁO CÁO THỰC TẬP TỐT NGHIỆP")</f>
        <v>BÁO CÁO THỰC TẬP TỐT NGHIỆP</v>
      </c>
      <c r="AD193" s="1" t="str">
        <f ca="1">IFERROR(__xludf.DUMMYFUNCTION("""COMPUTED_VALUE"""),"Hồ Sử Minh Tài")</f>
        <v>Hồ Sử Minh Tài</v>
      </c>
      <c r="AE193" s="1" t="str">
        <f ca="1">IFERROR(__xludf.DUMMYFUNCTION("""COMPUTED_VALUE"""),"Thạc sĩ")</f>
        <v>Thạc sĩ</v>
      </c>
      <c r="AF193" s="1" t="str">
        <f ca="1">IFERROR(__xludf.DUMMYFUNCTION("""COMPUTED_VALUE"""),"0905 874 626")</f>
        <v>0905 874 626</v>
      </c>
      <c r="AG193" s="1" t="str">
        <f ca="1">IFERROR(__xludf.DUMMYFUNCTION("""COMPUTED_VALUE"""),"hosminhtai@dtu-hti.edu.vn")</f>
        <v>hosminhtai@dtu-hti.edu.vn</v>
      </c>
      <c r="AH193" s="1" t="str">
        <f ca="1">IFERROR(__xludf.DUMMYFUNCTION("""COMPUTED_VALUE"""),"Báo cáo kết quả thực tập, đánh giá thực trạng và đề xuất một số giải pháp nâng cao hiệu quả công tác tuyển dụng nhân sự tại Danang Marriott Resort &amp; Spa, Non Nuoc Beach Villas.")</f>
        <v>Báo cáo kết quả thực tập, đánh giá thực trạng và đề xuất một số giải pháp nâng cao hiệu quả công tác tuyển dụng nhân sự tại Danang Marriott Resort &amp; Spa, Non Nuoc Beach Villas.</v>
      </c>
      <c r="AI193" s="1"/>
    </row>
    <row r="194" spans="1:35" x14ac:dyDescent="0.2">
      <c r="A194" s="3">
        <f ca="1">IFERROR(__xludf.DUMMYFUNCTION("""COMPUTED_VALUE"""),46008.484351956)</f>
        <v>46008.484351956002</v>
      </c>
      <c r="B194" s="1" t="str">
        <f ca="1">IFERROR(__xludf.DUMMYFUNCTION("""COMPUTED_VALUE"""),"thaothao110104@gmail.com")</f>
        <v>thaothao110104@gmail.com</v>
      </c>
      <c r="C194" s="1">
        <f ca="1">IFERROR(__xludf.DUMMYFUNCTION("""COMPUTED_VALUE"""),28206841890)</f>
        <v>28206841890</v>
      </c>
      <c r="D194" s="1" t="str">
        <f ca="1">IFERROR(__xludf.DUMMYFUNCTION("""COMPUTED_VALUE"""),"Nguyễn Thị Thanh Thảo")</f>
        <v>Nguyễn Thị Thanh Thảo</v>
      </c>
      <c r="E194" s="1"/>
      <c r="F194" s="1" t="str">
        <f ca="1">IFERROR(__xludf.DUMMYFUNCTION("""COMPUTED_VALUE"""),"K28DLK2")</f>
        <v>K28DLK2</v>
      </c>
      <c r="G194" s="1" t="str">
        <f ca="1">IFERROR(__xludf.DUMMYFUNCTION("""COMPUTED_VALUE"""),"Quản trị Du lịch &amp; Khách sạn")</f>
        <v>Quản trị Du lịch &amp; Khách sạn</v>
      </c>
      <c r="H194" s="1" t="str">
        <f ca="1">IFERROR(__xludf.DUMMYFUNCTION("""COMPUTED_VALUE"""),"K28")</f>
        <v>K28</v>
      </c>
      <c r="I194" s="1" t="str">
        <f ca="1">IFERROR(__xludf.DUMMYFUNCTION("""COMPUTED_VALUE"""),"0774460621")</f>
        <v>0774460621</v>
      </c>
      <c r="J194" s="1">
        <f ca="1">IFERROR(__xludf.DUMMYFUNCTION("""COMPUTED_VALUE"""),2.8)</f>
        <v>2.8</v>
      </c>
      <c r="K194" s="1">
        <f ca="1">IFERROR(__xludf.DUMMYFUNCTION("""COMPUTED_VALUE"""),114)</f>
        <v>114</v>
      </c>
      <c r="L194" s="1" t="str">
        <f ca="1">IFERROR(__xludf.DUMMYFUNCTION("""COMPUTED_VALUE"""),"Rồi")</f>
        <v>Rồi</v>
      </c>
      <c r="M194" s="1" t="str">
        <f ca="1">IFERROR(__xludf.DUMMYFUNCTION("""COMPUTED_VALUE"""),"Thực tập tốt nghiệp, Thi tốt nghiệp, Công nhận tốt nghiệp")</f>
        <v>Thực tập tốt nghiệp, Thi tốt nghiệp, Công nhận tốt nghiệp</v>
      </c>
      <c r="N194" s="1">
        <f ca="1">IFERROR(__xludf.DUMMYFUNCTION("""COMPUTED_VALUE"""),9)</f>
        <v>9</v>
      </c>
      <c r="O194" s="1" t="str">
        <f ca="1">IFERROR(__xludf.DUMMYFUNCTION("""COMPUTED_VALUE"""),"cam kết")</f>
        <v>cam kết</v>
      </c>
      <c r="P194" s="1"/>
      <c r="Q194" s="1"/>
      <c r="R194" s="1" t="str">
        <f ca="1">IFERROR(__xludf.DUMMYFUNCTION("""COMPUTED_VALUE"""),"18/12/2025")</f>
        <v>18/12/2025</v>
      </c>
      <c r="S194" s="1" t="str">
        <f ca="1">IFERROR(__xludf.DUMMYFUNCTION("""COMPUTED_VALUE"""),"thực tập TN, Thi TN")</f>
        <v>thực tập TN, Thi TN</v>
      </c>
      <c r="T194" s="1" t="str">
        <f ca="1">IFERROR(__xludf.DUMMYFUNCTION("""COMPUTED_VALUE"""),"Đã email cấp giấy giới thiệu ngày 18/12/2025")</f>
        <v>Đã email cấp giấy giới thiệu ngày 18/12/2025</v>
      </c>
      <c r="U194" s="1"/>
      <c r="V194" s="1"/>
      <c r="W194" s="1" t="str">
        <f ca="1">IFERROR(__xludf.DUMMYFUNCTION("""COMPUTED_VALUE"""),"K28DLK2")</f>
        <v>K28DLK2</v>
      </c>
      <c r="X194" s="1"/>
      <c r="Y194" s="1" t="str">
        <f ca="1">IFERROR(__xludf.DUMMYFUNCTION("""COMPUTED_VALUE"""),"Almanity Hoi An Resort &amp; Spa")</f>
        <v>Almanity Hoi An Resort &amp; Spa</v>
      </c>
      <c r="Z194" s="1" t="str">
        <f ca="1">IFERROR(__xludf.DUMMYFUNCTION("""COMPUTED_VALUE"""),"Nhà hàng")</f>
        <v>Nhà hàng</v>
      </c>
      <c r="AA194" s="1" t="str">
        <f ca="1">IFERROR(__xludf.DUMMYFUNCTION("""COMPUTED_VALUE"""),"DUYỆT")</f>
        <v>DUYỆT</v>
      </c>
      <c r="AB194" s="1" t="str">
        <f ca="1">IFERROR(__xludf.DUMMYFUNCTION("""COMPUTED_VALUE"""),"16/01/2026")</f>
        <v>16/01/2026</v>
      </c>
      <c r="AC194" s="1" t="str">
        <f ca="1">IFERROR(__xludf.DUMMYFUNCTION("""COMPUTED_VALUE"""),"BÁO CÁO THỰC TẬP TỐT NGHIỆP")</f>
        <v>BÁO CÁO THỰC TẬP TỐT NGHIỆP</v>
      </c>
      <c r="AD194" s="1" t="str">
        <f ca="1">IFERROR(__xludf.DUMMYFUNCTION("""COMPUTED_VALUE"""),"Đặng Thị Thùy Trang")</f>
        <v>Đặng Thị Thùy Trang</v>
      </c>
      <c r="AE194" s="1" t="str">
        <f ca="1">IFERROR(__xludf.DUMMYFUNCTION("""COMPUTED_VALUE"""),"Thạc sĩ")</f>
        <v>Thạc sĩ</v>
      </c>
      <c r="AF194" s="1" t="str">
        <f ca="1">IFERROR(__xludf.DUMMYFUNCTION("""COMPUTED_VALUE"""),"0327892117")</f>
        <v>0327892117</v>
      </c>
      <c r="AG194" s="1" t="str">
        <f ca="1">IFERROR(__xludf.DUMMYFUNCTION("""COMPUTED_VALUE"""),"dangtthuytrang3@dtu-hti.edu.vn")</f>
        <v>dangtthuytrang3@dtu-hti.edu.vn</v>
      </c>
      <c r="AH194" s="1" t="str">
        <f ca="1">IFERROR(__xludf.DUMMYFUNCTION("""COMPUTED_VALUE"""),"Báo cáo kết quả thực tập và thực trạng về các yếu tố ảnh hưởng đến chất lượng phục vụ buffet sáng tại nhà hàng Fourplates thuộc khách sạn Almanity Hoi An Resort &amp; Spa")</f>
        <v>Báo cáo kết quả thực tập và thực trạng về các yếu tố ảnh hưởng đến chất lượng phục vụ buffet sáng tại nhà hàng Fourplates thuộc khách sạn Almanity Hoi An Resort &amp; Spa</v>
      </c>
      <c r="AI194" s="1"/>
    </row>
    <row r="195" spans="1:35" x14ac:dyDescent="0.2">
      <c r="A195" s="3">
        <f ca="1">IFERROR(__xludf.DUMMYFUNCTION("""COMPUTED_VALUE"""),46008.5807235531)</f>
        <v>46008.580723553103</v>
      </c>
      <c r="B195" s="1" t="str">
        <f ca="1">IFERROR(__xludf.DUMMYFUNCTION("""COMPUTED_VALUE"""),"mylinh060618@gmail.com")</f>
        <v>mylinh060618@gmail.com</v>
      </c>
      <c r="C195" s="1">
        <f ca="1">IFERROR(__xludf.DUMMYFUNCTION("""COMPUTED_VALUE"""),28208001005)</f>
        <v>28208001005</v>
      </c>
      <c r="D195" s="1" t="str">
        <f ca="1">IFERROR(__xludf.DUMMYFUNCTION("""COMPUTED_VALUE"""),"Nguyễn Thị Mỹ Linh")</f>
        <v>Nguyễn Thị Mỹ Linh</v>
      </c>
      <c r="E195" s="1"/>
      <c r="F195" s="1" t="str">
        <f ca="1">IFERROR(__xludf.DUMMYFUNCTION("""COMPUTED_VALUE"""),"K28DLK4")</f>
        <v>K28DLK4</v>
      </c>
      <c r="G195" s="1" t="str">
        <f ca="1">IFERROR(__xludf.DUMMYFUNCTION("""COMPUTED_VALUE"""),"Quản trị Du lịch &amp; Khách sạn")</f>
        <v>Quản trị Du lịch &amp; Khách sạn</v>
      </c>
      <c r="H195" s="1" t="str">
        <f ca="1">IFERROR(__xludf.DUMMYFUNCTION("""COMPUTED_VALUE"""),"K28")</f>
        <v>K28</v>
      </c>
      <c r="I195" s="1" t="str">
        <f ca="1">IFERROR(__xludf.DUMMYFUNCTION("""COMPUTED_VALUE"""),"0352557136")</f>
        <v>0352557136</v>
      </c>
      <c r="J195" s="1">
        <f ca="1">IFERROR(__xludf.DUMMYFUNCTION("""COMPUTED_VALUE"""),3.47)</f>
        <v>3.47</v>
      </c>
      <c r="K195" s="1" t="str">
        <f ca="1">IFERROR(__xludf.DUMMYFUNCTION("""COMPUTED_VALUE"""),"113 (11 tín đang thi và chờ có điểm)")</f>
        <v>113 (11 tín đang thi và chờ có điểm)</v>
      </c>
      <c r="L195" s="1" t="str">
        <f ca="1">IFERROR(__xludf.DUMMYFUNCTION("""COMPUTED_VALUE"""),"Rồi")</f>
        <v>Rồi</v>
      </c>
      <c r="M195" s="1" t="str">
        <f ca="1">IFERROR(__xludf.DUMMYFUNCTION("""COMPUTED_VALUE"""),"Thực tập tốt nghiệp, Thi tốt nghiệp, Công nhận tốt nghiệp")</f>
        <v>Thực tập tốt nghiệp, Thi tốt nghiệp, Công nhận tốt nghiệp</v>
      </c>
      <c r="N195" s="1" t="str">
        <f ca="1">IFERROR(__xludf.DUMMYFUNCTION("""COMPUTED_VALUE"""),"11 (đang thi và chờ có điểm)")</f>
        <v>11 (đang thi và chờ có điểm)</v>
      </c>
      <c r="O195" s="1" t="str">
        <f ca="1">IFERROR(__xludf.DUMMYFUNCTION("""COMPUTED_VALUE"""),"cam kết")</f>
        <v>cam kết</v>
      </c>
      <c r="P195" s="1"/>
      <c r="Q195" s="1"/>
      <c r="R195" s="1" t="str">
        <f ca="1">IFERROR(__xludf.DUMMYFUNCTION("""COMPUTED_VALUE"""),"18/12/2025")</f>
        <v>18/12/2025</v>
      </c>
      <c r="S195" s="1" t="str">
        <f ca="1">IFERROR(__xludf.DUMMYFUNCTION("""COMPUTED_VALUE"""),"thực tập TN, Thi TN")</f>
        <v>thực tập TN, Thi TN</v>
      </c>
      <c r="T195" s="1" t="str">
        <f ca="1">IFERROR(__xludf.DUMMYFUNCTION("""COMPUTED_VALUE"""),"Đã email cấp giấy giới thiệu ngày 18/12/2025")</f>
        <v>Đã email cấp giấy giới thiệu ngày 18/12/2025</v>
      </c>
      <c r="U195" s="1" t="str">
        <f ca="1">IFERROR(__xludf.DUMMYFUNCTION("""COMPUTED_VALUE"""),"Sv đã nộp đơn chuyển KL - CĐ")</f>
        <v>Sv đã nộp đơn chuyển KL - CĐ</v>
      </c>
      <c r="V195" s="1"/>
      <c r="W195" s="1" t="str">
        <f ca="1">IFERROR(__xludf.DUMMYFUNCTION("""COMPUTED_VALUE"""),"K28DLK4")</f>
        <v>K28DLK4</v>
      </c>
      <c r="X195" s="1"/>
      <c r="Y195" s="1" t="str">
        <f ca="1">IFERROR(__xludf.DUMMYFUNCTION("""COMPUTED_VALUE"""),"Rosamia Da Nang Hotel")</f>
        <v>Rosamia Da Nang Hotel</v>
      </c>
      <c r="Z195" s="1" t="str">
        <f ca="1">IFERROR(__xludf.DUMMYFUNCTION("""COMPUTED_VALUE"""),"Nhà hàng")</f>
        <v>Nhà hàng</v>
      </c>
      <c r="AA195" s="1" t="str">
        <f ca="1">IFERROR(__xludf.DUMMYFUNCTION("""COMPUTED_VALUE"""),"DUYỆT")</f>
        <v>DUYỆT</v>
      </c>
      <c r="AB195" s="4">
        <f ca="1">IFERROR(__xludf.DUMMYFUNCTION("""COMPUTED_VALUE"""),46235)</f>
        <v>46235</v>
      </c>
      <c r="AC195" s="1" t="str">
        <f ca="1">IFERROR(__xludf.DUMMYFUNCTION("""COMPUTED_VALUE"""),"BÁO CÁO THỰC TẬP TỐT NGHIỆP")</f>
        <v>BÁO CÁO THỰC TẬP TỐT NGHIỆP</v>
      </c>
      <c r="AD195" s="1" t="str">
        <f ca="1">IFERROR(__xludf.DUMMYFUNCTION("""COMPUTED_VALUE"""),"Mai Thị Thương")</f>
        <v>Mai Thị Thương</v>
      </c>
      <c r="AE195" s="1" t="str">
        <f ca="1">IFERROR(__xludf.DUMMYFUNCTION("""COMPUTED_VALUE"""),"Thạc sĩ")</f>
        <v>Thạc sĩ</v>
      </c>
      <c r="AF195" s="1" t="str">
        <f ca="1">IFERROR(__xludf.DUMMYFUNCTION("""COMPUTED_VALUE"""),"0905767050")</f>
        <v>0905767050</v>
      </c>
      <c r="AG195" s="1" t="str">
        <f ca="1">IFERROR(__xludf.DUMMYFUNCTION("""COMPUTED_VALUE"""),"maithithuong@dtu-hti.edu.vn")</f>
        <v>maithithuong@dtu-hti.edu.vn</v>
      </c>
      <c r="AH195" s="1" t="str">
        <f ca="1">IFERROR(__xludf.DUMMYFUNCTION("""COMPUTED_VALUE"""),"Báo cáo kết quả thực tập và thực trạng về quy trình phục vụ tại nhà hàng Marina thuộc Rosamia Da Nang Hotel")</f>
        <v>Báo cáo kết quả thực tập và thực trạng về quy trình phục vụ tại nhà hàng Marina thuộc Rosamia Da Nang Hotel</v>
      </c>
      <c r="AI195" s="1"/>
    </row>
    <row r="196" spans="1:35" x14ac:dyDescent="0.2">
      <c r="A196" s="3">
        <f ca="1">IFERROR(__xludf.DUMMYFUNCTION("""COMPUTED_VALUE"""),46008.5856345486)</f>
        <v>46008.585634548603</v>
      </c>
      <c r="B196" s="1" t="str">
        <f ca="1">IFERROR(__xludf.DUMMYFUNCTION("""COMPUTED_VALUE"""),"tranthuong26082004@gmail.com")</f>
        <v>tranthuong26082004@gmail.com</v>
      </c>
      <c r="C196" s="1">
        <f ca="1">IFERROR(__xludf.DUMMYFUNCTION("""COMPUTED_VALUE"""),28208000084)</f>
        <v>28208000084</v>
      </c>
      <c r="D196" s="1" t="str">
        <f ca="1">IFERROR(__xludf.DUMMYFUNCTION("""COMPUTED_VALUE"""),"Trần Thị Thu Thương")</f>
        <v>Trần Thị Thu Thương</v>
      </c>
      <c r="E196" s="1"/>
      <c r="F196" s="1" t="str">
        <f ca="1">IFERROR(__xludf.DUMMYFUNCTION("""COMPUTED_VALUE"""),"K28DLK2")</f>
        <v>K28DLK2</v>
      </c>
      <c r="G196" s="1" t="str">
        <f ca="1">IFERROR(__xludf.DUMMYFUNCTION("""COMPUTED_VALUE"""),"Quản trị Du lịch &amp; Khách sạn")</f>
        <v>Quản trị Du lịch &amp; Khách sạn</v>
      </c>
      <c r="H196" s="1" t="str">
        <f ca="1">IFERROR(__xludf.DUMMYFUNCTION("""COMPUTED_VALUE"""),"K28")</f>
        <v>K28</v>
      </c>
      <c r="I196" s="1" t="str">
        <f ca="1">IFERROR(__xludf.DUMMYFUNCTION("""COMPUTED_VALUE"""),"0899205441")</f>
        <v>0899205441</v>
      </c>
      <c r="J196" s="1">
        <f ca="1">IFERROR(__xludf.DUMMYFUNCTION("""COMPUTED_VALUE"""),2.91)</f>
        <v>2.91</v>
      </c>
      <c r="K196" s="1">
        <f ca="1">IFERROR(__xludf.DUMMYFUNCTION("""COMPUTED_VALUE"""),117)</f>
        <v>117</v>
      </c>
      <c r="L196" s="1" t="str">
        <f ca="1">IFERROR(__xludf.DUMMYFUNCTION("""COMPUTED_VALUE"""),"Rồi")</f>
        <v>Rồi</v>
      </c>
      <c r="M196" s="1" t="str">
        <f ca="1">IFERROR(__xludf.DUMMYFUNCTION("""COMPUTED_VALUE"""),"Thực tập tốt nghiệp, Thi tốt nghiệp, Công nhận tốt nghiệp")</f>
        <v>Thực tập tốt nghiệp, Thi tốt nghiệp, Công nhận tốt nghiệp</v>
      </c>
      <c r="N196" s="1" t="str">
        <f ca="1">IFERROR(__xludf.DUMMYFUNCTION("""COMPUTED_VALUE"""),"6 tín ")</f>
        <v xml:space="preserve">6 tín </v>
      </c>
      <c r="O196" s="1" t="str">
        <f ca="1">IFERROR(__xludf.DUMMYFUNCTION("""COMPUTED_VALUE"""),"cam kết")</f>
        <v>cam kết</v>
      </c>
      <c r="P196" s="1"/>
      <c r="Q196" s="1"/>
      <c r="R196" s="1" t="str">
        <f ca="1">IFERROR(__xludf.DUMMYFUNCTION("""COMPUTED_VALUE"""),"18/12/2025")</f>
        <v>18/12/2025</v>
      </c>
      <c r="S196" s="1" t="str">
        <f ca="1">IFERROR(__xludf.DUMMYFUNCTION("""COMPUTED_VALUE"""),"thực tập TN, Thi TN")</f>
        <v>thực tập TN, Thi TN</v>
      </c>
      <c r="T196" s="1" t="str">
        <f ca="1">IFERROR(__xludf.DUMMYFUNCTION("""COMPUTED_VALUE"""),"Đã email cấp giấy giới thiệu ngày 18/12/2025")</f>
        <v>Đã email cấp giấy giới thiệu ngày 18/12/2025</v>
      </c>
      <c r="U196" s="1"/>
      <c r="V196" s="1"/>
      <c r="W196" s="1" t="str">
        <f ca="1">IFERROR(__xludf.DUMMYFUNCTION("""COMPUTED_VALUE"""),"K28DLK2")</f>
        <v>K28DLK2</v>
      </c>
      <c r="X196" s="1"/>
      <c r="Y196" s="1" t="str">
        <f ca="1">IFERROR(__xludf.DUMMYFUNCTION("""COMPUTED_VALUE"""),"Risemount Premier Resort Đà Nẵng")</f>
        <v>Risemount Premier Resort Đà Nẵng</v>
      </c>
      <c r="Z196" s="1" t="str">
        <f ca="1">IFERROR(__xludf.DUMMYFUNCTION("""COMPUTED_VALUE"""),"Nhà hàng")</f>
        <v>Nhà hàng</v>
      </c>
      <c r="AA196" s="1" t="str">
        <f ca="1">IFERROR(__xludf.DUMMYFUNCTION("""COMPUTED_VALUE"""),"DUYỆT")</f>
        <v>DUYỆT</v>
      </c>
      <c r="AB196" s="1" t="str">
        <f ca="1">IFERROR(__xludf.DUMMYFUNCTION("""COMPUTED_VALUE"""),"26/12/2025")</f>
        <v>26/12/2025</v>
      </c>
      <c r="AC196" s="1" t="str">
        <f ca="1">IFERROR(__xludf.DUMMYFUNCTION("""COMPUTED_VALUE"""),"BÁO CÁO THỰC TẬP TỐT NGHIỆP")</f>
        <v>BÁO CÁO THỰC TẬP TỐT NGHIỆP</v>
      </c>
      <c r="AD196" s="1" t="str">
        <f ca="1">IFERROR(__xludf.DUMMYFUNCTION("""COMPUTED_VALUE"""),"Đặng Thị Thùy Trang")</f>
        <v>Đặng Thị Thùy Trang</v>
      </c>
      <c r="AE196" s="1" t="str">
        <f ca="1">IFERROR(__xludf.DUMMYFUNCTION("""COMPUTED_VALUE"""),"Thạc sĩ")</f>
        <v>Thạc sĩ</v>
      </c>
      <c r="AF196" s="1" t="str">
        <f ca="1">IFERROR(__xludf.DUMMYFUNCTION("""COMPUTED_VALUE"""),"0327892117")</f>
        <v>0327892117</v>
      </c>
      <c r="AG196" s="1" t="str">
        <f ca="1">IFERROR(__xludf.DUMMYFUNCTION("""COMPUTED_VALUE"""),"dangtthuytrang3@dtu-hti.edu.vn")</f>
        <v>dangtthuytrang3@dtu-hti.edu.vn</v>
      </c>
      <c r="AH196" s="1" t="str">
        <f ca="1">IFERROR(__xludf.DUMMYFUNCTION("""COMPUTED_VALUE"""),"Báo cáo kết quả thực tập và thực trạng quy trình phục vụ À La Carte cho khách VIP tại nhà hàng La Maison thuộc Risemount Premier Resort Đà Nẵng")</f>
        <v>Báo cáo kết quả thực tập và thực trạng quy trình phục vụ À La Carte cho khách VIP tại nhà hàng La Maison thuộc Risemount Premier Resort Đà Nẵng</v>
      </c>
      <c r="AI196" s="1"/>
    </row>
    <row r="197" spans="1:35" x14ac:dyDescent="0.2">
      <c r="A197" s="3">
        <f ca="1">IFERROR(__xludf.DUMMYFUNCTION("""COMPUTED_VALUE"""),46009.322769155)</f>
        <v>46009.322769154998</v>
      </c>
      <c r="B197" s="1" t="str">
        <f ca="1">IFERROR(__xludf.DUMMYFUNCTION("""COMPUTED_VALUE"""),"thuytampham0306@gmail.com")</f>
        <v>thuytampham0306@gmail.com</v>
      </c>
      <c r="C197" s="1">
        <f ca="1">IFERROR(__xludf.DUMMYFUNCTION("""COMPUTED_VALUE"""),28204600357)</f>
        <v>28204600357</v>
      </c>
      <c r="D197" s="1" t="str">
        <f ca="1">IFERROR(__xludf.DUMMYFUNCTION("""COMPUTED_VALUE"""),"Phạm Thị Thuý Tâm")</f>
        <v>Phạm Thị Thuý Tâm</v>
      </c>
      <c r="E197" s="1"/>
      <c r="F197" s="1" t="str">
        <f ca="1">IFERROR(__xludf.DUMMYFUNCTION("""COMPUTED_VALUE"""),"K28DLK1")</f>
        <v>K28DLK1</v>
      </c>
      <c r="G197" s="1" t="str">
        <f ca="1">IFERROR(__xludf.DUMMYFUNCTION("""COMPUTED_VALUE"""),"Quản trị Du lịch &amp; Khách sạn")</f>
        <v>Quản trị Du lịch &amp; Khách sạn</v>
      </c>
      <c r="H197" s="1" t="str">
        <f ca="1">IFERROR(__xludf.DUMMYFUNCTION("""COMPUTED_VALUE"""),"K28")</f>
        <v>K28</v>
      </c>
      <c r="I197" s="1" t="str">
        <f ca="1">IFERROR(__xludf.DUMMYFUNCTION("""COMPUTED_VALUE"""),"0949938226")</f>
        <v>0949938226</v>
      </c>
      <c r="J197" s="1">
        <f ca="1">IFERROR(__xludf.DUMMYFUNCTION("""COMPUTED_VALUE"""),3.37)</f>
        <v>3.37</v>
      </c>
      <c r="K197" s="1">
        <f ca="1">IFERROR(__xludf.DUMMYFUNCTION("""COMPUTED_VALUE"""),108)</f>
        <v>108</v>
      </c>
      <c r="L197" s="1" t="str">
        <f ca="1">IFERROR(__xludf.DUMMYFUNCTION("""COMPUTED_VALUE"""),"Rồi")</f>
        <v>Rồi</v>
      </c>
      <c r="M197" s="1" t="str">
        <f ca="1">IFERROR(__xludf.DUMMYFUNCTION("""COMPUTED_VALUE"""),"Thực tập tốt nghiệp")</f>
        <v>Thực tập tốt nghiệp</v>
      </c>
      <c r="N197" s="1" t="str">
        <f ca="1">IFERROR(__xludf.DUMMYFUNCTION("""COMPUTED_VALUE"""),"15 tín (10 tín chuẩn bị thi kết thúc học phần)")</f>
        <v>15 tín (10 tín chuẩn bị thi kết thúc học phần)</v>
      </c>
      <c r="O197" s="1" t="str">
        <f ca="1">IFERROR(__xludf.DUMMYFUNCTION("""COMPUTED_VALUE"""),"cam kết")</f>
        <v>cam kết</v>
      </c>
      <c r="P197" s="1"/>
      <c r="Q197" s="1"/>
      <c r="R197" s="1" t="str">
        <f ca="1">IFERROR(__xludf.DUMMYFUNCTION("""COMPUTED_VALUE"""),"18/12/2025")</f>
        <v>18/12/2025</v>
      </c>
      <c r="S197" s="1" t="str">
        <f ca="1">IFERROR(__xludf.DUMMYFUNCTION("""COMPUTED_VALUE"""),"thực tập TN, Thi TN")</f>
        <v>thực tập TN, Thi TN</v>
      </c>
      <c r="T197" s="1" t="str">
        <f ca="1">IFERROR(__xludf.DUMMYFUNCTION("""COMPUTED_VALUE"""),"Đã email cấp giấy giới thiệu ngày 18/12/2025")</f>
        <v>Đã email cấp giấy giới thiệu ngày 18/12/2025</v>
      </c>
      <c r="U197" s="1"/>
      <c r="V197" s="1"/>
      <c r="W197" s="1" t="str">
        <f ca="1">IFERROR(__xludf.DUMMYFUNCTION("""COMPUTED_VALUE"""),"K28DLK1")</f>
        <v>K28DLK1</v>
      </c>
      <c r="X197" s="1"/>
      <c r="Y197" s="1" t="str">
        <f ca="1">IFERROR(__xludf.DUMMYFUNCTION("""COMPUTED_VALUE"""),"Danang Marriott Resort &amp; Spa")</f>
        <v>Danang Marriott Resort &amp; Spa</v>
      </c>
      <c r="Z197" s="1" t="str">
        <f ca="1">IFERROR(__xludf.DUMMYFUNCTION("""COMPUTED_VALUE"""),"Buồng phòng")</f>
        <v>Buồng phòng</v>
      </c>
      <c r="AA197" s="1" t="str">
        <f ca="1">IFERROR(__xludf.DUMMYFUNCTION("""COMPUTED_VALUE"""),"DUYỆT")</f>
        <v>DUYỆT</v>
      </c>
      <c r="AB197" s="1" t="str">
        <f ca="1">IFERROR(__xludf.DUMMYFUNCTION("""COMPUTED_VALUE"""),"14/01/2026")</f>
        <v>14/01/2026</v>
      </c>
      <c r="AC197" s="1" t="str">
        <f ca="1">IFERROR(__xludf.DUMMYFUNCTION("""COMPUTED_VALUE"""),"BÁO CÁO THỰC TẬP TỐT NGHIỆP")</f>
        <v>BÁO CÁO THỰC TẬP TỐT NGHIỆP</v>
      </c>
      <c r="AD197" s="1" t="str">
        <f ca="1">IFERROR(__xludf.DUMMYFUNCTION("""COMPUTED_VALUE"""),"Phạm Thị Thu Thủy")</f>
        <v>Phạm Thị Thu Thủy</v>
      </c>
      <c r="AE197" s="1" t="str">
        <f ca="1">IFERROR(__xludf.DUMMYFUNCTION("""COMPUTED_VALUE"""),"Thạc sĩ")</f>
        <v>Thạc sĩ</v>
      </c>
      <c r="AF197" s="1" t="str">
        <f ca="1">IFERROR(__xludf.DUMMYFUNCTION("""COMPUTED_VALUE"""),"0938290678")</f>
        <v>0938290678</v>
      </c>
      <c r="AG197" s="1" t="str">
        <f ca="1">IFERROR(__xludf.DUMMYFUNCTION("""COMPUTED_VALUE"""),"phamtthuthuy2@dtu-hti.edu.vn")</f>
        <v>phamtthuthuy2@dtu-hti.edu.vn</v>
      </c>
      <c r="AH197" s="1" t="str">
        <f ca="1">IFERROR(__xludf.DUMMYFUNCTION("""COMPUTED_VALUE"""),"Báo cáo kết quả thực tập và thực trạng quy trình chuần bị buồng đón khách VIP tại bộ phận buồng Danang Marriott Resort &amp; Spa")</f>
        <v>Báo cáo kết quả thực tập và thực trạng quy trình chuần bị buồng đón khách VIP tại bộ phận buồng Danang Marriott Resort &amp; Spa</v>
      </c>
      <c r="AI197" s="1"/>
    </row>
    <row r="198" spans="1:35" x14ac:dyDescent="0.2">
      <c r="A198" s="3">
        <f ca="1">IFERROR(__xludf.DUMMYFUNCTION("""COMPUTED_VALUE"""),46009.7280494675)</f>
        <v>46009.7280494675</v>
      </c>
      <c r="B198" s="1" t="str">
        <f ca="1">IFERROR(__xludf.DUMMYFUNCTION("""COMPUTED_VALUE"""),"kimnguyenpinim@gmail.com")</f>
        <v>kimnguyenpinim@gmail.com</v>
      </c>
      <c r="C198" s="1">
        <f ca="1">IFERROR(__xludf.DUMMYFUNCTION("""COMPUTED_VALUE"""),28206929749)</f>
        <v>28206929749</v>
      </c>
      <c r="D198" s="1" t="str">
        <f ca="1">IFERROR(__xludf.DUMMYFUNCTION("""COMPUTED_VALUE"""),"Võ Đăng Kim Nguyên")</f>
        <v>Võ Đăng Kim Nguyên</v>
      </c>
      <c r="E198" s="1"/>
      <c r="F198" s="1" t="str">
        <f ca="1">IFERROR(__xludf.DUMMYFUNCTION("""COMPUTED_VALUE"""),"DLK3")</f>
        <v>DLK3</v>
      </c>
      <c r="G198" s="1" t="str">
        <f ca="1">IFERROR(__xludf.DUMMYFUNCTION("""COMPUTED_VALUE"""),"Quản trị Du lịch &amp; Khách sạn")</f>
        <v>Quản trị Du lịch &amp; Khách sạn</v>
      </c>
      <c r="H198" s="1" t="str">
        <f ca="1">IFERROR(__xludf.DUMMYFUNCTION("""COMPUTED_VALUE"""),"K28")</f>
        <v>K28</v>
      </c>
      <c r="I198" s="1" t="str">
        <f ca="1">IFERROR(__xludf.DUMMYFUNCTION("""COMPUTED_VALUE"""),"0776235712")</f>
        <v>0776235712</v>
      </c>
      <c r="J198" s="1">
        <f ca="1">IFERROR(__xludf.DUMMYFUNCTION("""COMPUTED_VALUE"""),2.62)</f>
        <v>2.62</v>
      </c>
      <c r="K198" s="1">
        <f ca="1">IFERROR(__xludf.DUMMYFUNCTION("""COMPUTED_VALUE"""),113)</f>
        <v>113</v>
      </c>
      <c r="L198" s="1" t="str">
        <f ca="1">IFERROR(__xludf.DUMMYFUNCTION("""COMPUTED_VALUE"""),"Rồi")</f>
        <v>Rồi</v>
      </c>
      <c r="M198" s="1" t="str">
        <f ca="1">IFERROR(__xludf.DUMMYFUNCTION("""COMPUTED_VALUE"""),"Thực tập tốt nghiệp")</f>
        <v>Thực tập tốt nghiệp</v>
      </c>
      <c r="N198" s="1">
        <f ca="1">IFERROR(__xludf.DUMMYFUNCTION("""COMPUTED_VALUE"""),5)</f>
        <v>5</v>
      </c>
      <c r="O198" s="1" t="str">
        <f ca="1">IFERROR(__xludf.DUMMYFUNCTION("""COMPUTED_VALUE"""),"cam kết")</f>
        <v>cam kết</v>
      </c>
      <c r="P198" s="1"/>
      <c r="Q198" s="1"/>
      <c r="R198" s="1" t="str">
        <f ca="1">IFERROR(__xludf.DUMMYFUNCTION("""COMPUTED_VALUE"""),"25/12/2025")</f>
        <v>25/12/2025</v>
      </c>
      <c r="S198" s="1" t="str">
        <f ca="1">IFERROR(__xludf.DUMMYFUNCTION("""COMPUTED_VALUE"""),"thực tập TN, Thi TN")</f>
        <v>thực tập TN, Thi TN</v>
      </c>
      <c r="T198" s="1" t="str">
        <f ca="1">IFERROR(__xludf.DUMMYFUNCTION("""COMPUTED_VALUE"""),"Đã email cấp giấy giới thiệu ngày 25/12/2025")</f>
        <v>Đã email cấp giấy giới thiệu ngày 25/12/2025</v>
      </c>
      <c r="U198" s="1"/>
      <c r="V198" s="1"/>
      <c r="W198" s="1" t="str">
        <f ca="1">IFERROR(__xludf.DUMMYFUNCTION("""COMPUTED_VALUE"""),"K28DLK3")</f>
        <v>K28DLK3</v>
      </c>
      <c r="X198" s="1"/>
      <c r="Y198" s="1" t="str">
        <f ca="1">IFERROR(__xludf.DUMMYFUNCTION("""COMPUTED_VALUE"""),"Wyndham Danang Golden Bay Hotel")</f>
        <v>Wyndham Danang Golden Bay Hotel</v>
      </c>
      <c r="Z198" s="1" t="str">
        <f ca="1">IFERROR(__xludf.DUMMYFUNCTION("""COMPUTED_VALUE"""),"Nhà hàng")</f>
        <v>Nhà hàng</v>
      </c>
      <c r="AA198" s="1" t="str">
        <f ca="1">IFERROR(__xludf.DUMMYFUNCTION("""COMPUTED_VALUE"""),"DUYỆT")</f>
        <v>DUYỆT</v>
      </c>
      <c r="AB198" s="1" t="str">
        <f ca="1">IFERROR(__xludf.DUMMYFUNCTION("""COMPUTED_VALUE"""),"23/01/2026")</f>
        <v>23/01/2026</v>
      </c>
      <c r="AC198" s="1" t="str">
        <f ca="1">IFERROR(__xludf.DUMMYFUNCTION("""COMPUTED_VALUE"""),"BÁO CÁO THỰC TẬP TỐT NGHIỆP")</f>
        <v>BÁO CÁO THỰC TẬP TỐT NGHIỆP</v>
      </c>
      <c r="AD198" s="1" t="str">
        <f ca="1">IFERROR(__xludf.DUMMYFUNCTION("""COMPUTED_VALUE"""),"Trần Hoàng Anh")</f>
        <v>Trần Hoàng Anh</v>
      </c>
      <c r="AE198" s="1" t="str">
        <f ca="1">IFERROR(__xludf.DUMMYFUNCTION("""COMPUTED_VALUE"""),"Thạc sĩ")</f>
        <v>Thạc sĩ</v>
      </c>
      <c r="AF198" s="1" t="str">
        <f ca="1">IFERROR(__xludf.DUMMYFUNCTION("""COMPUTED_VALUE"""),"0906 029 602")</f>
        <v>0906 029 602</v>
      </c>
      <c r="AG198" s="1" t="str">
        <f ca="1">IFERROR(__xludf.DUMMYFUNCTION("""COMPUTED_VALUE"""),"tranhoanganh@dtu-hti.edu.vn")</f>
        <v>tranhoanganh@dtu-hti.edu.vn</v>
      </c>
      <c r="AH198" s="1" t="str">
        <f ca="1">IFERROR(__xludf.DUMMYFUNCTION("""COMPUTED_VALUE"""),"Báo cáo kết quả thực tập và thực trạng quy trình phục vụ bar tại nhà hàng Horizon thuộc khách sạn Wyndham Danang Golden Bay")</f>
        <v>Báo cáo kết quả thực tập và thực trạng quy trình phục vụ bar tại nhà hàng Horizon thuộc khách sạn Wyndham Danang Golden Bay</v>
      </c>
      <c r="AI198" s="1"/>
    </row>
    <row r="199" spans="1:35" x14ac:dyDescent="0.2">
      <c r="A199" s="3">
        <f ca="1">IFERROR(__xludf.DUMMYFUNCTION("""COMPUTED_VALUE"""),46010.567933287)</f>
        <v>46010.567933286999</v>
      </c>
      <c r="B199" s="1" t="str">
        <f ca="1">IFERROR(__xludf.DUMMYFUNCTION("""COMPUTED_VALUE"""),"bao850696@gmail.com")</f>
        <v>bao850696@gmail.com</v>
      </c>
      <c r="C199" s="1">
        <f ca="1">IFERROR(__xludf.DUMMYFUNCTION("""COMPUTED_VALUE"""),28218003890)</f>
        <v>28218003890</v>
      </c>
      <c r="D199" s="1" t="str">
        <f ca="1">IFERROR(__xludf.DUMMYFUNCTION("""COMPUTED_VALUE"""),"Trần Phạm Gia Bảo ")</f>
        <v xml:space="preserve">Trần Phạm Gia Bảo </v>
      </c>
      <c r="E199" s="1"/>
      <c r="F199" s="1" t="str">
        <f ca="1">IFERROR(__xludf.DUMMYFUNCTION("""COMPUTED_VALUE"""),"K28 DLK4")</f>
        <v>K28 DLK4</v>
      </c>
      <c r="G199" s="1" t="str">
        <f ca="1">IFERROR(__xludf.DUMMYFUNCTION("""COMPUTED_VALUE"""),"Quản trị Du lịch &amp; Khách sạn")</f>
        <v>Quản trị Du lịch &amp; Khách sạn</v>
      </c>
      <c r="H199" s="1" t="str">
        <f ca="1">IFERROR(__xludf.DUMMYFUNCTION("""COMPUTED_VALUE"""),"K28")</f>
        <v>K28</v>
      </c>
      <c r="I199" s="1" t="str">
        <f ca="1">IFERROR(__xludf.DUMMYFUNCTION("""COMPUTED_VALUE"""),"0916408393")</f>
        <v>0916408393</v>
      </c>
      <c r="J199" s="1">
        <f ca="1">IFERROR(__xludf.DUMMYFUNCTION("""COMPUTED_VALUE"""),2.66)</f>
        <v>2.66</v>
      </c>
      <c r="K199" s="1">
        <f ca="1">IFERROR(__xludf.DUMMYFUNCTION("""COMPUTED_VALUE"""),113)</f>
        <v>113</v>
      </c>
      <c r="L199" s="1" t="str">
        <f ca="1">IFERROR(__xludf.DUMMYFUNCTION("""COMPUTED_VALUE"""),"Rồi")</f>
        <v>Rồi</v>
      </c>
      <c r="M199" s="1" t="str">
        <f ca="1">IFERROR(__xludf.DUMMYFUNCTION("""COMPUTED_VALUE"""),"Thực tập tốt nghiệp, Thi tốt nghiệp, Công nhận tốt nghiệp")</f>
        <v>Thực tập tốt nghiệp, Thi tốt nghiệp, Công nhận tốt nghiệp</v>
      </c>
      <c r="N199" s="1" t="str">
        <f ca="1">IFERROR(__xludf.DUMMYFUNCTION("""COMPUTED_VALUE"""),"11 tín chỉ")</f>
        <v>11 tín chỉ</v>
      </c>
      <c r="O199" s="1" t="str">
        <f ca="1">IFERROR(__xludf.DUMMYFUNCTION("""COMPUTED_VALUE"""),"cam kết")</f>
        <v>cam kết</v>
      </c>
      <c r="P199" s="1"/>
      <c r="Q199" s="1"/>
      <c r="R199" s="1" t="str">
        <f ca="1">IFERROR(__xludf.DUMMYFUNCTION("""COMPUTED_VALUE"""),"25/12/2025")</f>
        <v>25/12/2025</v>
      </c>
      <c r="S199" s="1" t="str">
        <f ca="1">IFERROR(__xludf.DUMMYFUNCTION("""COMPUTED_VALUE"""),"thực tập TN, Thi TN")</f>
        <v>thực tập TN, Thi TN</v>
      </c>
      <c r="T199" s="1" t="str">
        <f ca="1">IFERROR(__xludf.DUMMYFUNCTION("""COMPUTED_VALUE"""),"Đã email cấp giấy giới thiệu ngày 25/12/2025")</f>
        <v>Đã email cấp giấy giới thiệu ngày 25/12/2025</v>
      </c>
      <c r="U199" s="1"/>
      <c r="V199" s="1"/>
      <c r="W199" s="1" t="str">
        <f ca="1">IFERROR(__xludf.DUMMYFUNCTION("""COMPUTED_VALUE"""),"K28DLK4")</f>
        <v>K28DLK4</v>
      </c>
      <c r="X199" s="1"/>
      <c r="Y199" s="1" t="str">
        <f ca="1">IFERROR(__xludf.DUMMYFUNCTION("""COMPUTED_VALUE"""),"Novotel Danang Premier Han River ")</f>
        <v xml:space="preserve">Novotel Danang Premier Han River </v>
      </c>
      <c r="Z199" s="1" t="str">
        <f ca="1">IFERROR(__xludf.DUMMYFUNCTION("""COMPUTED_VALUE"""),"Banquet")</f>
        <v>Banquet</v>
      </c>
      <c r="AA199" s="1" t="str">
        <f ca="1">IFERROR(__xludf.DUMMYFUNCTION("""COMPUTED_VALUE"""),"DUYỆT")</f>
        <v>DUYỆT</v>
      </c>
      <c r="AB199" s="1" t="str">
        <f ca="1">IFERROR(__xludf.DUMMYFUNCTION("""COMPUTED_VALUE"""),"31/12/2025")</f>
        <v>31/12/2025</v>
      </c>
      <c r="AC199" s="1" t="str">
        <f ca="1">IFERROR(__xludf.DUMMYFUNCTION("""COMPUTED_VALUE"""),"BÁO CÁO THỰC TẬP TỐT NGHIỆP")</f>
        <v>BÁO CÁO THỰC TẬP TỐT NGHIỆP</v>
      </c>
      <c r="AD199" s="1" t="str">
        <f ca="1">IFERROR(__xludf.DUMMYFUNCTION("""COMPUTED_VALUE"""),"Huỳnh Lý Thùy Linh")</f>
        <v>Huỳnh Lý Thùy Linh</v>
      </c>
      <c r="AE199" s="1" t="str">
        <f ca="1">IFERROR(__xludf.DUMMYFUNCTION("""COMPUTED_VALUE"""),"Thạc sĩ")</f>
        <v>Thạc sĩ</v>
      </c>
      <c r="AF199" s="1" t="str">
        <f ca="1">IFERROR(__xludf.DUMMYFUNCTION("""COMPUTED_VALUE"""),"0702605664")</f>
        <v>0702605664</v>
      </c>
      <c r="AG199" s="1" t="str">
        <f ca="1">IFERROR(__xludf.DUMMYFUNCTION("""COMPUTED_VALUE"""),"huynhlthuylinh@dtu-hti.edu.vn")</f>
        <v>huynhlthuylinh@dtu-hti.edu.vn</v>
      </c>
      <c r="AH199" s="1" t="str">
        <f ca="1">IFERROR(__xludf.DUMMYFUNCTION("""COMPUTED_VALUE"""),"Báo cáo kết quả thực tập và thực trạng quy trình phục vụ tiệc tối kiểu Âu của bộ phận Banquet tại Novotel Danang Premier Han River")</f>
        <v>Báo cáo kết quả thực tập và thực trạng quy trình phục vụ tiệc tối kiểu Âu của bộ phận Banquet tại Novotel Danang Premier Han River</v>
      </c>
      <c r="AI199" s="1"/>
    </row>
    <row r="200" spans="1:35" x14ac:dyDescent="0.2">
      <c r="A200" s="3">
        <f ca="1">IFERROR(__xludf.DUMMYFUNCTION("""COMPUTED_VALUE"""),46009.7395827893)</f>
        <v>46009.739582789298</v>
      </c>
      <c r="B200" s="1" t="str">
        <f ca="1">IFERROR(__xludf.DUMMYFUNCTION("""COMPUTED_VALUE"""),"phanna29042004@gmail.com")</f>
        <v>phanna29042004@gmail.com</v>
      </c>
      <c r="C200" s="1">
        <f ca="1">IFERROR(__xludf.DUMMYFUNCTION("""COMPUTED_VALUE"""),28208005201)</f>
        <v>28208005201</v>
      </c>
      <c r="D200" s="1" t="str">
        <f ca="1">IFERROR(__xludf.DUMMYFUNCTION("""COMPUTED_VALUE"""),"Phan nguyễn quỳnh như")</f>
        <v>Phan nguyễn quỳnh như</v>
      </c>
      <c r="E200" s="1"/>
      <c r="F200" s="1" t="str">
        <f ca="1">IFERROR(__xludf.DUMMYFUNCTION("""COMPUTED_VALUE"""),"DLK4")</f>
        <v>DLK4</v>
      </c>
      <c r="G200" s="1" t="str">
        <f ca="1">IFERROR(__xludf.DUMMYFUNCTION("""COMPUTED_VALUE"""),"Quản trị Du lịch &amp; Khách sạn")</f>
        <v>Quản trị Du lịch &amp; Khách sạn</v>
      </c>
      <c r="H200" s="1" t="str">
        <f ca="1">IFERROR(__xludf.DUMMYFUNCTION("""COMPUTED_VALUE"""),"K28")</f>
        <v>K28</v>
      </c>
      <c r="I200" s="1" t="str">
        <f ca="1">IFERROR(__xludf.DUMMYFUNCTION("""COMPUTED_VALUE"""),"0898223817")</f>
        <v>0898223817</v>
      </c>
      <c r="J200" s="1" t="str">
        <f ca="1">IFERROR(__xludf.DUMMYFUNCTION("""COMPUTED_VALUE"""),"2,67")</f>
        <v>2,67</v>
      </c>
      <c r="K200" s="1">
        <f ca="1">IFERROR(__xludf.DUMMYFUNCTION("""COMPUTED_VALUE"""),114)</f>
        <v>114</v>
      </c>
      <c r="L200" s="1" t="str">
        <f ca="1">IFERROR(__xludf.DUMMYFUNCTION("""COMPUTED_VALUE"""),"Rồi")</f>
        <v>Rồi</v>
      </c>
      <c r="M200" s="1" t="str">
        <f ca="1">IFERROR(__xludf.DUMMYFUNCTION("""COMPUTED_VALUE"""),"Thực tập tốt nghiệp, Thi tốt nghiệp, Công nhận tốt nghiệp")</f>
        <v>Thực tập tốt nghiệp, Thi tốt nghiệp, Công nhận tốt nghiệp</v>
      </c>
      <c r="N200" s="1">
        <f ca="1">IFERROR(__xludf.DUMMYFUNCTION("""COMPUTED_VALUE"""),12)</f>
        <v>12</v>
      </c>
      <c r="O200" s="1" t="str">
        <f ca="1">IFERROR(__xludf.DUMMYFUNCTION("""COMPUTED_VALUE"""),"cam kết")</f>
        <v>cam kết</v>
      </c>
      <c r="P200" s="1"/>
      <c r="Q200" s="1"/>
      <c r="R200" s="1" t="str">
        <f ca="1">IFERROR(__xludf.DUMMYFUNCTION("""COMPUTED_VALUE"""),"25/12/2025")</f>
        <v>25/12/2025</v>
      </c>
      <c r="S200" s="1" t="str">
        <f ca="1">IFERROR(__xludf.DUMMYFUNCTION("""COMPUTED_VALUE"""),"thực tập TN, Thi TN")</f>
        <v>thực tập TN, Thi TN</v>
      </c>
      <c r="T200" s="1" t="str">
        <f ca="1">IFERROR(__xludf.DUMMYFUNCTION("""COMPUTED_VALUE"""),"Đã email cấp giấy giới thiệu ngày 25/12/2025")</f>
        <v>Đã email cấp giấy giới thiệu ngày 25/12/2025</v>
      </c>
      <c r="U200" s="1"/>
      <c r="V200" s="1"/>
      <c r="W200" s="1" t="str">
        <f ca="1">IFERROR(__xludf.DUMMYFUNCTION("""COMPUTED_VALUE"""),"K28DLK4")</f>
        <v>K28DLK4</v>
      </c>
      <c r="X200" s="1"/>
      <c r="Y200" s="1" t="str">
        <f ca="1">IFERROR(__xludf.DUMMYFUNCTION("""COMPUTED_VALUE"""),"Awaken Đà Nẵng")</f>
        <v>Awaken Đà Nẵng</v>
      </c>
      <c r="Z200" s="1" t="str">
        <f ca="1">IFERROR(__xludf.DUMMYFUNCTION("""COMPUTED_VALUE"""),"Nhà hàng")</f>
        <v>Nhà hàng</v>
      </c>
      <c r="AA200" s="1" t="str">
        <f ca="1">IFERROR(__xludf.DUMMYFUNCTION("""COMPUTED_VALUE"""),"DUYỆT")</f>
        <v>DUYỆT</v>
      </c>
      <c r="AB200" s="1" t="str">
        <f ca="1">IFERROR(__xludf.DUMMYFUNCTION("""COMPUTED_VALUE"""),"22/01/2026")</f>
        <v>22/01/2026</v>
      </c>
      <c r="AC200" s="1" t="str">
        <f ca="1">IFERROR(__xludf.DUMMYFUNCTION("""COMPUTED_VALUE"""),"BÁO CÁO THỰC TẬP TỐT NGHIỆP")</f>
        <v>BÁO CÁO THỰC TẬP TỐT NGHIỆP</v>
      </c>
      <c r="AD200" s="1" t="str">
        <f ca="1">IFERROR(__xludf.DUMMYFUNCTION("""COMPUTED_VALUE"""),"Đặng Thị Thùy Trang")</f>
        <v>Đặng Thị Thùy Trang</v>
      </c>
      <c r="AE200" s="1" t="str">
        <f ca="1">IFERROR(__xludf.DUMMYFUNCTION("""COMPUTED_VALUE"""),"Thạc sĩ")</f>
        <v>Thạc sĩ</v>
      </c>
      <c r="AF200" s="1" t="str">
        <f ca="1">IFERROR(__xludf.DUMMYFUNCTION("""COMPUTED_VALUE"""),"0327892117")</f>
        <v>0327892117</v>
      </c>
      <c r="AG200" s="1" t="str">
        <f ca="1">IFERROR(__xludf.DUMMYFUNCTION("""COMPUTED_VALUE"""),"dangtthuytrang3@dtu-hti.edu.vn")</f>
        <v>dangtthuytrang3@dtu-hti.edu.vn</v>
      </c>
      <c r="AH200" s="1" t="str">
        <f ca="1">IFERROR(__xludf.DUMMYFUNCTION("""COMPUTED_VALUE"""),"Báo cáo kết quả thực tập và thực trạng về cơ sở vật chất của bộ phận nhà hàng tại Awaken Hotel Danang")</f>
        <v>Báo cáo kết quả thực tập và thực trạng về cơ sở vật chất của bộ phận nhà hàng tại Awaken Hotel Danang</v>
      </c>
      <c r="AI200" s="1"/>
    </row>
    <row r="201" spans="1:35" x14ac:dyDescent="0.2">
      <c r="A201" s="3">
        <f ca="1">IFERROR(__xludf.DUMMYFUNCTION("""COMPUTED_VALUE"""),46009.8106182523)</f>
        <v>46009.810618252297</v>
      </c>
      <c r="B201" s="1" t="str">
        <f ca="1">IFERROR(__xludf.DUMMYFUNCTION("""COMPUTED_VALUE"""),"tramy230322@gmail.com")</f>
        <v>tramy230322@gmail.com</v>
      </c>
      <c r="C201" s="1">
        <f ca="1">IFERROR(__xludf.DUMMYFUNCTION("""COMPUTED_VALUE"""),28206254569)</f>
        <v>28206254569</v>
      </c>
      <c r="D201" s="1" t="str">
        <f ca="1">IFERROR(__xludf.DUMMYFUNCTION("""COMPUTED_VALUE"""),"Lê Thị Trà My")</f>
        <v>Lê Thị Trà My</v>
      </c>
      <c r="E201" s="1"/>
      <c r="F201" s="1" t="str">
        <f ca="1">IFERROR(__xludf.DUMMYFUNCTION("""COMPUTED_VALUE"""),"K28 PSU DLK")</f>
        <v>K28 PSU DLK</v>
      </c>
      <c r="G201" s="1" t="str">
        <f ca="1">IFERROR(__xludf.DUMMYFUNCTION("""COMPUTED_VALUE"""),"Quản trị Du lịch &amp; Khách sạn chuẩn PSU")</f>
        <v>Quản trị Du lịch &amp; Khách sạn chuẩn PSU</v>
      </c>
      <c r="H201" s="1" t="str">
        <f ca="1">IFERROR(__xludf.DUMMYFUNCTION("""COMPUTED_VALUE"""),"K28")</f>
        <v>K28</v>
      </c>
      <c r="I201" s="1" t="str">
        <f ca="1">IFERROR(__xludf.DUMMYFUNCTION("""COMPUTED_VALUE"""),"0399224672")</f>
        <v>0399224672</v>
      </c>
      <c r="J201" s="1">
        <f ca="1">IFERROR(__xludf.DUMMYFUNCTION("""COMPUTED_VALUE"""),3.75)</f>
        <v>3.75</v>
      </c>
      <c r="K201" s="1">
        <f ca="1">IFERROR(__xludf.DUMMYFUNCTION("""COMPUTED_VALUE"""),103)</f>
        <v>103</v>
      </c>
      <c r="L201" s="1" t="str">
        <f ca="1">IFERROR(__xludf.DUMMYFUNCTION("""COMPUTED_VALUE"""),"Rồi")</f>
        <v>Rồi</v>
      </c>
      <c r="M201" s="1" t="str">
        <f ca="1">IFERROR(__xludf.DUMMYFUNCTION("""COMPUTED_VALUE"""),"Thực tập tốt nghiệp, Thi tốt nghiệp, Công nhận tốt nghiệp")</f>
        <v>Thực tập tốt nghiệp, Thi tốt nghiệp, Công nhận tốt nghiệp</v>
      </c>
      <c r="N201" s="1">
        <f ca="1">IFERROR(__xludf.DUMMYFUNCTION("""COMPUTED_VALUE"""),15)</f>
        <v>15</v>
      </c>
      <c r="O201" s="1" t="str">
        <f ca="1">IFERROR(__xludf.DUMMYFUNCTION("""COMPUTED_VALUE"""),"cam kết")</f>
        <v>cam kết</v>
      </c>
      <c r="P201" s="1"/>
      <c r="Q201" s="1"/>
      <c r="R201" s="1" t="str">
        <f ca="1">IFERROR(__xludf.DUMMYFUNCTION("""COMPUTED_VALUE"""),"25/12/2025")</f>
        <v>25/12/2025</v>
      </c>
      <c r="S201" s="1" t="str">
        <f ca="1">IFERROR(__xludf.DUMMYFUNCTION("""COMPUTED_VALUE"""),"thực tập TN, Thi TN")</f>
        <v>thực tập TN, Thi TN</v>
      </c>
      <c r="T201" s="1" t="str">
        <f ca="1">IFERROR(__xludf.DUMMYFUNCTION("""COMPUTED_VALUE"""),"Đã email cấp giấy giới thiệu ngày 25/12/2025")</f>
        <v>Đã email cấp giấy giới thiệu ngày 25/12/2025</v>
      </c>
      <c r="U201" s="1"/>
      <c r="V201" s="1"/>
      <c r="W201" s="1" t="str">
        <f ca="1">IFERROR(__xludf.DUMMYFUNCTION("""COMPUTED_VALUE"""),"K28PSU-DLK")</f>
        <v>K28PSU-DLK</v>
      </c>
      <c r="X201" s="1"/>
      <c r="Y201" s="1" t="str">
        <f ca="1">IFERROR(__xludf.DUMMYFUNCTION("""COMPUTED_VALUE"""),"Sheraton Phu Quoc Long Beach Resort")</f>
        <v>Sheraton Phu Quoc Long Beach Resort</v>
      </c>
      <c r="Z201" s="1" t="str">
        <f ca="1">IFERROR(__xludf.DUMMYFUNCTION("""COMPUTED_VALUE"""),"Buồng phòng")</f>
        <v>Buồng phòng</v>
      </c>
      <c r="AA201" s="1" t="str">
        <f ca="1">IFERROR(__xludf.DUMMYFUNCTION("""COMPUTED_VALUE"""),"DUYỆT")</f>
        <v>DUYỆT</v>
      </c>
      <c r="AB201" s="1" t="str">
        <f ca="1">IFERROR(__xludf.DUMMYFUNCTION("""COMPUTED_VALUE"""),"xin nộp trễ 12/02/2026")</f>
        <v>xin nộp trễ 12/02/2026</v>
      </c>
      <c r="AC201" s="1" t="str">
        <f ca="1">IFERROR(__xludf.DUMMYFUNCTION("""COMPUTED_VALUE"""),"BÁO CÁO THỰC TẬP TỐT NGHIỆP")</f>
        <v>BÁO CÁO THỰC TẬP TỐT NGHIỆP</v>
      </c>
      <c r="AD201" s="1" t="str">
        <f ca="1">IFERROR(__xludf.DUMMYFUNCTION("""COMPUTED_VALUE"""),"Hồ Minh Phúc")</f>
        <v>Hồ Minh Phúc</v>
      </c>
      <c r="AE201" s="1" t="str">
        <f ca="1">IFERROR(__xludf.DUMMYFUNCTION("""COMPUTED_VALUE"""),"Thạc sĩ")</f>
        <v>Thạc sĩ</v>
      </c>
      <c r="AF201" s="1" t="str">
        <f ca="1">IFERROR(__xludf.DUMMYFUNCTION("""COMPUTED_VALUE"""),"0935336716")</f>
        <v>0935336716</v>
      </c>
      <c r="AG201" s="1" t="str">
        <f ca="1">IFERROR(__xludf.DUMMYFUNCTION("""COMPUTED_VALUE"""),"hominhphuc@dtu-hti.edu.vn")</f>
        <v>hominhphuc@dtu-hti.edu.vn</v>
      </c>
      <c r="AH201" s="1" t="str">
        <f ca="1">IFERROR(__xludf.DUMMYFUNCTION("""COMPUTED_VALUE"""),"Báo cáo kết quả thực tập và thực trạng quy trình chuẩn bị buồng đón tiếp khách VIP tại bộ phận Buồng phòng của Sheraton Phu Quoc Long Beach Resort")</f>
        <v>Báo cáo kết quả thực tập và thực trạng quy trình chuẩn bị buồng đón tiếp khách VIP tại bộ phận Buồng phòng của Sheraton Phu Quoc Long Beach Resort</v>
      </c>
      <c r="AI201" s="1"/>
    </row>
    <row r="202" spans="1:35" x14ac:dyDescent="0.2">
      <c r="A202" s="3">
        <f ca="1">IFERROR(__xludf.DUMMYFUNCTION("""COMPUTED_VALUE"""),46009.8340293865)</f>
        <v>46009.834029386497</v>
      </c>
      <c r="B202" s="1" t="str">
        <f ca="1">IFERROR(__xludf.DUMMYFUNCTION("""COMPUTED_VALUE"""),"ngxuantruong2034@gmail.com")</f>
        <v>ngxuantruong2034@gmail.com</v>
      </c>
      <c r="C202" s="1">
        <f ca="1">IFERROR(__xludf.DUMMYFUNCTION("""COMPUTED_VALUE"""),28218004225)</f>
        <v>28218004225</v>
      </c>
      <c r="D202" s="1" t="str">
        <f ca="1">IFERROR(__xludf.DUMMYFUNCTION("""COMPUTED_VALUE"""),"Nguyễn Xuân Trường")</f>
        <v>Nguyễn Xuân Trường</v>
      </c>
      <c r="E202" s="1"/>
      <c r="F202" s="1" t="str">
        <f ca="1">IFERROR(__xludf.DUMMYFUNCTION("""COMPUTED_VALUE"""),"K28PSUDLK")</f>
        <v>K28PSUDLK</v>
      </c>
      <c r="G202" s="1" t="str">
        <f ca="1">IFERROR(__xludf.DUMMYFUNCTION("""COMPUTED_VALUE"""),"Quản trị Du lịch &amp; Khách sạn chuẩn PSU")</f>
        <v>Quản trị Du lịch &amp; Khách sạn chuẩn PSU</v>
      </c>
      <c r="H202" s="1" t="str">
        <f ca="1">IFERROR(__xludf.DUMMYFUNCTION("""COMPUTED_VALUE"""),"K28")</f>
        <v>K28</v>
      </c>
      <c r="I202" s="1" t="str">
        <f ca="1">IFERROR(__xludf.DUMMYFUNCTION("""COMPUTED_VALUE"""),"0865271156")</f>
        <v>0865271156</v>
      </c>
      <c r="J202" s="1">
        <f ca="1">IFERROR(__xludf.DUMMYFUNCTION("""COMPUTED_VALUE"""),3.74)</f>
        <v>3.74</v>
      </c>
      <c r="K202" s="1">
        <f ca="1">IFERROR(__xludf.DUMMYFUNCTION("""COMPUTED_VALUE"""),111)</f>
        <v>111</v>
      </c>
      <c r="L202" s="1" t="str">
        <f ca="1">IFERROR(__xludf.DUMMYFUNCTION("""COMPUTED_VALUE"""),"Rồi")</f>
        <v>Rồi</v>
      </c>
      <c r="M202" s="1" t="str">
        <f ca="1">IFERROR(__xludf.DUMMYFUNCTION("""COMPUTED_VALUE"""),"Thực tập tốt nghiệp, Thi tốt nghiệp, Công nhận tốt nghiệp")</f>
        <v>Thực tập tốt nghiệp, Thi tốt nghiệp, Công nhận tốt nghiệp</v>
      </c>
      <c r="N202" s="1">
        <f ca="1">IFERROR(__xludf.DUMMYFUNCTION("""COMPUTED_VALUE"""),15)</f>
        <v>15</v>
      </c>
      <c r="O202" s="1" t="str">
        <f ca="1">IFERROR(__xludf.DUMMYFUNCTION("""COMPUTED_VALUE"""),"cam kết")</f>
        <v>cam kết</v>
      </c>
      <c r="P202" s="1"/>
      <c r="Q202" s="1"/>
      <c r="R202" s="1" t="str">
        <f ca="1">IFERROR(__xludf.DUMMYFUNCTION("""COMPUTED_VALUE"""),"25/12/2025")</f>
        <v>25/12/2025</v>
      </c>
      <c r="S202" s="1" t="str">
        <f ca="1">IFERROR(__xludf.DUMMYFUNCTION("""COMPUTED_VALUE"""),"thực tập TN, Thi TN")</f>
        <v>thực tập TN, Thi TN</v>
      </c>
      <c r="T202" s="1" t="str">
        <f ca="1">IFERROR(__xludf.DUMMYFUNCTION("""COMPUTED_VALUE"""),"Đã email cấp giấy giới thiệu ngày 25/12/2025")</f>
        <v>Đã email cấp giấy giới thiệu ngày 25/12/2025</v>
      </c>
      <c r="U202" s="1"/>
      <c r="V202" s="1"/>
      <c r="W202" s="1" t="str">
        <f ca="1">IFERROR(__xludf.DUMMYFUNCTION("""COMPUTED_VALUE"""),"K28PSU-DLK")</f>
        <v>K28PSU-DLK</v>
      </c>
      <c r="X202" s="1"/>
      <c r="Y202" s="1" t="str">
        <f ca="1">IFERROR(__xludf.DUMMYFUNCTION("""COMPUTED_VALUE"""),"Sheraton Phu Quoc Long Beach Resort")</f>
        <v>Sheraton Phu Quoc Long Beach Resort</v>
      </c>
      <c r="Z202" s="1" t="str">
        <f ca="1">IFERROR(__xludf.DUMMYFUNCTION("""COMPUTED_VALUE"""),"Buồng phòng")</f>
        <v>Buồng phòng</v>
      </c>
      <c r="AA202" s="1" t="str">
        <f ca="1">IFERROR(__xludf.DUMMYFUNCTION("""COMPUTED_VALUE"""),"DUYỆT")</f>
        <v>DUYỆT</v>
      </c>
      <c r="AB202" s="1" t="str">
        <f ca="1">IFERROR(__xludf.DUMMYFUNCTION("""COMPUTED_VALUE"""),"xin nộp trễ 12/02/2026")</f>
        <v>xin nộp trễ 12/02/2026</v>
      </c>
      <c r="AC202" s="1" t="str">
        <f ca="1">IFERROR(__xludf.DUMMYFUNCTION("""COMPUTED_VALUE"""),"BÁO CÁO THỰC TẬP TỐT NGHIỆP")</f>
        <v>BÁO CÁO THỰC TẬP TỐT NGHIỆP</v>
      </c>
      <c r="AD202" s="1" t="str">
        <f ca="1">IFERROR(__xludf.DUMMYFUNCTION("""COMPUTED_VALUE"""),"Hồ Minh Phúc")</f>
        <v>Hồ Minh Phúc</v>
      </c>
      <c r="AE202" s="1" t="str">
        <f ca="1">IFERROR(__xludf.DUMMYFUNCTION("""COMPUTED_VALUE"""),"Thạc sĩ")</f>
        <v>Thạc sĩ</v>
      </c>
      <c r="AF202" s="1" t="str">
        <f ca="1">IFERROR(__xludf.DUMMYFUNCTION("""COMPUTED_VALUE"""),"0935336716")</f>
        <v>0935336716</v>
      </c>
      <c r="AG202" s="1" t="str">
        <f ca="1">IFERROR(__xludf.DUMMYFUNCTION("""COMPUTED_VALUE"""),"hominhphuc@dtu-hti.edu.vn")</f>
        <v>hominhphuc@dtu-hti.edu.vn</v>
      </c>
      <c r="AH202" s="1" t="str">
        <f ca="1">IFERROR(__xludf.DUMMYFUNCTION("""COMPUTED_VALUE"""),"Báo cáo kết quả thực tập và thực trạng quy trình vệ sinh khu vực công cộng tại bộ phận Buồng phòng của Sheraton Phu Quoc Long Beach Resort")</f>
        <v>Báo cáo kết quả thực tập và thực trạng quy trình vệ sinh khu vực công cộng tại bộ phận Buồng phòng của Sheraton Phu Quoc Long Beach Resort</v>
      </c>
      <c r="AI202" s="1"/>
    </row>
    <row r="203" spans="1:35" x14ac:dyDescent="0.2">
      <c r="A203" s="3">
        <f ca="1">IFERROR(__xludf.DUMMYFUNCTION("""COMPUTED_VALUE"""),46009.876775162)</f>
        <v>46009.876775162003</v>
      </c>
      <c r="B203" s="1" t="str">
        <f ca="1">IFERROR(__xludf.DUMMYFUNCTION("""COMPUTED_VALUE"""),"tuuyen0935699647@gmail.com")</f>
        <v>tuuyen0935699647@gmail.com</v>
      </c>
      <c r="C203" s="1">
        <f ca="1">IFERROR(__xludf.DUMMYFUNCTION("""COMPUTED_VALUE"""),28208100046)</f>
        <v>28208100046</v>
      </c>
      <c r="D203" s="1" t="str">
        <f ca="1">IFERROR(__xludf.DUMMYFUNCTION("""COMPUTED_VALUE"""),"Nguyễn Tú Uyên")</f>
        <v>Nguyễn Tú Uyên</v>
      </c>
      <c r="E203" s="1"/>
      <c r="F203" s="1" t="str">
        <f ca="1">IFERROR(__xludf.DUMMYFUNCTION("""COMPUTED_VALUE"""),"K28PSUDLK")</f>
        <v>K28PSUDLK</v>
      </c>
      <c r="G203" s="1" t="str">
        <f ca="1">IFERROR(__xludf.DUMMYFUNCTION("""COMPUTED_VALUE"""),"Quản trị Du lịch &amp; Khách sạn chuẩn PSU")</f>
        <v>Quản trị Du lịch &amp; Khách sạn chuẩn PSU</v>
      </c>
      <c r="H203" s="1" t="str">
        <f ca="1">IFERROR(__xludf.DUMMYFUNCTION("""COMPUTED_VALUE"""),"K28")</f>
        <v>K28</v>
      </c>
      <c r="I203" s="1" t="str">
        <f ca="1">IFERROR(__xludf.DUMMYFUNCTION("""COMPUTED_VALUE"""),"0935699647")</f>
        <v>0935699647</v>
      </c>
      <c r="J203" s="1">
        <f ca="1">IFERROR(__xludf.DUMMYFUNCTION("""COMPUTED_VALUE"""),2.62)</f>
        <v>2.62</v>
      </c>
      <c r="K203" s="1">
        <f ca="1">IFERROR(__xludf.DUMMYFUNCTION("""COMPUTED_VALUE"""),108)</f>
        <v>108</v>
      </c>
      <c r="L203" s="1" t="str">
        <f ca="1">IFERROR(__xludf.DUMMYFUNCTION("""COMPUTED_VALUE"""),"Rồi")</f>
        <v>Rồi</v>
      </c>
      <c r="M203" s="1" t="str">
        <f ca="1">IFERROR(__xludf.DUMMYFUNCTION("""COMPUTED_VALUE"""),"Thực tập tốt nghiệp, Thi tốt nghiệp, Công nhận tốt nghiệp")</f>
        <v>Thực tập tốt nghiệp, Thi tốt nghiệp, Công nhận tốt nghiệp</v>
      </c>
      <c r="N203" s="1">
        <f ca="1">IFERROR(__xludf.DUMMYFUNCTION("""COMPUTED_VALUE"""),20)</f>
        <v>20</v>
      </c>
      <c r="O203" s="1" t="str">
        <f ca="1">IFERROR(__xludf.DUMMYFUNCTION("""COMPUTED_VALUE"""),"cam kết")</f>
        <v>cam kết</v>
      </c>
      <c r="P203" s="1"/>
      <c r="Q203" s="1"/>
      <c r="R203" s="1" t="str">
        <f ca="1">IFERROR(__xludf.DUMMYFUNCTION("""COMPUTED_VALUE"""),"25/12/2025")</f>
        <v>25/12/2025</v>
      </c>
      <c r="S203" s="1" t="str">
        <f ca="1">IFERROR(__xludf.DUMMYFUNCTION("""COMPUTED_VALUE"""),"thực tập TN, Thi TN")</f>
        <v>thực tập TN, Thi TN</v>
      </c>
      <c r="T203" s="1" t="str">
        <f ca="1">IFERROR(__xludf.DUMMYFUNCTION("""COMPUTED_VALUE"""),"Đã email cấp giấy giới thiệu ngày 25/12/2025")</f>
        <v>Đã email cấp giấy giới thiệu ngày 25/12/2025</v>
      </c>
      <c r="U203" s="1"/>
      <c r="V203" s="1"/>
      <c r="W203" s="1" t="str">
        <f ca="1">IFERROR(__xludf.DUMMYFUNCTION("""COMPUTED_VALUE"""),"K28PSU-DLK")</f>
        <v>K28PSU-DLK</v>
      </c>
      <c r="X203" s="1"/>
      <c r="Y203" s="1" t="str">
        <f ca="1">IFERROR(__xludf.DUMMYFUNCTION("""COMPUTED_VALUE"""),"Sheraton Phu Quoc Long Beach Resort")</f>
        <v>Sheraton Phu Quoc Long Beach Resort</v>
      </c>
      <c r="Z203" s="1" t="str">
        <f ca="1">IFERROR(__xludf.DUMMYFUNCTION("""COMPUTED_VALUE"""),"Buồng phòng")</f>
        <v>Buồng phòng</v>
      </c>
      <c r="AA203" s="1" t="str">
        <f ca="1">IFERROR(__xludf.DUMMYFUNCTION("""COMPUTED_VALUE"""),"DUYỆT")</f>
        <v>DUYỆT</v>
      </c>
      <c r="AB203" s="1" t="str">
        <f ca="1">IFERROR(__xludf.DUMMYFUNCTION("""COMPUTED_VALUE"""),"xin nộp trễ: 06/02/2026")</f>
        <v>xin nộp trễ: 06/02/2026</v>
      </c>
      <c r="AC203" s="1" t="str">
        <f ca="1">IFERROR(__xludf.DUMMYFUNCTION("""COMPUTED_VALUE"""),"BÁO CÁO THỰC TẬP TỐT NGHIỆP")</f>
        <v>BÁO CÁO THỰC TẬP TỐT NGHIỆP</v>
      </c>
      <c r="AD203" s="1" t="str">
        <f ca="1">IFERROR(__xludf.DUMMYFUNCTION("""COMPUTED_VALUE"""),"Hồ Minh Phúc")</f>
        <v>Hồ Minh Phúc</v>
      </c>
      <c r="AE203" s="1" t="str">
        <f ca="1">IFERROR(__xludf.DUMMYFUNCTION("""COMPUTED_VALUE"""),"Thạc sĩ")</f>
        <v>Thạc sĩ</v>
      </c>
      <c r="AF203" s="1" t="str">
        <f ca="1">IFERROR(__xludf.DUMMYFUNCTION("""COMPUTED_VALUE"""),"0935336716")</f>
        <v>0935336716</v>
      </c>
      <c r="AG203" s="1" t="str">
        <f ca="1">IFERROR(__xludf.DUMMYFUNCTION("""COMPUTED_VALUE"""),"hominhphuc@dtu-hti.edu.vn")</f>
        <v>hominhphuc@dtu-hti.edu.vn</v>
      </c>
      <c r="AH203" s="1" t="str">
        <f ca="1">IFERROR(__xludf.DUMMYFUNCTION("""COMPUTED_VALUE"""),"#N/A")</f>
        <v>#N/A</v>
      </c>
      <c r="AI203" s="1"/>
    </row>
    <row r="204" spans="1:35" x14ac:dyDescent="0.2">
      <c r="A204" s="3">
        <f ca="1">IFERROR(__xludf.DUMMYFUNCTION("""COMPUTED_VALUE"""),46009.9132743865)</f>
        <v>46009.913274386498</v>
      </c>
      <c r="B204" s="1" t="str">
        <f ca="1">IFERROR(__xludf.DUMMYFUNCTION("""COMPUTED_VALUE"""),"tranmyle.25102003@gmail.com")</f>
        <v>tranmyle.25102003@gmail.com</v>
      </c>
      <c r="C204" s="1">
        <f ca="1">IFERROR(__xludf.DUMMYFUNCTION("""COMPUTED_VALUE"""),27207139637)</f>
        <v>27207139637</v>
      </c>
      <c r="D204" s="1" t="str">
        <f ca="1">IFERROR(__xludf.DUMMYFUNCTION("""COMPUTED_VALUE"""),"Trần Thị Mỹ Lệ")</f>
        <v>Trần Thị Mỹ Lệ</v>
      </c>
      <c r="E204" s="1"/>
      <c r="F204" s="1" t="str">
        <f ca="1">IFERROR(__xludf.DUMMYFUNCTION("""COMPUTED_VALUE"""),"K28 DLK1")</f>
        <v>K28 DLK1</v>
      </c>
      <c r="G204" s="1" t="str">
        <f ca="1">IFERROR(__xludf.DUMMYFUNCTION("""COMPUTED_VALUE"""),"Quản trị Du lịch &amp; Khách sạn")</f>
        <v>Quản trị Du lịch &amp; Khách sạn</v>
      </c>
      <c r="H204" s="1" t="str">
        <f ca="1">IFERROR(__xludf.DUMMYFUNCTION("""COMPUTED_VALUE"""),"K28")</f>
        <v>K28</v>
      </c>
      <c r="I204" s="1" t="str">
        <f ca="1">IFERROR(__xludf.DUMMYFUNCTION("""COMPUTED_VALUE"""),"0359760468")</f>
        <v>0359760468</v>
      </c>
      <c r="J204" s="1">
        <f ca="1">IFERROR(__xludf.DUMMYFUNCTION("""COMPUTED_VALUE"""),2.6)</f>
        <v>2.6</v>
      </c>
      <c r="K204" s="1">
        <f ca="1">IFERROR(__xludf.DUMMYFUNCTION("""COMPUTED_VALUE"""),118)</f>
        <v>118</v>
      </c>
      <c r="L204" s="1" t="str">
        <f ca="1">IFERROR(__xludf.DUMMYFUNCTION("""COMPUTED_VALUE"""),"Rồi")</f>
        <v>Rồi</v>
      </c>
      <c r="M204" s="1" t="str">
        <f ca="1">IFERROR(__xludf.DUMMYFUNCTION("""COMPUTED_VALUE"""),"Thực tập tốt nghiệp, Thi tốt nghiệp")</f>
        <v>Thực tập tốt nghiệp, Thi tốt nghiệp</v>
      </c>
      <c r="N204" s="1">
        <f ca="1">IFERROR(__xludf.DUMMYFUNCTION("""COMPUTED_VALUE"""),3)</f>
        <v>3</v>
      </c>
      <c r="O204" s="1" t="str">
        <f ca="1">IFERROR(__xludf.DUMMYFUNCTION("""COMPUTED_VALUE"""),"cam kết")</f>
        <v>cam kết</v>
      </c>
      <c r="P204" s="1"/>
      <c r="Q204" s="1"/>
      <c r="R204" s="1" t="str">
        <f ca="1">IFERROR(__xludf.DUMMYFUNCTION("""COMPUTED_VALUE"""),"25/12/2025")</f>
        <v>25/12/2025</v>
      </c>
      <c r="S204" s="1" t="str">
        <f ca="1">IFERROR(__xludf.DUMMYFUNCTION("""COMPUTED_VALUE"""),"thực tập TN, Thi TN")</f>
        <v>thực tập TN, Thi TN</v>
      </c>
      <c r="T204" s="1" t="str">
        <f ca="1">IFERROR(__xludf.DUMMYFUNCTION("""COMPUTED_VALUE"""),"Đã email cấp giấy giới thiệu ngày 25/12/2025")</f>
        <v>Đã email cấp giấy giới thiệu ngày 25/12/2025</v>
      </c>
      <c r="U204" s="1"/>
      <c r="V204" s="1"/>
      <c r="W204" s="1" t="str">
        <f ca="1">IFERROR(__xludf.DUMMYFUNCTION("""COMPUTED_VALUE"""),"K28DLK1")</f>
        <v>K28DLK1</v>
      </c>
      <c r="X204" s="1"/>
      <c r="Y204" s="1" t="str">
        <f ca="1">IFERROR(__xludf.DUMMYFUNCTION("""COMPUTED_VALUE"""),"Da Nang Mikazuki Japanese Resorts and Spa")</f>
        <v>Da Nang Mikazuki Japanese Resorts and Spa</v>
      </c>
      <c r="Z204" s="1" t="str">
        <f ca="1">IFERROR(__xludf.DUMMYFUNCTION("""COMPUTED_VALUE"""),"Nhà hàng")</f>
        <v>Nhà hàng</v>
      </c>
      <c r="AA204" s="1" t="str">
        <f ca="1">IFERROR(__xludf.DUMMYFUNCTION("""COMPUTED_VALUE"""),"DUYỆT")</f>
        <v>DUYỆT</v>
      </c>
      <c r="AB204" s="1" t="str">
        <f ca="1">IFERROR(__xludf.DUMMYFUNCTION("""COMPUTED_VALUE"""),"30/01/2026")</f>
        <v>30/01/2026</v>
      </c>
      <c r="AC204" s="1" t="str">
        <f ca="1">IFERROR(__xludf.DUMMYFUNCTION("""COMPUTED_VALUE"""),"BÁO CÁO THỰC TẬP TỐT NGHIỆP")</f>
        <v>BÁO CÁO THỰC TẬP TỐT NGHIỆP</v>
      </c>
      <c r="AD204" s="1" t="str">
        <f ca="1">IFERROR(__xludf.DUMMYFUNCTION("""COMPUTED_VALUE"""),"Nguyễn Thị Minh Thư")</f>
        <v>Nguyễn Thị Minh Thư</v>
      </c>
      <c r="AE204" s="1" t="str">
        <f ca="1">IFERROR(__xludf.DUMMYFUNCTION("""COMPUTED_VALUE"""),"Thạc sĩ")</f>
        <v>Thạc sĩ</v>
      </c>
      <c r="AF204" s="1" t="str">
        <f ca="1">IFERROR(__xludf.DUMMYFUNCTION("""COMPUTED_VALUE"""),"0396.153.687")</f>
        <v>0396.153.687</v>
      </c>
      <c r="AG204" s="1" t="str">
        <f ca="1">IFERROR(__xludf.DUMMYFUNCTION("""COMPUTED_VALUE"""),"nguyentminhthu@dtu-hti.edu.vn")</f>
        <v>nguyentminhthu@dtu-hti.edu.vn</v>
      </c>
      <c r="AH204" s="1" t="str">
        <f ca="1">IFERROR(__xludf.DUMMYFUNCTION("""COMPUTED_VALUE"""),"Báo cáo kết quả thực tập và thực trạng về quy trình phục vụ tại nhà hàng Matsuri thuộc Da Nang Mikazuki Japanese Resorts and Spa")</f>
        <v>Báo cáo kết quả thực tập và thực trạng về quy trình phục vụ tại nhà hàng Matsuri thuộc Da Nang Mikazuki Japanese Resorts and Spa</v>
      </c>
      <c r="AI204" s="1"/>
    </row>
    <row r="205" spans="1:35" x14ac:dyDescent="0.2">
      <c r="A205" s="3">
        <f ca="1">IFERROR(__xludf.DUMMYFUNCTION("""COMPUTED_VALUE"""),46009.9413822453)</f>
        <v>46009.941382245299</v>
      </c>
      <c r="B205" s="1" t="str">
        <f ca="1">IFERROR(__xludf.DUMMYFUNCTION("""COMPUTED_VALUE"""),"nguyenthiduna9@gmail.com")</f>
        <v>nguyenthiduna9@gmail.com</v>
      </c>
      <c r="C205" s="1">
        <f ca="1">IFERROR(__xludf.DUMMYFUNCTION("""COMPUTED_VALUE"""),28208047873)</f>
        <v>28208047873</v>
      </c>
      <c r="D205" s="1" t="str">
        <f ca="1">IFERROR(__xludf.DUMMYFUNCTION("""COMPUTED_VALUE"""),"Nguyễn Thị Du Na")</f>
        <v>Nguyễn Thị Du Na</v>
      </c>
      <c r="E205" s="1"/>
      <c r="F205" s="1" t="str">
        <f ca="1">IFERROR(__xludf.DUMMYFUNCTION("""COMPUTED_VALUE"""),"K28DLK2")</f>
        <v>K28DLK2</v>
      </c>
      <c r="G205" s="1" t="str">
        <f ca="1">IFERROR(__xludf.DUMMYFUNCTION("""COMPUTED_VALUE"""),"Quản trị Du lịch &amp; Khách sạn")</f>
        <v>Quản trị Du lịch &amp; Khách sạn</v>
      </c>
      <c r="H205" s="1" t="str">
        <f ca="1">IFERROR(__xludf.DUMMYFUNCTION("""COMPUTED_VALUE"""),"K28")</f>
        <v>K28</v>
      </c>
      <c r="I205" s="1" t="str">
        <f ca="1">IFERROR(__xludf.DUMMYFUNCTION("""COMPUTED_VALUE"""),"0763051328")</f>
        <v>0763051328</v>
      </c>
      <c r="J205" s="1">
        <f ca="1">IFERROR(__xludf.DUMMYFUNCTION("""COMPUTED_VALUE"""),2.85)</f>
        <v>2.85</v>
      </c>
      <c r="K205" s="1">
        <f ca="1">IFERROR(__xludf.DUMMYFUNCTION("""COMPUTED_VALUE"""),109)</f>
        <v>109</v>
      </c>
      <c r="L205" s="1" t="str">
        <f ca="1">IFERROR(__xludf.DUMMYFUNCTION("""COMPUTED_VALUE"""),"Rồi")</f>
        <v>Rồi</v>
      </c>
      <c r="M205" s="1" t="str">
        <f ca="1">IFERROR(__xludf.DUMMYFUNCTION("""COMPUTED_VALUE"""),"Thực tập tốt nghiệp, Thi tốt nghiệp, Công nhận tốt nghiệp")</f>
        <v>Thực tập tốt nghiệp, Thi tốt nghiệp, Công nhận tốt nghiệp</v>
      </c>
      <c r="N205" s="1">
        <f ca="1">IFERROR(__xludf.DUMMYFUNCTION("""COMPUTED_VALUE"""),2)</f>
        <v>2</v>
      </c>
      <c r="O205" s="1" t="str">
        <f ca="1">IFERROR(__xludf.DUMMYFUNCTION("""COMPUTED_VALUE"""),"cam kết")</f>
        <v>cam kết</v>
      </c>
      <c r="P205" s="1"/>
      <c r="Q205" s="1"/>
      <c r="R205" s="1" t="str">
        <f ca="1">IFERROR(__xludf.DUMMYFUNCTION("""COMPUTED_VALUE"""),"25/12/2025")</f>
        <v>25/12/2025</v>
      </c>
      <c r="S205" s="1" t="str">
        <f ca="1">IFERROR(__xludf.DUMMYFUNCTION("""COMPUTED_VALUE"""),"thực tập TN, Thi TN")</f>
        <v>thực tập TN, Thi TN</v>
      </c>
      <c r="T205" s="1" t="str">
        <f ca="1">IFERROR(__xludf.DUMMYFUNCTION("""COMPUTED_VALUE"""),"Đã email cấp giấy giới thiệu ngày 25/12/2025")</f>
        <v>Đã email cấp giấy giới thiệu ngày 25/12/2025</v>
      </c>
      <c r="U205" s="1"/>
      <c r="V205" s="1"/>
      <c r="W205" s="1" t="str">
        <f ca="1">IFERROR(__xludf.DUMMYFUNCTION("""COMPUTED_VALUE"""),"K28DLK2")</f>
        <v>K28DLK2</v>
      </c>
      <c r="X205" s="1"/>
      <c r="Y205" s="1" t="str">
        <f ca="1">IFERROR(__xludf.DUMMYFUNCTION("""COMPUTED_VALUE"""),"Grand Mercure Danang")</f>
        <v>Grand Mercure Danang</v>
      </c>
      <c r="Z205" s="1" t="str">
        <f ca="1">IFERROR(__xludf.DUMMYFUNCTION("""COMPUTED_VALUE"""),"Nhà hàng")</f>
        <v>Nhà hàng</v>
      </c>
      <c r="AA205" s="1" t="str">
        <f ca="1">IFERROR(__xludf.DUMMYFUNCTION("""COMPUTED_VALUE"""),"DUYỆT")</f>
        <v>DUYỆT</v>
      </c>
      <c r="AB205" s="1" t="str">
        <f ca="1">IFERROR(__xludf.DUMMYFUNCTION("""COMPUTED_VALUE"""),"23/01/2026")</f>
        <v>23/01/2026</v>
      </c>
      <c r="AC205" s="1" t="str">
        <f ca="1">IFERROR(__xludf.DUMMYFUNCTION("""COMPUTED_VALUE"""),"BÁO CÁO THỰC TẬP TỐT NGHIỆP")</f>
        <v>BÁO CÁO THỰC TẬP TỐT NGHIỆP</v>
      </c>
      <c r="AD205" s="1" t="str">
        <f ca="1">IFERROR(__xludf.DUMMYFUNCTION("""COMPUTED_VALUE"""),"Trần Hoàng Anh")</f>
        <v>Trần Hoàng Anh</v>
      </c>
      <c r="AE205" s="1" t="str">
        <f ca="1">IFERROR(__xludf.DUMMYFUNCTION("""COMPUTED_VALUE"""),"Thạc sĩ")</f>
        <v>Thạc sĩ</v>
      </c>
      <c r="AF205" s="1" t="str">
        <f ca="1">IFERROR(__xludf.DUMMYFUNCTION("""COMPUTED_VALUE"""),"0906 029 602")</f>
        <v>0906 029 602</v>
      </c>
      <c r="AG205" s="1" t="str">
        <f ca="1">IFERROR(__xludf.DUMMYFUNCTION("""COMPUTED_VALUE"""),"tranhoanganh@dtu-hti.edu.vn")</f>
        <v>tranhoanganh@dtu-hti.edu.vn</v>
      </c>
      <c r="AH205" s="1" t="str">
        <f ca="1">IFERROR(__xludf.DUMMYFUNCTION("""COMPUTED_VALUE"""),"Báo cáo kết quả thực tập và thực trạng chất lượng đội ngũ lao động tại nhà hàng La Rive Gauche tại khách sạn Grand Mercure Danang")</f>
        <v>Báo cáo kết quả thực tập và thực trạng chất lượng đội ngũ lao động tại nhà hàng La Rive Gauche tại khách sạn Grand Mercure Danang</v>
      </c>
      <c r="AI205" s="1"/>
    </row>
    <row r="206" spans="1:35" x14ac:dyDescent="0.2">
      <c r="A206" s="3">
        <f ca="1">IFERROR(__xludf.DUMMYFUNCTION("""COMPUTED_VALUE"""),46009.9557696064)</f>
        <v>46009.9557696064</v>
      </c>
      <c r="B206" s="1" t="str">
        <f ca="1">IFERROR(__xludf.DUMMYFUNCTION("""COMPUTED_VALUE"""),"thaom0410@gmail.com")</f>
        <v>thaom0410@gmail.com</v>
      </c>
      <c r="C206" s="1">
        <f ca="1">IFERROR(__xludf.DUMMYFUNCTION("""COMPUTED_VALUE"""),28218034958)</f>
        <v>28218034958</v>
      </c>
      <c r="D206" s="1" t="str">
        <f ca="1">IFERROR(__xludf.DUMMYFUNCTION("""COMPUTED_VALUE"""),"Đỗ Thị Minh Thảo")</f>
        <v>Đỗ Thị Minh Thảo</v>
      </c>
      <c r="E206" s="1"/>
      <c r="F206" s="1" t="str">
        <f ca="1">IFERROR(__xludf.DUMMYFUNCTION("""COMPUTED_VALUE"""),"K28DLK1")</f>
        <v>K28DLK1</v>
      </c>
      <c r="G206" s="1" t="str">
        <f ca="1">IFERROR(__xludf.DUMMYFUNCTION("""COMPUTED_VALUE"""),"Quản trị Du lịch &amp; Khách sạn")</f>
        <v>Quản trị Du lịch &amp; Khách sạn</v>
      </c>
      <c r="H206" s="1" t="str">
        <f ca="1">IFERROR(__xludf.DUMMYFUNCTION("""COMPUTED_VALUE"""),"K28")</f>
        <v>K28</v>
      </c>
      <c r="I206" s="1" t="str">
        <f ca="1">IFERROR(__xludf.DUMMYFUNCTION("""COMPUTED_VALUE"""),"0704025412")</f>
        <v>0704025412</v>
      </c>
      <c r="J206" s="1">
        <f ca="1">IFERROR(__xludf.DUMMYFUNCTION("""COMPUTED_VALUE"""),3.33)</f>
        <v>3.33</v>
      </c>
      <c r="K206" s="1">
        <f ca="1">IFERROR(__xludf.DUMMYFUNCTION("""COMPUTED_VALUE"""),109)</f>
        <v>109</v>
      </c>
      <c r="L206" s="1" t="str">
        <f ca="1">IFERROR(__xludf.DUMMYFUNCTION("""COMPUTED_VALUE"""),"Rồi")</f>
        <v>Rồi</v>
      </c>
      <c r="M206" s="1" t="str">
        <f ca="1">IFERROR(__xludf.DUMMYFUNCTION("""COMPUTED_VALUE"""),"Thực tập tốt nghiệp, Thi tốt nghiệp, Công nhận tốt nghiệp")</f>
        <v>Thực tập tốt nghiệp, Thi tốt nghiệp, Công nhận tốt nghiệp</v>
      </c>
      <c r="N206" s="1" t="str">
        <f ca="1">IFERROR(__xludf.DUMMYFUNCTION("""COMPUTED_VALUE"""),"15 tín chỉ")</f>
        <v>15 tín chỉ</v>
      </c>
      <c r="O206" s="1" t="str">
        <f ca="1">IFERROR(__xludf.DUMMYFUNCTION("""COMPUTED_VALUE"""),"cam kết")</f>
        <v>cam kết</v>
      </c>
      <c r="P206" s="1"/>
      <c r="Q206" s="1"/>
      <c r="R206" s="1" t="str">
        <f ca="1">IFERROR(__xludf.DUMMYFUNCTION("""COMPUTED_VALUE"""),"25/12/2025")</f>
        <v>25/12/2025</v>
      </c>
      <c r="S206" s="1" t="str">
        <f ca="1">IFERROR(__xludf.DUMMYFUNCTION("""COMPUTED_VALUE"""),"thực tập TN, Thi TN")</f>
        <v>thực tập TN, Thi TN</v>
      </c>
      <c r="T206" s="1" t="str">
        <f ca="1">IFERROR(__xludf.DUMMYFUNCTION("""COMPUTED_VALUE"""),"Đã email cấp giấy giới thiệu ngày 25/12/2025")</f>
        <v>Đã email cấp giấy giới thiệu ngày 25/12/2025</v>
      </c>
      <c r="U206" s="1"/>
      <c r="V206" s="1"/>
      <c r="W206" s="1" t="str">
        <f ca="1">IFERROR(__xludf.DUMMYFUNCTION("""COMPUTED_VALUE"""),"K28DLK1")</f>
        <v>K28DLK1</v>
      </c>
      <c r="X206" s="1"/>
      <c r="Y206" s="1" t="str">
        <f ca="1">IFERROR(__xludf.DUMMYFUNCTION("""COMPUTED_VALUE"""),"Meliá Vinpearl Danang Riverfront")</f>
        <v>Meliá Vinpearl Danang Riverfront</v>
      </c>
      <c r="Z206" s="1" t="str">
        <f ca="1">IFERROR(__xludf.DUMMYFUNCTION("""COMPUTED_VALUE"""),"Nhà hàng")</f>
        <v>Nhà hàng</v>
      </c>
      <c r="AA206" s="1" t="str">
        <f ca="1">IFERROR(__xludf.DUMMYFUNCTION("""COMPUTED_VALUE"""),"DUYỆT")</f>
        <v>DUYỆT</v>
      </c>
      <c r="AB206" s="1" t="str">
        <f ca="1">IFERROR(__xludf.DUMMYFUNCTION("""COMPUTED_VALUE"""),"28/01/2026")</f>
        <v>28/01/2026</v>
      </c>
      <c r="AC206" s="1" t="str">
        <f ca="1">IFERROR(__xludf.DUMMYFUNCTION("""COMPUTED_VALUE"""),"BÁO CÁO THỰC TẬP TỐT NGHIỆP")</f>
        <v>BÁO CÁO THỰC TẬP TỐT NGHIỆP</v>
      </c>
      <c r="AD206" s="1" t="str">
        <f ca="1">IFERROR(__xludf.DUMMYFUNCTION("""COMPUTED_VALUE"""),"Huỳnh Lý Thùy Linh")</f>
        <v>Huỳnh Lý Thùy Linh</v>
      </c>
      <c r="AE206" s="1" t="str">
        <f ca="1">IFERROR(__xludf.DUMMYFUNCTION("""COMPUTED_VALUE"""),"Thạc sĩ")</f>
        <v>Thạc sĩ</v>
      </c>
      <c r="AF206" s="1" t="str">
        <f ca="1">IFERROR(__xludf.DUMMYFUNCTION("""COMPUTED_VALUE"""),"0702605664")</f>
        <v>0702605664</v>
      </c>
      <c r="AG206" s="1" t="str">
        <f ca="1">IFERROR(__xludf.DUMMYFUNCTION("""COMPUTED_VALUE"""),"huynhlthuylinh@dtu-hti.edu.vn")</f>
        <v>huynhlthuylinh@dtu-hti.edu.vn</v>
      </c>
      <c r="AH206" s="1" t="str">
        <f ca="1">IFERROR(__xludf.DUMMYFUNCTION("""COMPUTED_VALUE"""),"‭‭‭Báo cáo kết quả thực tập và thực trạng quy trình phục vụ buffet sáng tại nhà hàng Han River 2 thuộc ‬‬‬Meliá Vinpearl Danang Riverfront")</f>
        <v>‭‭‭Báo cáo kết quả thực tập và thực trạng quy trình phục vụ buffet sáng tại nhà hàng Han River 2 thuộc ‬‬‬Meliá Vinpearl Danang Riverfront</v>
      </c>
      <c r="AI206" s="1"/>
    </row>
    <row r="207" spans="1:35" x14ac:dyDescent="0.2">
      <c r="A207" s="3">
        <f ca="1">IFERROR(__xludf.DUMMYFUNCTION("""COMPUTED_VALUE"""),46010.4337504745)</f>
        <v>46010.433750474498</v>
      </c>
      <c r="B207" s="1" t="str">
        <f ca="1">IFERROR(__xludf.DUMMYFUNCTION("""COMPUTED_VALUE"""),"minhkhangk4@gmail.com")</f>
        <v>minhkhangk4@gmail.com</v>
      </c>
      <c r="C207" s="1">
        <f ca="1">IFERROR(__xludf.DUMMYFUNCTION("""COMPUTED_VALUE"""),28218143696)</f>
        <v>28218143696</v>
      </c>
      <c r="D207" s="1" t="str">
        <f ca="1">IFERROR(__xludf.DUMMYFUNCTION("""COMPUTED_VALUE"""),"Hồ Nguyễn Minh Khang ")</f>
        <v xml:space="preserve">Hồ Nguyễn Minh Khang </v>
      </c>
      <c r="E207" s="1"/>
      <c r="F207" s="1" t="str">
        <f ca="1">IFERROR(__xludf.DUMMYFUNCTION("""COMPUTED_VALUE"""),"K28PSUDLK1")</f>
        <v>K28PSUDLK1</v>
      </c>
      <c r="G207" s="1" t="str">
        <f ca="1">IFERROR(__xludf.DUMMYFUNCTION("""COMPUTED_VALUE"""),"Quản trị Du lịch &amp; Khách sạn chuẩn PSU")</f>
        <v>Quản trị Du lịch &amp; Khách sạn chuẩn PSU</v>
      </c>
      <c r="H207" s="1" t="str">
        <f ca="1">IFERROR(__xludf.DUMMYFUNCTION("""COMPUTED_VALUE"""),"K28")</f>
        <v>K28</v>
      </c>
      <c r="I207" s="1" t="str">
        <f ca="1">IFERROR(__xludf.DUMMYFUNCTION("""COMPUTED_VALUE"""),"0768572301")</f>
        <v>0768572301</v>
      </c>
      <c r="J207" s="1">
        <f ca="1">IFERROR(__xludf.DUMMYFUNCTION("""COMPUTED_VALUE"""),2.14)</f>
        <v>2.14</v>
      </c>
      <c r="K207" s="1">
        <f ca="1">IFERROR(__xludf.DUMMYFUNCTION("""COMPUTED_VALUE"""),111)</f>
        <v>111</v>
      </c>
      <c r="L207" s="1" t="str">
        <f ca="1">IFERROR(__xludf.DUMMYFUNCTION("""COMPUTED_VALUE"""),"Rồi")</f>
        <v>Rồi</v>
      </c>
      <c r="M207" s="1" t="str">
        <f ca="1">IFERROR(__xludf.DUMMYFUNCTION("""COMPUTED_VALUE"""),"Thực tập tốt nghiệp, Thi tốt nghiệp, Công nhận tốt nghiệp")</f>
        <v>Thực tập tốt nghiệp, Thi tốt nghiệp, Công nhận tốt nghiệp</v>
      </c>
      <c r="N207" s="1">
        <f ca="1">IFERROR(__xludf.DUMMYFUNCTION("""COMPUTED_VALUE"""),18)</f>
        <v>18</v>
      </c>
      <c r="O207" s="1" t="str">
        <f ca="1">IFERROR(__xludf.DUMMYFUNCTION("""COMPUTED_VALUE"""),"cam kết")</f>
        <v>cam kết</v>
      </c>
      <c r="P207" s="1"/>
      <c r="Q207" s="1"/>
      <c r="R207" s="1" t="str">
        <f ca="1">IFERROR(__xludf.DUMMYFUNCTION("""COMPUTED_VALUE"""),"25/12/2025")</f>
        <v>25/12/2025</v>
      </c>
      <c r="S207" s="1" t="str">
        <f ca="1">IFERROR(__xludf.DUMMYFUNCTION("""COMPUTED_VALUE"""),"thực tập TN, Thi TN")</f>
        <v>thực tập TN, Thi TN</v>
      </c>
      <c r="T207" s="1" t="str">
        <f ca="1">IFERROR(__xludf.DUMMYFUNCTION("""COMPUTED_VALUE"""),"Đã email cấp giấy giới thiệu ngày 25/12/2025")</f>
        <v>Đã email cấp giấy giới thiệu ngày 25/12/2025</v>
      </c>
      <c r="U207" s="1"/>
      <c r="V207" s="1"/>
      <c r="W207" s="1" t="str">
        <f ca="1">IFERROR(__xludf.DUMMYFUNCTION("""COMPUTED_VALUE"""),"K28PSU-DLK")</f>
        <v>K28PSU-DLK</v>
      </c>
      <c r="X207" s="1"/>
      <c r="Y207" s="1" t="str">
        <f ca="1">IFERROR(__xludf.DUMMYFUNCTION("""COMPUTED_VALUE"""),"Fusion Resort &amp; Villas Da Nang")</f>
        <v>Fusion Resort &amp; Villas Da Nang</v>
      </c>
      <c r="Z207" s="1" t="str">
        <f ca="1">IFERROR(__xludf.DUMMYFUNCTION("""COMPUTED_VALUE"""),"Buồng phòng")</f>
        <v>Buồng phòng</v>
      </c>
      <c r="AA207" s="1" t="str">
        <f ca="1">IFERROR(__xludf.DUMMYFUNCTION("""COMPUTED_VALUE"""),"DUYỆT")</f>
        <v>DUYỆT</v>
      </c>
      <c r="AB207" s="1" t="str">
        <f ca="1">IFERROR(__xludf.DUMMYFUNCTION("""COMPUTED_VALUE"""),"26/01/2026")</f>
        <v>26/01/2026</v>
      </c>
      <c r="AC207" s="1" t="str">
        <f ca="1">IFERROR(__xludf.DUMMYFUNCTION("""COMPUTED_VALUE"""),"BÁO CÁO THỰC TẬP TỐT NGHIỆP")</f>
        <v>BÁO CÁO THỰC TẬP TỐT NGHIỆP</v>
      </c>
      <c r="AD207" s="1" t="str">
        <f ca="1">IFERROR(__xludf.DUMMYFUNCTION("""COMPUTED_VALUE"""),"Phạm Thị Thu Thủy")</f>
        <v>Phạm Thị Thu Thủy</v>
      </c>
      <c r="AE207" s="1" t="str">
        <f ca="1">IFERROR(__xludf.DUMMYFUNCTION("""COMPUTED_VALUE"""),"Thạc sĩ")</f>
        <v>Thạc sĩ</v>
      </c>
      <c r="AF207" s="1" t="str">
        <f ca="1">IFERROR(__xludf.DUMMYFUNCTION("""COMPUTED_VALUE"""),"0938290678")</f>
        <v>0938290678</v>
      </c>
      <c r="AG207" s="1" t="str">
        <f ca="1">IFERROR(__xludf.DUMMYFUNCTION("""COMPUTED_VALUE"""),"phamtthuthuy2@dtu-hti.edu.vn")</f>
        <v>phamtthuthuy2@dtu-hti.edu.vn</v>
      </c>
      <c r="AH207" s="1" t="str">
        <f ca="1">IFERROR(__xludf.DUMMYFUNCTION("""COMPUTED_VALUE"""),"#N/A")</f>
        <v>#N/A</v>
      </c>
      <c r="AI207" s="1"/>
    </row>
    <row r="208" spans="1:35" x14ac:dyDescent="0.2">
      <c r="A208" s="3">
        <f ca="1">IFERROR(__xludf.DUMMYFUNCTION("""COMPUTED_VALUE"""),46010.4916367939)</f>
        <v>46010.4916367939</v>
      </c>
      <c r="B208" s="1" t="str">
        <f ca="1">IFERROR(__xludf.DUMMYFUNCTION("""COMPUTED_VALUE"""),"quynhthi0404@gmail.com")</f>
        <v>quynhthi0404@gmail.com</v>
      </c>
      <c r="C208" s="1">
        <f ca="1">IFERROR(__xludf.DUMMYFUNCTION("""COMPUTED_VALUE"""),28208025059)</f>
        <v>28208025059</v>
      </c>
      <c r="D208" s="1" t="str">
        <f ca="1">IFERROR(__xludf.DUMMYFUNCTION("""COMPUTED_VALUE"""),"Mai Hồ Quỳnh Thi")</f>
        <v>Mai Hồ Quỳnh Thi</v>
      </c>
      <c r="E208" s="1"/>
      <c r="F208" s="1" t="str">
        <f ca="1">IFERROR(__xludf.DUMMYFUNCTION("""COMPUTED_VALUE"""),"K28DLK8")</f>
        <v>K28DLK8</v>
      </c>
      <c r="G208" s="1" t="str">
        <f ca="1">IFERROR(__xludf.DUMMYFUNCTION("""COMPUTED_VALUE"""),"Quản trị Du lịch &amp; Khách sạn")</f>
        <v>Quản trị Du lịch &amp; Khách sạn</v>
      </c>
      <c r="H208" s="1" t="str">
        <f ca="1">IFERROR(__xludf.DUMMYFUNCTION("""COMPUTED_VALUE"""),"K28")</f>
        <v>K28</v>
      </c>
      <c r="I208" s="1" t="str">
        <f ca="1">IFERROR(__xludf.DUMMYFUNCTION("""COMPUTED_VALUE"""),"0328556882")</f>
        <v>0328556882</v>
      </c>
      <c r="J208" s="1">
        <f ca="1">IFERROR(__xludf.DUMMYFUNCTION("""COMPUTED_VALUE"""),2.88)</f>
        <v>2.88</v>
      </c>
      <c r="K208" s="1">
        <f ca="1">IFERROR(__xludf.DUMMYFUNCTION("""COMPUTED_VALUE"""),107)</f>
        <v>107</v>
      </c>
      <c r="L208" s="1" t="str">
        <f ca="1">IFERROR(__xludf.DUMMYFUNCTION("""COMPUTED_VALUE"""),"Rồi")</f>
        <v>Rồi</v>
      </c>
      <c r="M208" s="1" t="str">
        <f ca="1">IFERROR(__xludf.DUMMYFUNCTION("""COMPUTED_VALUE"""),"Thực tập tốt nghiệp, Thi tốt nghiệp")</f>
        <v>Thực tập tốt nghiệp, Thi tốt nghiệp</v>
      </c>
      <c r="N208" s="1">
        <f ca="1">IFERROR(__xludf.DUMMYFUNCTION("""COMPUTED_VALUE"""),23)</f>
        <v>23</v>
      </c>
      <c r="O208" s="1" t="str">
        <f ca="1">IFERROR(__xludf.DUMMYFUNCTION("""COMPUTED_VALUE"""),"cam kết")</f>
        <v>cam kết</v>
      </c>
      <c r="P208" s="1"/>
      <c r="Q208" s="1"/>
      <c r="R208" s="1" t="str">
        <f ca="1">IFERROR(__xludf.DUMMYFUNCTION("""COMPUTED_VALUE"""),"25/12/2025")</f>
        <v>25/12/2025</v>
      </c>
      <c r="S208" s="1" t="str">
        <f ca="1">IFERROR(__xludf.DUMMYFUNCTION("""COMPUTED_VALUE"""),"thực tập TN, Thi TN")</f>
        <v>thực tập TN, Thi TN</v>
      </c>
      <c r="T208" s="1" t="str">
        <f ca="1">IFERROR(__xludf.DUMMYFUNCTION("""COMPUTED_VALUE"""),"Đã email cấp giấy giới thiệu ngày 25/12/2025")</f>
        <v>Đã email cấp giấy giới thiệu ngày 25/12/2025</v>
      </c>
      <c r="U208" s="1"/>
      <c r="V208" s="1"/>
      <c r="W208" s="1" t="str">
        <f ca="1">IFERROR(__xludf.DUMMYFUNCTION("""COMPUTED_VALUE"""),"K28DLK8")</f>
        <v>K28DLK8</v>
      </c>
      <c r="X208" s="1"/>
      <c r="Y208" s="1" t="str">
        <f ca="1">IFERROR(__xludf.DUMMYFUNCTION("""COMPUTED_VALUE"""),"Novotel Danang Premier")</f>
        <v>Novotel Danang Premier</v>
      </c>
      <c r="Z208" s="1" t="str">
        <f ca="1">IFERROR(__xludf.DUMMYFUNCTION("""COMPUTED_VALUE"""),"Buồng phòng")</f>
        <v>Buồng phòng</v>
      </c>
      <c r="AA208" s="1" t="str">
        <f ca="1">IFERROR(__xludf.DUMMYFUNCTION("""COMPUTED_VALUE"""),"DUYỆT")</f>
        <v>DUYỆT</v>
      </c>
      <c r="AB208" s="1" t="str">
        <f ca="1">IFERROR(__xludf.DUMMYFUNCTION("""COMPUTED_VALUE"""),"21/01/2026")</f>
        <v>21/01/2026</v>
      </c>
      <c r="AC208" s="1" t="str">
        <f ca="1">IFERROR(__xludf.DUMMYFUNCTION("""COMPUTED_VALUE"""),"BÁO CÁO THỰC TẬP TỐT NGHIỆP")</f>
        <v>BÁO CÁO THỰC TẬP TỐT NGHIỆP</v>
      </c>
      <c r="AD208" s="1" t="str">
        <f ca="1">IFERROR(__xludf.DUMMYFUNCTION("""COMPUTED_VALUE"""),"Phạm Thị Thu Thủy")</f>
        <v>Phạm Thị Thu Thủy</v>
      </c>
      <c r="AE208" s="1" t="str">
        <f ca="1">IFERROR(__xludf.DUMMYFUNCTION("""COMPUTED_VALUE"""),"Thạc sĩ")</f>
        <v>Thạc sĩ</v>
      </c>
      <c r="AF208" s="1" t="str">
        <f ca="1">IFERROR(__xludf.DUMMYFUNCTION("""COMPUTED_VALUE"""),"0938290678")</f>
        <v>0938290678</v>
      </c>
      <c r="AG208" s="1" t="str">
        <f ca="1">IFERROR(__xludf.DUMMYFUNCTION("""COMPUTED_VALUE"""),"phamtthuthuy2@dtu-hti.edu.vn")</f>
        <v>phamtthuthuy2@dtu-hti.edu.vn</v>
      </c>
      <c r="AH208" s="1" t="str">
        <f ca="1">IFERROR(__xludf.DUMMYFUNCTION("""COMPUTED_VALUE"""),"Báo cáo kết quả thực tập và thực trạng quy trình chuẩn bị buồng đón khách VIP tại bộ phận buồng phòng khách sạn Novotel Danang Premier Han River")</f>
        <v>Báo cáo kết quả thực tập và thực trạng quy trình chuẩn bị buồng đón khách VIP tại bộ phận buồng phòng khách sạn Novotel Danang Premier Han River</v>
      </c>
      <c r="AI208" s="1"/>
    </row>
    <row r="209" spans="1:35" x14ac:dyDescent="0.2">
      <c r="A209" s="3">
        <f ca="1">IFERROR(__xludf.DUMMYFUNCTION("""COMPUTED_VALUE"""),46010.5005268055)</f>
        <v>46010.500526805503</v>
      </c>
      <c r="B209" s="1" t="str">
        <f ca="1">IFERROR(__xludf.DUMMYFUNCTION("""COMPUTED_VALUE"""),"dinhngocgiahan041104@gmail.com")</f>
        <v>dinhngocgiahan041104@gmail.com</v>
      </c>
      <c r="C209" s="1">
        <f ca="1">IFERROR(__xludf.DUMMYFUNCTION("""COMPUTED_VALUE"""),28208003815)</f>
        <v>28208003815</v>
      </c>
      <c r="D209" s="1" t="str">
        <f ca="1">IFERROR(__xludf.DUMMYFUNCTION("""COMPUTED_VALUE"""),"Đinh Ngọc Gia Hân")</f>
        <v>Đinh Ngọc Gia Hân</v>
      </c>
      <c r="E209" s="1"/>
      <c r="F209" s="1" t="str">
        <f ca="1">IFERROR(__xludf.DUMMYFUNCTION("""COMPUTED_VALUE"""),"K28PSUDLK")</f>
        <v>K28PSUDLK</v>
      </c>
      <c r="G209" s="1" t="str">
        <f ca="1">IFERROR(__xludf.DUMMYFUNCTION("""COMPUTED_VALUE"""),"Quản trị Du lịch &amp; Khách sạn chuẩn PSU")</f>
        <v>Quản trị Du lịch &amp; Khách sạn chuẩn PSU</v>
      </c>
      <c r="H209" s="1" t="str">
        <f ca="1">IFERROR(__xludf.DUMMYFUNCTION("""COMPUTED_VALUE"""),"K28")</f>
        <v>K28</v>
      </c>
      <c r="I209" s="1" t="str">
        <f ca="1">IFERROR(__xludf.DUMMYFUNCTION("""COMPUTED_VALUE"""),"0795715746")</f>
        <v>0795715746</v>
      </c>
      <c r="J209" s="1">
        <f ca="1">IFERROR(__xludf.DUMMYFUNCTION("""COMPUTED_VALUE"""),2.7)</f>
        <v>2.7</v>
      </c>
      <c r="K209" s="1">
        <f ca="1">IFERROR(__xludf.DUMMYFUNCTION("""COMPUTED_VALUE"""),111)</f>
        <v>111</v>
      </c>
      <c r="L209" s="1" t="str">
        <f ca="1">IFERROR(__xludf.DUMMYFUNCTION("""COMPUTED_VALUE"""),"Rồi")</f>
        <v>Rồi</v>
      </c>
      <c r="M209" s="1" t="str">
        <f ca="1">IFERROR(__xludf.DUMMYFUNCTION("""COMPUTED_VALUE"""),"Thực tập tốt nghiệp, Thi tốt nghiệp, Công nhận tốt nghiệp")</f>
        <v>Thực tập tốt nghiệp, Thi tốt nghiệp, Công nhận tốt nghiệp</v>
      </c>
      <c r="N209" s="1">
        <f ca="1">IFERROR(__xludf.DUMMYFUNCTION("""COMPUTED_VALUE"""),15)</f>
        <v>15</v>
      </c>
      <c r="O209" s="1" t="str">
        <f ca="1">IFERROR(__xludf.DUMMYFUNCTION("""COMPUTED_VALUE"""),"cam kết")</f>
        <v>cam kết</v>
      </c>
      <c r="P209" s="1"/>
      <c r="Q209" s="1"/>
      <c r="R209" s="1" t="str">
        <f ca="1">IFERROR(__xludf.DUMMYFUNCTION("""COMPUTED_VALUE"""),"25/12/2025")</f>
        <v>25/12/2025</v>
      </c>
      <c r="S209" s="1" t="str">
        <f ca="1">IFERROR(__xludf.DUMMYFUNCTION("""COMPUTED_VALUE"""),"thực tập TN, Thi TN")</f>
        <v>thực tập TN, Thi TN</v>
      </c>
      <c r="T209" s="1" t="str">
        <f ca="1">IFERROR(__xludf.DUMMYFUNCTION("""COMPUTED_VALUE"""),"Đã email cấp giấy giới thiệu ngày 25/12/2025")</f>
        <v>Đã email cấp giấy giới thiệu ngày 25/12/2025</v>
      </c>
      <c r="U209" s="1"/>
      <c r="V209" s="1"/>
      <c r="W209" s="1" t="str">
        <f ca="1">IFERROR(__xludf.DUMMYFUNCTION("""COMPUTED_VALUE"""),"K28PSU-DLK")</f>
        <v>K28PSU-DLK</v>
      </c>
      <c r="X209" s="1"/>
      <c r="Y209" s="1" t="str">
        <f ca="1">IFERROR(__xludf.DUMMYFUNCTION("""COMPUTED_VALUE"""),"Hyatt Regency Danang Resort and Spa")</f>
        <v>Hyatt Regency Danang Resort and Spa</v>
      </c>
      <c r="Z209" s="1" t="str">
        <f ca="1">IFERROR(__xludf.DUMMYFUNCTION("""COMPUTED_VALUE"""),"Nhà hàng")</f>
        <v>Nhà hàng</v>
      </c>
      <c r="AA209" s="1" t="str">
        <f ca="1">IFERROR(__xludf.DUMMYFUNCTION("""COMPUTED_VALUE"""),"DUYỆT")</f>
        <v>DUYỆT</v>
      </c>
      <c r="AB209" s="1" t="str">
        <f ca="1">IFERROR(__xludf.DUMMYFUNCTION("""COMPUTED_VALUE"""),"15/01/2026")</f>
        <v>15/01/2026</v>
      </c>
      <c r="AC209" s="1" t="str">
        <f ca="1">IFERROR(__xludf.DUMMYFUNCTION("""COMPUTED_VALUE"""),"BÁO CÁO THỰC TẬP TỐT NGHIỆP")</f>
        <v>BÁO CÁO THỰC TẬP TỐT NGHIỆP</v>
      </c>
      <c r="AD209" s="1" t="str">
        <f ca="1">IFERROR(__xludf.DUMMYFUNCTION("""COMPUTED_VALUE"""),"Dương Thị Xuân Diệu")</f>
        <v>Dương Thị Xuân Diệu</v>
      </c>
      <c r="AE209" s="1" t="str">
        <f ca="1">IFERROR(__xludf.DUMMYFUNCTION("""COMPUTED_VALUE"""),"Thạc sĩ")</f>
        <v>Thạc sĩ</v>
      </c>
      <c r="AF209" s="1" t="str">
        <f ca="1">IFERROR(__xludf.DUMMYFUNCTION("""COMPUTED_VALUE"""),"0905938748")</f>
        <v>0905938748</v>
      </c>
      <c r="AG209" s="1" t="str">
        <f ca="1">IFERROR(__xludf.DUMMYFUNCTION("""COMPUTED_VALUE"""),"duongtxuandieu@dtu-hti.edu.vn")</f>
        <v>duongtxuandieu@dtu-hti.edu.vn</v>
      </c>
      <c r="AH209" s="1" t="str">
        <f ca="1">IFERROR(__xludf.DUMMYFUNCTION("""COMPUTED_VALUE"""),"Báo cáo kết quả thực tập và thực trạng quy trình phục vụ Buffet sáng tại Recency Club thuộc Hyatt Recency Danang Resort and Spa")</f>
        <v>Báo cáo kết quả thực tập và thực trạng quy trình phục vụ Buffet sáng tại Recency Club thuộc Hyatt Recency Danang Resort and Spa</v>
      </c>
      <c r="AI209" s="1"/>
    </row>
    <row r="210" spans="1:35" x14ac:dyDescent="0.2">
      <c r="A210" s="3">
        <f ca="1">IFERROR(__xludf.DUMMYFUNCTION("""COMPUTED_VALUE"""),46010.5064544675)</f>
        <v>46010.506454467497</v>
      </c>
      <c r="B210" s="1" t="str">
        <f ca="1">IFERROR(__xludf.DUMMYFUNCTION("""COMPUTED_VALUE"""),"viet10022004@gmail.com")</f>
        <v>viet10022004@gmail.com</v>
      </c>
      <c r="C210" s="1">
        <f ca="1">IFERROR(__xludf.DUMMYFUNCTION("""COMPUTED_VALUE"""),28218000754)</f>
        <v>28218000754</v>
      </c>
      <c r="D210" s="1" t="str">
        <f ca="1">IFERROR(__xludf.DUMMYFUNCTION("""COMPUTED_VALUE"""),"Võ Quốc Việt")</f>
        <v>Võ Quốc Việt</v>
      </c>
      <c r="E210" s="1"/>
      <c r="F210" s="1" t="str">
        <f ca="1">IFERROR(__xludf.DUMMYFUNCTION("""COMPUTED_VALUE"""),"K28PSUDLK")</f>
        <v>K28PSUDLK</v>
      </c>
      <c r="G210" s="1" t="str">
        <f ca="1">IFERROR(__xludf.DUMMYFUNCTION("""COMPUTED_VALUE"""),"Quản trị Du lịch &amp; Khách sạn chuẩn PSU")</f>
        <v>Quản trị Du lịch &amp; Khách sạn chuẩn PSU</v>
      </c>
      <c r="H210" s="1" t="str">
        <f ca="1">IFERROR(__xludf.DUMMYFUNCTION("""COMPUTED_VALUE"""),"K28")</f>
        <v>K28</v>
      </c>
      <c r="I210" s="1" t="str">
        <f ca="1">IFERROR(__xludf.DUMMYFUNCTION("""COMPUTED_VALUE"""),"0795939629")</f>
        <v>0795939629</v>
      </c>
      <c r="J210" s="1">
        <f ca="1">IFERROR(__xludf.DUMMYFUNCTION("""COMPUTED_VALUE"""),2.13)</f>
        <v>2.13</v>
      </c>
      <c r="K210" s="1">
        <f ca="1">IFERROR(__xludf.DUMMYFUNCTION("""COMPUTED_VALUE"""),111)</f>
        <v>111</v>
      </c>
      <c r="L210" s="1" t="str">
        <f ca="1">IFERROR(__xludf.DUMMYFUNCTION("""COMPUTED_VALUE"""),"Rồi")</f>
        <v>Rồi</v>
      </c>
      <c r="M210" s="1" t="str">
        <f ca="1">IFERROR(__xludf.DUMMYFUNCTION("""COMPUTED_VALUE"""),"Thực tập tốt nghiệp, Thi tốt nghiệp, Công nhận tốt nghiệp")</f>
        <v>Thực tập tốt nghiệp, Thi tốt nghiệp, Công nhận tốt nghiệp</v>
      </c>
      <c r="N210" s="1">
        <f ca="1">IFERROR(__xludf.DUMMYFUNCTION("""COMPUTED_VALUE"""),20)</f>
        <v>20</v>
      </c>
      <c r="O210" s="1" t="str">
        <f ca="1">IFERROR(__xludf.DUMMYFUNCTION("""COMPUTED_VALUE"""),"cam kết")</f>
        <v>cam kết</v>
      </c>
      <c r="P210" s="1"/>
      <c r="Q210" s="1"/>
      <c r="R210" s="1" t="str">
        <f ca="1">IFERROR(__xludf.DUMMYFUNCTION("""COMPUTED_VALUE"""),"25/12/2025")</f>
        <v>25/12/2025</v>
      </c>
      <c r="S210" s="1" t="str">
        <f ca="1">IFERROR(__xludf.DUMMYFUNCTION("""COMPUTED_VALUE"""),"thực tập TN, Thi TN")</f>
        <v>thực tập TN, Thi TN</v>
      </c>
      <c r="T210" s="1" t="str">
        <f ca="1">IFERROR(__xludf.DUMMYFUNCTION("""COMPUTED_VALUE"""),"Đã email cấp giấy giới thiệu ngày 25/12/2025")</f>
        <v>Đã email cấp giấy giới thiệu ngày 25/12/2025</v>
      </c>
      <c r="U210" s="1"/>
      <c r="V210" s="1"/>
      <c r="W210" s="1" t="str">
        <f ca="1">IFERROR(__xludf.DUMMYFUNCTION("""COMPUTED_VALUE"""),"K28PSU-DLK")</f>
        <v>K28PSU-DLK</v>
      </c>
      <c r="X210" s="1"/>
      <c r="Y210" s="1" t="str">
        <f ca="1">IFERROR(__xludf.DUMMYFUNCTION("""COMPUTED_VALUE"""),"Hyatt Regency Danang Resort and Spa")</f>
        <v>Hyatt Regency Danang Resort and Spa</v>
      </c>
      <c r="Z210" s="1" t="str">
        <f ca="1">IFERROR(__xludf.DUMMYFUNCTION("""COMPUTED_VALUE"""),"Tiền sảnh")</f>
        <v>Tiền sảnh</v>
      </c>
      <c r="AA210" s="1" t="str">
        <f ca="1">IFERROR(__xludf.DUMMYFUNCTION("""COMPUTED_VALUE"""),"DUYỆT")</f>
        <v>DUYỆT</v>
      </c>
      <c r="AB210" s="1" t="str">
        <f ca="1">IFERROR(__xludf.DUMMYFUNCTION("""COMPUTED_VALUE"""),"15/01/2026")</f>
        <v>15/01/2026</v>
      </c>
      <c r="AC210" s="1" t="str">
        <f ca="1">IFERROR(__xludf.DUMMYFUNCTION("""COMPUTED_VALUE"""),"BÁO CÁO THỰC TẬP TỐT NGHIỆP")</f>
        <v>BÁO CÁO THỰC TẬP TỐT NGHIỆP</v>
      </c>
      <c r="AD210" s="1" t="str">
        <f ca="1">IFERROR(__xludf.DUMMYFUNCTION("""COMPUTED_VALUE"""),"Trịnh Thị Kim Chung")</f>
        <v>Trịnh Thị Kim Chung</v>
      </c>
      <c r="AE210" s="1" t="str">
        <f ca="1">IFERROR(__xludf.DUMMYFUNCTION("""COMPUTED_VALUE"""),"Thạc sĩ")</f>
        <v>Thạc sĩ</v>
      </c>
      <c r="AF210" s="1" t="str">
        <f ca="1">IFERROR(__xludf.DUMMYFUNCTION("""COMPUTED_VALUE"""),"0375658728")</f>
        <v>0375658728</v>
      </c>
      <c r="AG210" s="1" t="str">
        <f ca="1">IFERROR(__xludf.DUMMYFUNCTION("""COMPUTED_VALUE"""),"trinhtkimchung@dtu-hti.edu.vn")</f>
        <v>trinhtkimchung@dtu-hti.edu.vn</v>
      </c>
      <c r="AH210" s="1" t="str">
        <f ca="1">IFERROR(__xludf.DUMMYFUNCTION("""COMPUTED_VALUE"""),"Báo cáo kết quả thực tập và thực trạng về các yếu tố ảnh hưởng đến chất lượng phục vụ tại bộ phận tiền sảnh thuộc Hyatt Regency Danang Resort &amp; Spa")</f>
        <v>Báo cáo kết quả thực tập và thực trạng về các yếu tố ảnh hưởng đến chất lượng phục vụ tại bộ phận tiền sảnh thuộc Hyatt Regency Danang Resort &amp; Spa</v>
      </c>
      <c r="AI210" s="1"/>
    </row>
    <row r="211" spans="1:35" x14ac:dyDescent="0.2">
      <c r="A211" s="3">
        <f ca="1">IFERROR(__xludf.DUMMYFUNCTION("""COMPUTED_VALUE"""),46010.5118964004)</f>
        <v>46010.5118964004</v>
      </c>
      <c r="B211" s="1" t="str">
        <f ca="1">IFERROR(__xludf.DUMMYFUNCTION("""COMPUTED_VALUE"""),"minhtin18112004@gmail.com")</f>
        <v>minhtin18112004@gmail.com</v>
      </c>
      <c r="C211" s="1">
        <f ca="1">IFERROR(__xludf.DUMMYFUNCTION("""COMPUTED_VALUE"""),28218025488)</f>
        <v>28218025488</v>
      </c>
      <c r="D211" s="1" t="str">
        <f ca="1">IFERROR(__xludf.DUMMYFUNCTION("""COMPUTED_VALUE"""),"Vũ Ngọc Minh Tín")</f>
        <v>Vũ Ngọc Minh Tín</v>
      </c>
      <c r="E211" s="1"/>
      <c r="F211" s="1" t="str">
        <f ca="1">IFERROR(__xludf.DUMMYFUNCTION("""COMPUTED_VALUE"""),"K28PSUDLK")</f>
        <v>K28PSUDLK</v>
      </c>
      <c r="G211" s="1" t="str">
        <f ca="1">IFERROR(__xludf.DUMMYFUNCTION("""COMPUTED_VALUE"""),"Quản trị Du lịch &amp; Khách sạn chuẩn PSU")</f>
        <v>Quản trị Du lịch &amp; Khách sạn chuẩn PSU</v>
      </c>
      <c r="H211" s="1" t="str">
        <f ca="1">IFERROR(__xludf.DUMMYFUNCTION("""COMPUTED_VALUE"""),"K28")</f>
        <v>K28</v>
      </c>
      <c r="I211" s="1" t="str">
        <f ca="1">IFERROR(__xludf.DUMMYFUNCTION("""COMPUTED_VALUE"""),"0911419562")</f>
        <v>0911419562</v>
      </c>
      <c r="J211" s="1">
        <f ca="1">IFERROR(__xludf.DUMMYFUNCTION("""COMPUTED_VALUE"""),2.88)</f>
        <v>2.88</v>
      </c>
      <c r="K211" s="1">
        <f ca="1">IFERROR(__xludf.DUMMYFUNCTION("""COMPUTED_VALUE"""),111)</f>
        <v>111</v>
      </c>
      <c r="L211" s="1" t="str">
        <f ca="1">IFERROR(__xludf.DUMMYFUNCTION("""COMPUTED_VALUE"""),"Rồi")</f>
        <v>Rồi</v>
      </c>
      <c r="M211" s="1" t="str">
        <f ca="1">IFERROR(__xludf.DUMMYFUNCTION("""COMPUTED_VALUE"""),"Thực tập tốt nghiệp")</f>
        <v>Thực tập tốt nghiệp</v>
      </c>
      <c r="N211" s="1">
        <f ca="1">IFERROR(__xludf.DUMMYFUNCTION("""COMPUTED_VALUE"""),18)</f>
        <v>18</v>
      </c>
      <c r="O211" s="1" t="str">
        <f ca="1">IFERROR(__xludf.DUMMYFUNCTION("""COMPUTED_VALUE"""),"cam kết")</f>
        <v>cam kết</v>
      </c>
      <c r="P211" s="1"/>
      <c r="Q211" s="1"/>
      <c r="R211" s="1" t="str">
        <f ca="1">IFERROR(__xludf.DUMMYFUNCTION("""COMPUTED_VALUE"""),"25/12/2025")</f>
        <v>25/12/2025</v>
      </c>
      <c r="S211" s="1" t="str">
        <f ca="1">IFERROR(__xludf.DUMMYFUNCTION("""COMPUTED_VALUE"""),"thực tập TN, Thi TN")</f>
        <v>thực tập TN, Thi TN</v>
      </c>
      <c r="T211" s="1" t="str">
        <f ca="1">IFERROR(__xludf.DUMMYFUNCTION("""COMPUTED_VALUE"""),"Đã email cấp giấy giới thiệu ngày 25/12/2025")</f>
        <v>Đã email cấp giấy giới thiệu ngày 25/12/2025</v>
      </c>
      <c r="U211" s="1"/>
      <c r="V211" s="1"/>
      <c r="W211" s="1" t="str">
        <f ca="1">IFERROR(__xludf.DUMMYFUNCTION("""COMPUTED_VALUE"""),"K28PSU-DLK")</f>
        <v>K28PSU-DLK</v>
      </c>
      <c r="X211" s="1"/>
      <c r="Y211" s="1" t="str">
        <f ca="1">IFERROR(__xludf.DUMMYFUNCTION("""COMPUTED_VALUE"""),"Sheraton Phu Quoc Long Beach Resort")</f>
        <v>Sheraton Phu Quoc Long Beach Resort</v>
      </c>
      <c r="Z211" s="1" t="str">
        <f ca="1">IFERROR(__xludf.DUMMYFUNCTION("""COMPUTED_VALUE"""),"Buồng phòng")</f>
        <v>Buồng phòng</v>
      </c>
      <c r="AA211" s="1" t="str">
        <f ca="1">IFERROR(__xludf.DUMMYFUNCTION("""COMPUTED_VALUE"""),"DUYỆT")</f>
        <v>DUYỆT</v>
      </c>
      <c r="AB211" s="1" t="str">
        <f ca="1">IFERROR(__xludf.DUMMYFUNCTION("""COMPUTED_VALUE"""),"xin nộp trễ 12/02/2026")</f>
        <v>xin nộp trễ 12/02/2026</v>
      </c>
      <c r="AC211" s="1" t="str">
        <f ca="1">IFERROR(__xludf.DUMMYFUNCTION("""COMPUTED_VALUE"""),"BÁO CÁO THỰC TẬP TỐT NGHIỆP")</f>
        <v>BÁO CÁO THỰC TẬP TỐT NGHIỆP</v>
      </c>
      <c r="AD211" s="1" t="str">
        <f ca="1">IFERROR(__xludf.DUMMYFUNCTION("""COMPUTED_VALUE"""),"Hồ Minh Phúc")</f>
        <v>Hồ Minh Phúc</v>
      </c>
      <c r="AE211" s="1" t="str">
        <f ca="1">IFERROR(__xludf.DUMMYFUNCTION("""COMPUTED_VALUE"""),"Thạc sĩ")</f>
        <v>Thạc sĩ</v>
      </c>
      <c r="AF211" s="1" t="str">
        <f ca="1">IFERROR(__xludf.DUMMYFUNCTION("""COMPUTED_VALUE"""),"0935336716")</f>
        <v>0935336716</v>
      </c>
      <c r="AG211" s="1" t="str">
        <f ca="1">IFERROR(__xludf.DUMMYFUNCTION("""COMPUTED_VALUE"""),"hominhphuc@dtu-hti.edu.vn")</f>
        <v>hominhphuc@dtu-hti.edu.vn</v>
      </c>
      <c r="AH211" s="1" t="str">
        <f ca="1">IFERROR(__xludf.DUMMYFUNCTION("""COMPUTED_VALUE"""),"Báo cáo kết quả thực tập và thực trạng quy trình vệ sinh buồng khách tại bộ phận Buồng phòng của Sheraton Phu Quoc Long Beach Resort")</f>
        <v>Báo cáo kết quả thực tập và thực trạng quy trình vệ sinh buồng khách tại bộ phận Buồng phòng của Sheraton Phu Quoc Long Beach Resort</v>
      </c>
      <c r="AI211" s="1"/>
    </row>
    <row r="212" spans="1:35" x14ac:dyDescent="0.2">
      <c r="A212" s="3">
        <f ca="1">IFERROR(__xludf.DUMMYFUNCTION("""COMPUTED_VALUE"""),46010.521726331)</f>
        <v>46010.521726330997</v>
      </c>
      <c r="B212" s="1" t="str">
        <f ca="1">IFERROR(__xludf.DUMMYFUNCTION("""COMPUTED_VALUE"""),"phuonglinh130904@gmail.com")</f>
        <v>phuonglinh130904@gmail.com</v>
      </c>
      <c r="C212" s="1">
        <f ca="1">IFERROR(__xludf.DUMMYFUNCTION("""COMPUTED_VALUE"""),28214843933)</f>
        <v>28214843933</v>
      </c>
      <c r="D212" s="1" t="str">
        <f ca="1">IFERROR(__xludf.DUMMYFUNCTION("""COMPUTED_VALUE"""),"Phan Mai Phương Linh")</f>
        <v>Phan Mai Phương Linh</v>
      </c>
      <c r="E212" s="1"/>
      <c r="F212" s="1" t="str">
        <f ca="1">IFERROR(__xludf.DUMMYFUNCTION("""COMPUTED_VALUE"""),"K28DLK2")</f>
        <v>K28DLK2</v>
      </c>
      <c r="G212" s="1" t="str">
        <f ca="1">IFERROR(__xludf.DUMMYFUNCTION("""COMPUTED_VALUE"""),"Quản trị Du lịch &amp; Khách sạn")</f>
        <v>Quản trị Du lịch &amp; Khách sạn</v>
      </c>
      <c r="H212" s="1" t="str">
        <f ca="1">IFERROR(__xludf.DUMMYFUNCTION("""COMPUTED_VALUE"""),"K28")</f>
        <v>K28</v>
      </c>
      <c r="I212" s="1" t="str">
        <f ca="1">IFERROR(__xludf.DUMMYFUNCTION("""COMPUTED_VALUE"""),"0859357589")</f>
        <v>0859357589</v>
      </c>
      <c r="J212" s="1">
        <f ca="1">IFERROR(__xludf.DUMMYFUNCTION("""COMPUTED_VALUE"""),2.9)</f>
        <v>2.9</v>
      </c>
      <c r="K212" s="1">
        <f ca="1">IFERROR(__xludf.DUMMYFUNCTION("""COMPUTED_VALUE"""),115)</f>
        <v>115</v>
      </c>
      <c r="L212" s="1" t="str">
        <f ca="1">IFERROR(__xludf.DUMMYFUNCTION("""COMPUTED_VALUE"""),"Rồi")</f>
        <v>Rồi</v>
      </c>
      <c r="M212" s="1" t="str">
        <f ca="1">IFERROR(__xludf.DUMMYFUNCTION("""COMPUTED_VALUE"""),"Thực tập tốt nghiệp, Thi tốt nghiệp, Công nhận tốt nghiệp")</f>
        <v>Thực tập tốt nghiệp, Thi tốt nghiệp, Công nhận tốt nghiệp</v>
      </c>
      <c r="N212" s="1">
        <f ca="1">IFERROR(__xludf.DUMMYFUNCTION("""COMPUTED_VALUE"""),9)</f>
        <v>9</v>
      </c>
      <c r="O212" s="1" t="str">
        <f ca="1">IFERROR(__xludf.DUMMYFUNCTION("""COMPUTED_VALUE"""),"cam kết")</f>
        <v>cam kết</v>
      </c>
      <c r="P212" s="1"/>
      <c r="Q212" s="1"/>
      <c r="R212" s="1" t="str">
        <f ca="1">IFERROR(__xludf.DUMMYFUNCTION("""COMPUTED_VALUE"""),"25/12/2025")</f>
        <v>25/12/2025</v>
      </c>
      <c r="S212" s="1" t="str">
        <f ca="1">IFERROR(__xludf.DUMMYFUNCTION("""COMPUTED_VALUE"""),"thực tập TN, Thi TN")</f>
        <v>thực tập TN, Thi TN</v>
      </c>
      <c r="T212" s="1" t="str">
        <f ca="1">IFERROR(__xludf.DUMMYFUNCTION("""COMPUTED_VALUE"""),"Đã email cấp giấy giới thiệu ngày 25/12/2025")</f>
        <v>Đã email cấp giấy giới thiệu ngày 25/12/2025</v>
      </c>
      <c r="U212" s="1"/>
      <c r="V212" s="1"/>
      <c r="W212" s="1" t="str">
        <f ca="1">IFERROR(__xludf.DUMMYFUNCTION("""COMPUTED_VALUE"""),"K28DLK2")</f>
        <v>K28DLK2</v>
      </c>
      <c r="X212" s="1"/>
      <c r="Y212" s="1" t="str">
        <f ca="1">IFERROR(__xludf.DUMMYFUNCTION("""COMPUTED_VALUE"""),"Hoi An Memories Resort &amp; Spa")</f>
        <v>Hoi An Memories Resort &amp; Spa</v>
      </c>
      <c r="Z212" s="1" t="str">
        <f ca="1">IFERROR(__xludf.DUMMYFUNCTION("""COMPUTED_VALUE"""),"Nhà hàng")</f>
        <v>Nhà hàng</v>
      </c>
      <c r="AA212" s="1" t="str">
        <f ca="1">IFERROR(__xludf.DUMMYFUNCTION("""COMPUTED_VALUE"""),"DUYỆT")</f>
        <v>DUYỆT</v>
      </c>
      <c r="AB212" s="1" t="str">
        <f ca="1">IFERROR(__xludf.DUMMYFUNCTION("""COMPUTED_VALUE"""),"xin nộp trễ 01/02/2026")</f>
        <v>xin nộp trễ 01/02/2026</v>
      </c>
      <c r="AC212" s="1" t="str">
        <f ca="1">IFERROR(__xludf.DUMMYFUNCTION("""COMPUTED_VALUE"""),"BÁO CÁO THỰC TẬP TỐT NGHIỆP")</f>
        <v>BÁO CÁO THỰC TẬP TỐT NGHIỆP</v>
      </c>
      <c r="AD212" s="1" t="str">
        <f ca="1">IFERROR(__xludf.DUMMYFUNCTION("""COMPUTED_VALUE"""),"Dương Thị Xuân Diệu")</f>
        <v>Dương Thị Xuân Diệu</v>
      </c>
      <c r="AE212" s="1" t="str">
        <f ca="1">IFERROR(__xludf.DUMMYFUNCTION("""COMPUTED_VALUE"""),"Thạc sĩ")</f>
        <v>Thạc sĩ</v>
      </c>
      <c r="AF212" s="1" t="str">
        <f ca="1">IFERROR(__xludf.DUMMYFUNCTION("""COMPUTED_VALUE"""),"0905938748")</f>
        <v>0905938748</v>
      </c>
      <c r="AG212" s="1" t="str">
        <f ca="1">IFERROR(__xludf.DUMMYFUNCTION("""COMPUTED_VALUE"""),"duongtxuandieu@dtu-hti.edu.vn")</f>
        <v>duongtxuandieu@dtu-hti.edu.vn</v>
      </c>
      <c r="AH212" s="1" t="str">
        <f ca="1">IFERROR(__xludf.DUMMYFUNCTION("""COMPUTED_VALUE"""),"Báo cáo kết quả thực tập và thực trạng quy trình phục vụ Buffet sáng tại nhà hàng An Bistro thuộc Hoi An Memories Resort &amp; Spa")</f>
        <v>Báo cáo kết quả thực tập và thực trạng quy trình phục vụ Buffet sáng tại nhà hàng An Bistro thuộc Hoi An Memories Resort &amp; Spa</v>
      </c>
      <c r="AI212" s="1"/>
    </row>
    <row r="213" spans="1:35" x14ac:dyDescent="0.2">
      <c r="A213" s="3">
        <f ca="1">IFERROR(__xludf.DUMMYFUNCTION("""COMPUTED_VALUE"""),46010.5300864004)</f>
        <v>46010.530086400402</v>
      </c>
      <c r="B213" s="1" t="str">
        <f ca="1">IFERROR(__xludf.DUMMYFUNCTION("""COMPUTED_VALUE"""),"yenthaig2@gmail.com")</f>
        <v>yenthaig2@gmail.com</v>
      </c>
      <c r="C213" s="1">
        <f ca="1">IFERROR(__xludf.DUMMYFUNCTION("""COMPUTED_VALUE"""),28218104213)</f>
        <v>28218104213</v>
      </c>
      <c r="D213" s="1" t="str">
        <f ca="1">IFERROR(__xludf.DUMMYFUNCTION("""COMPUTED_VALUE"""),"Huỳnh Văn Phúc")</f>
        <v>Huỳnh Văn Phúc</v>
      </c>
      <c r="E213" s="1"/>
      <c r="F213" s="1" t="str">
        <f ca="1">IFERROR(__xludf.DUMMYFUNCTION("""COMPUTED_VALUE"""),"K28PSU DLK")</f>
        <v>K28PSU DLK</v>
      </c>
      <c r="G213" s="1" t="str">
        <f ca="1">IFERROR(__xludf.DUMMYFUNCTION("""COMPUTED_VALUE"""),"Quản trị Du lịch &amp; Khách sạn chuẩn PSU")</f>
        <v>Quản trị Du lịch &amp; Khách sạn chuẩn PSU</v>
      </c>
      <c r="H213" s="1" t="str">
        <f ca="1">IFERROR(__xludf.DUMMYFUNCTION("""COMPUTED_VALUE"""),"K28")</f>
        <v>K28</v>
      </c>
      <c r="I213" s="1" t="str">
        <f ca="1">IFERROR(__xludf.DUMMYFUNCTION("""COMPUTED_VALUE"""),"0898106545")</f>
        <v>0898106545</v>
      </c>
      <c r="J213" s="1">
        <f ca="1">IFERROR(__xludf.DUMMYFUNCTION("""COMPUTED_VALUE"""),3.17)</f>
        <v>3.17</v>
      </c>
      <c r="K213" s="1">
        <f ca="1">IFERROR(__xludf.DUMMYFUNCTION("""COMPUTED_VALUE"""),111)</f>
        <v>111</v>
      </c>
      <c r="L213" s="1" t="str">
        <f ca="1">IFERROR(__xludf.DUMMYFUNCTION("""COMPUTED_VALUE"""),"Rồi")</f>
        <v>Rồi</v>
      </c>
      <c r="M213" s="1" t="str">
        <f ca="1">IFERROR(__xludf.DUMMYFUNCTION("""COMPUTED_VALUE"""),"Thực tập tốt nghiệp, Thi tốt nghiệp, Công nhận tốt nghiệp")</f>
        <v>Thực tập tốt nghiệp, Thi tốt nghiệp, Công nhận tốt nghiệp</v>
      </c>
      <c r="N213" s="1">
        <f ca="1">IFERROR(__xludf.DUMMYFUNCTION("""COMPUTED_VALUE"""),15)</f>
        <v>15</v>
      </c>
      <c r="O213" s="1" t="str">
        <f ca="1">IFERROR(__xludf.DUMMYFUNCTION("""COMPUTED_VALUE"""),"cam kết")</f>
        <v>cam kết</v>
      </c>
      <c r="P213" s="1"/>
      <c r="Q213" s="1"/>
      <c r="R213" s="1" t="str">
        <f ca="1">IFERROR(__xludf.DUMMYFUNCTION("""COMPUTED_VALUE"""),"25/12/2025")</f>
        <v>25/12/2025</v>
      </c>
      <c r="S213" s="1" t="str">
        <f ca="1">IFERROR(__xludf.DUMMYFUNCTION("""COMPUTED_VALUE"""),"thực tập TN, Thi TN")</f>
        <v>thực tập TN, Thi TN</v>
      </c>
      <c r="T213" s="1" t="str">
        <f ca="1">IFERROR(__xludf.DUMMYFUNCTION("""COMPUTED_VALUE"""),"Đã email cấp giấy giới thiệu ngày 25/12/2025")</f>
        <v>Đã email cấp giấy giới thiệu ngày 25/12/2025</v>
      </c>
      <c r="U213" s="1"/>
      <c r="V213" s="1"/>
      <c r="W213" s="1" t="str">
        <f ca="1">IFERROR(__xludf.DUMMYFUNCTION("""COMPUTED_VALUE"""),"K28PSU-DLK")</f>
        <v>K28PSU-DLK</v>
      </c>
      <c r="X213" s="1"/>
      <c r="Y213" s="1" t="str">
        <f ca="1">IFERROR(__xludf.DUMMYFUNCTION("""COMPUTED_VALUE"""),"Sheraton Phu Quoc Long Beach Resort")</f>
        <v>Sheraton Phu Quoc Long Beach Resort</v>
      </c>
      <c r="Z213" s="1" t="str">
        <f ca="1">IFERROR(__xludf.DUMMYFUNCTION("""COMPUTED_VALUE"""),"Buồng phòng")</f>
        <v>Buồng phòng</v>
      </c>
      <c r="AA213" s="1" t="str">
        <f ca="1">IFERROR(__xludf.DUMMYFUNCTION("""COMPUTED_VALUE"""),"DUYỆT")</f>
        <v>DUYỆT</v>
      </c>
      <c r="AB213" s="1" t="str">
        <f ca="1">IFERROR(__xludf.DUMMYFUNCTION("""COMPUTED_VALUE"""),"xin nộp trễ: 06/02/2026")</f>
        <v>xin nộp trễ: 06/02/2026</v>
      </c>
      <c r="AC213" s="1" t="str">
        <f ca="1">IFERROR(__xludf.DUMMYFUNCTION("""COMPUTED_VALUE"""),"BÁO CÁO THỰC TẬP TỐT NGHIỆP")</f>
        <v>BÁO CÁO THỰC TẬP TỐT NGHIỆP</v>
      </c>
      <c r="AD213" s="1" t="str">
        <f ca="1">IFERROR(__xludf.DUMMYFUNCTION("""COMPUTED_VALUE"""),"Hồ Minh Phúc")</f>
        <v>Hồ Minh Phúc</v>
      </c>
      <c r="AE213" s="1" t="str">
        <f ca="1">IFERROR(__xludf.DUMMYFUNCTION("""COMPUTED_VALUE"""),"Thạc sĩ")</f>
        <v>Thạc sĩ</v>
      </c>
      <c r="AF213" s="1" t="str">
        <f ca="1">IFERROR(__xludf.DUMMYFUNCTION("""COMPUTED_VALUE"""),"0935336716")</f>
        <v>0935336716</v>
      </c>
      <c r="AG213" s="1" t="str">
        <f ca="1">IFERROR(__xludf.DUMMYFUNCTION("""COMPUTED_VALUE"""),"hominhphuc@dtu-hti.edu.vn")</f>
        <v>hominhphuc@dtu-hti.edu.vn</v>
      </c>
      <c r="AH213" s="1" t="str">
        <f ca="1">IFERROR(__xludf.DUMMYFUNCTION("""COMPUTED_VALUE"""),"#N/A")</f>
        <v>#N/A</v>
      </c>
      <c r="AI213" s="1"/>
    </row>
    <row r="214" spans="1:35" x14ac:dyDescent="0.2">
      <c r="A214" s="3">
        <f ca="1">IFERROR(__xludf.DUMMYFUNCTION("""COMPUTED_VALUE"""),46010.5746161111)</f>
        <v>46010.574616111102</v>
      </c>
      <c r="B214" s="1" t="str">
        <f ca="1">IFERROR(__xludf.DUMMYFUNCTION("""COMPUTED_VALUE"""),"minhkhoa2016vn@gmail.com")</f>
        <v>minhkhoa2016vn@gmail.com</v>
      </c>
      <c r="C214" s="1">
        <f ca="1">IFERROR(__xludf.DUMMYFUNCTION("""COMPUTED_VALUE"""),28218004763)</f>
        <v>28218004763</v>
      </c>
      <c r="D214" s="1" t="str">
        <f ca="1">IFERROR(__xludf.DUMMYFUNCTION("""COMPUTED_VALUE"""),"Vũ Hà Minh khoa ")</f>
        <v xml:space="preserve">Vũ Hà Minh khoa </v>
      </c>
      <c r="E214" s="1"/>
      <c r="F214" s="1" t="str">
        <f ca="1">IFERROR(__xludf.DUMMYFUNCTION("""COMPUTED_VALUE"""),"K28DLK3")</f>
        <v>K28DLK3</v>
      </c>
      <c r="G214" s="1" t="str">
        <f ca="1">IFERROR(__xludf.DUMMYFUNCTION("""COMPUTED_VALUE"""),"Quản trị Du lịch &amp; Khách sạn")</f>
        <v>Quản trị Du lịch &amp; Khách sạn</v>
      </c>
      <c r="H214" s="1" t="str">
        <f ca="1">IFERROR(__xludf.DUMMYFUNCTION("""COMPUTED_VALUE"""),"K28")</f>
        <v>K28</v>
      </c>
      <c r="I214" s="1" t="str">
        <f ca="1">IFERROR(__xludf.DUMMYFUNCTION("""COMPUTED_VALUE"""),"0888498108")</f>
        <v>0888498108</v>
      </c>
      <c r="J214" s="1">
        <f ca="1">IFERROR(__xludf.DUMMYFUNCTION("""COMPUTED_VALUE"""),2.17)</f>
        <v>2.17</v>
      </c>
      <c r="K214" s="1">
        <f ca="1">IFERROR(__xludf.DUMMYFUNCTION("""COMPUTED_VALUE"""),101)</f>
        <v>101</v>
      </c>
      <c r="L214" s="1" t="str">
        <f ca="1">IFERROR(__xludf.DUMMYFUNCTION("""COMPUTED_VALUE"""),"Rồi")</f>
        <v>Rồi</v>
      </c>
      <c r="M214" s="1" t="str">
        <f ca="1">IFERROR(__xludf.DUMMYFUNCTION("""COMPUTED_VALUE"""),"Thực tập tốt nghiệp, Thi tốt nghiệp, Công nhận tốt nghiệp")</f>
        <v>Thực tập tốt nghiệp, Thi tốt nghiệp, Công nhận tốt nghiệp</v>
      </c>
      <c r="N214" s="1" t="str">
        <f ca="1">IFERROR(__xludf.DUMMYFUNCTION("""COMPUTED_VALUE"""),"6tc")</f>
        <v>6tc</v>
      </c>
      <c r="O214" s="1" t="str">
        <f ca="1">IFERROR(__xludf.DUMMYFUNCTION("""COMPUTED_VALUE"""),"cam kết")</f>
        <v>cam kết</v>
      </c>
      <c r="P214" s="1"/>
      <c r="Q214" s="1"/>
      <c r="R214" s="1" t="str">
        <f ca="1">IFERROR(__xludf.DUMMYFUNCTION("""COMPUTED_VALUE"""),"25/12/2025")</f>
        <v>25/12/2025</v>
      </c>
      <c r="S214" s="1" t="str">
        <f ca="1">IFERROR(__xludf.DUMMYFUNCTION("""COMPUTED_VALUE"""),"thực tập TN, Thi TN")</f>
        <v>thực tập TN, Thi TN</v>
      </c>
      <c r="T214" s="1" t="str">
        <f ca="1">IFERROR(__xludf.DUMMYFUNCTION("""COMPUTED_VALUE"""),"Đã email cấp giấy giới thiệu ngày 25/12/2025")</f>
        <v>Đã email cấp giấy giới thiệu ngày 25/12/2025</v>
      </c>
      <c r="U214" s="1"/>
      <c r="V214" s="1"/>
      <c r="W214" s="1" t="str">
        <f ca="1">IFERROR(__xludf.DUMMYFUNCTION("""COMPUTED_VALUE"""),"K28DLK3")</f>
        <v>K28DLK3</v>
      </c>
      <c r="X214" s="1"/>
      <c r="Y214" s="1" t="str">
        <f ca="1">IFERROR(__xludf.DUMMYFUNCTION("""COMPUTED_VALUE"""),"Hyatt Regency Danang Resort and Spa")</f>
        <v>Hyatt Regency Danang Resort and Spa</v>
      </c>
      <c r="Z214" s="1" t="str">
        <f ca="1">IFERROR(__xludf.DUMMYFUNCTION("""COMPUTED_VALUE"""),"Bộ phận sales ")</f>
        <v xml:space="preserve">Bộ phận sales </v>
      </c>
      <c r="AA214" s="1" t="str">
        <f ca="1">IFERROR(__xludf.DUMMYFUNCTION("""COMPUTED_VALUE"""),"DUYỆT")</f>
        <v>DUYỆT</v>
      </c>
      <c r="AB214" s="1" t="str">
        <f ca="1">IFERROR(__xludf.DUMMYFUNCTION("""COMPUTED_VALUE"""),"22/01/2026")</f>
        <v>22/01/2026</v>
      </c>
      <c r="AC214" s="1" t="str">
        <f ca="1">IFERROR(__xludf.DUMMYFUNCTION("""COMPUTED_VALUE"""),"BÁO CÁO THỰC TẬP TỐT NGHIỆP")</f>
        <v>BÁO CÁO THỰC TẬP TỐT NGHIỆP</v>
      </c>
      <c r="AD214" s="1" t="str">
        <f ca="1">IFERROR(__xludf.DUMMYFUNCTION("""COMPUTED_VALUE"""),"Võ Đức Hiếu")</f>
        <v>Võ Đức Hiếu</v>
      </c>
      <c r="AE214" s="1" t="str">
        <f ca="1">IFERROR(__xludf.DUMMYFUNCTION("""COMPUTED_VALUE"""),"Thạc sĩ")</f>
        <v>Thạc sĩ</v>
      </c>
      <c r="AF214" s="1" t="str">
        <f ca="1">IFERROR(__xludf.DUMMYFUNCTION("""COMPUTED_VALUE"""),"0905767997")</f>
        <v>0905767997</v>
      </c>
      <c r="AG214" s="1" t="str">
        <f ca="1">IFERROR(__xludf.DUMMYFUNCTION("""COMPUTED_VALUE"""),"voduchieu@dtu-hti.edu.vn")</f>
        <v>voduchieu@dtu-hti.edu.vn</v>
      </c>
      <c r="AH214" s="1" t="str">
        <f ca="1">IFERROR(__xludf.DUMMYFUNCTION("""COMPUTED_VALUE"""),"Báo cáo kết quả thực tập và hoàn thiện quy trình bán phòng tại bộ phận sale tại khách sạn Hyatt Regency DaNang Resort and spa ")</f>
        <v xml:space="preserve">Báo cáo kết quả thực tập và hoàn thiện quy trình bán phòng tại bộ phận sale tại khách sạn Hyatt Regency DaNang Resort and spa </v>
      </c>
      <c r="AI214" s="1"/>
    </row>
    <row r="215" spans="1:35" x14ac:dyDescent="0.2">
      <c r="A215" s="3">
        <f ca="1">IFERROR(__xludf.DUMMYFUNCTION("""COMPUTED_VALUE"""),46010.6306375578)</f>
        <v>46010.630637557799</v>
      </c>
      <c r="B215" s="1" t="str">
        <f ca="1">IFERROR(__xludf.DUMMYFUNCTION("""COMPUTED_VALUE"""),"nguyenthiquy11042003@gmail.com")</f>
        <v>nguyenthiquy11042003@gmail.com</v>
      </c>
      <c r="C215" s="1">
        <f ca="1">IFERROR(__xludf.DUMMYFUNCTION("""COMPUTED_VALUE"""),27207146419)</f>
        <v>27207146419</v>
      </c>
      <c r="D215" s="1" t="str">
        <f ca="1">IFERROR(__xludf.DUMMYFUNCTION("""COMPUTED_VALUE"""),"Nguyễn Thị Quý My")</f>
        <v>Nguyễn Thị Quý My</v>
      </c>
      <c r="E215" s="1"/>
      <c r="F215" s="1" t="str">
        <f ca="1">IFERROR(__xludf.DUMMYFUNCTION("""COMPUTED_VALUE"""),"K28DLK8")</f>
        <v>K28DLK8</v>
      </c>
      <c r="G215" s="1" t="str">
        <f ca="1">IFERROR(__xludf.DUMMYFUNCTION("""COMPUTED_VALUE"""),"Quản trị Du lịch &amp; Khách sạn")</f>
        <v>Quản trị Du lịch &amp; Khách sạn</v>
      </c>
      <c r="H215" s="1" t="str">
        <f ca="1">IFERROR(__xludf.DUMMYFUNCTION("""COMPUTED_VALUE"""),"K28")</f>
        <v>K28</v>
      </c>
      <c r="I215" s="1" t="str">
        <f ca="1">IFERROR(__xludf.DUMMYFUNCTION("""COMPUTED_VALUE"""),"0917196615")</f>
        <v>0917196615</v>
      </c>
      <c r="J215" s="1">
        <f ca="1">IFERROR(__xludf.DUMMYFUNCTION("""COMPUTED_VALUE"""),3.75)</f>
        <v>3.75</v>
      </c>
      <c r="K215" s="1">
        <f ca="1">IFERROR(__xludf.DUMMYFUNCTION("""COMPUTED_VALUE"""),136)</f>
        <v>136</v>
      </c>
      <c r="L215" s="1" t="str">
        <f ca="1">IFERROR(__xludf.DUMMYFUNCTION("""COMPUTED_VALUE"""),"Rồi")</f>
        <v>Rồi</v>
      </c>
      <c r="M215" s="1" t="str">
        <f ca="1">IFERROR(__xludf.DUMMYFUNCTION("""COMPUTED_VALUE"""),"Thực tập tốt nghiệp, Thi tốt nghiệp, Công nhận tốt nghiệp")</f>
        <v>Thực tập tốt nghiệp, Thi tốt nghiệp, Công nhận tốt nghiệp</v>
      </c>
      <c r="N215" s="1">
        <f ca="1">IFERROR(__xludf.DUMMYFUNCTION("""COMPUTED_VALUE"""),0)</f>
        <v>0</v>
      </c>
      <c r="O215" s="1" t="str">
        <f ca="1">IFERROR(__xludf.DUMMYFUNCTION("""COMPUTED_VALUE"""),"cam kết")</f>
        <v>cam kết</v>
      </c>
      <c r="P215" s="1"/>
      <c r="Q215" s="1"/>
      <c r="R215" s="1" t="str">
        <f ca="1">IFERROR(__xludf.DUMMYFUNCTION("""COMPUTED_VALUE"""),"25/12/2025")</f>
        <v>25/12/2025</v>
      </c>
      <c r="S215" s="1" t="str">
        <f ca="1">IFERROR(__xludf.DUMMYFUNCTION("""COMPUTED_VALUE"""),"thực tập TN, Thi TN")</f>
        <v>thực tập TN, Thi TN</v>
      </c>
      <c r="T215" s="1" t="str">
        <f ca="1">IFERROR(__xludf.DUMMYFUNCTION("""COMPUTED_VALUE"""),"Đã email cấp giấy giới thiệu ngày 25/12/2025")</f>
        <v>Đã email cấp giấy giới thiệu ngày 25/12/2025</v>
      </c>
      <c r="U215" s="1" t="str">
        <f ca="1">IFERROR(__xludf.DUMMYFUNCTION("""COMPUTED_VALUE"""),"Sv đã nộp đơn chuyển KL - CĐ")</f>
        <v>Sv đã nộp đơn chuyển KL - CĐ</v>
      </c>
      <c r="V215" s="1"/>
      <c r="W215" s="1" t="str">
        <f ca="1">IFERROR(__xludf.DUMMYFUNCTION("""COMPUTED_VALUE"""),"K28DLK8")</f>
        <v>K28DLK8</v>
      </c>
      <c r="X215" s="1"/>
      <c r="Y215" s="1" t="str">
        <f ca="1">IFERROR(__xludf.DUMMYFUNCTION("""COMPUTED_VALUE"""),"InterContinental Danang Sun Peninsula Resort")</f>
        <v>InterContinental Danang Sun Peninsula Resort</v>
      </c>
      <c r="Z215" s="1" t="str">
        <f ca="1">IFERROR(__xludf.DUMMYFUNCTION("""COMPUTED_VALUE"""),"Nhà hàng")</f>
        <v>Nhà hàng</v>
      </c>
      <c r="AA215" s="1" t="str">
        <f ca="1">IFERROR(__xludf.DUMMYFUNCTION("""COMPUTED_VALUE"""),"DUYỆT")</f>
        <v>DUYỆT</v>
      </c>
      <c r="AB215" s="1" t="str">
        <f ca="1">IFERROR(__xludf.DUMMYFUNCTION("""COMPUTED_VALUE"""),"15/01/2026")</f>
        <v>15/01/2026</v>
      </c>
      <c r="AC215" s="1" t="str">
        <f ca="1">IFERROR(__xludf.DUMMYFUNCTION("""COMPUTED_VALUE"""),"BÁO CÁO THỰC TẬP TỐT NGHIỆP")</f>
        <v>BÁO CÁO THỰC TẬP TỐT NGHIỆP</v>
      </c>
      <c r="AD215" s="1" t="str">
        <f ca="1">IFERROR(__xludf.DUMMYFUNCTION("""COMPUTED_VALUE"""),"Dương Thị Xuân Diệu")</f>
        <v>Dương Thị Xuân Diệu</v>
      </c>
      <c r="AE215" s="1" t="str">
        <f ca="1">IFERROR(__xludf.DUMMYFUNCTION("""COMPUTED_VALUE"""),"Thạc sĩ")</f>
        <v>Thạc sĩ</v>
      </c>
      <c r="AF215" s="1" t="str">
        <f ca="1">IFERROR(__xludf.DUMMYFUNCTION("""COMPUTED_VALUE"""),"0905938748")</f>
        <v>0905938748</v>
      </c>
      <c r="AG215" s="1" t="str">
        <f ca="1">IFERROR(__xludf.DUMMYFUNCTION("""COMPUTED_VALUE"""),"duongtxuandieu@dtu-hti.edu.vn")</f>
        <v>duongtxuandieu@dtu-hti.edu.vn</v>
      </c>
      <c r="AH215" s="1" t="str">
        <f ca="1">IFERROR(__xludf.DUMMYFUNCTION("""COMPUTED_VALUE"""),"Báo cáo kết quả thực tập và thực trạng chất lượng nguồn nhân lực tại Long Bar thuộc InterContinental Danang Sun Peninsula Resort")</f>
        <v>Báo cáo kết quả thực tập và thực trạng chất lượng nguồn nhân lực tại Long Bar thuộc InterContinental Danang Sun Peninsula Resort</v>
      </c>
      <c r="AI215" s="1"/>
    </row>
    <row r="216" spans="1:35" x14ac:dyDescent="0.2">
      <c r="A216" s="3">
        <f ca="1">IFERROR(__xludf.DUMMYFUNCTION("""COMPUTED_VALUE"""),46010.6473482291)</f>
        <v>46010.647348229097</v>
      </c>
      <c r="B216" s="1" t="str">
        <f ca="1">IFERROR(__xludf.DUMMYFUNCTION("""COMPUTED_VALUE"""),"lenhatkhanh48@gmail.com")</f>
        <v>lenhatkhanh48@gmail.com</v>
      </c>
      <c r="C216" s="1">
        <f ca="1">IFERROR(__xludf.DUMMYFUNCTION("""COMPUTED_VALUE"""),28218021742)</f>
        <v>28218021742</v>
      </c>
      <c r="D216" s="1" t="str">
        <f ca="1">IFERROR(__xludf.DUMMYFUNCTION("""COMPUTED_VALUE"""),"Lê Nhật Khánh")</f>
        <v>Lê Nhật Khánh</v>
      </c>
      <c r="E216" s="1"/>
      <c r="F216" s="1" t="str">
        <f ca="1">IFERROR(__xludf.DUMMYFUNCTION("""COMPUTED_VALUE"""),"K28dlk2")</f>
        <v>K28dlk2</v>
      </c>
      <c r="G216" s="1" t="str">
        <f ca="1">IFERROR(__xludf.DUMMYFUNCTION("""COMPUTED_VALUE"""),"Quản trị Du lịch &amp; Khách sạn")</f>
        <v>Quản trị Du lịch &amp; Khách sạn</v>
      </c>
      <c r="H216" s="1" t="str">
        <f ca="1">IFERROR(__xludf.DUMMYFUNCTION("""COMPUTED_VALUE"""),"K28")</f>
        <v>K28</v>
      </c>
      <c r="I216" s="1" t="str">
        <f ca="1">IFERROR(__xludf.DUMMYFUNCTION("""COMPUTED_VALUE"""),"0901945365")</f>
        <v>0901945365</v>
      </c>
      <c r="J216" s="1">
        <f ca="1">IFERROR(__xludf.DUMMYFUNCTION("""COMPUTED_VALUE"""),2.69)</f>
        <v>2.69</v>
      </c>
      <c r="K216" s="1">
        <f ca="1">IFERROR(__xludf.DUMMYFUNCTION("""COMPUTED_VALUE"""),115)</f>
        <v>115</v>
      </c>
      <c r="L216" s="1" t="str">
        <f ca="1">IFERROR(__xludf.DUMMYFUNCTION("""COMPUTED_VALUE"""),"Rồi")</f>
        <v>Rồi</v>
      </c>
      <c r="M216" s="1" t="str">
        <f ca="1">IFERROR(__xludf.DUMMYFUNCTION("""COMPUTED_VALUE"""),"Thực tập tốt nghiệp, Thi tốt nghiệp, Công nhận tốt nghiệp")</f>
        <v>Thực tập tốt nghiệp, Thi tốt nghiệp, Công nhận tốt nghiệp</v>
      </c>
      <c r="N216" s="1">
        <f ca="1">IFERROR(__xludf.DUMMYFUNCTION("""COMPUTED_VALUE"""),11)</f>
        <v>11</v>
      </c>
      <c r="O216" s="1" t="str">
        <f ca="1">IFERROR(__xludf.DUMMYFUNCTION("""COMPUTED_VALUE"""),"cam kết")</f>
        <v>cam kết</v>
      </c>
      <c r="P216" s="1"/>
      <c r="Q216" s="1"/>
      <c r="R216" s="1" t="str">
        <f ca="1">IFERROR(__xludf.DUMMYFUNCTION("""COMPUTED_VALUE"""),"25/12/2025")</f>
        <v>25/12/2025</v>
      </c>
      <c r="S216" s="1" t="str">
        <f ca="1">IFERROR(__xludf.DUMMYFUNCTION("""COMPUTED_VALUE"""),"thực tập TN, Thi TN")</f>
        <v>thực tập TN, Thi TN</v>
      </c>
      <c r="T216" s="1" t="str">
        <f ca="1">IFERROR(__xludf.DUMMYFUNCTION("""COMPUTED_VALUE"""),"Đã email cấp giấy giới thiệu ngày 25/12/2025")</f>
        <v>Đã email cấp giấy giới thiệu ngày 25/12/2025</v>
      </c>
      <c r="U216" s="1"/>
      <c r="V216" s="1"/>
      <c r="W216" s="1" t="str">
        <f ca="1">IFERROR(__xludf.DUMMYFUNCTION("""COMPUTED_VALUE"""),"K28DLK2")</f>
        <v>K28DLK2</v>
      </c>
      <c r="X216" s="1"/>
      <c r="Y216" s="1" t="str">
        <f ca="1">IFERROR(__xludf.DUMMYFUNCTION("""COMPUTED_VALUE"""),"The Pearl Hoi An")</f>
        <v>The Pearl Hoi An</v>
      </c>
      <c r="Z216" s="1" t="str">
        <f ca="1">IFERROR(__xludf.DUMMYFUNCTION("""COMPUTED_VALUE"""),"Nhà hàng")</f>
        <v>Nhà hàng</v>
      </c>
      <c r="AA216" s="1" t="str">
        <f ca="1">IFERROR(__xludf.DUMMYFUNCTION("""COMPUTED_VALUE"""),"DUYỆT")</f>
        <v>DUYỆT</v>
      </c>
      <c r="AB216" s="1" t="str">
        <f ca="1">IFERROR(__xludf.DUMMYFUNCTION("""COMPUTED_VALUE"""),"29/01/2026")</f>
        <v>29/01/2026</v>
      </c>
      <c r="AC216" s="1" t="str">
        <f ca="1">IFERROR(__xludf.DUMMYFUNCTION("""COMPUTED_VALUE"""),"BÁO CÁO THỰC TẬP TỐT NGHIỆP")</f>
        <v>BÁO CÁO THỰC TẬP TỐT NGHIỆP</v>
      </c>
      <c r="AD216" s="1" t="str">
        <f ca="1">IFERROR(__xludf.DUMMYFUNCTION("""COMPUTED_VALUE"""),"Trần Hoàng Anh")</f>
        <v>Trần Hoàng Anh</v>
      </c>
      <c r="AE216" s="1" t="str">
        <f ca="1">IFERROR(__xludf.DUMMYFUNCTION("""COMPUTED_VALUE"""),"Thạc sĩ")</f>
        <v>Thạc sĩ</v>
      </c>
      <c r="AF216" s="1" t="str">
        <f ca="1">IFERROR(__xludf.DUMMYFUNCTION("""COMPUTED_VALUE"""),"0906 029 602")</f>
        <v>0906 029 602</v>
      </c>
      <c r="AG216" s="1" t="str">
        <f ca="1">IFERROR(__xludf.DUMMYFUNCTION("""COMPUTED_VALUE"""),"tranhoanganh@dtu-hti.edu.vn")</f>
        <v>tranhoanganh@dtu-hti.edu.vn</v>
      </c>
      <c r="AH216" s="1" t="str">
        <f ca="1">IFERROR(__xludf.DUMMYFUNCTION("""COMPUTED_VALUE"""),"Báo cáo kết quả thực tập và thực trạng quy trình phục vụ buffet sáng tại nhà hàng The Pearl Zone tại khách sạn The Pearl Hoi An")</f>
        <v>Báo cáo kết quả thực tập và thực trạng quy trình phục vụ buffet sáng tại nhà hàng The Pearl Zone tại khách sạn The Pearl Hoi An</v>
      </c>
      <c r="AI216" s="1"/>
    </row>
    <row r="217" spans="1:35" x14ac:dyDescent="0.2">
      <c r="A217" s="3">
        <f ca="1">IFERROR(__xludf.DUMMYFUNCTION("""COMPUTED_VALUE"""),46010.7089924768)</f>
        <v>46010.708992476801</v>
      </c>
      <c r="B217" s="1" t="str">
        <f ca="1">IFERROR(__xludf.DUMMYFUNCTION("""COMPUTED_VALUE"""),"nguyenquoctri.k27@gmail.com")</f>
        <v>nguyenquoctri.k27@gmail.com</v>
      </c>
      <c r="C217" s="1">
        <f ca="1">IFERROR(__xludf.DUMMYFUNCTION("""COMPUTED_VALUE"""),27216628760)</f>
        <v>27216628760</v>
      </c>
      <c r="D217" s="1" t="str">
        <f ca="1">IFERROR(__xludf.DUMMYFUNCTION("""COMPUTED_VALUE"""),"Nguyễn Quốc Trí")</f>
        <v>Nguyễn Quốc Trí</v>
      </c>
      <c r="E217" s="1"/>
      <c r="F217" s="1" t="str">
        <f ca="1">IFERROR(__xludf.DUMMYFUNCTION("""COMPUTED_VALUE"""),"k27 dlk7")</f>
        <v>k27 dlk7</v>
      </c>
      <c r="G217" s="1" t="str">
        <f ca="1">IFERROR(__xludf.DUMMYFUNCTION("""COMPUTED_VALUE"""),"Quản trị Du lịch &amp; Khách sạn")</f>
        <v>Quản trị Du lịch &amp; Khách sạn</v>
      </c>
      <c r="H217" s="1" t="str">
        <f ca="1">IFERROR(__xludf.DUMMYFUNCTION("""COMPUTED_VALUE"""),"K27")</f>
        <v>K27</v>
      </c>
      <c r="I217" s="1" t="str">
        <f ca="1">IFERROR(__xludf.DUMMYFUNCTION("""COMPUTED_VALUE"""),"0704416858")</f>
        <v>0704416858</v>
      </c>
      <c r="J217" s="1">
        <f ca="1">IFERROR(__xludf.DUMMYFUNCTION("""COMPUTED_VALUE"""),2.46)</f>
        <v>2.46</v>
      </c>
      <c r="K217" s="1">
        <f ca="1">IFERROR(__xludf.DUMMYFUNCTION("""COMPUTED_VALUE"""),124)</f>
        <v>124</v>
      </c>
      <c r="L217" s="1" t="str">
        <f ca="1">IFERROR(__xludf.DUMMYFUNCTION("""COMPUTED_VALUE"""),"Rồi")</f>
        <v>Rồi</v>
      </c>
      <c r="M217" s="1" t="str">
        <f ca="1">IFERROR(__xludf.DUMMYFUNCTION("""COMPUTED_VALUE"""),"Thực tập tốt nghiệp")</f>
        <v>Thực tập tốt nghiệp</v>
      </c>
      <c r="N217" s="1">
        <f ca="1">IFERROR(__xludf.DUMMYFUNCTION("""COMPUTED_VALUE"""),0)</f>
        <v>0</v>
      </c>
      <c r="O217" s="1" t="str">
        <f ca="1">IFERROR(__xludf.DUMMYFUNCTION("""COMPUTED_VALUE"""),"cam kết")</f>
        <v>cam kết</v>
      </c>
      <c r="P217" s="1" t="str">
        <f ca="1">IFERROR(__xludf.DUMMYFUNCTION("""COMPUTED_VALUE"""),"CHƯA NỘP")</f>
        <v>CHƯA NỘP</v>
      </c>
      <c r="Q217" s="1">
        <f ca="1">IFERROR(__xludf.DUMMYFUNCTION("""COMPUTED_VALUE"""),25)</f>
        <v>25</v>
      </c>
      <c r="R217" s="1" t="str">
        <f ca="1">IFERROR(__xludf.DUMMYFUNCTION("""COMPUTED_VALUE"""),"25/12/2025")</f>
        <v>25/12/2025</v>
      </c>
      <c r="S217" s="1" t="str">
        <f ca="1">IFERROR(__xludf.DUMMYFUNCTION("""COMPUTED_VALUE"""),"Thực tập TN")</f>
        <v>Thực tập TN</v>
      </c>
      <c r="T217" s="1" t="str">
        <f ca="1">IFERROR(__xludf.DUMMYFUNCTION("""COMPUTED_VALUE"""),"HỦY ĐĂNG KÝ THAM DỰ THỰC TẬP TN VÌ SINH VIÊN CHƯA NỘP ĐƠN NHƯ THÔNG BÁO")</f>
        <v>HỦY ĐĂNG KÝ THAM DỰ THỰC TẬP TN VÌ SINH VIÊN CHƯA NỘP ĐƠN NHƯ THÔNG BÁO</v>
      </c>
      <c r="U217" s="1"/>
      <c r="V217" s="1"/>
      <c r="W217" s="1" t="str">
        <f ca="1">IFERROR(__xludf.DUMMYFUNCTION("""COMPUTED_VALUE"""),"K27DLK7")</f>
        <v>K27DLK7</v>
      </c>
      <c r="X217" s="1"/>
      <c r="Y217" s="1" t="str">
        <f ca="1">IFERROR(__xludf.DUMMYFUNCTION("""COMPUTED_VALUE"""),"mitisa")</f>
        <v>mitisa</v>
      </c>
      <c r="Z217" s="1" t="str">
        <f ca="1">IFERROR(__xludf.DUMMYFUNCTION("""COMPUTED_VALUE"""),"Nhà hàng")</f>
        <v>Nhà hàng</v>
      </c>
      <c r="AA217" s="1" t="str">
        <f ca="1">IFERROR(__xludf.DUMMYFUNCTION("""COMPUTED_VALUE"""),"KHÔNG DUYỆT")</f>
        <v>KHÔNG DUYỆT</v>
      </c>
      <c r="AB217" s="1"/>
      <c r="AC217" s="1" t="str">
        <f ca="1">IFERROR(__xludf.DUMMYFUNCTION("""COMPUTED_VALUE"""),"BÁO CÁO THỰC TẬP TỐT NGHIỆP")</f>
        <v>BÁO CÁO THỰC TẬP TỐT NGHIỆP</v>
      </c>
      <c r="AD217" s="1"/>
      <c r="AE217" s="1" t="str">
        <f ca="1">IFERROR(__xludf.DUMMYFUNCTION("""COMPUTED_VALUE"""),"#N/A")</f>
        <v>#N/A</v>
      </c>
      <c r="AF217" s="1" t="str">
        <f ca="1">IFERROR(__xludf.DUMMYFUNCTION("""COMPUTED_VALUE"""),"#N/A")</f>
        <v>#N/A</v>
      </c>
      <c r="AG217" s="1" t="str">
        <f ca="1">IFERROR(__xludf.DUMMYFUNCTION("""COMPUTED_VALUE"""),"#N/A")</f>
        <v>#N/A</v>
      </c>
      <c r="AH217" s="1" t="str">
        <f ca="1">IFERROR(__xludf.DUMMYFUNCTION("""COMPUTED_VALUE"""),"#N/A")</f>
        <v>#N/A</v>
      </c>
      <c r="AI217" s="1"/>
    </row>
    <row r="218" spans="1:35" x14ac:dyDescent="0.2">
      <c r="A218" s="3">
        <f ca="1">IFERROR(__xludf.DUMMYFUNCTION("""COMPUTED_VALUE"""),46010.7898081134)</f>
        <v>46010.789808113397</v>
      </c>
      <c r="B218" s="1" t="str">
        <f ca="1">IFERROR(__xludf.DUMMYFUNCTION("""COMPUTED_VALUE"""),"nguyenluuthuvan2020@gmail.com")</f>
        <v>nguyenluuthuvan2020@gmail.com</v>
      </c>
      <c r="C218" s="1">
        <f ca="1">IFERROR(__xludf.DUMMYFUNCTION("""COMPUTED_VALUE"""),28208004370)</f>
        <v>28208004370</v>
      </c>
      <c r="D218" s="1" t="str">
        <f ca="1">IFERROR(__xludf.DUMMYFUNCTION("""COMPUTED_VALUE"""),"Nguyễn Lưu Thu Vân")</f>
        <v>Nguyễn Lưu Thu Vân</v>
      </c>
      <c r="E218" s="1"/>
      <c r="F218" s="1" t="str">
        <f ca="1">IFERROR(__xludf.DUMMYFUNCTION("""COMPUTED_VALUE"""),"K28 DLK3")</f>
        <v>K28 DLK3</v>
      </c>
      <c r="G218" s="1" t="str">
        <f ca="1">IFERROR(__xludf.DUMMYFUNCTION("""COMPUTED_VALUE"""),"Quản trị Du lịch &amp; Khách sạn")</f>
        <v>Quản trị Du lịch &amp; Khách sạn</v>
      </c>
      <c r="H218" s="1" t="str">
        <f ca="1">IFERROR(__xludf.DUMMYFUNCTION("""COMPUTED_VALUE"""),"K28")</f>
        <v>K28</v>
      </c>
      <c r="I218" s="1" t="str">
        <f ca="1">IFERROR(__xludf.DUMMYFUNCTION("""COMPUTED_VALUE"""),"0368702087")</f>
        <v>0368702087</v>
      </c>
      <c r="J218" s="1">
        <f ca="1">IFERROR(__xludf.DUMMYFUNCTION("""COMPUTED_VALUE"""),3)</f>
        <v>3</v>
      </c>
      <c r="K218" s="1">
        <f ca="1">IFERROR(__xludf.DUMMYFUNCTION("""COMPUTED_VALUE"""),124)</f>
        <v>124</v>
      </c>
      <c r="L218" s="1" t="str">
        <f ca="1">IFERROR(__xludf.DUMMYFUNCTION("""COMPUTED_VALUE"""),"Rồi")</f>
        <v>Rồi</v>
      </c>
      <c r="M218" s="1" t="str">
        <f ca="1">IFERROR(__xludf.DUMMYFUNCTION("""COMPUTED_VALUE"""),"Thực tập tốt nghiệp, Thi tốt nghiệp, Công nhận tốt nghiệp")</f>
        <v>Thực tập tốt nghiệp, Thi tốt nghiệp, Công nhận tốt nghiệp</v>
      </c>
      <c r="N218" s="1">
        <f ca="1">IFERROR(__xludf.DUMMYFUNCTION("""COMPUTED_VALUE"""),0)</f>
        <v>0</v>
      </c>
      <c r="O218" s="1" t="str">
        <f ca="1">IFERROR(__xludf.DUMMYFUNCTION("""COMPUTED_VALUE"""),"cam kết")</f>
        <v>cam kết</v>
      </c>
      <c r="P218" s="1"/>
      <c r="Q218" s="1"/>
      <c r="R218" s="1" t="str">
        <f ca="1">IFERROR(__xludf.DUMMYFUNCTION("""COMPUTED_VALUE"""),"25/12/2025")</f>
        <v>25/12/2025</v>
      </c>
      <c r="S218" s="1" t="str">
        <f ca="1">IFERROR(__xludf.DUMMYFUNCTION("""COMPUTED_VALUE"""),"thực tập TN, Thi TN")</f>
        <v>thực tập TN, Thi TN</v>
      </c>
      <c r="T218" s="1" t="str">
        <f ca="1">IFERROR(__xludf.DUMMYFUNCTION("""COMPUTED_VALUE"""),"Đã email cấp giấy giới thiệu ngày 25/12/2025")</f>
        <v>Đã email cấp giấy giới thiệu ngày 25/12/2025</v>
      </c>
      <c r="U218" s="1"/>
      <c r="V218" s="1"/>
      <c r="W218" s="1" t="str">
        <f ca="1">IFERROR(__xludf.DUMMYFUNCTION("""COMPUTED_VALUE"""),"K28DLK3")</f>
        <v>K28DLK3</v>
      </c>
      <c r="X218" s="1"/>
      <c r="Y218" s="1" t="str">
        <f ca="1">IFERROR(__xludf.DUMMYFUNCTION("""COMPUTED_VALUE"""),"Da Nang Mikazuki Japanese Resorts and Spa")</f>
        <v>Da Nang Mikazuki Japanese Resorts and Spa</v>
      </c>
      <c r="Z218" s="1" t="str">
        <f ca="1">IFERROR(__xludf.DUMMYFUNCTION("""COMPUTED_VALUE"""),"Buồng phòng")</f>
        <v>Buồng phòng</v>
      </c>
      <c r="AA218" s="1" t="str">
        <f ca="1">IFERROR(__xludf.DUMMYFUNCTION("""COMPUTED_VALUE"""),"DUYỆT")</f>
        <v>DUYỆT</v>
      </c>
      <c r="AB218" s="1" t="str">
        <f ca="1">IFERROR(__xludf.DUMMYFUNCTION("""COMPUTED_VALUE"""),"30/01/2026")</f>
        <v>30/01/2026</v>
      </c>
      <c r="AC218" s="1" t="str">
        <f ca="1">IFERROR(__xludf.DUMMYFUNCTION("""COMPUTED_VALUE"""),"BÁO CÁO THỰC TẬP TỐT NGHIỆP")</f>
        <v>BÁO CÁO THỰC TẬP TỐT NGHIỆP</v>
      </c>
      <c r="AD218" s="1" t="str">
        <f ca="1">IFERROR(__xludf.DUMMYFUNCTION("""COMPUTED_VALUE"""),"Hồ Minh Phúc")</f>
        <v>Hồ Minh Phúc</v>
      </c>
      <c r="AE218" s="1" t="str">
        <f ca="1">IFERROR(__xludf.DUMMYFUNCTION("""COMPUTED_VALUE"""),"Thạc sĩ")</f>
        <v>Thạc sĩ</v>
      </c>
      <c r="AF218" s="1" t="str">
        <f ca="1">IFERROR(__xludf.DUMMYFUNCTION("""COMPUTED_VALUE"""),"0935336716")</f>
        <v>0935336716</v>
      </c>
      <c r="AG218" s="1" t="str">
        <f ca="1">IFERROR(__xludf.DUMMYFUNCTION("""COMPUTED_VALUE"""),"hominhphuc@dtu-hti.edu.vn")</f>
        <v>hominhphuc@dtu-hti.edu.vn</v>
      </c>
      <c r="AH218" s="1" t="str">
        <f ca="1">IFERROR(__xludf.DUMMYFUNCTION("""COMPUTED_VALUE"""),"Báo cáo kết quả thực tập và thực trạng quy trình vệ sinh buồng khách tại bộ phận Buồng phòng của Da Nang Mikazuki Japanese Resorts &amp; Spa")</f>
        <v>Báo cáo kết quả thực tập và thực trạng quy trình vệ sinh buồng khách tại bộ phận Buồng phòng của Da Nang Mikazuki Japanese Resorts &amp; Spa</v>
      </c>
      <c r="AI218" s="1"/>
    </row>
    <row r="219" spans="1:35" x14ac:dyDescent="0.2">
      <c r="A219" s="3">
        <f ca="1">IFERROR(__xludf.DUMMYFUNCTION("""COMPUTED_VALUE"""),46010.7990851851)</f>
        <v>46010.799085185099</v>
      </c>
      <c r="B219" s="1" t="str">
        <f ca="1">IFERROR(__xludf.DUMMYFUNCTION("""COMPUTED_VALUE"""),"phanthicamly352@gmail.com")</f>
        <v>phanthicamly352@gmail.com</v>
      </c>
      <c r="C219" s="1">
        <f ca="1">IFERROR(__xludf.DUMMYFUNCTION("""COMPUTED_VALUE"""),28208002509)</f>
        <v>28208002509</v>
      </c>
      <c r="D219" s="1" t="str">
        <f ca="1">IFERROR(__xludf.DUMMYFUNCTION("""COMPUTED_VALUE"""),"Phan Thị Cẩm Ly")</f>
        <v>Phan Thị Cẩm Ly</v>
      </c>
      <c r="E219" s="1"/>
      <c r="F219" s="1" t="str">
        <f ca="1">IFERROR(__xludf.DUMMYFUNCTION("""COMPUTED_VALUE"""),"K28DKL2")</f>
        <v>K28DKL2</v>
      </c>
      <c r="G219" s="1" t="str">
        <f ca="1">IFERROR(__xludf.DUMMYFUNCTION("""COMPUTED_VALUE"""),"Quản trị Du lịch &amp; Khách sạn")</f>
        <v>Quản trị Du lịch &amp; Khách sạn</v>
      </c>
      <c r="H219" s="1" t="str">
        <f ca="1">IFERROR(__xludf.DUMMYFUNCTION("""COMPUTED_VALUE"""),"K28")</f>
        <v>K28</v>
      </c>
      <c r="I219" s="1" t="str">
        <f ca="1">IFERROR(__xludf.DUMMYFUNCTION("""COMPUTED_VALUE"""),"0365749415")</f>
        <v>0365749415</v>
      </c>
      <c r="J219" s="1">
        <f ca="1">IFERROR(__xludf.DUMMYFUNCTION("""COMPUTED_VALUE"""),3.38)</f>
        <v>3.38</v>
      </c>
      <c r="K219" s="1">
        <f ca="1">IFERROR(__xludf.DUMMYFUNCTION("""COMPUTED_VALUE"""),112)</f>
        <v>112</v>
      </c>
      <c r="L219" s="1" t="str">
        <f ca="1">IFERROR(__xludf.DUMMYFUNCTION("""COMPUTED_VALUE"""),"Rồi")</f>
        <v>Rồi</v>
      </c>
      <c r="M219" s="1" t="str">
        <f ca="1">IFERROR(__xludf.DUMMYFUNCTION("""COMPUTED_VALUE"""),"Thực tập tốt nghiệp, Thi tốt nghiệp, Công nhận tốt nghiệp")</f>
        <v>Thực tập tốt nghiệp, Thi tốt nghiệp, Công nhận tốt nghiệp</v>
      </c>
      <c r="N219" s="1" t="str">
        <f ca="1">IFERROR(__xludf.DUMMYFUNCTION("""COMPUTED_VALUE"""),"12tc")</f>
        <v>12tc</v>
      </c>
      <c r="O219" s="1" t="str">
        <f ca="1">IFERROR(__xludf.DUMMYFUNCTION("""COMPUTED_VALUE"""),"cam kết")</f>
        <v>cam kết</v>
      </c>
      <c r="P219" s="1"/>
      <c r="Q219" s="1"/>
      <c r="R219" s="1" t="str">
        <f ca="1">IFERROR(__xludf.DUMMYFUNCTION("""COMPUTED_VALUE"""),"25/12/2025")</f>
        <v>25/12/2025</v>
      </c>
      <c r="S219" s="1" t="str">
        <f ca="1">IFERROR(__xludf.DUMMYFUNCTION("""COMPUTED_VALUE"""),"thực tập TN, Thi TN")</f>
        <v>thực tập TN, Thi TN</v>
      </c>
      <c r="T219" s="1" t="str">
        <f ca="1">IFERROR(__xludf.DUMMYFUNCTION("""COMPUTED_VALUE"""),"Đã email cấp giấy giới thiệu ngày 25/12/2025")</f>
        <v>Đã email cấp giấy giới thiệu ngày 25/12/2025</v>
      </c>
      <c r="U219" s="1"/>
      <c r="V219" s="1"/>
      <c r="W219" s="1" t="str">
        <f ca="1">IFERROR(__xludf.DUMMYFUNCTION("""COMPUTED_VALUE"""),"K28DLK2")</f>
        <v>K28DLK2</v>
      </c>
      <c r="X219" s="1"/>
      <c r="Y219" s="1" t="str">
        <f ca="1">IFERROR(__xludf.DUMMYFUNCTION("""COMPUTED_VALUE"""),"Grand Tourane Hotel Danang")</f>
        <v>Grand Tourane Hotel Danang</v>
      </c>
      <c r="Z219" s="1" t="str">
        <f ca="1">IFERROR(__xludf.DUMMYFUNCTION("""COMPUTED_VALUE"""),"Nhà hàng")</f>
        <v>Nhà hàng</v>
      </c>
      <c r="AA219" s="1" t="str">
        <f ca="1">IFERROR(__xludf.DUMMYFUNCTION("""COMPUTED_VALUE"""),"DUYỆT")</f>
        <v>DUYỆT</v>
      </c>
      <c r="AB219" s="1" t="str">
        <f ca="1">IFERROR(__xludf.DUMMYFUNCTION("""COMPUTED_VALUE"""),"20/01/2026")</f>
        <v>20/01/2026</v>
      </c>
      <c r="AC219" s="1" t="str">
        <f ca="1">IFERROR(__xludf.DUMMYFUNCTION("""COMPUTED_VALUE"""),"BÁO CÁO THỰC TẬP TỐT NGHIỆP")</f>
        <v>BÁO CÁO THỰC TẬP TỐT NGHIỆP</v>
      </c>
      <c r="AD219" s="1" t="str">
        <f ca="1">IFERROR(__xludf.DUMMYFUNCTION("""COMPUTED_VALUE"""),"Trần Hoàng Anh")</f>
        <v>Trần Hoàng Anh</v>
      </c>
      <c r="AE219" s="1" t="str">
        <f ca="1">IFERROR(__xludf.DUMMYFUNCTION("""COMPUTED_VALUE"""),"Thạc sĩ")</f>
        <v>Thạc sĩ</v>
      </c>
      <c r="AF219" s="1" t="str">
        <f ca="1">IFERROR(__xludf.DUMMYFUNCTION("""COMPUTED_VALUE"""),"0906 029 602")</f>
        <v>0906 029 602</v>
      </c>
      <c r="AG219" s="1" t="str">
        <f ca="1">IFERROR(__xludf.DUMMYFUNCTION("""COMPUTED_VALUE"""),"tranhoanganh@dtu-hti.edu.vn")</f>
        <v>tranhoanganh@dtu-hti.edu.vn</v>
      </c>
      <c r="AH219" s="1" t="str">
        <f ca="1">IFERROR(__xludf.DUMMYFUNCTION("""COMPUTED_VALUE"""),"Báo cáo kết quả thực tập và thực trạng các yếu tố ảnh hưởng đến chất lượng phục vụ buffet sáng tại nhà hàng Bella Vista tại khách sạn Grand Tourane Hotel Danang")</f>
        <v>Báo cáo kết quả thực tập và thực trạng các yếu tố ảnh hưởng đến chất lượng phục vụ buffet sáng tại nhà hàng Bella Vista tại khách sạn Grand Tourane Hotel Danang</v>
      </c>
      <c r="AI219" s="1"/>
    </row>
    <row r="220" spans="1:35" x14ac:dyDescent="0.2">
      <c r="A220" s="3">
        <f ca="1">IFERROR(__xludf.DUMMYFUNCTION("""COMPUTED_VALUE"""),46029.4031751504)</f>
        <v>46029.403175150401</v>
      </c>
      <c r="B220" s="1" t="str">
        <f ca="1">IFERROR(__xludf.DUMMYFUNCTION("""COMPUTED_VALUE"""),"phamuyennhi281@gmail.com")</f>
        <v>phamuyennhi281@gmail.com</v>
      </c>
      <c r="C220" s="1">
        <f ca="1">IFERROR(__xludf.DUMMYFUNCTION("""COMPUTED_VALUE"""),27207134401)</f>
        <v>27207134401</v>
      </c>
      <c r="D220" s="1" t="str">
        <f ca="1">IFERROR(__xludf.DUMMYFUNCTION("""COMPUTED_VALUE"""),"Phạm Lê Uyên Nhi")</f>
        <v>Phạm Lê Uyên Nhi</v>
      </c>
      <c r="E220" s="1"/>
      <c r="F220" s="1" t="str">
        <f ca="1">IFERROR(__xludf.DUMMYFUNCTION("""COMPUTED_VALUE"""),"K27DLK2")</f>
        <v>K27DLK2</v>
      </c>
      <c r="G220" s="1" t="str">
        <f ca="1">IFERROR(__xludf.DUMMYFUNCTION("""COMPUTED_VALUE"""),"Quản trị Du lịch &amp; Khách sạn")</f>
        <v>Quản trị Du lịch &amp; Khách sạn</v>
      </c>
      <c r="H220" s="1" t="str">
        <f ca="1">IFERROR(__xludf.DUMMYFUNCTION("""COMPUTED_VALUE"""),"K27")</f>
        <v>K27</v>
      </c>
      <c r="I220" s="1" t="str">
        <f ca="1">IFERROR(__xludf.DUMMYFUNCTION("""COMPUTED_VALUE"""),"0775477431")</f>
        <v>0775477431</v>
      </c>
      <c r="J220" s="1">
        <f ca="1">IFERROR(__xludf.DUMMYFUNCTION("""COMPUTED_VALUE"""),2.63)</f>
        <v>2.63</v>
      </c>
      <c r="K220" s="1">
        <f ca="1">IFERROR(__xludf.DUMMYFUNCTION("""COMPUTED_VALUE"""),129)</f>
        <v>129</v>
      </c>
      <c r="L220" s="1" t="str">
        <f ca="1">IFERROR(__xludf.DUMMYFUNCTION("""COMPUTED_VALUE"""),"Rồi")</f>
        <v>Rồi</v>
      </c>
      <c r="M220" s="1" t="str">
        <f ca="1">IFERROR(__xludf.DUMMYFUNCTION("""COMPUTED_VALUE"""),"Thực tập tốt nghiệp, Công nhận tốt nghiệp")</f>
        <v>Thực tập tốt nghiệp, Công nhận tốt nghiệp</v>
      </c>
      <c r="N220" s="1">
        <f ca="1">IFERROR(__xludf.DUMMYFUNCTION("""COMPUTED_VALUE"""),0)</f>
        <v>0</v>
      </c>
      <c r="O220" s="1" t="str">
        <f ca="1">IFERROR(__xludf.DUMMYFUNCTION("""COMPUTED_VALUE"""),"cam kết")</f>
        <v>cam kết</v>
      </c>
      <c r="P220" s="1" t="str">
        <f ca="1">IFERROR(__xludf.DUMMYFUNCTION("""COMPUTED_VALUE"""),"ĐÃ NỘP")</f>
        <v>ĐÃ NỘP</v>
      </c>
      <c r="Q220" s="1">
        <f ca="1">IFERROR(__xludf.DUMMYFUNCTION("""COMPUTED_VALUE"""),26)</f>
        <v>26</v>
      </c>
      <c r="R220" s="1" t="str">
        <f ca="1">IFERROR(__xludf.DUMMYFUNCTION("""COMPUTED_VALUE"""),"25/12/2025")</f>
        <v>25/12/2025</v>
      </c>
      <c r="S220" s="1" t="str">
        <f ca="1">IFERROR(__xludf.DUMMYFUNCTION("""COMPUTED_VALUE"""),"Thực tập TN")</f>
        <v>Thực tập TN</v>
      </c>
      <c r="T220" s="1" t="str">
        <f ca="1">IFERROR(__xludf.DUMMYFUNCTION("""COMPUTED_VALUE"""),"Đã email cấp giấy giới thiệu ngày 25/12/2025")</f>
        <v>Đã email cấp giấy giới thiệu ngày 25/12/2025</v>
      </c>
      <c r="U220" s="1"/>
      <c r="V220" s="1"/>
      <c r="W220" s="1" t="str">
        <f ca="1">IFERROR(__xludf.DUMMYFUNCTION("""COMPUTED_VALUE"""),"K27DLK2")</f>
        <v>K27DLK2</v>
      </c>
      <c r="X220" s="1"/>
      <c r="Y220" s="1" t="str">
        <f ca="1">IFERROR(__xludf.DUMMYFUNCTION("""COMPUTED_VALUE"""),"Rosamia Da Nang Hotel")</f>
        <v>Rosamia Da Nang Hotel</v>
      </c>
      <c r="Z220" s="1" t="str">
        <f ca="1">IFERROR(__xludf.DUMMYFUNCTION("""COMPUTED_VALUE"""),"Buồng phòng")</f>
        <v>Buồng phòng</v>
      </c>
      <c r="AA220" s="1" t="str">
        <f ca="1">IFERROR(__xludf.DUMMYFUNCTION("""COMPUTED_VALUE"""),"DUYỆT")</f>
        <v>DUYỆT</v>
      </c>
      <c r="AB220" s="1" t="str">
        <f ca="1">IFERROR(__xludf.DUMMYFUNCTION("""COMPUTED_VALUE"""),"30/01/2026")</f>
        <v>30/01/2026</v>
      </c>
      <c r="AC220" s="1" t="str">
        <f ca="1">IFERROR(__xludf.DUMMYFUNCTION("""COMPUTED_VALUE"""),"BÁO CÁO THỰC TẬP TỐT NGHIỆP")</f>
        <v>BÁO CÁO THỰC TẬP TỐT NGHIỆP</v>
      </c>
      <c r="AD220" s="1" t="str">
        <f ca="1">IFERROR(__xludf.DUMMYFUNCTION("""COMPUTED_VALUE"""),"Hồ Minh Phúc")</f>
        <v>Hồ Minh Phúc</v>
      </c>
      <c r="AE220" s="1" t="str">
        <f ca="1">IFERROR(__xludf.DUMMYFUNCTION("""COMPUTED_VALUE"""),"Thạc sĩ")</f>
        <v>Thạc sĩ</v>
      </c>
      <c r="AF220" s="1" t="str">
        <f ca="1">IFERROR(__xludf.DUMMYFUNCTION("""COMPUTED_VALUE"""),"0935336716")</f>
        <v>0935336716</v>
      </c>
      <c r="AG220" s="1" t="str">
        <f ca="1">IFERROR(__xludf.DUMMYFUNCTION("""COMPUTED_VALUE"""),"hominhphuc@dtu-hti.edu.vn")</f>
        <v>hominhphuc@dtu-hti.edu.vn</v>
      </c>
      <c r="AH220" s="1" t="str">
        <f ca="1">IFERROR(__xludf.DUMMYFUNCTION("""COMPUTED_VALUE"""),"Báo cáo kết quả thực tập và thực trạng quy trình phục vụ khách lưu trú tại bộ phận Buồng phòng của Rosamia Da Nang Hotel")</f>
        <v>Báo cáo kết quả thực tập và thực trạng quy trình phục vụ khách lưu trú tại bộ phận Buồng phòng của Rosamia Da Nang Hotel</v>
      </c>
      <c r="AI220" s="1"/>
    </row>
    <row r="221" spans="1:35" x14ac:dyDescent="0.2">
      <c r="A221" s="3">
        <f ca="1">IFERROR(__xludf.DUMMYFUNCTION("""COMPUTED_VALUE"""),46011.4262231828)</f>
        <v>46011.426223182803</v>
      </c>
      <c r="B221" s="1" t="str">
        <f ca="1">IFERROR(__xludf.DUMMYFUNCTION("""COMPUTED_VALUE"""),"mkhtoan2612@gmail.com")</f>
        <v>mkhtoan2612@gmail.com</v>
      </c>
      <c r="C221" s="1">
        <f ca="1">IFERROR(__xludf.DUMMYFUNCTION("""COMPUTED_VALUE"""),28216228403)</f>
        <v>28216228403</v>
      </c>
      <c r="D221" s="1" t="str">
        <f ca="1">IFERROR(__xludf.DUMMYFUNCTION("""COMPUTED_VALUE"""),"Mai Khánh Toàn")</f>
        <v>Mai Khánh Toàn</v>
      </c>
      <c r="E221" s="1"/>
      <c r="F221" s="1" t="str">
        <f ca="1">IFERROR(__xludf.DUMMYFUNCTION("""COMPUTED_VALUE"""),"K28DLK1")</f>
        <v>K28DLK1</v>
      </c>
      <c r="G221" s="1" t="str">
        <f ca="1">IFERROR(__xludf.DUMMYFUNCTION("""COMPUTED_VALUE"""),"Quản trị Du lịch &amp; Khách sạn")</f>
        <v>Quản trị Du lịch &amp; Khách sạn</v>
      </c>
      <c r="H221" s="1" t="str">
        <f ca="1">IFERROR(__xludf.DUMMYFUNCTION("""COMPUTED_VALUE"""),"K28")</f>
        <v>K28</v>
      </c>
      <c r="I221" s="1" t="str">
        <f ca="1">IFERROR(__xludf.DUMMYFUNCTION("""COMPUTED_VALUE"""),"0352153815")</f>
        <v>0352153815</v>
      </c>
      <c r="J221" s="1">
        <f ca="1">IFERROR(__xludf.DUMMYFUNCTION("""COMPUTED_VALUE"""),2.83)</f>
        <v>2.83</v>
      </c>
      <c r="K221" s="1">
        <f ca="1">IFERROR(__xludf.DUMMYFUNCTION("""COMPUTED_VALUE"""),139)</f>
        <v>139</v>
      </c>
      <c r="L221" s="1" t="str">
        <f ca="1">IFERROR(__xludf.DUMMYFUNCTION("""COMPUTED_VALUE"""),"Rồi")</f>
        <v>Rồi</v>
      </c>
      <c r="M221" s="1" t="str">
        <f ca="1">IFERROR(__xludf.DUMMYFUNCTION("""COMPUTED_VALUE"""),"Thực tập tốt nghiệp, Thi tốt nghiệp, Công nhận tốt nghiệp")</f>
        <v>Thực tập tốt nghiệp, Thi tốt nghiệp, Công nhận tốt nghiệp</v>
      </c>
      <c r="N221" s="1">
        <f ca="1">IFERROR(__xludf.DUMMYFUNCTION("""COMPUTED_VALUE"""),4)</f>
        <v>4</v>
      </c>
      <c r="O221" s="1" t="str">
        <f ca="1">IFERROR(__xludf.DUMMYFUNCTION("""COMPUTED_VALUE"""),"cam kết")</f>
        <v>cam kết</v>
      </c>
      <c r="P221" s="1"/>
      <c r="Q221" s="1"/>
      <c r="R221" s="1" t="str">
        <f ca="1">IFERROR(__xludf.DUMMYFUNCTION("""COMPUTED_VALUE"""),"25/12/2025")</f>
        <v>25/12/2025</v>
      </c>
      <c r="S221" s="1" t="str">
        <f ca="1">IFERROR(__xludf.DUMMYFUNCTION("""COMPUTED_VALUE"""),"thực tập TN, Thi TN")</f>
        <v>thực tập TN, Thi TN</v>
      </c>
      <c r="T221" s="1" t="str">
        <f ca="1">IFERROR(__xludf.DUMMYFUNCTION("""COMPUTED_VALUE"""),"Đã email cấp giấy giới thiệu ngày 25/12/2025")</f>
        <v>Đã email cấp giấy giới thiệu ngày 25/12/2025</v>
      </c>
      <c r="U221" s="1"/>
      <c r="V221" s="1"/>
      <c r="W221" s="1" t="str">
        <f ca="1">IFERROR(__xludf.DUMMYFUNCTION("""COMPUTED_VALUE"""),"K28DLK1")</f>
        <v>K28DLK1</v>
      </c>
      <c r="X221" s="1"/>
      <c r="Y221" s="1" t="str">
        <f ca="1">IFERROR(__xludf.DUMMYFUNCTION("""COMPUTED_VALUE"""),"Meliá Vinpearl Danang Riverfront")</f>
        <v>Meliá Vinpearl Danang Riverfront</v>
      </c>
      <c r="Z221" s="1" t="str">
        <f ca="1">IFERROR(__xludf.DUMMYFUNCTION("""COMPUTED_VALUE"""),"Thực tập sinh đặt phòng thuộc bộ phận lễ tân")</f>
        <v>Thực tập sinh đặt phòng thuộc bộ phận lễ tân</v>
      </c>
      <c r="AA221" s="1" t="str">
        <f ca="1">IFERROR(__xludf.DUMMYFUNCTION("""COMPUTED_VALUE"""),"DUYỆT")</f>
        <v>DUYỆT</v>
      </c>
      <c r="AB221" s="1" t="str">
        <f ca="1">IFERROR(__xludf.DUMMYFUNCTION("""COMPUTED_VALUE"""),"21/01/2026")</f>
        <v>21/01/2026</v>
      </c>
      <c r="AC221" s="1" t="str">
        <f ca="1">IFERROR(__xludf.DUMMYFUNCTION("""COMPUTED_VALUE"""),"BÁO CÁO THỰC TẬP TỐT NGHIỆP")</f>
        <v>BÁO CÁO THỰC TẬP TỐT NGHIỆP</v>
      </c>
      <c r="AD221" s="1" t="str">
        <f ca="1">IFERROR(__xludf.DUMMYFUNCTION("""COMPUTED_VALUE"""),"Võ Đức Hiếu")</f>
        <v>Võ Đức Hiếu</v>
      </c>
      <c r="AE221" s="1" t="str">
        <f ca="1">IFERROR(__xludf.DUMMYFUNCTION("""COMPUTED_VALUE"""),"Thạc sĩ")</f>
        <v>Thạc sĩ</v>
      </c>
      <c r="AF221" s="1" t="str">
        <f ca="1">IFERROR(__xludf.DUMMYFUNCTION("""COMPUTED_VALUE"""),"0905767997")</f>
        <v>0905767997</v>
      </c>
      <c r="AG221" s="1" t="str">
        <f ca="1">IFERROR(__xludf.DUMMYFUNCTION("""COMPUTED_VALUE"""),"voduchieu@dtu-hti.edu.vn")</f>
        <v>voduchieu@dtu-hti.edu.vn</v>
      </c>
      <c r="AH221" s="1" t="str">
        <f ca="1">IFERROR(__xludf.DUMMYFUNCTION("""COMPUTED_VALUE"""),"Báo cáo kết quả thực tập và thực trạng chất lượng dịch vụ của bộ phận đặt phòng tại khách sạn Meliá Vinpearl Danang Riverfront")</f>
        <v>Báo cáo kết quả thực tập và thực trạng chất lượng dịch vụ của bộ phận đặt phòng tại khách sạn Meliá Vinpearl Danang Riverfront</v>
      </c>
      <c r="AI221" s="1"/>
    </row>
    <row r="222" spans="1:35" x14ac:dyDescent="0.2">
      <c r="A222" s="3">
        <f ca="1">IFERROR(__xludf.DUMMYFUNCTION("""COMPUTED_VALUE"""),46029.4064819097)</f>
        <v>46029.406481909697</v>
      </c>
      <c r="B222" s="1" t="str">
        <f ca="1">IFERROR(__xludf.DUMMYFUNCTION("""COMPUTED_VALUE"""),"uyenmy084@gmail.com")</f>
        <v>uyenmy084@gmail.com</v>
      </c>
      <c r="C222" s="1">
        <f ca="1">IFERROR(__xludf.DUMMYFUNCTION("""COMPUTED_VALUE"""),27207121752)</f>
        <v>27207121752</v>
      </c>
      <c r="D222" s="1" t="str">
        <f ca="1">IFERROR(__xludf.DUMMYFUNCTION("""COMPUTED_VALUE"""),"Phạm Lê Uyên My ")</f>
        <v xml:space="preserve">Phạm Lê Uyên My </v>
      </c>
      <c r="E222" s="1"/>
      <c r="F222" s="1" t="str">
        <f ca="1">IFERROR(__xludf.DUMMYFUNCTION("""COMPUTED_VALUE"""),"K27DLK4 ")</f>
        <v xml:space="preserve">K27DLK4 </v>
      </c>
      <c r="G222" s="1" t="str">
        <f ca="1">IFERROR(__xludf.DUMMYFUNCTION("""COMPUTED_VALUE"""),"Quản trị Du lịch &amp; Khách sạn")</f>
        <v>Quản trị Du lịch &amp; Khách sạn</v>
      </c>
      <c r="H222" s="1" t="str">
        <f ca="1">IFERROR(__xludf.DUMMYFUNCTION("""COMPUTED_VALUE"""),"K27")</f>
        <v>K27</v>
      </c>
      <c r="I222" s="1" t="str">
        <f ca="1">IFERROR(__xludf.DUMMYFUNCTION("""COMPUTED_VALUE"""),"0905960830")</f>
        <v>0905960830</v>
      </c>
      <c r="J222" s="1">
        <f ca="1">IFERROR(__xludf.DUMMYFUNCTION("""COMPUTED_VALUE"""),2.53)</f>
        <v>2.5299999999999998</v>
      </c>
      <c r="K222" s="1">
        <f ca="1">IFERROR(__xludf.DUMMYFUNCTION("""COMPUTED_VALUE"""),129)</f>
        <v>129</v>
      </c>
      <c r="L222" s="1" t="str">
        <f ca="1">IFERROR(__xludf.DUMMYFUNCTION("""COMPUTED_VALUE"""),"Rồi")</f>
        <v>Rồi</v>
      </c>
      <c r="M222" s="1" t="str">
        <f ca="1">IFERROR(__xludf.DUMMYFUNCTION("""COMPUTED_VALUE"""),"Thực tập tốt nghiệp")</f>
        <v>Thực tập tốt nghiệp</v>
      </c>
      <c r="N222" s="1">
        <f ca="1">IFERROR(__xludf.DUMMYFUNCTION("""COMPUTED_VALUE"""),0)</f>
        <v>0</v>
      </c>
      <c r="O222" s="1" t="str">
        <f ca="1">IFERROR(__xludf.DUMMYFUNCTION("""COMPUTED_VALUE"""),"cam kết")</f>
        <v>cam kết</v>
      </c>
      <c r="P222" s="1" t="str">
        <f ca="1">IFERROR(__xludf.DUMMYFUNCTION("""COMPUTED_VALUE"""),"ĐÃ NỘP")</f>
        <v>ĐÃ NỘP</v>
      </c>
      <c r="Q222" s="1">
        <f ca="1">IFERROR(__xludf.DUMMYFUNCTION("""COMPUTED_VALUE"""),27)</f>
        <v>27</v>
      </c>
      <c r="R222" s="1" t="str">
        <f ca="1">IFERROR(__xludf.DUMMYFUNCTION("""COMPUTED_VALUE"""),"25/12/2025")</f>
        <v>25/12/2025</v>
      </c>
      <c r="S222" s="1" t="str">
        <f ca="1">IFERROR(__xludf.DUMMYFUNCTION("""COMPUTED_VALUE"""),"Thực tập TN")</f>
        <v>Thực tập TN</v>
      </c>
      <c r="T222" s="1" t="str">
        <f ca="1">IFERROR(__xludf.DUMMYFUNCTION("""COMPUTED_VALUE"""),"Đã email cấp giấy giới thiệu ngày 25/12/2025")</f>
        <v>Đã email cấp giấy giới thiệu ngày 25/12/2025</v>
      </c>
      <c r="U222" s="1"/>
      <c r="V222" s="1"/>
      <c r="W222" s="1" t="str">
        <f ca="1">IFERROR(__xludf.DUMMYFUNCTION("""COMPUTED_VALUE"""),"K27DLK4")</f>
        <v>K27DLK4</v>
      </c>
      <c r="X222" s="1"/>
      <c r="Y222" s="1" t="str">
        <f ca="1">IFERROR(__xludf.DUMMYFUNCTION("""COMPUTED_VALUE"""),"Rosamia Da Nang Hotel")</f>
        <v>Rosamia Da Nang Hotel</v>
      </c>
      <c r="Z222" s="1" t="str">
        <f ca="1">IFERROR(__xludf.DUMMYFUNCTION("""COMPUTED_VALUE"""),"Buồng phòng")</f>
        <v>Buồng phòng</v>
      </c>
      <c r="AA222" s="1" t="str">
        <f ca="1">IFERROR(__xludf.DUMMYFUNCTION("""COMPUTED_VALUE"""),"DUYỆT")</f>
        <v>DUYỆT</v>
      </c>
      <c r="AB222" s="1" t="str">
        <f ca="1">IFERROR(__xludf.DUMMYFUNCTION("""COMPUTED_VALUE"""),"30/01/2026")</f>
        <v>30/01/2026</v>
      </c>
      <c r="AC222" s="1" t="str">
        <f ca="1">IFERROR(__xludf.DUMMYFUNCTION("""COMPUTED_VALUE"""),"BÁO CÁO THỰC TẬP TỐT NGHIỆP")</f>
        <v>BÁO CÁO THỰC TẬP TỐT NGHIỆP</v>
      </c>
      <c r="AD222" s="1" t="str">
        <f ca="1">IFERROR(__xludf.DUMMYFUNCTION("""COMPUTED_VALUE"""),"Hồ Minh Phúc")</f>
        <v>Hồ Minh Phúc</v>
      </c>
      <c r="AE222" s="1" t="str">
        <f ca="1">IFERROR(__xludf.DUMMYFUNCTION("""COMPUTED_VALUE"""),"Thạc sĩ")</f>
        <v>Thạc sĩ</v>
      </c>
      <c r="AF222" s="1" t="str">
        <f ca="1">IFERROR(__xludf.DUMMYFUNCTION("""COMPUTED_VALUE"""),"0935336716")</f>
        <v>0935336716</v>
      </c>
      <c r="AG222" s="1" t="str">
        <f ca="1">IFERROR(__xludf.DUMMYFUNCTION("""COMPUTED_VALUE"""),"hominhphuc@dtu-hti.edu.vn")</f>
        <v>hominhphuc@dtu-hti.edu.vn</v>
      </c>
      <c r="AH222" s="1" t="str">
        <f ca="1">IFERROR(__xludf.DUMMYFUNCTION("""COMPUTED_VALUE"""),"Báo cáo kết quả thực tập và thực trạng quy trình vệ sinh buồng khách tại bộ phận Buồng phòng của Rosamia Da Nang Hotel	")</f>
        <v xml:space="preserve">Báo cáo kết quả thực tập và thực trạng quy trình vệ sinh buồng khách tại bộ phận Buồng phòng của Rosamia Da Nang Hotel	</v>
      </c>
      <c r="AI222" s="1"/>
    </row>
    <row r="223" spans="1:35" x14ac:dyDescent="0.2">
      <c r="A223" s="3">
        <f ca="1">IFERROR(__xludf.DUMMYFUNCTION("""COMPUTED_VALUE"""),46012.3776079282)</f>
        <v>46012.377607928203</v>
      </c>
      <c r="B223" s="1" t="str">
        <f ca="1">IFERROR(__xludf.DUMMYFUNCTION("""COMPUTED_VALUE"""),"tuakb881@gmail.com")</f>
        <v>tuakb881@gmail.com</v>
      </c>
      <c r="C223" s="1">
        <f ca="1">IFERROR(__xludf.DUMMYFUNCTION("""COMPUTED_VALUE"""),25217107474)</f>
        <v>25217107474</v>
      </c>
      <c r="D223" s="1" t="str">
        <f ca="1">IFERROR(__xludf.DUMMYFUNCTION("""COMPUTED_VALUE"""),"Lê Anh Tú")</f>
        <v>Lê Anh Tú</v>
      </c>
      <c r="E223" s="1"/>
      <c r="F223" s="1" t="str">
        <f ca="1">IFERROR(__xludf.DUMMYFUNCTION("""COMPUTED_VALUE"""),"K25PSUDLK 17")</f>
        <v>K25PSUDLK 17</v>
      </c>
      <c r="G223" s="1" t="str">
        <f ca="1">IFERROR(__xludf.DUMMYFUNCTION("""COMPUTED_VALUE"""),"Quản trị Du lịch &amp; Khách sạn chuẩn PSU")</f>
        <v>Quản trị Du lịch &amp; Khách sạn chuẩn PSU</v>
      </c>
      <c r="H223" s="1" t="str">
        <f ca="1">IFERROR(__xludf.DUMMYFUNCTION("""COMPUTED_VALUE"""),"K25")</f>
        <v>K25</v>
      </c>
      <c r="I223" s="1" t="str">
        <f ca="1">IFERROR(__xludf.DUMMYFUNCTION("""COMPUTED_VALUE"""),"0399934068")</f>
        <v>0399934068</v>
      </c>
      <c r="J223" s="1">
        <f ca="1">IFERROR(__xludf.DUMMYFUNCTION("""COMPUTED_VALUE"""),2.53)</f>
        <v>2.5299999999999998</v>
      </c>
      <c r="K223" s="1">
        <f ca="1">IFERROR(__xludf.DUMMYFUNCTION("""COMPUTED_VALUE"""),140)</f>
        <v>140</v>
      </c>
      <c r="L223" s="1" t="str">
        <f ca="1">IFERROR(__xludf.DUMMYFUNCTION("""COMPUTED_VALUE"""),"Rồi")</f>
        <v>Rồi</v>
      </c>
      <c r="M223" s="1" t="str">
        <f ca="1">IFERROR(__xludf.DUMMYFUNCTION("""COMPUTED_VALUE"""),"Thực tập tốt nghiệp, Công nhận tốt nghiệp")</f>
        <v>Thực tập tốt nghiệp, Công nhận tốt nghiệp</v>
      </c>
      <c r="N223" s="1">
        <f ca="1">IFERROR(__xludf.DUMMYFUNCTION("""COMPUTED_VALUE"""),2)</f>
        <v>2</v>
      </c>
      <c r="O223" s="1" t="str">
        <f ca="1">IFERROR(__xludf.DUMMYFUNCTION("""COMPUTED_VALUE"""),"cam kết")</f>
        <v>cam kết</v>
      </c>
      <c r="P223" s="1" t="str">
        <f ca="1">IFERROR(__xludf.DUMMYFUNCTION("""COMPUTED_VALUE"""),"ĐÃ NỘP")</f>
        <v>ĐÃ NỘP</v>
      </c>
      <c r="Q223" s="1">
        <f ca="1">IFERROR(__xludf.DUMMYFUNCTION("""COMPUTED_VALUE"""),28)</f>
        <v>28</v>
      </c>
      <c r="R223" s="1" t="str">
        <f ca="1">IFERROR(__xludf.DUMMYFUNCTION("""COMPUTED_VALUE"""),"25/12/2025")</f>
        <v>25/12/2025</v>
      </c>
      <c r="S223" s="1" t="str">
        <f ca="1">IFERROR(__xludf.DUMMYFUNCTION("""COMPUTED_VALUE"""),"thực tập TN")</f>
        <v>thực tập TN</v>
      </c>
      <c r="T223" s="1" t="str">
        <f ca="1">IFERROR(__xludf.DUMMYFUNCTION("""COMPUTED_VALUE"""),"đã email ngày 05/01/2026")</f>
        <v>đã email ngày 05/01/2026</v>
      </c>
      <c r="U223" s="1"/>
      <c r="V223" s="1"/>
      <c r="W223" s="1" t="str">
        <f ca="1">IFERROR(__xludf.DUMMYFUNCTION("""COMPUTED_VALUE"""),"K25PSU-DLK17")</f>
        <v>K25PSU-DLK17</v>
      </c>
      <c r="X223" s="1"/>
      <c r="Y223" s="1" t="str">
        <f ca="1">IFERROR(__xludf.DUMMYFUNCTION("""COMPUTED_VALUE"""),"ALANI SEA VIEW HOTEL")</f>
        <v>ALANI SEA VIEW HOTEL</v>
      </c>
      <c r="Z223" s="1" t="str">
        <f ca="1">IFERROR(__xludf.DUMMYFUNCTION("""COMPUTED_VALUE"""),"Tiền sảnh")</f>
        <v>Tiền sảnh</v>
      </c>
      <c r="AA223" s="1" t="str">
        <f ca="1">IFERROR(__xludf.DUMMYFUNCTION("""COMPUTED_VALUE"""),"DUYỆT")</f>
        <v>DUYỆT</v>
      </c>
      <c r="AB223" s="4">
        <f ca="1">IFERROR(__xludf.DUMMYFUNCTION("""COMPUTED_VALUE"""),46357)</f>
        <v>46357</v>
      </c>
      <c r="AC223" s="1" t="str">
        <f ca="1">IFERROR(__xludf.DUMMYFUNCTION("""COMPUTED_VALUE"""),"BÁO CÁO THỰC TẬP TỐT NGHIỆP")</f>
        <v>BÁO CÁO THỰC TẬP TỐT NGHIỆP</v>
      </c>
      <c r="AD223" s="1" t="str">
        <f ca="1">IFERROR(__xludf.DUMMYFUNCTION("""COMPUTED_VALUE"""),"Huỳnh Lý Thùy Linh")</f>
        <v>Huỳnh Lý Thùy Linh</v>
      </c>
      <c r="AE223" s="1" t="str">
        <f ca="1">IFERROR(__xludf.DUMMYFUNCTION("""COMPUTED_VALUE"""),"Thạc sĩ")</f>
        <v>Thạc sĩ</v>
      </c>
      <c r="AF223" s="1" t="str">
        <f ca="1">IFERROR(__xludf.DUMMYFUNCTION("""COMPUTED_VALUE"""),"0702605664")</f>
        <v>0702605664</v>
      </c>
      <c r="AG223" s="1" t="str">
        <f ca="1">IFERROR(__xludf.DUMMYFUNCTION("""COMPUTED_VALUE"""),"huynhlthuylinh@dtu-hti.edu.vn")</f>
        <v>huynhlthuylinh@dtu-hti.edu.vn</v>
      </c>
      <c r="AH223" s="1" t="str">
        <f ca="1">IFERROR(__xludf.DUMMYFUNCTION("""COMPUTED_VALUE"""),"Báo cáo kết quả thực tập và thực trạng chất lượng đội ngũ lao động bộ phận tiền sảnh tại Alani Sea View Hotel")</f>
        <v>Báo cáo kết quả thực tập và thực trạng chất lượng đội ngũ lao động bộ phận tiền sảnh tại Alani Sea View Hotel</v>
      </c>
      <c r="AI223" s="1"/>
    </row>
    <row r="224" spans="1:35" x14ac:dyDescent="0.2">
      <c r="A224" s="3">
        <f ca="1">IFERROR(__xludf.DUMMYFUNCTION("""COMPUTED_VALUE"""),46049.633343368)</f>
        <v>46049.633343367997</v>
      </c>
      <c r="B224" s="1" t="str">
        <f ca="1">IFERROR(__xludf.DUMMYFUNCTION("""COMPUTED_VALUE"""),"hongphuc091102@gmail.com")</f>
        <v>hongphuc091102@gmail.com</v>
      </c>
      <c r="C224" s="1">
        <f ca="1">IFERROR(__xludf.DUMMYFUNCTION("""COMPUTED_VALUE"""),26217234333)</f>
        <v>26217234333</v>
      </c>
      <c r="D224" s="1" t="str">
        <f ca="1">IFERROR(__xludf.DUMMYFUNCTION("""COMPUTED_VALUE"""),"Bùi Phạm Hồng Phúc")</f>
        <v>Bùi Phạm Hồng Phúc</v>
      </c>
      <c r="E224" s="1"/>
      <c r="F224" s="1" t="str">
        <f ca="1">IFERROR(__xludf.DUMMYFUNCTION("""COMPUTED_VALUE"""),"K26DLK13")</f>
        <v>K26DLK13</v>
      </c>
      <c r="G224" s="1" t="str">
        <f ca="1">IFERROR(__xludf.DUMMYFUNCTION("""COMPUTED_VALUE"""),"Quản trị Du lịch &amp; Khách sạn")</f>
        <v>Quản trị Du lịch &amp; Khách sạn</v>
      </c>
      <c r="H224" s="1" t="str">
        <f ca="1">IFERROR(__xludf.DUMMYFUNCTION("""COMPUTED_VALUE"""),"K26")</f>
        <v>K26</v>
      </c>
      <c r="I224" s="1" t="str">
        <f ca="1">IFERROR(__xludf.DUMMYFUNCTION("""COMPUTED_VALUE"""),"0934889728")</f>
        <v>0934889728</v>
      </c>
      <c r="J224" s="1">
        <f ca="1">IFERROR(__xludf.DUMMYFUNCTION("""COMPUTED_VALUE"""),2.16)</f>
        <v>2.16</v>
      </c>
      <c r="K224" s="1">
        <f ca="1">IFERROR(__xludf.DUMMYFUNCTION("""COMPUTED_VALUE"""),125)</f>
        <v>125</v>
      </c>
      <c r="L224" s="1" t="str">
        <f ca="1">IFERROR(__xludf.DUMMYFUNCTION("""COMPUTED_VALUE"""),"Rồi")</f>
        <v>Rồi</v>
      </c>
      <c r="M224" s="1" t="str">
        <f ca="1">IFERROR(__xludf.DUMMYFUNCTION("""COMPUTED_VALUE"""),"Thi tốt nghiệp, Công nhận tốt nghiệp")</f>
        <v>Thi tốt nghiệp, Công nhận tốt nghiệp</v>
      </c>
      <c r="N224" s="1" t="str">
        <f ca="1">IFERROR(__xludf.DUMMYFUNCTION("""COMPUTED_VALUE"""),"5 tín")</f>
        <v>5 tín</v>
      </c>
      <c r="O224" s="1" t="str">
        <f ca="1">IFERROR(__xludf.DUMMYFUNCTION("""COMPUTED_VALUE"""),"cam kết")</f>
        <v>cam kết</v>
      </c>
      <c r="P224" s="1" t="str">
        <f ca="1">IFERROR(__xludf.DUMMYFUNCTION("""COMPUTED_VALUE"""),"CHƯA NỘP")</f>
        <v>CHƯA NỘP</v>
      </c>
      <c r="Q224" s="1">
        <f ca="1">IFERROR(__xludf.DUMMYFUNCTION("""COMPUTED_VALUE"""),29)</f>
        <v>29</v>
      </c>
      <c r="R224" s="1" t="str">
        <f ca="1">IFERROR(__xludf.DUMMYFUNCTION("""COMPUTED_VALUE"""),"25/12/2025")</f>
        <v>25/12/2025</v>
      </c>
      <c r="S224" s="1" t="str">
        <f ca="1">IFERROR(__xludf.DUMMYFUNCTION("""COMPUTED_VALUE"""),"Thi TN")</f>
        <v>Thi TN</v>
      </c>
      <c r="T224" s="1"/>
      <c r="U224" s="1"/>
      <c r="V224" s="1"/>
      <c r="W224" s="1" t="str">
        <f ca="1">IFERROR(__xludf.DUMMYFUNCTION("""COMPUTED_VALUE"""),"K26DLK13")</f>
        <v>K26DLK13</v>
      </c>
      <c r="X224" s="1"/>
      <c r="Y224" s="1" t="str">
        <f ca="1">IFERROR(__xludf.DUMMYFUNCTION("""COMPUTED_VALUE"""),"#N/A")</f>
        <v>#N/A</v>
      </c>
      <c r="Z224" s="1" t="str">
        <f ca="1">IFERROR(__xludf.DUMMYFUNCTION("""COMPUTED_VALUE"""),"#N/A")</f>
        <v>#N/A</v>
      </c>
      <c r="AA224" s="1" t="str">
        <f ca="1">IFERROR(__xludf.DUMMYFUNCTION("""COMPUTED_VALUE"""),"#N/A")</f>
        <v>#N/A</v>
      </c>
      <c r="AB224" s="1" t="str">
        <f ca="1">IFERROR(__xludf.DUMMYFUNCTION("""COMPUTED_VALUE"""),"#N/A")</f>
        <v>#N/A</v>
      </c>
      <c r="AC224" s="1" t="str">
        <f ca="1">IFERROR(__xludf.DUMMYFUNCTION("""COMPUTED_VALUE""")," ")</f>
        <v xml:space="preserve"> </v>
      </c>
      <c r="AD224" s="1"/>
      <c r="AE224" s="1"/>
      <c r="AF224" s="1"/>
      <c r="AG224" s="1"/>
      <c r="AH224" s="1"/>
      <c r="AI224" s="1"/>
    </row>
    <row r="225" spans="1:35" x14ac:dyDescent="0.2">
      <c r="A225" s="3">
        <f ca="1">IFERROR(__xludf.DUMMYFUNCTION("""COMPUTED_VALUE"""),46013.8029511111)</f>
        <v>46013.802951111102</v>
      </c>
      <c r="B225" s="1" t="str">
        <f ca="1">IFERROR(__xludf.DUMMYFUNCTION("""COMPUTED_VALUE"""),"vyvylove123234@gmail.com")</f>
        <v>vyvylove123234@gmail.com</v>
      </c>
      <c r="C225" s="1">
        <f ca="1">IFERROR(__xludf.DUMMYFUNCTION("""COMPUTED_VALUE"""),25207103269)</f>
        <v>25207103269</v>
      </c>
      <c r="D225" s="1" t="str">
        <f ca="1">IFERROR(__xludf.DUMMYFUNCTION("""COMPUTED_VALUE"""),"Nguyễn Thị Tường Vi")</f>
        <v>Nguyễn Thị Tường Vi</v>
      </c>
      <c r="E225" s="1"/>
      <c r="F225" s="1" t="str">
        <f ca="1">IFERROR(__xludf.DUMMYFUNCTION("""COMPUTED_VALUE"""),"K28 DLK8")</f>
        <v>K28 DLK8</v>
      </c>
      <c r="G225" s="1" t="str">
        <f ca="1">IFERROR(__xludf.DUMMYFUNCTION("""COMPUTED_VALUE"""),"Quản trị Du lịch &amp; Khách sạn")</f>
        <v>Quản trị Du lịch &amp; Khách sạn</v>
      </c>
      <c r="H225" s="1" t="str">
        <f ca="1">IFERROR(__xludf.DUMMYFUNCTION("""COMPUTED_VALUE"""),"K28")</f>
        <v>K28</v>
      </c>
      <c r="I225" s="1" t="str">
        <f ca="1">IFERROR(__xludf.DUMMYFUNCTION("""COMPUTED_VALUE"""),"0352048667")</f>
        <v>0352048667</v>
      </c>
      <c r="J225" s="1">
        <f ca="1">IFERROR(__xludf.DUMMYFUNCTION("""COMPUTED_VALUE"""),2.92)</f>
        <v>2.92</v>
      </c>
      <c r="K225" s="1">
        <f ca="1">IFERROR(__xludf.DUMMYFUNCTION("""COMPUTED_VALUE"""),133)</f>
        <v>133</v>
      </c>
      <c r="L225" s="1" t="str">
        <f ca="1">IFERROR(__xludf.DUMMYFUNCTION("""COMPUTED_VALUE"""),"Rồi")</f>
        <v>Rồi</v>
      </c>
      <c r="M225" s="1" t="str">
        <f ca="1">IFERROR(__xludf.DUMMYFUNCTION("""COMPUTED_VALUE"""),"Thực tập tốt nghiệp, Thi tốt nghiệp, Công nhận tốt nghiệp")</f>
        <v>Thực tập tốt nghiệp, Thi tốt nghiệp, Công nhận tốt nghiệp</v>
      </c>
      <c r="N225" s="1">
        <f ca="1">IFERROR(__xludf.DUMMYFUNCTION("""COMPUTED_VALUE"""),0)</f>
        <v>0</v>
      </c>
      <c r="O225" s="1" t="str">
        <f ca="1">IFERROR(__xludf.DUMMYFUNCTION("""COMPUTED_VALUE"""),"cam kết")</f>
        <v>cam kết</v>
      </c>
      <c r="P225" s="1"/>
      <c r="Q225" s="1"/>
      <c r="R225" s="1" t="str">
        <f ca="1">IFERROR(__xludf.DUMMYFUNCTION("""COMPUTED_VALUE"""),"25/12/2025")</f>
        <v>25/12/2025</v>
      </c>
      <c r="S225" s="1" t="str">
        <f ca="1">IFERROR(__xludf.DUMMYFUNCTION("""COMPUTED_VALUE"""),"thực tập TN, Thi TN")</f>
        <v>thực tập TN, Thi TN</v>
      </c>
      <c r="T225" s="1" t="str">
        <f ca="1">IFERROR(__xludf.DUMMYFUNCTION("""COMPUTED_VALUE"""),"Đã email cấp giấy giới thiệu ngày 25/12/2025")</f>
        <v>Đã email cấp giấy giới thiệu ngày 25/12/2025</v>
      </c>
      <c r="U225" s="1"/>
      <c r="V225" s="1"/>
      <c r="W225" s="1" t="str">
        <f ca="1">IFERROR(__xludf.DUMMYFUNCTION("""COMPUTED_VALUE"""),"K28DLK8")</f>
        <v>K28DLK8</v>
      </c>
      <c r="X225" s="1"/>
      <c r="Y225" s="1" t="str">
        <f ca="1">IFERROR(__xludf.DUMMYFUNCTION("""COMPUTED_VALUE"""),"#N/A")</f>
        <v>#N/A</v>
      </c>
      <c r="Z225" s="1" t="str">
        <f ca="1">IFERROR(__xludf.DUMMYFUNCTION("""COMPUTED_VALUE"""),"#N/A")</f>
        <v>#N/A</v>
      </c>
      <c r="AA225" s="1" t="str">
        <f ca="1">IFERROR(__xludf.DUMMYFUNCTION("""COMPUTED_VALUE"""),"#N/A")</f>
        <v>#N/A</v>
      </c>
      <c r="AB225" s="1" t="str">
        <f ca="1">IFERROR(__xludf.DUMMYFUNCTION("""COMPUTED_VALUE"""),"#N/A")</f>
        <v>#N/A</v>
      </c>
      <c r="AC225" s="1" t="str">
        <f ca="1">IFERROR(__xludf.DUMMYFUNCTION("""COMPUTED_VALUE"""),"BÁO CÁO THỰC TẬP TỐT NGHIỆP")</f>
        <v>BÁO CÁO THỰC TẬP TỐT NGHIỆP</v>
      </c>
      <c r="AD225" s="1">
        <f ca="1">IFERROR(__xludf.DUMMYFUNCTION("""COMPUTED_VALUE"""),0)</f>
        <v>0</v>
      </c>
      <c r="AE225" s="1" t="str">
        <f ca="1">IFERROR(__xludf.DUMMYFUNCTION("""COMPUTED_VALUE"""),"#N/A")</f>
        <v>#N/A</v>
      </c>
      <c r="AF225" s="1" t="str">
        <f ca="1">IFERROR(__xludf.DUMMYFUNCTION("""COMPUTED_VALUE"""),"#N/A")</f>
        <v>#N/A</v>
      </c>
      <c r="AG225" s="1" t="str">
        <f ca="1">IFERROR(__xludf.DUMMYFUNCTION("""COMPUTED_VALUE"""),"#N/A")</f>
        <v>#N/A</v>
      </c>
      <c r="AH225" s="1" t="str">
        <f ca="1">IFERROR(__xludf.DUMMYFUNCTION("""COMPUTED_VALUE"""),"#N/A")</f>
        <v>#N/A</v>
      </c>
      <c r="AI225" s="1"/>
    </row>
    <row r="226" spans="1:35" x14ac:dyDescent="0.2">
      <c r="A226" s="3">
        <f ca="1">IFERROR(__xludf.DUMMYFUNCTION("""COMPUTED_VALUE"""),46014.6296441319)</f>
        <v>46014.629644131899</v>
      </c>
      <c r="B226" s="1" t="str">
        <f ca="1">IFERROR(__xludf.DUMMYFUNCTION("""COMPUTED_VALUE"""),"ntuan241003@gmail.com")</f>
        <v>ntuan241003@gmail.com</v>
      </c>
      <c r="C226" s="1">
        <f ca="1">IFERROR(__xludf.DUMMYFUNCTION("""COMPUTED_VALUE"""),27212228929)</f>
        <v>27212228929</v>
      </c>
      <c r="D226" s="1" t="str">
        <f ca="1">IFERROR(__xludf.DUMMYFUNCTION("""COMPUTED_VALUE"""),"Nguyễn Đức Anh Tuấn")</f>
        <v>Nguyễn Đức Anh Tuấn</v>
      </c>
      <c r="E226" s="1"/>
      <c r="F226" s="1" t="str">
        <f ca="1">IFERROR(__xludf.DUMMYFUNCTION("""COMPUTED_VALUE"""),"K27DLK5")</f>
        <v>K27DLK5</v>
      </c>
      <c r="G226" s="1" t="str">
        <f ca="1">IFERROR(__xludf.DUMMYFUNCTION("""COMPUTED_VALUE"""),"Quản trị Du lịch &amp; Khách sạn")</f>
        <v>Quản trị Du lịch &amp; Khách sạn</v>
      </c>
      <c r="H226" s="1" t="str">
        <f ca="1">IFERROR(__xludf.DUMMYFUNCTION("""COMPUTED_VALUE"""),"K27")</f>
        <v>K27</v>
      </c>
      <c r="I226" s="1" t="str">
        <f ca="1">IFERROR(__xludf.DUMMYFUNCTION("""COMPUTED_VALUE"""),"0814567465")</f>
        <v>0814567465</v>
      </c>
      <c r="J226" s="1">
        <f ca="1">IFERROR(__xludf.DUMMYFUNCTION("""COMPUTED_VALUE"""),2.73)</f>
        <v>2.73</v>
      </c>
      <c r="K226" s="1">
        <f ca="1">IFERROR(__xludf.DUMMYFUNCTION("""COMPUTED_VALUE"""),124)</f>
        <v>124</v>
      </c>
      <c r="L226" s="1" t="str">
        <f ca="1">IFERROR(__xludf.DUMMYFUNCTION("""COMPUTED_VALUE"""),"Rồi")</f>
        <v>Rồi</v>
      </c>
      <c r="M226" s="1" t="str">
        <f ca="1">IFERROR(__xludf.DUMMYFUNCTION("""COMPUTED_VALUE"""),"Thực tập tốt nghiệp, Công nhận tốt nghiệp")</f>
        <v>Thực tập tốt nghiệp, Công nhận tốt nghiệp</v>
      </c>
      <c r="N226" s="1">
        <f ca="1">IFERROR(__xludf.DUMMYFUNCTION("""COMPUTED_VALUE"""),3)</f>
        <v>3</v>
      </c>
      <c r="O226" s="1" t="str">
        <f ca="1">IFERROR(__xludf.DUMMYFUNCTION("""COMPUTED_VALUE"""),"cam kết")</f>
        <v>cam kết</v>
      </c>
      <c r="P226" s="1" t="str">
        <f ca="1">IFERROR(__xludf.DUMMYFUNCTION("""COMPUTED_VALUE"""),"ĐÃ NỘP")</f>
        <v>ĐÃ NỘP</v>
      </c>
      <c r="Q226" s="1">
        <f ca="1">IFERROR(__xludf.DUMMYFUNCTION("""COMPUTED_VALUE"""),30)</f>
        <v>30</v>
      </c>
      <c r="R226" s="1" t="str">
        <f ca="1">IFERROR(__xludf.DUMMYFUNCTION("""COMPUTED_VALUE"""),"25/12/2025")</f>
        <v>25/12/2025</v>
      </c>
      <c r="S226" s="1" t="str">
        <f ca="1">IFERROR(__xludf.DUMMYFUNCTION("""COMPUTED_VALUE"""),"Thực tập TN")</f>
        <v>Thực tập TN</v>
      </c>
      <c r="T226" s="1" t="str">
        <f ca="1">IFERROR(__xludf.DUMMYFUNCTION("""COMPUTED_VALUE"""),"Đã email cấp giấy giới thiệu ngày 21/01/2026")</f>
        <v>Đã email cấp giấy giới thiệu ngày 21/01/2026</v>
      </c>
      <c r="U226" s="1"/>
      <c r="V226" s="1"/>
      <c r="W226" s="1" t="str">
        <f ca="1">IFERROR(__xludf.DUMMYFUNCTION("""COMPUTED_VALUE"""),"K27DLK5")</f>
        <v>K27DLK5</v>
      </c>
      <c r="X226" s="1"/>
      <c r="Y226" s="1" t="str">
        <f ca="1">IFERROR(__xludf.DUMMYFUNCTION("""COMPUTED_VALUE"""),"Hyatt Regency Danang Resort and Spa")</f>
        <v>Hyatt Regency Danang Resort and Spa</v>
      </c>
      <c r="Z226" s="1" t="str">
        <f ca="1">IFERROR(__xludf.DUMMYFUNCTION("""COMPUTED_VALUE"""),"Nhà hàng")</f>
        <v>Nhà hàng</v>
      </c>
      <c r="AA226" s="1" t="str">
        <f ca="1">IFERROR(__xludf.DUMMYFUNCTION("""COMPUTED_VALUE"""),"DUYỆT")</f>
        <v>DUYỆT</v>
      </c>
      <c r="AB226" s="1" t="str">
        <f ca="1">IFERROR(__xludf.DUMMYFUNCTION("""COMPUTED_VALUE"""),"xin nộp trễ: 06/02/2026")</f>
        <v>xin nộp trễ: 06/02/2026</v>
      </c>
      <c r="AC226" s="1" t="str">
        <f ca="1">IFERROR(__xludf.DUMMYFUNCTION("""COMPUTED_VALUE"""),"BÁO CÁO THỰC TẬP TỐT NGHIỆP")</f>
        <v>BÁO CÁO THỰC TẬP TỐT NGHIỆP</v>
      </c>
      <c r="AD226" s="1" t="str">
        <f ca="1">IFERROR(__xludf.DUMMYFUNCTION("""COMPUTED_VALUE"""),"Dương Thị Xuân Diệu")</f>
        <v>Dương Thị Xuân Diệu</v>
      </c>
      <c r="AE226" s="1" t="str">
        <f ca="1">IFERROR(__xludf.DUMMYFUNCTION("""COMPUTED_VALUE"""),"Thạc sĩ")</f>
        <v>Thạc sĩ</v>
      </c>
      <c r="AF226" s="1" t="str">
        <f ca="1">IFERROR(__xludf.DUMMYFUNCTION("""COMPUTED_VALUE"""),"0905938748")</f>
        <v>0905938748</v>
      </c>
      <c r="AG226" s="1" t="str">
        <f ca="1">IFERROR(__xludf.DUMMYFUNCTION("""COMPUTED_VALUE"""),"duongtxuandieu@dtu-hti.edu.vn")</f>
        <v>duongtxuandieu@dtu-hti.edu.vn</v>
      </c>
      <c r="AH226" s="1" t="str">
        <f ca="1">IFERROR(__xludf.DUMMYFUNCTION("""COMPUTED_VALUE"""),"Báo cáo kết quả thực tập và thực trạng cơ sở vật chất tại bộ phận Nhà hàng thuộc Hyatt Regency Danang Resort and Spa")</f>
        <v>Báo cáo kết quả thực tập và thực trạng cơ sở vật chất tại bộ phận Nhà hàng thuộc Hyatt Regency Danang Resort and Spa</v>
      </c>
      <c r="AI226" s="1"/>
    </row>
    <row r="227" spans="1:35" x14ac:dyDescent="0.2">
      <c r="A227" s="3">
        <f ca="1">IFERROR(__xludf.DUMMYFUNCTION("""COMPUTED_VALUE"""),46016.531055324)</f>
        <v>46016.531055323998</v>
      </c>
      <c r="B227" s="1" t="str">
        <f ca="1">IFERROR(__xludf.DUMMYFUNCTION("""COMPUTED_VALUE"""),"miikjkscampus@gmail.com")</f>
        <v>miikjkscampus@gmail.com</v>
      </c>
      <c r="C227" s="1">
        <f ca="1">IFERROR(__xludf.DUMMYFUNCTION("""COMPUTED_VALUE"""),25207100969)</f>
        <v>25207100969</v>
      </c>
      <c r="D227" s="1" t="str">
        <f ca="1">IFERROR(__xludf.DUMMYFUNCTION("""COMPUTED_VALUE"""),"Trương Hoạ My")</f>
        <v>Trương Hoạ My</v>
      </c>
      <c r="E227" s="1"/>
      <c r="F227" s="1" t="str">
        <f ca="1">IFERROR(__xludf.DUMMYFUNCTION("""COMPUTED_VALUE"""),"K28PSU DLK")</f>
        <v>K28PSU DLK</v>
      </c>
      <c r="G227" s="1" t="str">
        <f ca="1">IFERROR(__xludf.DUMMYFUNCTION("""COMPUTED_VALUE"""),"Quản trị Du lịch &amp; Khách sạn chuẩn PSU")</f>
        <v>Quản trị Du lịch &amp; Khách sạn chuẩn PSU</v>
      </c>
      <c r="H227" s="1" t="str">
        <f ca="1">IFERROR(__xludf.DUMMYFUNCTION("""COMPUTED_VALUE"""),"K28")</f>
        <v>K28</v>
      </c>
      <c r="I227" s="1" t="str">
        <f ca="1">IFERROR(__xludf.DUMMYFUNCTION("""COMPUTED_VALUE"""),"0899914965")</f>
        <v>0899914965</v>
      </c>
      <c r="J227" s="1">
        <f ca="1">IFERROR(__xludf.DUMMYFUNCTION("""COMPUTED_VALUE"""),3.28)</f>
        <v>3.28</v>
      </c>
      <c r="K227" s="1">
        <f ca="1">IFERROR(__xludf.DUMMYFUNCTION("""COMPUTED_VALUE"""),131)</f>
        <v>131</v>
      </c>
      <c r="L227" s="1" t="str">
        <f ca="1">IFERROR(__xludf.DUMMYFUNCTION("""COMPUTED_VALUE"""),"Rồi")</f>
        <v>Rồi</v>
      </c>
      <c r="M227" s="1" t="str">
        <f ca="1">IFERROR(__xludf.DUMMYFUNCTION("""COMPUTED_VALUE"""),"Thực tập tốt nghiệp, Thi tốt nghiệp")</f>
        <v>Thực tập tốt nghiệp, Thi tốt nghiệp</v>
      </c>
      <c r="N227" s="1">
        <f ca="1">IFERROR(__xludf.DUMMYFUNCTION("""COMPUTED_VALUE"""),6)</f>
        <v>6</v>
      </c>
      <c r="O227" s="1" t="str">
        <f ca="1">IFERROR(__xludf.DUMMYFUNCTION("""COMPUTED_VALUE"""),"cam kết")</f>
        <v>cam kết</v>
      </c>
      <c r="P227" s="1" t="str">
        <f ca="1">IFERROR(__xludf.DUMMYFUNCTION("""COMPUTED_VALUE"""),"ĐÃ NỘP")</f>
        <v>ĐÃ NỘP</v>
      </c>
      <c r="Q227" s="1">
        <f ca="1">IFERROR(__xludf.DUMMYFUNCTION("""COMPUTED_VALUE"""),36)</f>
        <v>36</v>
      </c>
      <c r="R227" s="1" t="str">
        <f ca="1">IFERROR(__xludf.DUMMYFUNCTION("""COMPUTED_VALUE"""),"27/12/2025")</f>
        <v>27/12/2025</v>
      </c>
      <c r="S227" s="1" t="str">
        <f ca="1">IFERROR(__xludf.DUMMYFUNCTION("""COMPUTED_VALUE"""),"thực tập TN, Thi TN")</f>
        <v>thực tập TN, Thi TN</v>
      </c>
      <c r="T227" s="1" t="str">
        <f ca="1">IFERROR(__xludf.DUMMYFUNCTION("""COMPUTED_VALUE"""),"đã email ngày 05/01/2026")</f>
        <v>đã email ngày 05/01/2026</v>
      </c>
      <c r="U227" s="1"/>
      <c r="V227" s="1"/>
      <c r="W227" s="1" t="str">
        <f ca="1">IFERROR(__xludf.DUMMYFUNCTION("""COMPUTED_VALUE"""),"#N/A")</f>
        <v>#N/A</v>
      </c>
      <c r="X227" s="1"/>
      <c r="Y227" s="1" t="str">
        <f ca="1">IFERROR(__xludf.DUMMYFUNCTION("""COMPUTED_VALUE"""),"#N/A")</f>
        <v>#N/A</v>
      </c>
      <c r="Z227" s="1" t="str">
        <f ca="1">IFERROR(__xludf.DUMMYFUNCTION("""COMPUTED_VALUE"""),"#N/A")</f>
        <v>#N/A</v>
      </c>
      <c r="AA227" s="1" t="str">
        <f ca="1">IFERROR(__xludf.DUMMYFUNCTION("""COMPUTED_VALUE"""),"#N/A")</f>
        <v>#N/A</v>
      </c>
      <c r="AB227" s="1" t="str">
        <f ca="1">IFERROR(__xludf.DUMMYFUNCTION("""COMPUTED_VALUE"""),"#N/A")</f>
        <v>#N/A</v>
      </c>
      <c r="AC227" s="1" t="str">
        <f ca="1">IFERROR(__xludf.DUMMYFUNCTION("""COMPUTED_VALUE"""),"BÁO CÁO THỰC TẬP TỐT NGHIỆP")</f>
        <v>BÁO CÁO THỰC TẬP TỐT NGHIỆP</v>
      </c>
      <c r="AD227" s="1">
        <f ca="1">IFERROR(__xludf.DUMMYFUNCTION("""COMPUTED_VALUE"""),0)</f>
        <v>0</v>
      </c>
      <c r="AE227" s="1"/>
      <c r="AF227" s="1"/>
      <c r="AG227" s="1"/>
      <c r="AH227" s="1" t="str">
        <f ca="1">IFERROR(__xludf.DUMMYFUNCTION("""COMPUTED_VALUE"""),"#N/A")</f>
        <v>#N/A</v>
      </c>
      <c r="AI227" s="1"/>
    </row>
    <row r="228" spans="1:35" x14ac:dyDescent="0.2">
      <c r="A228" s="3">
        <f ca="1">IFERROR(__xludf.DUMMYFUNCTION("""COMPUTED_VALUE"""),46016.777118206)</f>
        <v>46016.777118206002</v>
      </c>
      <c r="B228" s="1" t="str">
        <f ca="1">IFERROR(__xludf.DUMMYFUNCTION("""COMPUTED_VALUE"""),"trikiet2034@gmail.com")</f>
        <v>trikiet2034@gmail.com</v>
      </c>
      <c r="C228" s="1">
        <f ca="1">IFERROR(__xludf.DUMMYFUNCTION("""COMPUTED_VALUE"""),28218006296)</f>
        <v>28218006296</v>
      </c>
      <c r="D228" s="1" t="str">
        <f ca="1">IFERROR(__xludf.DUMMYFUNCTION("""COMPUTED_VALUE"""),"Lê Trí Kiệt")</f>
        <v>Lê Trí Kiệt</v>
      </c>
      <c r="E228" s="1"/>
      <c r="F228" s="1" t="str">
        <f ca="1">IFERROR(__xludf.DUMMYFUNCTION("""COMPUTED_VALUE"""),"K28PSUDLK")</f>
        <v>K28PSUDLK</v>
      </c>
      <c r="G228" s="1" t="str">
        <f ca="1">IFERROR(__xludf.DUMMYFUNCTION("""COMPUTED_VALUE"""),"Quản trị Du lịch &amp; Khách sạn chuẩn PSU")</f>
        <v>Quản trị Du lịch &amp; Khách sạn chuẩn PSU</v>
      </c>
      <c r="H228" s="1" t="str">
        <f ca="1">IFERROR(__xludf.DUMMYFUNCTION("""COMPUTED_VALUE"""),"K28")</f>
        <v>K28</v>
      </c>
      <c r="I228" s="1" t="str">
        <f ca="1">IFERROR(__xludf.DUMMYFUNCTION("""COMPUTED_VALUE"""),"0834200304")</f>
        <v>0834200304</v>
      </c>
      <c r="J228" s="1">
        <f ca="1">IFERROR(__xludf.DUMMYFUNCTION("""COMPUTED_VALUE"""),3)</f>
        <v>3</v>
      </c>
      <c r="K228" s="1">
        <f ca="1">IFERROR(__xludf.DUMMYFUNCTION("""COMPUTED_VALUE"""),109)</f>
        <v>109</v>
      </c>
      <c r="L228" s="1" t="str">
        <f ca="1">IFERROR(__xludf.DUMMYFUNCTION("""COMPUTED_VALUE"""),"Rồi")</f>
        <v>Rồi</v>
      </c>
      <c r="M228" s="1" t="str">
        <f ca="1">IFERROR(__xludf.DUMMYFUNCTION("""COMPUTED_VALUE"""),"Thực tập tốt nghiệp")</f>
        <v>Thực tập tốt nghiệp</v>
      </c>
      <c r="N228" s="1">
        <f ca="1">IFERROR(__xludf.DUMMYFUNCTION("""COMPUTED_VALUE"""),8)</f>
        <v>8</v>
      </c>
      <c r="O228" s="1" t="str">
        <f ca="1">IFERROR(__xludf.DUMMYFUNCTION("""COMPUTED_VALUE"""),"cam kết")</f>
        <v>cam kết</v>
      </c>
      <c r="P228" s="1"/>
      <c r="Q228" s="1"/>
      <c r="R228" s="1" t="str">
        <f ca="1">IFERROR(__xludf.DUMMYFUNCTION("""COMPUTED_VALUE"""),"27/12/2025")</f>
        <v>27/12/2025</v>
      </c>
      <c r="S228" s="1" t="str">
        <f ca="1">IFERROR(__xludf.DUMMYFUNCTION("""COMPUTED_VALUE"""),"thực tập TN, Thi TN")</f>
        <v>thực tập TN, Thi TN</v>
      </c>
      <c r="T228" s="1" t="str">
        <f ca="1">IFERROR(__xludf.DUMMYFUNCTION("""COMPUTED_VALUE"""),"đã email ngày 05/01/2026")</f>
        <v>đã email ngày 05/01/2026</v>
      </c>
      <c r="U228" s="1"/>
      <c r="V228" s="1"/>
      <c r="W228" s="1" t="str">
        <f ca="1">IFERROR(__xludf.DUMMYFUNCTION("""COMPUTED_VALUE"""),"K28PSU-DLK")</f>
        <v>K28PSU-DLK</v>
      </c>
      <c r="X228" s="1"/>
      <c r="Y228" s="1" t="str">
        <f ca="1">IFERROR(__xludf.DUMMYFUNCTION("""COMPUTED_VALUE"""),"Sheraton &amp; Four Points by Sheraton Hong Kong")</f>
        <v>Sheraton &amp; Four Points by Sheraton Hong Kong</v>
      </c>
      <c r="Z228" s="1" t="str">
        <f ca="1">IFERROR(__xludf.DUMMYFUNCTION("""COMPUTED_VALUE"""),"Buồng phòng")</f>
        <v>Buồng phòng</v>
      </c>
      <c r="AA228" s="1" t="str">
        <f ca="1">IFERROR(__xludf.DUMMYFUNCTION("""COMPUTED_VALUE"""),"DUYỆT")</f>
        <v>DUYỆT</v>
      </c>
      <c r="AB228" s="1"/>
      <c r="AC228" s="1" t="str">
        <f ca="1">IFERROR(__xludf.DUMMYFUNCTION("""COMPUTED_VALUE"""),"BÁO CÁO THỰC TẬP TỐT NGHIỆP")</f>
        <v>BÁO CÁO THỰC TẬP TỐT NGHIỆP</v>
      </c>
      <c r="AD228" s="1"/>
      <c r="AE228" s="1"/>
      <c r="AF228" s="1"/>
      <c r="AG228" s="1"/>
      <c r="AH228" s="1" t="str">
        <f ca="1">IFERROR(__xludf.DUMMYFUNCTION("""COMPUTED_VALUE"""),"#N/A")</f>
        <v>#N/A</v>
      </c>
      <c r="AI228" s="1"/>
    </row>
    <row r="229" spans="1:35" x14ac:dyDescent="0.2">
      <c r="A229" s="3">
        <f ca="1">IFERROR(__xludf.DUMMYFUNCTION("""COMPUTED_VALUE"""),46018.2765073032)</f>
        <v>46018.276507303199</v>
      </c>
      <c r="B229" s="1" t="str">
        <f ca="1">IFERROR(__xludf.DUMMYFUNCTION("""COMPUTED_VALUE"""),"anhque2206@gmail.com")</f>
        <v>anhque2206@gmail.com</v>
      </c>
      <c r="C229" s="1">
        <f ca="1">IFERROR(__xludf.DUMMYFUNCTION("""COMPUTED_VALUE"""),27207127979)</f>
        <v>27207127979</v>
      </c>
      <c r="D229" s="1" t="str">
        <f ca="1">IFERROR(__xludf.DUMMYFUNCTION("""COMPUTED_VALUE"""),"Văn Quế Anh")</f>
        <v>Văn Quế Anh</v>
      </c>
      <c r="E229" s="1"/>
      <c r="F229" s="1" t="str">
        <f ca="1">IFERROR(__xludf.DUMMYFUNCTION("""COMPUTED_VALUE"""),"K27DLK5")</f>
        <v>K27DLK5</v>
      </c>
      <c r="G229" s="1" t="str">
        <f ca="1">IFERROR(__xludf.DUMMYFUNCTION("""COMPUTED_VALUE"""),"Quản trị Du lịch &amp; Khách sạn")</f>
        <v>Quản trị Du lịch &amp; Khách sạn</v>
      </c>
      <c r="H229" s="1" t="str">
        <f ca="1">IFERROR(__xludf.DUMMYFUNCTION("""COMPUTED_VALUE"""),"K27")</f>
        <v>K27</v>
      </c>
      <c r="I229" s="1" t="str">
        <f ca="1">IFERROR(__xludf.DUMMYFUNCTION("""COMPUTED_VALUE"""),"0794233679")</f>
        <v>0794233679</v>
      </c>
      <c r="J229" s="1">
        <f ca="1">IFERROR(__xludf.DUMMYFUNCTION("""COMPUTED_VALUE"""),2.31)</f>
        <v>2.31</v>
      </c>
      <c r="K229" s="1">
        <f ca="1">IFERROR(__xludf.DUMMYFUNCTION("""COMPUTED_VALUE"""),121)</f>
        <v>121</v>
      </c>
      <c r="L229" s="1" t="str">
        <f ca="1">IFERROR(__xludf.DUMMYFUNCTION("""COMPUTED_VALUE"""),"Rồi")</f>
        <v>Rồi</v>
      </c>
      <c r="M229" s="1" t="str">
        <f ca="1">IFERROR(__xludf.DUMMYFUNCTION("""COMPUTED_VALUE"""),"Thực tập tốt nghiệp")</f>
        <v>Thực tập tốt nghiệp</v>
      </c>
      <c r="N229" s="1">
        <f ca="1">IFERROR(__xludf.DUMMYFUNCTION("""COMPUTED_VALUE"""),3)</f>
        <v>3</v>
      </c>
      <c r="O229" s="1" t="str">
        <f ca="1">IFERROR(__xludf.DUMMYFUNCTION("""COMPUTED_VALUE"""),"cam kết")</f>
        <v>cam kết</v>
      </c>
      <c r="P229" s="1" t="str">
        <f ca="1">IFERROR(__xludf.DUMMYFUNCTION("""COMPUTED_VALUE"""),"ĐÃ NỘP")</f>
        <v>ĐÃ NỘP</v>
      </c>
      <c r="Q229" s="1">
        <f ca="1">IFERROR(__xludf.DUMMYFUNCTION("""COMPUTED_VALUE"""),32)</f>
        <v>32</v>
      </c>
      <c r="R229" s="1" t="str">
        <f ca="1">IFERROR(__xludf.DUMMYFUNCTION("""COMPUTED_VALUE"""),"27/12/2025")</f>
        <v>27/12/2025</v>
      </c>
      <c r="S229" s="1" t="str">
        <f ca="1">IFERROR(__xludf.DUMMYFUNCTION("""COMPUTED_VALUE"""),"thực tập TN, Thi TN")</f>
        <v>thực tập TN, Thi TN</v>
      </c>
      <c r="T229" s="1" t="str">
        <f ca="1">IFERROR(__xludf.DUMMYFUNCTION("""COMPUTED_VALUE"""),"đã email ngày 20/01/2026")</f>
        <v>đã email ngày 20/01/2026</v>
      </c>
      <c r="U229" s="1"/>
      <c r="V229" s="1"/>
      <c r="W229" s="1" t="str">
        <f ca="1">IFERROR(__xludf.DUMMYFUNCTION("""COMPUTED_VALUE"""),"K27DLK5")</f>
        <v>K27DLK5</v>
      </c>
      <c r="X229" s="1"/>
      <c r="Y229" s="1" t="str">
        <f ca="1">IFERROR(__xludf.DUMMYFUNCTION("""COMPUTED_VALUE"""),"Radisson Hotel Danang")</f>
        <v>Radisson Hotel Danang</v>
      </c>
      <c r="Z229" s="1" t="str">
        <f ca="1">IFERROR(__xludf.DUMMYFUNCTION("""COMPUTED_VALUE"""),"Nhà hàng")</f>
        <v>Nhà hàng</v>
      </c>
      <c r="AA229" s="1" t="str">
        <f ca="1">IFERROR(__xludf.DUMMYFUNCTION("""COMPUTED_VALUE"""),"DUYỆT")</f>
        <v>DUYỆT</v>
      </c>
      <c r="AB229" s="1" t="str">
        <f ca="1">IFERROR(__xludf.DUMMYFUNCTION("""COMPUTED_VALUE"""),"28/01/2026")</f>
        <v>28/01/2026</v>
      </c>
      <c r="AC229" s="1" t="str">
        <f ca="1">IFERROR(__xludf.DUMMYFUNCTION("""COMPUTED_VALUE"""),"BÁO CÁO THỰC TẬP TỐT NGHIỆP")</f>
        <v>BÁO CÁO THỰC TẬP TỐT NGHIỆP</v>
      </c>
      <c r="AD229" s="1" t="str">
        <f ca="1">IFERROR(__xludf.DUMMYFUNCTION("""COMPUTED_VALUE"""),"Mai Thị Thương")</f>
        <v>Mai Thị Thương</v>
      </c>
      <c r="AE229" s="1" t="str">
        <f ca="1">IFERROR(__xludf.DUMMYFUNCTION("""COMPUTED_VALUE"""),"Thạc sĩ")</f>
        <v>Thạc sĩ</v>
      </c>
      <c r="AF229" s="1" t="str">
        <f ca="1">IFERROR(__xludf.DUMMYFUNCTION("""COMPUTED_VALUE"""),"0905767050")</f>
        <v>0905767050</v>
      </c>
      <c r="AG229" s="1" t="str">
        <f ca="1">IFERROR(__xludf.DUMMYFUNCTION("""COMPUTED_VALUE"""),"maithithuong@dtu-hti.edu.vn")</f>
        <v>maithithuong@dtu-hti.edu.vn</v>
      </c>
      <c r="AH229" s="1" t="str">
        <f ca="1">IFERROR(__xludf.DUMMYFUNCTION("""COMPUTED_VALUE""")," Báo cáo kết quả thực tập và thực trạng về các yếu tố ảnh hưởng đến chất lượng phục vụ tại nhà hàng The Market Place thuộc khách sạn Radisson Hotel Danang")</f>
        <v xml:space="preserve"> Báo cáo kết quả thực tập và thực trạng về các yếu tố ảnh hưởng đến chất lượng phục vụ tại nhà hàng The Market Place thuộc khách sạn Radisson Hotel Danang</v>
      </c>
      <c r="AI229" s="1"/>
    </row>
    <row r="230" spans="1:35" x14ac:dyDescent="0.2">
      <c r="A230" s="3">
        <f ca="1">IFERROR(__xludf.DUMMYFUNCTION("""COMPUTED_VALUE"""),46018.688324375)</f>
        <v>46018.688324374998</v>
      </c>
      <c r="B230" s="1" t="str">
        <f ca="1">IFERROR(__xludf.DUMMYFUNCTION("""COMPUTED_VALUE"""),"vietha19112002@gmail.com")</f>
        <v>vietha19112002@gmail.com</v>
      </c>
      <c r="C230" s="1">
        <f ca="1">IFERROR(__xludf.DUMMYFUNCTION("""COMPUTED_VALUE"""),27207124538)</f>
        <v>27207124538</v>
      </c>
      <c r="D230" s="1" t="str">
        <f ca="1">IFERROR(__xludf.DUMMYFUNCTION("""COMPUTED_VALUE"""),"Nguyễn Việt Hà")</f>
        <v>Nguyễn Việt Hà</v>
      </c>
      <c r="E230" s="1"/>
      <c r="F230" s="1" t="str">
        <f ca="1">IFERROR(__xludf.DUMMYFUNCTION("""COMPUTED_VALUE"""),"k27DLK 6")</f>
        <v>k27DLK 6</v>
      </c>
      <c r="G230" s="1" t="str">
        <f ca="1">IFERROR(__xludf.DUMMYFUNCTION("""COMPUTED_VALUE"""),"Quản trị Du lịch &amp; Khách sạn")</f>
        <v>Quản trị Du lịch &amp; Khách sạn</v>
      </c>
      <c r="H230" s="1" t="str">
        <f ca="1">IFERROR(__xludf.DUMMYFUNCTION("""COMPUTED_VALUE"""),"K27")</f>
        <v>K27</v>
      </c>
      <c r="I230" s="1" t="str">
        <f ca="1">IFERROR(__xludf.DUMMYFUNCTION("""COMPUTED_VALUE"""),"0963072146")</f>
        <v>0963072146</v>
      </c>
      <c r="J230" s="1">
        <f ca="1">IFERROR(__xludf.DUMMYFUNCTION("""COMPUTED_VALUE"""),2.3)</f>
        <v>2.2999999999999998</v>
      </c>
      <c r="K230" s="1">
        <f ca="1">IFERROR(__xludf.DUMMYFUNCTION("""COMPUTED_VALUE"""),130)</f>
        <v>130</v>
      </c>
      <c r="L230" s="1" t="str">
        <f ca="1">IFERROR(__xludf.DUMMYFUNCTION("""COMPUTED_VALUE"""),"Rồi")</f>
        <v>Rồi</v>
      </c>
      <c r="M230" s="1" t="str">
        <f ca="1">IFERROR(__xludf.DUMMYFUNCTION("""COMPUTED_VALUE"""),"Thực tập tốt nghiệp, Công nhận tốt nghiệp")</f>
        <v>Thực tập tốt nghiệp, Công nhận tốt nghiệp</v>
      </c>
      <c r="N230" s="1">
        <f ca="1">IFERROR(__xludf.DUMMYFUNCTION("""COMPUTED_VALUE"""),0)</f>
        <v>0</v>
      </c>
      <c r="O230" s="1" t="str">
        <f ca="1">IFERROR(__xludf.DUMMYFUNCTION("""COMPUTED_VALUE"""),"cam kết")</f>
        <v>cam kết</v>
      </c>
      <c r="P230" s="1" t="str">
        <f ca="1">IFERROR(__xludf.DUMMYFUNCTION("""COMPUTED_VALUE"""),"ĐÃ NỘP")</f>
        <v>ĐÃ NỘP</v>
      </c>
      <c r="Q230" s="1">
        <f ca="1">IFERROR(__xludf.DUMMYFUNCTION("""COMPUTED_VALUE"""),33)</f>
        <v>33</v>
      </c>
      <c r="R230" s="1" t="str">
        <f ca="1">IFERROR(__xludf.DUMMYFUNCTION("""COMPUTED_VALUE"""),"27/12/2025")</f>
        <v>27/12/2025</v>
      </c>
      <c r="S230" s="1" t="str">
        <f ca="1">IFERROR(__xludf.DUMMYFUNCTION("""COMPUTED_VALUE"""),"Thực tập TN")</f>
        <v>Thực tập TN</v>
      </c>
      <c r="T230" s="1"/>
      <c r="U230" s="1"/>
      <c r="V230" s="1"/>
      <c r="W230" s="1" t="str">
        <f ca="1">IFERROR(__xludf.DUMMYFUNCTION("""COMPUTED_VALUE"""),"K27DLK6")</f>
        <v>K27DLK6</v>
      </c>
      <c r="X230" s="1"/>
      <c r="Y230" s="1" t="str">
        <f ca="1">IFERROR(__xludf.DUMMYFUNCTION("""COMPUTED_VALUE"""),"Danang Marriott Resort &amp; Spa")</f>
        <v>Danang Marriott Resort &amp; Spa</v>
      </c>
      <c r="Z230" s="1" t="str">
        <f ca="1">IFERROR(__xludf.DUMMYFUNCTION("""COMPUTED_VALUE"""),"Buồng phòng")</f>
        <v>Buồng phòng</v>
      </c>
      <c r="AA230" s="1" t="str">
        <f ca="1">IFERROR(__xludf.DUMMYFUNCTION("""COMPUTED_VALUE"""),"DUYỆT")</f>
        <v>DUYỆT</v>
      </c>
      <c r="AB230" s="1" t="str">
        <f ca="1">IFERROR(__xludf.DUMMYFUNCTION("""COMPUTED_VALUE"""),"19/01/2026")</f>
        <v>19/01/2026</v>
      </c>
      <c r="AC230" s="1" t="str">
        <f ca="1">IFERROR(__xludf.DUMMYFUNCTION("""COMPUTED_VALUE"""),"BÁO CÁO THỰC TẬP TỐT NGHIỆP")</f>
        <v>BÁO CÁO THỰC TẬP TỐT NGHIỆP</v>
      </c>
      <c r="AD230" s="1" t="str">
        <f ca="1">IFERROR(__xludf.DUMMYFUNCTION("""COMPUTED_VALUE"""),"Mai Thị Thương")</f>
        <v>Mai Thị Thương</v>
      </c>
      <c r="AE230" s="1" t="str">
        <f ca="1">IFERROR(__xludf.DUMMYFUNCTION("""COMPUTED_VALUE"""),"Thạc sĩ")</f>
        <v>Thạc sĩ</v>
      </c>
      <c r="AF230" s="1" t="str">
        <f ca="1">IFERROR(__xludf.DUMMYFUNCTION("""COMPUTED_VALUE"""),"0905767050")</f>
        <v>0905767050</v>
      </c>
      <c r="AG230" s="1" t="str">
        <f ca="1">IFERROR(__xludf.DUMMYFUNCTION("""COMPUTED_VALUE"""),"maithithuong@dtu-hti.edu.vn")</f>
        <v>maithithuong@dtu-hti.edu.vn</v>
      </c>
      <c r="AH230" s="1" t="str">
        <f ca="1">IFERROR(__xludf.DUMMYFUNCTION("""COMPUTED_VALUE"""),"Báo cáo kết quả thực tập và thực trạng về quy trình vệ sinh khu vực công cộng tại bộ phận buồng phòng thuộc Danang Marriott Resort &amp; Spa")</f>
        <v>Báo cáo kết quả thực tập và thực trạng về quy trình vệ sinh khu vực công cộng tại bộ phận buồng phòng thuộc Danang Marriott Resort &amp; Spa</v>
      </c>
      <c r="AI230" s="1"/>
    </row>
    <row r="231" spans="1:35" x14ac:dyDescent="0.2">
      <c r="A231" s="3">
        <f ca="1">IFERROR(__xludf.DUMMYFUNCTION("""COMPUTED_VALUE"""),46021.6071905555)</f>
        <v>46021.6071905555</v>
      </c>
      <c r="B231" s="1" t="str">
        <f ca="1">IFERROR(__xludf.DUMMYFUNCTION("""COMPUTED_VALUE"""),"dotruonggiang31012002@gmail.com")</f>
        <v>dotruonggiang31012002@gmail.com</v>
      </c>
      <c r="C231" s="1">
        <f ca="1">IFERROR(__xludf.DUMMYFUNCTION("""COMPUTED_VALUE"""),26217134132)</f>
        <v>26217134132</v>
      </c>
      <c r="D231" s="1" t="str">
        <f ca="1">IFERROR(__xludf.DUMMYFUNCTION("""COMPUTED_VALUE"""),"Đỗ Trường Giang")</f>
        <v>Đỗ Trường Giang</v>
      </c>
      <c r="E231" s="1"/>
      <c r="F231" s="1" t="str">
        <f ca="1">IFERROR(__xludf.DUMMYFUNCTION("""COMPUTED_VALUE"""),"K26DLK8")</f>
        <v>K26DLK8</v>
      </c>
      <c r="G231" s="1" t="str">
        <f ca="1">IFERROR(__xludf.DUMMYFUNCTION("""COMPUTED_VALUE"""),"Quản trị Du lịch &amp; Khách sạn")</f>
        <v>Quản trị Du lịch &amp; Khách sạn</v>
      </c>
      <c r="H231" s="1" t="str">
        <f ca="1">IFERROR(__xludf.DUMMYFUNCTION("""COMPUTED_VALUE"""),"K26")</f>
        <v>K26</v>
      </c>
      <c r="I231" s="1" t="str">
        <f ca="1">IFERROR(__xludf.DUMMYFUNCTION("""COMPUTED_VALUE"""),"0346184440")</f>
        <v>0346184440</v>
      </c>
      <c r="J231" s="1">
        <f ca="1">IFERROR(__xludf.DUMMYFUNCTION("""COMPUTED_VALUE"""),2.26)</f>
        <v>2.2599999999999998</v>
      </c>
      <c r="K231" s="1">
        <f ca="1">IFERROR(__xludf.DUMMYFUNCTION("""COMPUTED_VALUE"""),127)</f>
        <v>127</v>
      </c>
      <c r="L231" s="1" t="str">
        <f ca="1">IFERROR(__xludf.DUMMYFUNCTION("""COMPUTED_VALUE"""),"Rồi")</f>
        <v>Rồi</v>
      </c>
      <c r="M231" s="1" t="str">
        <f ca="1">IFERROR(__xludf.DUMMYFUNCTION("""COMPUTED_VALUE"""),"Thực tập tốt nghiệp, Thi tốt nghiệp, Công nhận tốt nghiệp")</f>
        <v>Thực tập tốt nghiệp, Thi tốt nghiệp, Công nhận tốt nghiệp</v>
      </c>
      <c r="N231" s="1" t="str">
        <f ca="1">IFERROR(__xludf.DUMMYFUNCTION("""COMPUTED_VALUE"""),"0 tín chỉ")</f>
        <v>0 tín chỉ</v>
      </c>
      <c r="O231" s="1" t="str">
        <f ca="1">IFERROR(__xludf.DUMMYFUNCTION("""COMPUTED_VALUE"""),"cam kết")</f>
        <v>cam kết</v>
      </c>
      <c r="P231" s="1" t="str">
        <f ca="1">IFERROR(__xludf.DUMMYFUNCTION("""COMPUTED_VALUE"""),"ĐÃ NỘP")</f>
        <v>ĐÃ NỘP</v>
      </c>
      <c r="Q231" s="1">
        <f ca="1">IFERROR(__xludf.DUMMYFUNCTION("""COMPUTED_VALUE"""),31)</f>
        <v>31</v>
      </c>
      <c r="R231" s="1" t="str">
        <f ca="1">IFERROR(__xludf.DUMMYFUNCTION("""COMPUTED_VALUE"""),"31/12/2025")</f>
        <v>31/12/2025</v>
      </c>
      <c r="S231" s="1" t="str">
        <f ca="1">IFERROR(__xludf.DUMMYFUNCTION("""COMPUTED_VALUE"""),"thực tập TN, Thi TN")</f>
        <v>thực tập TN, Thi TN</v>
      </c>
      <c r="T231" s="1" t="str">
        <f ca="1">IFERROR(__xludf.DUMMYFUNCTION("""COMPUTED_VALUE"""),"đã email cấp giấy giới thiệu ngày 16/01/2026")</f>
        <v>đã email cấp giấy giới thiệu ngày 16/01/2026</v>
      </c>
      <c r="U231" s="1"/>
      <c r="V231" s="1"/>
      <c r="W231" s="1" t="str">
        <f ca="1">IFERROR(__xludf.DUMMYFUNCTION("""COMPUTED_VALUE"""),"K26DLK8")</f>
        <v>K26DLK8</v>
      </c>
      <c r="X231" s="1"/>
      <c r="Y231" s="1" t="str">
        <f ca="1">IFERROR(__xludf.DUMMYFUNCTION("""COMPUTED_VALUE"""),"DLG Hotel Danang")</f>
        <v>DLG Hotel Danang</v>
      </c>
      <c r="Z231" s="1" t="str">
        <f ca="1">IFERROR(__xludf.DUMMYFUNCTION("""COMPUTED_VALUE"""),"Nhà hàng")</f>
        <v>Nhà hàng</v>
      </c>
      <c r="AA231" s="1" t="str">
        <f ca="1">IFERROR(__xludf.DUMMYFUNCTION("""COMPUTED_VALUE"""),"DUYỆT")</f>
        <v>DUYỆT</v>
      </c>
      <c r="AB231" s="1" t="str">
        <f ca="1">IFERROR(__xludf.DUMMYFUNCTION("""COMPUTED_VALUE"""),"23/01/2026")</f>
        <v>23/01/2026</v>
      </c>
      <c r="AC231" s="1" t="str">
        <f ca="1">IFERROR(__xludf.DUMMYFUNCTION("""COMPUTED_VALUE"""),"BÁO CÁO THỰC TẬP TỐT NGHIỆP")</f>
        <v>BÁO CÁO THỰC TẬP TỐT NGHIỆP</v>
      </c>
      <c r="AD231" s="1" t="str">
        <f ca="1">IFERROR(__xludf.DUMMYFUNCTION("""COMPUTED_VALUE"""),"Dương Thị Xuân Diệu")</f>
        <v>Dương Thị Xuân Diệu</v>
      </c>
      <c r="AE231" s="1" t="str">
        <f ca="1">IFERROR(__xludf.DUMMYFUNCTION("""COMPUTED_VALUE"""),"Thạc sĩ")</f>
        <v>Thạc sĩ</v>
      </c>
      <c r="AF231" s="1" t="str">
        <f ca="1">IFERROR(__xludf.DUMMYFUNCTION("""COMPUTED_VALUE"""),"0905938748")</f>
        <v>0905938748</v>
      </c>
      <c r="AG231" s="1" t="str">
        <f ca="1">IFERROR(__xludf.DUMMYFUNCTION("""COMPUTED_VALUE"""),"duongtxuandieu@dtu-hti.edu.vn")</f>
        <v>duongtxuandieu@dtu-hti.edu.vn</v>
      </c>
      <c r="AH231" s="1" t="str">
        <f ca="1">IFERROR(__xludf.DUMMYFUNCTION("""COMPUTED_VALUE"""),"Báo cáo kết quả thực tập và thực trạng nguồn nhân lực tại bộ phận nhà hàng The Sea của khách sạn DLG Hotel")</f>
        <v>Báo cáo kết quả thực tập và thực trạng nguồn nhân lực tại bộ phận nhà hàng The Sea của khách sạn DLG Hotel</v>
      </c>
      <c r="AI231" s="1"/>
    </row>
    <row r="232" spans="1:35" x14ac:dyDescent="0.2">
      <c r="A232" s="3">
        <f ca="1">IFERROR(__xludf.DUMMYFUNCTION("""COMPUTED_VALUE"""),46027.5370955092)</f>
        <v>46027.5370955092</v>
      </c>
      <c r="B232" s="1" t="str">
        <f ca="1">IFERROR(__xludf.DUMMYFUNCTION("""COMPUTED_VALUE"""),"thaoly53b@gmail.com")</f>
        <v>thaoly53b@gmail.com</v>
      </c>
      <c r="C232" s="1">
        <f ca="1">IFERROR(__xludf.DUMMYFUNCTION("""COMPUTED_VALUE"""),25207108683)</f>
        <v>25207108683</v>
      </c>
      <c r="D232" s="1" t="str">
        <f ca="1">IFERROR(__xludf.DUMMYFUNCTION("""COMPUTED_VALUE"""),"Nguyễn Thị Thảo Ly")</f>
        <v>Nguyễn Thị Thảo Ly</v>
      </c>
      <c r="E232" s="1"/>
      <c r="F232" s="1" t="str">
        <f ca="1">IFERROR(__xludf.DUMMYFUNCTION("""COMPUTED_VALUE"""),"K28 PSU DLK")</f>
        <v>K28 PSU DLK</v>
      </c>
      <c r="G232" s="1" t="str">
        <f ca="1">IFERROR(__xludf.DUMMYFUNCTION("""COMPUTED_VALUE"""),"Quản trị Du lịch &amp; Khách sạn chuẩn PSU")</f>
        <v>Quản trị Du lịch &amp; Khách sạn chuẩn PSU</v>
      </c>
      <c r="H232" s="1" t="str">
        <f ca="1">IFERROR(__xludf.DUMMYFUNCTION("""COMPUTED_VALUE"""),"K28")</f>
        <v>K28</v>
      </c>
      <c r="I232" s="1" t="str">
        <f ca="1">IFERROR(__xludf.DUMMYFUNCTION("""COMPUTED_VALUE"""),"0706702940")</f>
        <v>0706702940</v>
      </c>
      <c r="J232" s="1">
        <f ca="1">IFERROR(__xludf.DUMMYFUNCTION("""COMPUTED_VALUE"""),3.5)</f>
        <v>3.5</v>
      </c>
      <c r="K232" s="1">
        <f ca="1">IFERROR(__xludf.DUMMYFUNCTION("""COMPUTED_VALUE"""),141)</f>
        <v>141</v>
      </c>
      <c r="L232" s="1" t="str">
        <f ca="1">IFERROR(__xludf.DUMMYFUNCTION("""COMPUTED_VALUE"""),"Rồi")</f>
        <v>Rồi</v>
      </c>
      <c r="M232" s="1" t="str">
        <f ca="1">IFERROR(__xludf.DUMMYFUNCTION("""COMPUTED_VALUE"""),"Công nhận tốt nghiệp")</f>
        <v>Công nhận tốt nghiệp</v>
      </c>
      <c r="N232" s="1">
        <f ca="1">IFERROR(__xludf.DUMMYFUNCTION("""COMPUTED_VALUE"""),3)</f>
        <v>3</v>
      </c>
      <c r="O232" s="1" t="str">
        <f ca="1">IFERROR(__xludf.DUMMYFUNCTION("""COMPUTED_VALUE"""),"cam kết")</f>
        <v>cam kết</v>
      </c>
      <c r="P232" s="1"/>
      <c r="Q232" s="1"/>
      <c r="R232" s="1"/>
      <c r="S232" s="1" t="str">
        <f ca="1">IFERROR(__xludf.DUMMYFUNCTION("""COMPUTED_VALUE"""),"xét công nhận TN")</f>
        <v>xét công nhận TN</v>
      </c>
      <c r="T232" s="1"/>
      <c r="U232" s="1"/>
      <c r="V232" s="1"/>
      <c r="W232" s="1" t="str">
        <f ca="1">IFERROR(__xludf.DUMMYFUNCTION("""COMPUTED_VALUE"""),"K28PSU-DLK")</f>
        <v>K28PSU-DLK</v>
      </c>
      <c r="X232" s="1"/>
      <c r="Y232" s="1" t="str">
        <f ca="1">IFERROR(__xludf.DUMMYFUNCTION("""COMPUTED_VALUE"""),"#N/A")</f>
        <v>#N/A</v>
      </c>
      <c r="Z232" s="1" t="str">
        <f ca="1">IFERROR(__xludf.DUMMYFUNCTION("""COMPUTED_VALUE"""),"#N/A")</f>
        <v>#N/A</v>
      </c>
      <c r="AA232" s="1" t="str">
        <f ca="1">IFERROR(__xludf.DUMMYFUNCTION("""COMPUTED_VALUE"""),"#N/A")</f>
        <v>#N/A</v>
      </c>
      <c r="AB232" s="1" t="str">
        <f ca="1">IFERROR(__xludf.DUMMYFUNCTION("""COMPUTED_VALUE"""),"#N/A")</f>
        <v>#N/A</v>
      </c>
      <c r="AC232" s="1" t="str">
        <f ca="1">IFERROR(__xludf.DUMMYFUNCTION("""COMPUTED_VALUE""")," ")</f>
        <v xml:space="preserve"> </v>
      </c>
      <c r="AD232" s="1"/>
      <c r="AE232" s="1"/>
      <c r="AF232" s="1"/>
      <c r="AG232" s="1"/>
      <c r="AH232" s="1"/>
      <c r="AI232" s="1"/>
    </row>
    <row r="233" spans="1:35" x14ac:dyDescent="0.2">
      <c r="A233" s="3">
        <f ca="1">IFERROR(__xludf.DUMMYFUNCTION("""COMPUTED_VALUE"""),46028.6512321064)</f>
        <v>46028.6512321064</v>
      </c>
      <c r="B233" s="1" t="str">
        <f ca="1">IFERROR(__xludf.DUMMYFUNCTION("""COMPUTED_VALUE"""),"chauvan30704@gmail.com")</f>
        <v>chauvan30704@gmail.com</v>
      </c>
      <c r="C233" s="1">
        <f ca="1">IFERROR(__xludf.DUMMYFUNCTION("""COMPUTED_VALUE"""),28218006061)</f>
        <v>28218006061</v>
      </c>
      <c r="D233" s="1" t="str">
        <f ca="1">IFERROR(__xludf.DUMMYFUNCTION("""COMPUTED_VALUE"""),"Nguyễn Văn Châu ")</f>
        <v xml:space="preserve">Nguyễn Văn Châu </v>
      </c>
      <c r="E233" s="1"/>
      <c r="F233" s="1" t="str">
        <f ca="1">IFERROR(__xludf.DUMMYFUNCTION("""COMPUTED_VALUE"""),"K28DLK6")</f>
        <v>K28DLK6</v>
      </c>
      <c r="G233" s="1" t="str">
        <f ca="1">IFERROR(__xludf.DUMMYFUNCTION("""COMPUTED_VALUE"""),"Quản trị Du lịch &amp; Khách sạn")</f>
        <v>Quản trị Du lịch &amp; Khách sạn</v>
      </c>
      <c r="H233" s="1" t="str">
        <f ca="1">IFERROR(__xludf.DUMMYFUNCTION("""COMPUTED_VALUE"""),"K28")</f>
        <v>K28</v>
      </c>
      <c r="I233" s="1" t="str">
        <f ca="1">IFERROR(__xludf.DUMMYFUNCTION("""COMPUTED_VALUE"""),"0773614265")</f>
        <v>0773614265</v>
      </c>
      <c r="J233" s="1">
        <f ca="1">IFERROR(__xludf.DUMMYFUNCTION("""COMPUTED_VALUE"""),2.2)</f>
        <v>2.2000000000000002</v>
      </c>
      <c r="K233" s="1">
        <f ca="1">IFERROR(__xludf.DUMMYFUNCTION("""COMPUTED_VALUE"""),113)</f>
        <v>113</v>
      </c>
      <c r="L233" s="1" t="str">
        <f ca="1">IFERROR(__xludf.DUMMYFUNCTION("""COMPUTED_VALUE"""),"Rồi")</f>
        <v>Rồi</v>
      </c>
      <c r="M233" s="1" t="str">
        <f ca="1">IFERROR(__xludf.DUMMYFUNCTION("""COMPUTED_VALUE"""),"Thực tập tốt nghiệp, Thi tốt nghiệp, Công nhận tốt nghiệp")</f>
        <v>Thực tập tốt nghiệp, Thi tốt nghiệp, Công nhận tốt nghiệp</v>
      </c>
      <c r="N233" s="1" t="str">
        <f ca="1">IFERROR(__xludf.DUMMYFUNCTION("""COMPUTED_VALUE"""),"13 Tín")</f>
        <v>13 Tín</v>
      </c>
      <c r="O233" s="1" t="str">
        <f ca="1">IFERROR(__xludf.DUMMYFUNCTION("""COMPUTED_VALUE"""),"cam kết")</f>
        <v>cam kết</v>
      </c>
      <c r="P233" s="1"/>
      <c r="Q233" s="1"/>
      <c r="R233" s="1"/>
      <c r="S233" s="1" t="str">
        <f ca="1">IFERROR(__xludf.DUMMYFUNCTION("""COMPUTED_VALUE"""),"thực tập TN, Thi TN")</f>
        <v>thực tập TN, Thi TN</v>
      </c>
      <c r="T233" s="1" t="str">
        <f ca="1">IFERROR(__xludf.DUMMYFUNCTION("""COMPUTED_VALUE"""),"đã email ngày 09/01/2026")</f>
        <v>đã email ngày 09/01/2026</v>
      </c>
      <c r="U233" s="1"/>
      <c r="V233" s="1"/>
      <c r="W233" s="1" t="str">
        <f ca="1">IFERROR(__xludf.DUMMYFUNCTION("""COMPUTED_VALUE"""),"K28DLK6")</f>
        <v>K28DLK6</v>
      </c>
      <c r="X233" s="1"/>
      <c r="Y233" s="1" t="str">
        <f ca="1">IFERROR(__xludf.DUMMYFUNCTION("""COMPUTED_VALUE"""),"Hilton Da Nang")</f>
        <v>Hilton Da Nang</v>
      </c>
      <c r="Z233" s="1" t="str">
        <f ca="1">IFERROR(__xludf.DUMMYFUNCTION("""COMPUTED_VALUE"""),"Nhà hàng")</f>
        <v>Nhà hàng</v>
      </c>
      <c r="AA233" s="1" t="str">
        <f ca="1">IFERROR(__xludf.DUMMYFUNCTION("""COMPUTED_VALUE"""),"DUYỆT")</f>
        <v>DUYỆT</v>
      </c>
      <c r="AB233" s="1" t="str">
        <f ca="1">IFERROR(__xludf.DUMMYFUNCTION("""COMPUTED_VALUE"""),"23/01/2026")</f>
        <v>23/01/2026</v>
      </c>
      <c r="AC233" s="1" t="str">
        <f ca="1">IFERROR(__xludf.DUMMYFUNCTION("""COMPUTED_VALUE"""),"BÁO CÁO THỰC TẬP TỐT NGHIỆP")</f>
        <v>BÁO CÁO THỰC TẬP TỐT NGHIỆP</v>
      </c>
      <c r="AD233" s="1" t="str">
        <f ca="1">IFERROR(__xludf.DUMMYFUNCTION("""COMPUTED_VALUE"""),"Trần Hoàng Anh")</f>
        <v>Trần Hoàng Anh</v>
      </c>
      <c r="AE233" s="1" t="str">
        <f ca="1">IFERROR(__xludf.DUMMYFUNCTION("""COMPUTED_VALUE"""),"Thạc sĩ")</f>
        <v>Thạc sĩ</v>
      </c>
      <c r="AF233" s="1" t="str">
        <f ca="1">IFERROR(__xludf.DUMMYFUNCTION("""COMPUTED_VALUE"""),"0906 029 602")</f>
        <v>0906 029 602</v>
      </c>
      <c r="AG233" s="1" t="str">
        <f ca="1">IFERROR(__xludf.DUMMYFUNCTION("""COMPUTED_VALUE"""),"tranhoanganh@dtu-hti.edu.vn")</f>
        <v>tranhoanganh@dtu-hti.edu.vn</v>
      </c>
      <c r="AH233" s="1" t="str">
        <f ca="1">IFERROR(__xludf.DUMMYFUNCTION("""COMPUTED_VALUE""")," Báo cáo kết quả thực tập và thực trạng các yếu tố ảnh hưởng đến chất lượng phục vụ buffet sáng tại Nhà hàng The Sail Rooftop Dining Tại  Hilton Đà Nẵng")</f>
        <v xml:space="preserve"> Báo cáo kết quả thực tập và thực trạng các yếu tố ảnh hưởng đến chất lượng phục vụ buffet sáng tại Nhà hàng The Sail Rooftop Dining Tại  Hilton Đà Nẵng</v>
      </c>
      <c r="AI233" s="1"/>
    </row>
    <row r="234" spans="1:35" x14ac:dyDescent="0.2">
      <c r="A234" s="3">
        <f ca="1">IFERROR(__xludf.DUMMYFUNCTION("""COMPUTED_VALUE"""),46028.6515898263)</f>
        <v>46028.651589826302</v>
      </c>
      <c r="B234" s="1" t="str">
        <f ca="1">IFERROR(__xludf.DUMMYFUNCTION("""COMPUTED_VALUE"""),"nguyentheanh532004@gmail.com")</f>
        <v>nguyentheanh532004@gmail.com</v>
      </c>
      <c r="C234" s="1">
        <f ca="1">IFERROR(__xludf.DUMMYFUNCTION("""COMPUTED_VALUE"""),28218000457)</f>
        <v>28218000457</v>
      </c>
      <c r="D234" s="1" t="str">
        <f ca="1">IFERROR(__xludf.DUMMYFUNCTION("""COMPUTED_VALUE"""),"Nguyễn Thế Anh")</f>
        <v>Nguyễn Thế Anh</v>
      </c>
      <c r="E234" s="1"/>
      <c r="F234" s="1" t="str">
        <f ca="1">IFERROR(__xludf.DUMMYFUNCTION("""COMPUTED_VALUE"""),"K28DLK6")</f>
        <v>K28DLK6</v>
      </c>
      <c r="G234" s="1" t="str">
        <f ca="1">IFERROR(__xludf.DUMMYFUNCTION("""COMPUTED_VALUE"""),"Quản trị Du lịch &amp; Khách sạn")</f>
        <v>Quản trị Du lịch &amp; Khách sạn</v>
      </c>
      <c r="H234" s="1" t="str">
        <f ca="1">IFERROR(__xludf.DUMMYFUNCTION("""COMPUTED_VALUE"""),"K28")</f>
        <v>K28</v>
      </c>
      <c r="I234" s="1" t="str">
        <f ca="1">IFERROR(__xludf.DUMMYFUNCTION("""COMPUTED_VALUE"""),"0343146117")</f>
        <v>0343146117</v>
      </c>
      <c r="J234" s="1">
        <f ca="1">IFERROR(__xludf.DUMMYFUNCTION("""COMPUTED_VALUE"""),2.23)</f>
        <v>2.23</v>
      </c>
      <c r="K234" s="1">
        <f ca="1">IFERROR(__xludf.DUMMYFUNCTION("""COMPUTED_VALUE"""),116)</f>
        <v>116</v>
      </c>
      <c r="L234" s="1" t="str">
        <f ca="1">IFERROR(__xludf.DUMMYFUNCTION("""COMPUTED_VALUE"""),"Rồi")</f>
        <v>Rồi</v>
      </c>
      <c r="M234" s="1" t="str">
        <f ca="1">IFERROR(__xludf.DUMMYFUNCTION("""COMPUTED_VALUE"""),"Thực tập tốt nghiệp, Thi tốt nghiệp, Công nhận tốt nghiệp")</f>
        <v>Thực tập tốt nghiệp, Thi tốt nghiệp, Công nhận tốt nghiệp</v>
      </c>
      <c r="N234" s="1">
        <f ca="1">IFERROR(__xludf.DUMMYFUNCTION("""COMPUTED_VALUE"""),12)</f>
        <v>12</v>
      </c>
      <c r="O234" s="1" t="str">
        <f ca="1">IFERROR(__xludf.DUMMYFUNCTION("""COMPUTED_VALUE"""),"cam kết")</f>
        <v>cam kết</v>
      </c>
      <c r="P234" s="1"/>
      <c r="Q234" s="1"/>
      <c r="R234" s="1"/>
      <c r="S234" s="1" t="str">
        <f ca="1">IFERROR(__xludf.DUMMYFUNCTION("""COMPUTED_VALUE"""),"không đủ điều kiện thực tập")</f>
        <v>không đủ điều kiện thực tập</v>
      </c>
      <c r="T234" s="1" t="str">
        <f ca="1">IFERROR(__xludf.DUMMYFUNCTION("""COMPUTED_VALUE"""),"đã email ngày 09/01/2026")</f>
        <v>đã email ngày 09/01/2026</v>
      </c>
      <c r="U234" s="1"/>
      <c r="V234" s="1"/>
      <c r="W234" s="1" t="str">
        <f ca="1">IFERROR(__xludf.DUMMYFUNCTION("""COMPUTED_VALUE"""),"K28DLK6")</f>
        <v>K28DLK6</v>
      </c>
      <c r="X234" s="1"/>
      <c r="Y234" s="1" t="str">
        <f ca="1">IFERROR(__xludf.DUMMYFUNCTION("""COMPUTED_VALUE"""),"#N/A")</f>
        <v>#N/A</v>
      </c>
      <c r="Z234" s="1" t="str">
        <f ca="1">IFERROR(__xludf.DUMMYFUNCTION("""COMPUTED_VALUE"""),"#N/A")</f>
        <v>#N/A</v>
      </c>
      <c r="AA234" s="1" t="str">
        <f ca="1">IFERROR(__xludf.DUMMYFUNCTION("""COMPUTED_VALUE"""),"#N/A")</f>
        <v>#N/A</v>
      </c>
      <c r="AB234" s="1" t="str">
        <f ca="1">IFERROR(__xludf.DUMMYFUNCTION("""COMPUTED_VALUE"""),"#N/A")</f>
        <v>#N/A</v>
      </c>
      <c r="AC234" s="1" t="str">
        <f ca="1">IFERROR(__xludf.DUMMYFUNCTION("""COMPUTED_VALUE""")," ")</f>
        <v xml:space="preserve"> </v>
      </c>
      <c r="AD234" s="1"/>
      <c r="AE234" s="1" t="str">
        <f ca="1">IFERROR(__xludf.DUMMYFUNCTION("""COMPUTED_VALUE"""),"#N/A")</f>
        <v>#N/A</v>
      </c>
      <c r="AF234" s="1" t="str">
        <f ca="1">IFERROR(__xludf.DUMMYFUNCTION("""COMPUTED_VALUE"""),"#N/A")</f>
        <v>#N/A</v>
      </c>
      <c r="AG234" s="1" t="str">
        <f ca="1">IFERROR(__xludf.DUMMYFUNCTION("""COMPUTED_VALUE"""),"#N/A")</f>
        <v>#N/A</v>
      </c>
      <c r="AH234" s="1"/>
      <c r="AI234" s="1"/>
    </row>
    <row r="235" spans="1:35" x14ac:dyDescent="0.2">
      <c r="A235" s="3">
        <f ca="1">IFERROR(__xludf.DUMMYFUNCTION("""COMPUTED_VALUE"""),46029.5630900115)</f>
        <v>46029.563090011499</v>
      </c>
      <c r="B235" s="1" t="str">
        <f ca="1">IFERROR(__xludf.DUMMYFUNCTION("""COMPUTED_VALUE"""),"duchung2762000@gmail.com")</f>
        <v>duchung2762000@gmail.com</v>
      </c>
      <c r="C235" s="1">
        <f ca="1">IFERROR(__xludf.DUMMYFUNCTION("""COMPUTED_VALUE"""),24217104921)</f>
        <v>24217104921</v>
      </c>
      <c r="D235" s="1" t="str">
        <f ca="1">IFERROR(__xludf.DUMMYFUNCTION("""COMPUTED_VALUE"""),"Nguyễn Đức Hùng")</f>
        <v>Nguyễn Đức Hùng</v>
      </c>
      <c r="E235" s="1"/>
      <c r="F235" s="1" t="str">
        <f ca="1">IFERROR(__xludf.DUMMYFUNCTION("""COMPUTED_VALUE"""),"K24DLK10")</f>
        <v>K24DLK10</v>
      </c>
      <c r="G235" s="1" t="str">
        <f ca="1">IFERROR(__xludf.DUMMYFUNCTION("""COMPUTED_VALUE"""),"Quản trị Du lịch &amp; Khách sạn")</f>
        <v>Quản trị Du lịch &amp; Khách sạn</v>
      </c>
      <c r="H235" s="1" t="str">
        <f ca="1">IFERROR(__xludf.DUMMYFUNCTION("""COMPUTED_VALUE"""),"K25")</f>
        <v>K25</v>
      </c>
      <c r="I235" s="1" t="str">
        <f ca="1">IFERROR(__xludf.DUMMYFUNCTION("""COMPUTED_VALUE"""),"0988370966")</f>
        <v>0988370966</v>
      </c>
      <c r="J235" s="1">
        <f ca="1">IFERROR(__xludf.DUMMYFUNCTION("""COMPUTED_VALUE"""),2.04)</f>
        <v>2.04</v>
      </c>
      <c r="K235" s="1">
        <f ca="1">IFERROR(__xludf.DUMMYFUNCTION("""COMPUTED_VALUE"""),133)</f>
        <v>133</v>
      </c>
      <c r="L235" s="1" t="str">
        <f ca="1">IFERROR(__xludf.DUMMYFUNCTION("""COMPUTED_VALUE"""),"Rồi")</f>
        <v>Rồi</v>
      </c>
      <c r="M235" s="1" t="str">
        <f ca="1">IFERROR(__xludf.DUMMYFUNCTION("""COMPUTED_VALUE"""),"Thực tập tốt nghiệp, Thi tốt nghiệp, Công nhận tốt nghiệp")</f>
        <v>Thực tập tốt nghiệp, Thi tốt nghiệp, Công nhận tốt nghiệp</v>
      </c>
      <c r="N235" s="1">
        <f ca="1">IFERROR(__xludf.DUMMYFUNCTION("""COMPUTED_VALUE"""),0)</f>
        <v>0</v>
      </c>
      <c r="O235" s="1" t="str">
        <f ca="1">IFERROR(__xludf.DUMMYFUNCTION("""COMPUTED_VALUE"""),"cam kết")</f>
        <v>cam kết</v>
      </c>
      <c r="P235" s="1" t="str">
        <f ca="1">IFERROR(__xludf.DUMMYFUNCTION("""COMPUTED_VALUE"""),"ĐÃ NỘP")</f>
        <v>ĐÃ NỘP</v>
      </c>
      <c r="Q235" s="1">
        <f ca="1">IFERROR(__xludf.DUMMYFUNCTION("""COMPUTED_VALUE"""),34)</f>
        <v>34</v>
      </c>
      <c r="R235" s="1" t="str">
        <f ca="1">IFERROR(__xludf.DUMMYFUNCTION("""COMPUTED_VALUE"""),"16/01/2026")</f>
        <v>16/01/2026</v>
      </c>
      <c r="S235" s="1" t="str">
        <f ca="1">IFERROR(__xludf.DUMMYFUNCTION("""COMPUTED_VALUE"""),"thực tập TN, Thi TN")</f>
        <v>thực tập TN, Thi TN</v>
      </c>
      <c r="T235" s="1" t="str">
        <f ca="1">IFERROR(__xludf.DUMMYFUNCTION("""COMPUTED_VALUE"""),"đã email cấp giấy giới thiệu ngày 16/01/2026")</f>
        <v>đã email cấp giấy giới thiệu ngày 16/01/2026</v>
      </c>
      <c r="U235" s="1"/>
      <c r="V235" s="1"/>
      <c r="W235" s="1" t="str">
        <f ca="1">IFERROR(__xludf.DUMMYFUNCTION("""COMPUTED_VALUE"""),"K24DLK10")</f>
        <v>K24DLK10</v>
      </c>
      <c r="X235" s="1"/>
      <c r="Y235" s="1" t="str">
        <f ca="1">IFERROR(__xludf.DUMMYFUNCTION("""COMPUTED_VALUE"""),"Awaken Đà Nẵng")</f>
        <v>Awaken Đà Nẵng</v>
      </c>
      <c r="Z235" s="1" t="str">
        <f ca="1">IFERROR(__xludf.DUMMYFUNCTION("""COMPUTED_VALUE"""),"Nhà hàng")</f>
        <v>Nhà hàng</v>
      </c>
      <c r="AA235" s="1" t="str">
        <f ca="1">IFERROR(__xludf.DUMMYFUNCTION("""COMPUTED_VALUE"""),"DUYỆT")</f>
        <v>DUYỆT</v>
      </c>
      <c r="AB235" s="1" t="str">
        <f ca="1">IFERROR(__xludf.DUMMYFUNCTION("""COMPUTED_VALUE"""),"29/01/2026")</f>
        <v>29/01/2026</v>
      </c>
      <c r="AC235" s="1" t="str">
        <f ca="1">IFERROR(__xludf.DUMMYFUNCTION("""COMPUTED_VALUE"""),"BÁO CÁO THỰC TẬP TỐT NGHIỆP")</f>
        <v>BÁO CÁO THỰC TẬP TỐT NGHIỆP</v>
      </c>
      <c r="AD235" s="1" t="str">
        <f ca="1">IFERROR(__xludf.DUMMYFUNCTION("""COMPUTED_VALUE"""),"Đặng Thị Thùy Trang")</f>
        <v>Đặng Thị Thùy Trang</v>
      </c>
      <c r="AE235" s="1" t="str">
        <f ca="1">IFERROR(__xludf.DUMMYFUNCTION("""COMPUTED_VALUE"""),"Thạc sĩ")</f>
        <v>Thạc sĩ</v>
      </c>
      <c r="AF235" s="1" t="str">
        <f ca="1">IFERROR(__xludf.DUMMYFUNCTION("""COMPUTED_VALUE"""),"0327892117")</f>
        <v>0327892117</v>
      </c>
      <c r="AG235" s="1" t="str">
        <f ca="1">IFERROR(__xludf.DUMMYFUNCTION("""COMPUTED_VALUE"""),"dangtthuytrang3@dtu-hti.edu.vn")</f>
        <v>dangtthuytrang3@dtu-hti.edu.vn</v>
      </c>
      <c r="AH235" s="1" t="str">
        <f ca="1">IFERROR(__xludf.DUMMYFUNCTION("""COMPUTED_VALUE"""),"Báo cáo kết quả thực tập và thực trạng các yếu tố ảnh hưởng đến chất lượng phục vụ À La Carte tại nhà hàng Casa Breeze thuộc Awaken Danang Hotel")</f>
        <v>Báo cáo kết quả thực tập và thực trạng các yếu tố ảnh hưởng đến chất lượng phục vụ À La Carte tại nhà hàng Casa Breeze thuộc Awaken Danang Hotel</v>
      </c>
      <c r="AI235" s="1"/>
    </row>
    <row r="236" spans="1:35" x14ac:dyDescent="0.2">
      <c r="A236" s="3">
        <f ca="1">IFERROR(__xludf.DUMMYFUNCTION("""COMPUTED_VALUE"""),46030.0038261226)</f>
        <v>46030.0038261226</v>
      </c>
      <c r="B236" s="1" t="str">
        <f ca="1">IFERROR(__xludf.DUMMYFUNCTION("""COMPUTED_VALUE"""),"lethanhnga2003gl@gmail.com")</f>
        <v>lethanhnga2003gl@gmail.com</v>
      </c>
      <c r="C236" s="1">
        <f ca="1">IFERROR(__xludf.DUMMYFUNCTION("""COMPUTED_VALUE"""),27207100408)</f>
        <v>27207100408</v>
      </c>
      <c r="D236" s="1" t="str">
        <f ca="1">IFERROR(__xludf.DUMMYFUNCTION("""COMPUTED_VALUE"""),"Lê Thanh Nga")</f>
        <v>Lê Thanh Nga</v>
      </c>
      <c r="E236" s="1"/>
      <c r="F236" s="1" t="str">
        <f ca="1">IFERROR(__xludf.DUMMYFUNCTION("""COMPUTED_VALUE"""),"K27DLK5")</f>
        <v>K27DLK5</v>
      </c>
      <c r="G236" s="1" t="str">
        <f ca="1">IFERROR(__xludf.DUMMYFUNCTION("""COMPUTED_VALUE"""),"Quản trị Du lịch &amp; Khách sạn")</f>
        <v>Quản trị Du lịch &amp; Khách sạn</v>
      </c>
      <c r="H236" s="1" t="str">
        <f ca="1">IFERROR(__xludf.DUMMYFUNCTION("""COMPUTED_VALUE"""),"K27")</f>
        <v>K27</v>
      </c>
      <c r="I236" s="1" t="str">
        <f ca="1">IFERROR(__xludf.DUMMYFUNCTION("""COMPUTED_VALUE"""),"0372919582")</f>
        <v>0372919582</v>
      </c>
      <c r="J236" s="1">
        <f ca="1">IFERROR(__xludf.DUMMYFUNCTION("""COMPUTED_VALUE"""),2.93)</f>
        <v>2.93</v>
      </c>
      <c r="K236" s="1">
        <f ca="1">IFERROR(__xludf.DUMMYFUNCTION("""COMPUTED_VALUE"""),129)</f>
        <v>129</v>
      </c>
      <c r="L236" s="1" t="str">
        <f ca="1">IFERROR(__xludf.DUMMYFUNCTION("""COMPUTED_VALUE"""),"Rồi")</f>
        <v>Rồi</v>
      </c>
      <c r="M236" s="1" t="str">
        <f ca="1">IFERROR(__xludf.DUMMYFUNCTION("""COMPUTED_VALUE"""),"Công nhận tốt nghiệp")</f>
        <v>Công nhận tốt nghiệp</v>
      </c>
      <c r="N236" s="1">
        <f ca="1">IFERROR(__xludf.DUMMYFUNCTION("""COMPUTED_VALUE"""),0)</f>
        <v>0</v>
      </c>
      <c r="O236" s="1" t="str">
        <f ca="1">IFERROR(__xludf.DUMMYFUNCTION("""COMPUTED_VALUE"""),"cam kết")</f>
        <v>cam kết</v>
      </c>
      <c r="P236" s="1" t="str">
        <f ca="1">IFERROR(__xludf.DUMMYFUNCTION("""COMPUTED_VALUE"""),"ĐÃ NỘP")</f>
        <v>ĐÃ NỘP</v>
      </c>
      <c r="Q236" s="1">
        <f ca="1">IFERROR(__xludf.DUMMYFUNCTION("""COMPUTED_VALUE"""),35)</f>
        <v>35</v>
      </c>
      <c r="R236" s="1" t="str">
        <f ca="1">IFERROR(__xludf.DUMMYFUNCTION("""COMPUTED_VALUE"""),"17/01/2026")</f>
        <v>17/01/2026</v>
      </c>
      <c r="S236" s="1" t="str">
        <f ca="1">IFERROR(__xludf.DUMMYFUNCTION("""COMPUTED_VALUE"""),"xét công nhận TN")</f>
        <v>xét công nhận TN</v>
      </c>
      <c r="T236" s="1"/>
      <c r="U236" s="1"/>
      <c r="V236" s="1"/>
      <c r="W236" s="1" t="str">
        <f ca="1">IFERROR(__xludf.DUMMYFUNCTION("""COMPUTED_VALUE"""),"K27DLK5")</f>
        <v>K27DLK5</v>
      </c>
      <c r="X236" s="1"/>
      <c r="Y236" s="1" t="str">
        <f ca="1">IFERROR(__xludf.DUMMYFUNCTION("""COMPUTED_VALUE"""),"#N/A")</f>
        <v>#N/A</v>
      </c>
      <c r="Z236" s="1" t="str">
        <f ca="1">IFERROR(__xludf.DUMMYFUNCTION("""COMPUTED_VALUE"""),"#N/A")</f>
        <v>#N/A</v>
      </c>
      <c r="AA236" s="1" t="str">
        <f ca="1">IFERROR(__xludf.DUMMYFUNCTION("""COMPUTED_VALUE"""),"#N/A")</f>
        <v>#N/A</v>
      </c>
      <c r="AB236" s="1" t="str">
        <f ca="1">IFERROR(__xludf.DUMMYFUNCTION("""COMPUTED_VALUE"""),"#N/A")</f>
        <v>#N/A</v>
      </c>
      <c r="AC236" s="1" t="str">
        <f ca="1">IFERROR(__xludf.DUMMYFUNCTION("""COMPUTED_VALUE""")," ")</f>
        <v xml:space="preserve"> </v>
      </c>
      <c r="AD236" s="1"/>
      <c r="AE236" s="1"/>
      <c r="AF236" s="1"/>
      <c r="AG236" s="1"/>
      <c r="AH236" s="1"/>
      <c r="AI236" s="1"/>
    </row>
    <row r="237" spans="1:35" x14ac:dyDescent="0.2">
      <c r="A237" s="3">
        <f ca="1">IFERROR(__xludf.DUMMYFUNCTION("""COMPUTED_VALUE"""),46031.5903192939)</f>
        <v>46031.5903192939</v>
      </c>
      <c r="B237" s="1" t="str">
        <f ca="1">IFERROR(__xludf.DUMMYFUNCTION("""COMPUTED_VALUE"""),"tranquocdang1213@gmail.com")</f>
        <v>tranquocdang1213@gmail.com</v>
      </c>
      <c r="C237" s="1">
        <f ca="1">IFERROR(__xludf.DUMMYFUNCTION("""COMPUTED_VALUE"""),27217146484)</f>
        <v>27217146484</v>
      </c>
      <c r="D237" s="1" t="str">
        <f ca="1">IFERROR(__xludf.DUMMYFUNCTION("""COMPUTED_VALUE"""),"Trần Quốc Đăng")</f>
        <v>Trần Quốc Đăng</v>
      </c>
      <c r="E237" s="1"/>
      <c r="F237" s="1" t="str">
        <f ca="1">IFERROR(__xludf.DUMMYFUNCTION("""COMPUTED_VALUE"""),"K27DLK1")</f>
        <v>K27DLK1</v>
      </c>
      <c r="G237" s="1" t="str">
        <f ca="1">IFERROR(__xludf.DUMMYFUNCTION("""COMPUTED_VALUE"""),"Quản trị Du lịch &amp; Khách sạn")</f>
        <v>Quản trị Du lịch &amp; Khách sạn</v>
      </c>
      <c r="H237" s="1" t="str">
        <f ca="1">IFERROR(__xludf.DUMMYFUNCTION("""COMPUTED_VALUE"""),"K27")</f>
        <v>K27</v>
      </c>
      <c r="I237" s="1" t="str">
        <f ca="1">IFERROR(__xludf.DUMMYFUNCTION("""COMPUTED_VALUE"""),"0377305613")</f>
        <v>0377305613</v>
      </c>
      <c r="J237" s="1">
        <f ca="1">IFERROR(__xludf.DUMMYFUNCTION("""COMPUTED_VALUE"""),3.53)</f>
        <v>3.53</v>
      </c>
      <c r="K237" s="1">
        <f ca="1">IFERROR(__xludf.DUMMYFUNCTION("""COMPUTED_VALUE"""),129)</f>
        <v>129</v>
      </c>
      <c r="L237" s="1" t="str">
        <f ca="1">IFERROR(__xludf.DUMMYFUNCTION("""COMPUTED_VALUE"""),"Rồi")</f>
        <v>Rồi</v>
      </c>
      <c r="M237" s="1" t="str">
        <f ca="1">IFERROR(__xludf.DUMMYFUNCTION("""COMPUTED_VALUE"""),"Thực tập tốt nghiệp, Công nhận tốt nghiệp")</f>
        <v>Thực tập tốt nghiệp, Công nhận tốt nghiệp</v>
      </c>
      <c r="N237" s="1">
        <f ca="1">IFERROR(__xludf.DUMMYFUNCTION("""COMPUTED_VALUE"""),1)</f>
        <v>1</v>
      </c>
      <c r="O237" s="1" t="str">
        <f ca="1">IFERROR(__xludf.DUMMYFUNCTION("""COMPUTED_VALUE"""),"cam kết")</f>
        <v>cam kết</v>
      </c>
      <c r="P237" s="1" t="str">
        <f ca="1">IFERROR(__xludf.DUMMYFUNCTION("""COMPUTED_VALUE"""),"ĐÃ NỘP")</f>
        <v>ĐÃ NỘP</v>
      </c>
      <c r="Q237" s="1">
        <f ca="1">IFERROR(__xludf.DUMMYFUNCTION("""COMPUTED_VALUE"""),37)</f>
        <v>37</v>
      </c>
      <c r="R237" s="1" t="str">
        <f ca="1">IFERROR(__xludf.DUMMYFUNCTION("""COMPUTED_VALUE"""),"17/01/2026")</f>
        <v>17/01/2026</v>
      </c>
      <c r="S237" s="1" t="str">
        <f ca="1">IFERROR(__xludf.DUMMYFUNCTION("""COMPUTED_VALUE"""),"Thực tập TN")</f>
        <v>Thực tập TN</v>
      </c>
      <c r="T237" s="1" t="str">
        <f ca="1">IFERROR(__xludf.DUMMYFUNCTION("""COMPUTED_VALUE"""),"đã email ngày 20/01/2026")</f>
        <v>đã email ngày 20/01/2026</v>
      </c>
      <c r="U237" s="1"/>
      <c r="V237" s="1"/>
      <c r="W237" s="1" t="str">
        <f ca="1">IFERROR(__xludf.DUMMYFUNCTION("""COMPUTED_VALUE"""),"K27DLK1")</f>
        <v>K27DLK1</v>
      </c>
      <c r="X237" s="1"/>
      <c r="Y237" s="1" t="str">
        <f ca="1">IFERROR(__xludf.DUMMYFUNCTION("""COMPUTED_VALUE"""),"Four Points by Sheraton Danang")</f>
        <v>Four Points by Sheraton Danang</v>
      </c>
      <c r="Z237" s="1" t="str">
        <f ca="1">IFERROR(__xludf.DUMMYFUNCTION("""COMPUTED_VALUE"""),"Buồng phòng")</f>
        <v>Buồng phòng</v>
      </c>
      <c r="AA237" s="1" t="str">
        <f ca="1">IFERROR(__xludf.DUMMYFUNCTION("""COMPUTED_VALUE"""),"DUYỆT")</f>
        <v>DUYỆT</v>
      </c>
      <c r="AB237" s="1" t="str">
        <f ca="1">IFERROR(__xludf.DUMMYFUNCTION("""COMPUTED_VALUE"""),"27/01/2026")</f>
        <v>27/01/2026</v>
      </c>
      <c r="AC237" s="1" t="str">
        <f ca="1">IFERROR(__xludf.DUMMYFUNCTION("""COMPUTED_VALUE"""),"BÁO CÁO THỰC TẬP TỐT NGHIỆP")</f>
        <v>BÁO CÁO THỰC TẬP TỐT NGHIỆP</v>
      </c>
      <c r="AD237" s="1" t="str">
        <f ca="1">IFERROR(__xludf.DUMMYFUNCTION("""COMPUTED_VALUE"""),"Mai Thị Thương")</f>
        <v>Mai Thị Thương</v>
      </c>
      <c r="AE237" s="1" t="str">
        <f ca="1">IFERROR(__xludf.DUMMYFUNCTION("""COMPUTED_VALUE"""),"Thạc sĩ")</f>
        <v>Thạc sĩ</v>
      </c>
      <c r="AF237" s="1" t="str">
        <f ca="1">IFERROR(__xludf.DUMMYFUNCTION("""COMPUTED_VALUE"""),"0905767050")</f>
        <v>0905767050</v>
      </c>
      <c r="AG237" s="1" t="str">
        <f ca="1">IFERROR(__xludf.DUMMYFUNCTION("""COMPUTED_VALUE"""),"maithithuong@dtu-hti.edu.vn")</f>
        <v>maithithuong@dtu-hti.edu.vn</v>
      </c>
      <c r="AH237" s="1" t="str">
        <f ca="1">IFERROR(__xludf.DUMMYFUNCTION("""COMPUTED_VALUE"""),"Báo cáo kết quả thực tập và thực trạng về quy trình vệ sinh buồng khách tại bộ phận buồng phòng thuộc khách sạn Four Points by Sheraton Danang")</f>
        <v>Báo cáo kết quả thực tập và thực trạng về quy trình vệ sinh buồng khách tại bộ phận buồng phòng thuộc khách sạn Four Points by Sheraton Danang</v>
      </c>
      <c r="AI237" s="1"/>
    </row>
    <row r="238" spans="1:35" x14ac:dyDescent="0.2">
      <c r="A238" s="3">
        <f ca="1">IFERROR(__xludf.DUMMYFUNCTION("""COMPUTED_VALUE"""),46033.5907489467)</f>
        <v>46033.590748946699</v>
      </c>
      <c r="B238" s="1" t="str">
        <f ca="1">IFERROR(__xludf.DUMMYFUNCTION("""COMPUTED_VALUE"""),"tranhzang@gmail.com")</f>
        <v>tranhzang@gmail.com</v>
      </c>
      <c r="C238" s="1">
        <f ca="1">IFERROR(__xludf.DUMMYFUNCTION("""COMPUTED_VALUE"""),28208053243)</f>
        <v>28208053243</v>
      </c>
      <c r="D238" s="1" t="str">
        <f ca="1">IFERROR(__xludf.DUMMYFUNCTION("""COMPUTED_VALUE"""),"Trần Hà Giang")</f>
        <v>Trần Hà Giang</v>
      </c>
      <c r="E238" s="1"/>
      <c r="F238" s="1" t="str">
        <f ca="1">IFERROR(__xludf.DUMMYFUNCTION("""COMPUTED_VALUE"""),"K28DLK5")</f>
        <v>K28DLK5</v>
      </c>
      <c r="G238" s="1" t="str">
        <f ca="1">IFERROR(__xludf.DUMMYFUNCTION("""COMPUTED_VALUE"""),"Quản trị Du lịch &amp; Khách sạn")</f>
        <v>Quản trị Du lịch &amp; Khách sạn</v>
      </c>
      <c r="H238" s="1" t="str">
        <f ca="1">IFERROR(__xludf.DUMMYFUNCTION("""COMPUTED_VALUE"""),"K28")</f>
        <v>K28</v>
      </c>
      <c r="I238" s="1" t="str">
        <f ca="1">IFERROR(__xludf.DUMMYFUNCTION("""COMPUTED_VALUE"""),"0396633514")</f>
        <v>0396633514</v>
      </c>
      <c r="J238" s="1">
        <f ca="1">IFERROR(__xludf.DUMMYFUNCTION("""COMPUTED_VALUE"""),2.1)</f>
        <v>2.1</v>
      </c>
      <c r="K238" s="1">
        <f ca="1">IFERROR(__xludf.DUMMYFUNCTION("""COMPUTED_VALUE"""),122)</f>
        <v>122</v>
      </c>
      <c r="L238" s="1" t="str">
        <f ca="1">IFERROR(__xludf.DUMMYFUNCTION("""COMPUTED_VALUE"""),"Rồi")</f>
        <v>Rồi</v>
      </c>
      <c r="M238" s="1" t="str">
        <f ca="1">IFERROR(__xludf.DUMMYFUNCTION("""COMPUTED_VALUE"""),"Thực tập tốt nghiệp")</f>
        <v>Thực tập tốt nghiệp</v>
      </c>
      <c r="N238" s="1">
        <f ca="1">IFERROR(__xludf.DUMMYFUNCTION("""COMPUTED_VALUE"""),4)</f>
        <v>4</v>
      </c>
      <c r="O238" s="1" t="str">
        <f ca="1">IFERROR(__xludf.DUMMYFUNCTION("""COMPUTED_VALUE"""),"cam kết")</f>
        <v>cam kết</v>
      </c>
      <c r="P238" s="1"/>
      <c r="Q238" s="1"/>
      <c r="R238" s="1"/>
      <c r="S238" s="1" t="str">
        <f ca="1">IFERROR(__xludf.DUMMYFUNCTION("""COMPUTED_VALUE"""),"thực tập TN, Thi TN")</f>
        <v>thực tập TN, Thi TN</v>
      </c>
      <c r="T238" s="1" t="str">
        <f ca="1">IFERROR(__xludf.DUMMYFUNCTION("""COMPUTED_VALUE"""),"đã email cấp giấy giới thiệu ngày 16/01/2026")</f>
        <v>đã email cấp giấy giới thiệu ngày 16/01/2026</v>
      </c>
      <c r="U238" s="1"/>
      <c r="V238" s="1"/>
      <c r="W238" s="1" t="str">
        <f ca="1">IFERROR(__xludf.DUMMYFUNCTION("""COMPUTED_VALUE"""),"K28DLK5")</f>
        <v>K28DLK5</v>
      </c>
      <c r="X238" s="1"/>
      <c r="Y238" s="1" t="str">
        <f ca="1">IFERROR(__xludf.DUMMYFUNCTION("""COMPUTED_VALUE"""),"Grand Mercure Danang")</f>
        <v>Grand Mercure Danang</v>
      </c>
      <c r="Z238" s="1" t="str">
        <f ca="1">IFERROR(__xludf.DUMMYFUNCTION("""COMPUTED_VALUE"""),"Nhà hàng")</f>
        <v>Nhà hàng</v>
      </c>
      <c r="AA238" s="1" t="str">
        <f ca="1">IFERROR(__xludf.DUMMYFUNCTION("""COMPUTED_VALUE"""),"DUYỆT")</f>
        <v>DUYỆT</v>
      </c>
      <c r="AB238" s="1" t="str">
        <f ca="1">IFERROR(__xludf.DUMMYFUNCTION("""COMPUTED_VALUE"""),"29/01/2026")</f>
        <v>29/01/2026</v>
      </c>
      <c r="AC238" s="1" t="str">
        <f ca="1">IFERROR(__xludf.DUMMYFUNCTION("""COMPUTED_VALUE"""),"BÁO CÁO THỰC TẬP TỐT NGHIỆP")</f>
        <v>BÁO CÁO THỰC TẬP TỐT NGHIỆP</v>
      </c>
      <c r="AD238" s="1" t="str">
        <f ca="1">IFERROR(__xludf.DUMMYFUNCTION("""COMPUTED_VALUE"""),"Trần Hoàng Anh")</f>
        <v>Trần Hoàng Anh</v>
      </c>
      <c r="AE238" s="1" t="str">
        <f ca="1">IFERROR(__xludf.DUMMYFUNCTION("""COMPUTED_VALUE"""),"Thạc sĩ")</f>
        <v>Thạc sĩ</v>
      </c>
      <c r="AF238" s="1" t="str">
        <f ca="1">IFERROR(__xludf.DUMMYFUNCTION("""COMPUTED_VALUE"""),"0906 029 602")</f>
        <v>0906 029 602</v>
      </c>
      <c r="AG238" s="1" t="str">
        <f ca="1">IFERROR(__xludf.DUMMYFUNCTION("""COMPUTED_VALUE"""),"tranhoanganh@dtu-hti.edu.vn")</f>
        <v>tranhoanganh@dtu-hti.edu.vn</v>
      </c>
      <c r="AH238" s="1" t="str">
        <f ca="1">IFERROR(__xludf.DUMMYFUNCTION("""COMPUTED_VALUE""")," Báo cáo kết quả thực tập và thực trạng các yếu tố ảnh hưởng đến chất lượng phục vụ A la Carte  tại nhà hàng La Rive Gaucge tại khách sạn Grand Mercure DaNang")</f>
        <v xml:space="preserve"> Báo cáo kết quả thực tập và thực trạng các yếu tố ảnh hưởng đến chất lượng phục vụ A la Carte  tại nhà hàng La Rive Gaucge tại khách sạn Grand Mercure DaNang</v>
      </c>
      <c r="AI238" s="1"/>
    </row>
    <row r="239" spans="1:35" x14ac:dyDescent="0.2">
      <c r="A239" s="3">
        <f ca="1">IFERROR(__xludf.DUMMYFUNCTION("""COMPUTED_VALUE"""),46034.5964242476)</f>
        <v>46034.596424247597</v>
      </c>
      <c r="B239" s="1" t="str">
        <f ca="1">IFERROR(__xludf.DUMMYFUNCTION("""COMPUTED_VALUE"""),"letay1515@gmail.com")</f>
        <v>letay1515@gmail.com</v>
      </c>
      <c r="C239" s="1">
        <f ca="1">IFERROR(__xludf.DUMMYFUNCTION("""COMPUTED_VALUE"""),29218038702)</f>
        <v>29218038702</v>
      </c>
      <c r="D239" s="1" t="str">
        <f ca="1">IFERROR(__xludf.DUMMYFUNCTION("""COMPUTED_VALUE"""),"LÊ VĂN TÂY")</f>
        <v>LÊ VĂN TÂY</v>
      </c>
      <c r="E239" s="1"/>
      <c r="F239" s="1" t="str">
        <f ca="1">IFERROR(__xludf.DUMMYFUNCTION("""COMPUTED_VALUE"""),"K29DLK7")</f>
        <v>K29DLK7</v>
      </c>
      <c r="G239" s="1" t="str">
        <f ca="1">IFERROR(__xludf.DUMMYFUNCTION("""COMPUTED_VALUE"""),"Quản trị Du lịch &amp; Khách sạn")</f>
        <v>Quản trị Du lịch &amp; Khách sạn</v>
      </c>
      <c r="H239" s="1" t="str">
        <f ca="1">IFERROR(__xludf.DUMMYFUNCTION("""COMPUTED_VALUE"""),"K29")</f>
        <v>K29</v>
      </c>
      <c r="I239" s="1" t="str">
        <f ca="1">IFERROR(__xludf.DUMMYFUNCTION("""COMPUTED_VALUE"""),"0393210774")</f>
        <v>0393210774</v>
      </c>
      <c r="J239" s="1">
        <f ca="1">IFERROR(__xludf.DUMMYFUNCTION("""COMPUTED_VALUE"""),2.33)</f>
        <v>2.33</v>
      </c>
      <c r="K239" s="1">
        <f ca="1">IFERROR(__xludf.DUMMYFUNCTION("""COMPUTED_VALUE"""),140)</f>
        <v>140</v>
      </c>
      <c r="L239" s="1" t="str">
        <f ca="1">IFERROR(__xludf.DUMMYFUNCTION("""COMPUTED_VALUE"""),"Rồi")</f>
        <v>Rồi</v>
      </c>
      <c r="M239" s="1" t="str">
        <f ca="1">IFERROR(__xludf.DUMMYFUNCTION("""COMPUTED_VALUE"""),"Thực tập tốt nghiệp")</f>
        <v>Thực tập tốt nghiệp</v>
      </c>
      <c r="N239" s="1">
        <f ca="1">IFERROR(__xludf.DUMMYFUNCTION("""COMPUTED_VALUE"""),0)</f>
        <v>0</v>
      </c>
      <c r="O239" s="1" t="str">
        <f ca="1">IFERROR(__xludf.DUMMYFUNCTION("""COMPUTED_VALUE"""),"cam kết")</f>
        <v>cam kết</v>
      </c>
      <c r="P239" s="1" t="str">
        <f ca="1">IFERROR(__xludf.DUMMYFUNCTION("""COMPUTED_VALUE"""),"ĐÃ NỘP")</f>
        <v>ĐÃ NỘP</v>
      </c>
      <c r="Q239" s="1">
        <f ca="1">IFERROR(__xludf.DUMMYFUNCTION("""COMPUTED_VALUE"""),38)</f>
        <v>38</v>
      </c>
      <c r="R239" s="1" t="str">
        <f ca="1">IFERROR(__xludf.DUMMYFUNCTION("""COMPUTED_VALUE"""),"17/01/2026")</f>
        <v>17/01/2026</v>
      </c>
      <c r="S239" s="1" t="str">
        <f ca="1">IFERROR(__xludf.DUMMYFUNCTION("""COMPUTED_VALUE"""),"thực tập TN, Thi TN")</f>
        <v>thực tập TN, Thi TN</v>
      </c>
      <c r="T239" s="1" t="str">
        <f ca="1">IFERROR(__xludf.DUMMYFUNCTION("""COMPUTED_VALUE"""),"đã email ngày 20/01/2026")</f>
        <v>đã email ngày 20/01/2026</v>
      </c>
      <c r="U239" s="1"/>
      <c r="V239" s="1"/>
      <c r="W239" s="1" t="str">
        <f ca="1">IFERROR(__xludf.DUMMYFUNCTION("""COMPUTED_VALUE"""),"#N/A")</f>
        <v>#N/A</v>
      </c>
      <c r="X239" s="1"/>
      <c r="Y239" s="1" t="str">
        <f ca="1">IFERROR(__xludf.DUMMYFUNCTION("""COMPUTED_VALUE"""),"Royal Lotus Hotel Danang")</f>
        <v>Royal Lotus Hotel Danang</v>
      </c>
      <c r="Z239" s="1" t="str">
        <f ca="1">IFERROR(__xludf.DUMMYFUNCTION("""COMPUTED_VALUE"""),"Buồng phòng")</f>
        <v>Buồng phòng</v>
      </c>
      <c r="AA239" s="1" t="str">
        <f ca="1">IFERROR(__xludf.DUMMYFUNCTION("""COMPUTED_VALUE"""),"DUYỆT")</f>
        <v>DUYỆT</v>
      </c>
      <c r="AB239" s="1" t="str">
        <f ca="1">IFERROR(__xludf.DUMMYFUNCTION("""COMPUTED_VALUE"""),"26/01/2026")</f>
        <v>26/01/2026</v>
      </c>
      <c r="AC239" s="1" t="str">
        <f ca="1">IFERROR(__xludf.DUMMYFUNCTION("""COMPUTED_VALUE"""),"BÁO CÁO THỰC TẬP TỐT NGHIỆP")</f>
        <v>BÁO CÁO THỰC TẬP TỐT NGHIỆP</v>
      </c>
      <c r="AD239" s="1" t="str">
        <f ca="1">IFERROR(__xludf.DUMMYFUNCTION("""COMPUTED_VALUE"""),"Phạm Thị Hoàng Dung")</f>
        <v>Phạm Thị Hoàng Dung</v>
      </c>
      <c r="AE239" s="1" t="str">
        <f ca="1">IFERROR(__xludf.DUMMYFUNCTION("""COMPUTED_VALUE"""),"Tiến sĩ")</f>
        <v>Tiến sĩ</v>
      </c>
      <c r="AF239" s="1" t="str">
        <f ca="1">IFERROR(__xludf.DUMMYFUNCTION("""COMPUTED_VALUE"""),"0935 141614")</f>
        <v>0935 141614</v>
      </c>
      <c r="AG239" s="1" t="str">
        <f ca="1">IFERROR(__xludf.DUMMYFUNCTION("""COMPUTED_VALUE"""),"phamthoangdung@duytan.edu.vn")</f>
        <v>phamthoangdung@duytan.edu.vn</v>
      </c>
      <c r="AH239" s="1" t="str">
        <f ca="1">IFERROR(__xludf.DUMMYFUNCTION("""COMPUTED_VALUE"""),"Báo cáo kết quả thực tập và thực trạng chất lượng đội ngũ lao động tại bộ phận buồng phòng thuộc Royal Lotus Hotel Danang")</f>
        <v>Báo cáo kết quả thực tập và thực trạng chất lượng đội ngũ lao động tại bộ phận buồng phòng thuộc Royal Lotus Hotel Danang</v>
      </c>
      <c r="AI239" s="1"/>
    </row>
    <row r="240" spans="1:35" x14ac:dyDescent="0.2">
      <c r="A240" s="3">
        <f ca="1">IFERROR(__xludf.DUMMYFUNCTION("""COMPUTED_VALUE"""),46035.7824150347)</f>
        <v>46035.782415034701</v>
      </c>
      <c r="B240" s="1" t="str">
        <f ca="1">IFERROR(__xludf.DUMMYFUNCTION("""COMPUTED_VALUE"""),"quan94189@gmail.com")</f>
        <v>quan94189@gmail.com</v>
      </c>
      <c r="C240" s="1">
        <f ca="1">IFERROR(__xludf.DUMMYFUNCTION("""COMPUTED_VALUE"""),25217110364)</f>
        <v>25217110364</v>
      </c>
      <c r="D240" s="1" t="str">
        <f ca="1">IFERROR(__xludf.DUMMYFUNCTION("""COMPUTED_VALUE"""),"Nguyễn Vũ Quân")</f>
        <v>Nguyễn Vũ Quân</v>
      </c>
      <c r="E240" s="1"/>
      <c r="F240" s="1" t="str">
        <f ca="1">IFERROR(__xludf.DUMMYFUNCTION("""COMPUTED_VALUE"""),"K25DLK24")</f>
        <v>K25DLK24</v>
      </c>
      <c r="G240" s="1" t="str">
        <f ca="1">IFERROR(__xludf.DUMMYFUNCTION("""COMPUTED_VALUE"""),"Quản trị Du lịch &amp; Khách sạn")</f>
        <v>Quản trị Du lịch &amp; Khách sạn</v>
      </c>
      <c r="H240" s="1" t="str">
        <f ca="1">IFERROR(__xludf.DUMMYFUNCTION("""COMPUTED_VALUE"""),"K25")</f>
        <v>K25</v>
      </c>
      <c r="I240" s="1" t="str">
        <f ca="1">IFERROR(__xludf.DUMMYFUNCTION("""COMPUTED_VALUE"""),"0796141141")</f>
        <v>0796141141</v>
      </c>
      <c r="J240" s="1">
        <f ca="1">IFERROR(__xludf.DUMMYFUNCTION("""COMPUTED_VALUE"""),2.02)</f>
        <v>2.02</v>
      </c>
      <c r="K240" s="1">
        <f ca="1">IFERROR(__xludf.DUMMYFUNCTION("""COMPUTED_VALUE"""),128)</f>
        <v>128</v>
      </c>
      <c r="L240" s="1" t="str">
        <f ca="1">IFERROR(__xludf.DUMMYFUNCTION("""COMPUTED_VALUE"""),"Rồi")</f>
        <v>Rồi</v>
      </c>
      <c r="M240" s="1" t="str">
        <f ca="1">IFERROR(__xludf.DUMMYFUNCTION("""COMPUTED_VALUE"""),"Thực tập tốt nghiệp, Thi tốt nghiệp, Công nhận tốt nghiệp")</f>
        <v>Thực tập tốt nghiệp, Thi tốt nghiệp, Công nhận tốt nghiệp</v>
      </c>
      <c r="N240" s="1">
        <f ca="1">IFERROR(__xludf.DUMMYFUNCTION("""COMPUTED_VALUE"""),3)</f>
        <v>3</v>
      </c>
      <c r="O240" s="1" t="str">
        <f ca="1">IFERROR(__xludf.DUMMYFUNCTION("""COMPUTED_VALUE"""),"cam kết")</f>
        <v>cam kết</v>
      </c>
      <c r="P240" s="1" t="str">
        <f ca="1">IFERROR(__xludf.DUMMYFUNCTION("""COMPUTED_VALUE"""),"ĐÃ NỘP")</f>
        <v>ĐÃ NỘP</v>
      </c>
      <c r="Q240" s="1">
        <f ca="1">IFERROR(__xludf.DUMMYFUNCTION("""COMPUTED_VALUE"""),39)</f>
        <v>39</v>
      </c>
      <c r="R240" s="1" t="str">
        <f ca="1">IFERROR(__xludf.DUMMYFUNCTION("""COMPUTED_VALUE"""),"17/01/2026")</f>
        <v>17/01/2026</v>
      </c>
      <c r="S240" s="1" t="str">
        <f ca="1">IFERROR(__xludf.DUMMYFUNCTION("""COMPUTED_VALUE"""),"thực tập TN, Thi TN")</f>
        <v>thực tập TN, Thi TN</v>
      </c>
      <c r="T240" s="1" t="str">
        <f ca="1">IFERROR(__xludf.DUMMYFUNCTION("""COMPUTED_VALUE"""),"đã email cấp giấy giới thiệu ngày 19/01/2026")</f>
        <v>đã email cấp giấy giới thiệu ngày 19/01/2026</v>
      </c>
      <c r="U240" s="1"/>
      <c r="V240" s="1"/>
      <c r="W240" s="1" t="str">
        <f ca="1">IFERROR(__xludf.DUMMYFUNCTION("""COMPUTED_VALUE"""),"K25DLK24")</f>
        <v>K25DLK24</v>
      </c>
      <c r="X240" s="1"/>
      <c r="Y240" s="1" t="str">
        <f ca="1">IFERROR(__xludf.DUMMYFUNCTION("""COMPUTED_VALUE"""),"Khách Sạn Mường Thanh Luxury Đà Nẵng")</f>
        <v>Khách Sạn Mường Thanh Luxury Đà Nẵng</v>
      </c>
      <c r="Z240" s="1" t="str">
        <f ca="1">IFERROR(__xludf.DUMMYFUNCTION("""COMPUTED_VALUE"""),"Buồng phòng")</f>
        <v>Buồng phòng</v>
      </c>
      <c r="AA240" s="1" t="str">
        <f ca="1">IFERROR(__xludf.DUMMYFUNCTION("""COMPUTED_VALUE"""),"DUYỆT")</f>
        <v>DUYỆT</v>
      </c>
      <c r="AB240" s="1" t="str">
        <f ca="1">IFERROR(__xludf.DUMMYFUNCTION("""COMPUTED_VALUE"""),"28/01/2026")</f>
        <v>28/01/2026</v>
      </c>
      <c r="AC240" s="1" t="str">
        <f ca="1">IFERROR(__xludf.DUMMYFUNCTION("""COMPUTED_VALUE"""),"BÁO CÁO THỰC TẬP TỐT NGHIỆP")</f>
        <v>BÁO CÁO THỰC TẬP TỐT NGHIỆP</v>
      </c>
      <c r="AD240" s="1" t="str">
        <f ca="1">IFERROR(__xludf.DUMMYFUNCTION("""COMPUTED_VALUE"""),"Hồ Minh Phúc")</f>
        <v>Hồ Minh Phúc</v>
      </c>
      <c r="AE240" s="1" t="str">
        <f ca="1">IFERROR(__xludf.DUMMYFUNCTION("""COMPUTED_VALUE"""),"Thạc sĩ")</f>
        <v>Thạc sĩ</v>
      </c>
      <c r="AF240" s="1" t="str">
        <f ca="1">IFERROR(__xludf.DUMMYFUNCTION("""COMPUTED_VALUE"""),"0935336716")</f>
        <v>0935336716</v>
      </c>
      <c r="AG240" s="1" t="str">
        <f ca="1">IFERROR(__xludf.DUMMYFUNCTION("""COMPUTED_VALUE"""),"hominhphuc@dtu-hti.edu.vn")</f>
        <v>hominhphuc@dtu-hti.edu.vn</v>
      </c>
      <c r="AH240" s="1" t="str">
        <f ca="1">IFERROR(__xludf.DUMMYFUNCTION("""COMPUTED_VALUE"""),"Báo cáo kết quả thực tập và thực trạng quy trình phục vụ khách lưu trú tại bộ phận Buồng phòng của khách sạn Mường Thanh Luxury Đà Nẵng")</f>
        <v>Báo cáo kết quả thực tập và thực trạng quy trình phục vụ khách lưu trú tại bộ phận Buồng phòng của khách sạn Mường Thanh Luxury Đà Nẵng</v>
      </c>
      <c r="AI240" s="1"/>
    </row>
    <row r="241" spans="1:35" x14ac:dyDescent="0.2">
      <c r="A241" s="3">
        <f ca="1">IFERROR(__xludf.DUMMYFUNCTION("""COMPUTED_VALUE"""),46044.88251125)</f>
        <v>46044.882511249998</v>
      </c>
      <c r="B241" s="1" t="str">
        <f ca="1">IFERROR(__xludf.DUMMYFUNCTION("""COMPUTED_VALUE"""),"nhup8117@gmail.com")</f>
        <v>nhup8117@gmail.com</v>
      </c>
      <c r="C241" s="1">
        <f ca="1">IFERROR(__xludf.DUMMYFUNCTION("""COMPUTED_VALUE"""),27217145408)</f>
        <v>27217145408</v>
      </c>
      <c r="D241" s="1" t="str">
        <f ca="1">IFERROR(__xludf.DUMMYFUNCTION("""COMPUTED_VALUE"""),"Phạm Nguyễn Quỳnh Như")</f>
        <v>Phạm Nguyễn Quỳnh Như</v>
      </c>
      <c r="E241" s="1"/>
      <c r="F241" s="1" t="str">
        <f ca="1">IFERROR(__xludf.DUMMYFUNCTION("""COMPUTED_VALUE"""),"K27DLK4")</f>
        <v>K27DLK4</v>
      </c>
      <c r="G241" s="1" t="str">
        <f ca="1">IFERROR(__xludf.DUMMYFUNCTION("""COMPUTED_VALUE"""),"Quản trị Du lịch &amp; Khách sạn")</f>
        <v>Quản trị Du lịch &amp; Khách sạn</v>
      </c>
      <c r="H241" s="1" t="str">
        <f ca="1">IFERROR(__xludf.DUMMYFUNCTION("""COMPUTED_VALUE"""),"K27")</f>
        <v>K27</v>
      </c>
      <c r="I241" s="1" t="str">
        <f ca="1">IFERROR(__xludf.DUMMYFUNCTION("""COMPUTED_VALUE"""),"0905833923")</f>
        <v>0905833923</v>
      </c>
      <c r="J241" s="1">
        <f ca="1">IFERROR(__xludf.DUMMYFUNCTION("""COMPUTED_VALUE"""),2.4)</f>
        <v>2.4</v>
      </c>
      <c r="K241" s="1">
        <f ca="1">IFERROR(__xludf.DUMMYFUNCTION("""COMPUTED_VALUE"""),117)</f>
        <v>117</v>
      </c>
      <c r="L241" s="1" t="str">
        <f ca="1">IFERROR(__xludf.DUMMYFUNCTION("""COMPUTED_VALUE"""),"Rồi")</f>
        <v>Rồi</v>
      </c>
      <c r="M241" s="1" t="str">
        <f ca="1">IFERROR(__xludf.DUMMYFUNCTION("""COMPUTED_VALUE"""),"Thực tập tốt nghiệp, Thi tốt nghiệp, Công nhận tốt nghiệp")</f>
        <v>Thực tập tốt nghiệp, Thi tốt nghiệp, Công nhận tốt nghiệp</v>
      </c>
      <c r="N241" s="1">
        <f ca="1">IFERROR(__xludf.DUMMYFUNCTION("""COMPUTED_VALUE"""),6)</f>
        <v>6</v>
      </c>
      <c r="O241" s="1" t="str">
        <f ca="1">IFERROR(__xludf.DUMMYFUNCTION("""COMPUTED_VALUE"""),"cam kết")</f>
        <v>cam kết</v>
      </c>
      <c r="P241" s="1" t="str">
        <f ca="1">IFERROR(__xludf.DUMMYFUNCTION("""COMPUTED_VALUE"""),"CHƯA NỘP")</f>
        <v>CHƯA NỘP</v>
      </c>
      <c r="Q241" s="1">
        <f ca="1">IFERROR(__xludf.DUMMYFUNCTION("""COMPUTED_VALUE"""),40)</f>
        <v>40</v>
      </c>
      <c r="R241" s="1" t="str">
        <f ca="1">IFERROR(__xludf.DUMMYFUNCTION("""COMPUTED_VALUE"""),"22/01/2026")</f>
        <v>22/01/2026</v>
      </c>
      <c r="S241" s="1" t="str">
        <f ca="1">IFERROR(__xludf.DUMMYFUNCTION("""COMPUTED_VALUE"""),"thực tập TN, Thi TN")</f>
        <v>thực tập TN, Thi TN</v>
      </c>
      <c r="T241" s="1" t="str">
        <f ca="1">IFERROR(__xludf.DUMMYFUNCTION("""COMPUTED_VALUE"""),"Hủy đăng ký thực tập TN đợt 06/2026 do SV ko nộp đơn. 
SV có thể nộp đơn tham dự TN để đăng ký học phần Thi TN. Hạn nộp đơn: 27/02/2026")</f>
        <v>Hủy đăng ký thực tập TN đợt 06/2026 do SV ko nộp đơn. 
SV có thể nộp đơn tham dự TN để đăng ký học phần Thi TN. Hạn nộp đơn: 27/02/2026</v>
      </c>
      <c r="U241" s="1"/>
      <c r="V241" s="1"/>
      <c r="W241" s="1" t="str">
        <f ca="1">IFERROR(__xludf.DUMMYFUNCTION("""COMPUTED_VALUE"""),"K27DLK4")</f>
        <v>K27DLK4</v>
      </c>
      <c r="X241" s="1"/>
      <c r="Y241" s="1" t="str">
        <f ca="1">IFERROR(__xludf.DUMMYFUNCTION("""COMPUTED_VALUE"""),"#N/A")</f>
        <v>#N/A</v>
      </c>
      <c r="Z241" s="1" t="str">
        <f ca="1">IFERROR(__xludf.DUMMYFUNCTION("""COMPUTED_VALUE"""),"#N/A")</f>
        <v>#N/A</v>
      </c>
      <c r="AA241" s="1" t="str">
        <f ca="1">IFERROR(__xludf.DUMMYFUNCTION("""COMPUTED_VALUE"""),"#N/A")</f>
        <v>#N/A</v>
      </c>
      <c r="AB241" s="1"/>
      <c r="AC241" s="1" t="str">
        <f ca="1">IFERROR(__xludf.DUMMYFUNCTION("""COMPUTED_VALUE"""),"BÁO CÁO THỰC TẬP TỐT NGHIỆP")</f>
        <v>BÁO CÁO THỰC TẬP TỐT NGHIỆP</v>
      </c>
      <c r="AD241" s="1"/>
      <c r="AE241" s="1" t="str">
        <f ca="1">IFERROR(__xludf.DUMMYFUNCTION("""COMPUTED_VALUE"""),"#N/A")</f>
        <v>#N/A</v>
      </c>
      <c r="AF241" s="1" t="str">
        <f ca="1">IFERROR(__xludf.DUMMYFUNCTION("""COMPUTED_VALUE"""),"#N/A")</f>
        <v>#N/A</v>
      </c>
      <c r="AG241" s="1" t="str">
        <f ca="1">IFERROR(__xludf.DUMMYFUNCTION("""COMPUTED_VALUE"""),"#N/A")</f>
        <v>#N/A</v>
      </c>
      <c r="AH241" s="1" t="str">
        <f ca="1">IFERROR(__xludf.DUMMYFUNCTION("""COMPUTED_VALUE"""),"#N/A")</f>
        <v>#N/A</v>
      </c>
      <c r="AI241" s="1"/>
    </row>
    <row r="242" spans="1:35" x14ac:dyDescent="0.2">
      <c r="A242" s="3">
        <f ca="1">IFERROR(__xludf.DUMMYFUNCTION("""COMPUTED_VALUE"""),46036.4585004513)</f>
        <v>46036.458500451299</v>
      </c>
      <c r="B242" s="1" t="str">
        <f ca="1">IFERROR(__xludf.DUMMYFUNCTION("""COMPUTED_VALUE"""),"binngsdef@gmail.com")</f>
        <v>binngsdef@gmail.com</v>
      </c>
      <c r="C242" s="1">
        <f ca="1">IFERROR(__xludf.DUMMYFUNCTION("""COMPUTED_VALUE"""),28218045260)</f>
        <v>28218045260</v>
      </c>
      <c r="D242" s="1" t="str">
        <f ca="1">IFERROR(__xludf.DUMMYFUNCTION("""COMPUTED_VALUE"""),"Đoàn Khoa Đăng ")</f>
        <v xml:space="preserve">Đoàn Khoa Đăng </v>
      </c>
      <c r="E242" s="1"/>
      <c r="F242" s="1" t="str">
        <f ca="1">IFERROR(__xludf.DUMMYFUNCTION("""COMPUTED_VALUE"""),"K28DLK1")</f>
        <v>K28DLK1</v>
      </c>
      <c r="G242" s="1" t="str">
        <f ca="1">IFERROR(__xludf.DUMMYFUNCTION("""COMPUTED_VALUE"""),"Quản trị Du lịch &amp; Khách sạn")</f>
        <v>Quản trị Du lịch &amp; Khách sạn</v>
      </c>
      <c r="H242" s="1" t="str">
        <f ca="1">IFERROR(__xludf.DUMMYFUNCTION("""COMPUTED_VALUE"""),"K28")</f>
        <v>K28</v>
      </c>
      <c r="I242" s="1" t="str">
        <f ca="1">IFERROR(__xludf.DUMMYFUNCTION("""COMPUTED_VALUE"""),"0703224050")</f>
        <v>0703224050</v>
      </c>
      <c r="J242" s="1">
        <f ca="1">IFERROR(__xludf.DUMMYFUNCTION("""COMPUTED_VALUE"""),3.31)</f>
        <v>3.31</v>
      </c>
      <c r="K242" s="1">
        <f ca="1">IFERROR(__xludf.DUMMYFUNCTION("""COMPUTED_VALUE"""),119)</f>
        <v>119</v>
      </c>
      <c r="L242" s="1" t="str">
        <f ca="1">IFERROR(__xludf.DUMMYFUNCTION("""COMPUTED_VALUE"""),"Rồi")</f>
        <v>Rồi</v>
      </c>
      <c r="M242" s="1" t="str">
        <f ca="1">IFERROR(__xludf.DUMMYFUNCTION("""COMPUTED_VALUE"""),"Thực tập tốt nghiệp, Thi tốt nghiệp, Công nhận tốt nghiệp")</f>
        <v>Thực tập tốt nghiệp, Thi tốt nghiệp, Công nhận tốt nghiệp</v>
      </c>
      <c r="N242" s="1">
        <f ca="1">IFERROR(__xludf.DUMMYFUNCTION("""COMPUTED_VALUE"""),4)</f>
        <v>4</v>
      </c>
      <c r="O242" s="1" t="str">
        <f ca="1">IFERROR(__xludf.DUMMYFUNCTION("""COMPUTED_VALUE"""),"cam kết")</f>
        <v>cam kết</v>
      </c>
      <c r="P242" s="1"/>
      <c r="Q242" s="1"/>
      <c r="R242" s="1" t="str">
        <f ca="1">IFERROR(__xludf.DUMMYFUNCTION("""COMPUTED_VALUE"""),"17/01/2026")</f>
        <v>17/01/2026</v>
      </c>
      <c r="S242" s="1" t="str">
        <f ca="1">IFERROR(__xludf.DUMMYFUNCTION("""COMPUTED_VALUE"""),"thực tập TN, Thi TN")</f>
        <v>thực tập TN, Thi TN</v>
      </c>
      <c r="T242" s="1" t="str">
        <f ca="1">IFERROR(__xludf.DUMMYFUNCTION("""COMPUTED_VALUE"""),"Đã email cấp giấy giới thiệu ngày 15/01/2026")</f>
        <v>Đã email cấp giấy giới thiệu ngày 15/01/2026</v>
      </c>
      <c r="U242" s="1" t="str">
        <f ca="1">IFERROR(__xludf.DUMMYFUNCTION("""COMPUTED_VALUE"""),"Sv đã nộp đơn chuyển KL - CĐ")</f>
        <v>Sv đã nộp đơn chuyển KL - CĐ</v>
      </c>
      <c r="V242" s="1"/>
      <c r="W242" s="1" t="str">
        <f ca="1">IFERROR(__xludf.DUMMYFUNCTION("""COMPUTED_VALUE"""),"K28DLK1")</f>
        <v>K28DLK1</v>
      </c>
      <c r="X242" s="1"/>
      <c r="Y242" s="1" t="str">
        <f ca="1">IFERROR(__xludf.DUMMYFUNCTION("""COMPUTED_VALUE"""),"Furama Resort &amp; Villas Đà Nẵng")</f>
        <v>Furama Resort &amp; Villas Đà Nẵng</v>
      </c>
      <c r="Z242" s="1" t="str">
        <f ca="1">IFERROR(__xludf.DUMMYFUNCTION("""COMPUTED_VALUE"""),"Nhà hàng")</f>
        <v>Nhà hàng</v>
      </c>
      <c r="AA242" s="1" t="str">
        <f ca="1">IFERROR(__xludf.DUMMYFUNCTION("""COMPUTED_VALUE"""),"DUYỆT")</f>
        <v>DUYỆT</v>
      </c>
      <c r="AB242" s="1" t="str">
        <f ca="1">IFERROR(__xludf.DUMMYFUNCTION("""COMPUTED_VALUE"""),"22/01/2026")</f>
        <v>22/01/2026</v>
      </c>
      <c r="AC242" s="1" t="str">
        <f ca="1">IFERROR(__xludf.DUMMYFUNCTION("""COMPUTED_VALUE"""),"BÁO CÁO THỰC TẬP TỐT NGHIỆP")</f>
        <v>BÁO CÁO THỰC TẬP TỐT NGHIỆP</v>
      </c>
      <c r="AD242" s="1" t="str">
        <f ca="1">IFERROR(__xludf.DUMMYFUNCTION("""COMPUTED_VALUE"""),"Dương Thị Xuân Diệu")</f>
        <v>Dương Thị Xuân Diệu</v>
      </c>
      <c r="AE242" s="1" t="str">
        <f ca="1">IFERROR(__xludf.DUMMYFUNCTION("""COMPUTED_VALUE"""),"Thạc sĩ")</f>
        <v>Thạc sĩ</v>
      </c>
      <c r="AF242" s="1" t="str">
        <f ca="1">IFERROR(__xludf.DUMMYFUNCTION("""COMPUTED_VALUE"""),"0905938748")</f>
        <v>0905938748</v>
      </c>
      <c r="AG242" s="1" t="str">
        <f ca="1">IFERROR(__xludf.DUMMYFUNCTION("""COMPUTED_VALUE"""),"duongtxuandieu@dtu-hti.edu.vn")</f>
        <v>duongtxuandieu@dtu-hti.edu.vn</v>
      </c>
      <c r="AH242" s="1" t="str">
        <f ca="1">IFERROR(__xludf.DUMMYFUNCTION("""COMPUTED_VALUE"""),"Báo cáo kết quả thực tập và thực trạng quy trình phục vụ Buffet sáng tại Nhà hàng Cafe Indochine thuộc Furama Resort &amp; Villas Đà Nẵng")</f>
        <v>Báo cáo kết quả thực tập và thực trạng quy trình phục vụ Buffet sáng tại Nhà hàng Cafe Indochine thuộc Furama Resort &amp; Villas Đà Nẵng</v>
      </c>
      <c r="AI242" s="1"/>
    </row>
    <row r="243" spans="1:35" x14ac:dyDescent="0.2">
      <c r="A243" s="3">
        <f ca="1">IFERROR(__xludf.DUMMYFUNCTION("""COMPUTED_VALUE"""),46036.7738467592)</f>
        <v>46036.773846759199</v>
      </c>
      <c r="B243" s="1" t="str">
        <f ca="1">IFERROR(__xludf.DUMMYFUNCTION("""COMPUTED_VALUE"""),"lequin1812@gmail.com")</f>
        <v>lequin1812@gmail.com</v>
      </c>
      <c r="C243" s="1">
        <f ca="1">IFERROR(__xludf.DUMMYFUNCTION("""COMPUTED_VALUE"""),28208138339)</f>
        <v>28208138339</v>
      </c>
      <c r="D243" s="1" t="str">
        <f ca="1">IFERROR(__xludf.DUMMYFUNCTION("""COMPUTED_VALUE"""),"Lê Thị Như Quỳnh")</f>
        <v>Lê Thị Như Quỳnh</v>
      </c>
      <c r="E243" s="1"/>
      <c r="F243" s="1" t="str">
        <f ca="1">IFERROR(__xludf.DUMMYFUNCTION("""COMPUTED_VALUE"""),"K28DLK1")</f>
        <v>K28DLK1</v>
      </c>
      <c r="G243" s="1" t="str">
        <f ca="1">IFERROR(__xludf.DUMMYFUNCTION("""COMPUTED_VALUE"""),"Quản trị Du lịch &amp; Khách sạn")</f>
        <v>Quản trị Du lịch &amp; Khách sạn</v>
      </c>
      <c r="H243" s="1" t="str">
        <f ca="1">IFERROR(__xludf.DUMMYFUNCTION("""COMPUTED_VALUE"""),"K28")</f>
        <v>K28</v>
      </c>
      <c r="I243" s="1" t="str">
        <f ca="1">IFERROR(__xludf.DUMMYFUNCTION("""COMPUTED_VALUE"""),"0702618955")</f>
        <v>0702618955</v>
      </c>
      <c r="J243" s="1">
        <f ca="1">IFERROR(__xludf.DUMMYFUNCTION("""COMPUTED_VALUE"""),2.82)</f>
        <v>2.82</v>
      </c>
      <c r="K243" s="1">
        <f ca="1">IFERROR(__xludf.DUMMYFUNCTION("""COMPUTED_VALUE"""),122)</f>
        <v>122</v>
      </c>
      <c r="L243" s="1" t="str">
        <f ca="1">IFERROR(__xludf.DUMMYFUNCTION("""COMPUTED_VALUE"""),"Rồi")</f>
        <v>Rồi</v>
      </c>
      <c r="M243" s="1" t="str">
        <f ca="1">IFERROR(__xludf.DUMMYFUNCTION("""COMPUTED_VALUE"""),"Thực tập tốt nghiệp, Thi tốt nghiệp, Công nhận tốt nghiệp")</f>
        <v>Thực tập tốt nghiệp, Thi tốt nghiệp, Công nhận tốt nghiệp</v>
      </c>
      <c r="N243" s="1">
        <f ca="1">IFERROR(__xludf.DUMMYFUNCTION("""COMPUTED_VALUE"""),2)</f>
        <v>2</v>
      </c>
      <c r="O243" s="1" t="str">
        <f ca="1">IFERROR(__xludf.DUMMYFUNCTION("""COMPUTED_VALUE"""),"cam kết")</f>
        <v>cam kết</v>
      </c>
      <c r="P243" s="1"/>
      <c r="Q243" s="1"/>
      <c r="R243" s="1" t="str">
        <f ca="1">IFERROR(__xludf.DUMMYFUNCTION("""COMPUTED_VALUE"""),"17/01/2026")</f>
        <v>17/01/2026</v>
      </c>
      <c r="S243" s="1" t="str">
        <f ca="1">IFERROR(__xludf.DUMMYFUNCTION("""COMPUTED_VALUE"""),"thực tập TN, Thi TN")</f>
        <v>thực tập TN, Thi TN</v>
      </c>
      <c r="T243" s="1" t="str">
        <f ca="1">IFERROR(__xludf.DUMMYFUNCTION("""COMPUTED_VALUE"""),"Đã email cấp giấy giới thiệu ngày 15/01/2026")</f>
        <v>Đã email cấp giấy giới thiệu ngày 15/01/2026</v>
      </c>
      <c r="U243" s="1"/>
      <c r="V243" s="1"/>
      <c r="W243" s="1" t="str">
        <f ca="1">IFERROR(__xludf.DUMMYFUNCTION("""COMPUTED_VALUE"""),"K28DLK1")</f>
        <v>K28DLK1</v>
      </c>
      <c r="X243" s="1"/>
      <c r="Y243" s="1" t="str">
        <f ca="1">IFERROR(__xludf.DUMMYFUNCTION("""COMPUTED_VALUE"""),"Meliá Vinpearl Danang Riverfront")</f>
        <v>Meliá Vinpearl Danang Riverfront</v>
      </c>
      <c r="Z243" s="1" t="str">
        <f ca="1">IFERROR(__xludf.DUMMYFUNCTION("""COMPUTED_VALUE"""),"Nhà hàng")</f>
        <v>Nhà hàng</v>
      </c>
      <c r="AA243" s="1" t="str">
        <f ca="1">IFERROR(__xludf.DUMMYFUNCTION("""COMPUTED_VALUE"""),"DUYỆT")</f>
        <v>DUYỆT</v>
      </c>
      <c r="AB243" s="1" t="str">
        <f ca="1">IFERROR(__xludf.DUMMYFUNCTION("""COMPUTED_VALUE"""),"28/01/2026")</f>
        <v>28/01/2026</v>
      </c>
      <c r="AC243" s="1" t="str">
        <f ca="1">IFERROR(__xludf.DUMMYFUNCTION("""COMPUTED_VALUE"""),"BÁO CÁO THỰC TẬP TỐT NGHIỆP")</f>
        <v>BÁO CÁO THỰC TẬP TỐT NGHIỆP</v>
      </c>
      <c r="AD243" s="1" t="str">
        <f ca="1">IFERROR(__xludf.DUMMYFUNCTION("""COMPUTED_VALUE"""),"Huỳnh Lý Thùy Linh")</f>
        <v>Huỳnh Lý Thùy Linh</v>
      </c>
      <c r="AE243" s="1" t="str">
        <f ca="1">IFERROR(__xludf.DUMMYFUNCTION("""COMPUTED_VALUE"""),"Thạc sĩ")</f>
        <v>Thạc sĩ</v>
      </c>
      <c r="AF243" s="1" t="str">
        <f ca="1">IFERROR(__xludf.DUMMYFUNCTION("""COMPUTED_VALUE"""),"0702605664")</f>
        <v>0702605664</v>
      </c>
      <c r="AG243" s="1" t="str">
        <f ca="1">IFERROR(__xludf.DUMMYFUNCTION("""COMPUTED_VALUE"""),"huynhlthuylinh@dtu-hti.edu.vn")</f>
        <v>huynhlthuylinh@dtu-hti.edu.vn</v>
      </c>
      <c r="AH243" s="1" t="str">
        <f ca="1">IFERROR(__xludf.DUMMYFUNCTION("""COMPUTED_VALUE"""),"BÁO CÁO KẾT QUẢ THỰC TẬP VÀ THỰC TRẠNG QUY TRÌNH PHỤC VỤ A LA CARTE TẠI NHÀ HÀNG HAN RIVER 1 CỦA MELIÁ VINPEARL DANANG RIVERFRONT")</f>
        <v>BÁO CÁO KẾT QUẢ THỰC TẬP VÀ THỰC TRẠNG QUY TRÌNH PHỤC VỤ A LA CARTE TẠI NHÀ HÀNG HAN RIVER 1 CỦA MELIÁ VINPEARL DANANG RIVERFRONT</v>
      </c>
      <c r="AI243" s="1"/>
    </row>
    <row r="244" spans="1:35" x14ac:dyDescent="0.2">
      <c r="A244" s="3">
        <f ca="1">IFERROR(__xludf.DUMMYFUNCTION("""COMPUTED_VALUE"""),46036.8075027662)</f>
        <v>46036.807502766198</v>
      </c>
      <c r="B244" s="1" t="str">
        <f ca="1">IFERROR(__xludf.DUMMYFUNCTION("""COMPUTED_VALUE"""),"Haics0012@gmail.com")</f>
        <v>Haics0012@gmail.com</v>
      </c>
      <c r="C244" s="1">
        <f ca="1">IFERROR(__xludf.DUMMYFUNCTION("""COMPUTED_VALUE"""),28218047547)</f>
        <v>28218047547</v>
      </c>
      <c r="D244" s="1" t="str">
        <f ca="1">IFERROR(__xludf.DUMMYFUNCTION("""COMPUTED_VALUE"""),"Trần Long Hải")</f>
        <v>Trần Long Hải</v>
      </c>
      <c r="E244" s="1"/>
      <c r="F244" s="1" t="str">
        <f ca="1">IFERROR(__xludf.DUMMYFUNCTION("""COMPUTED_VALUE"""),"K28DLK3")</f>
        <v>K28DLK3</v>
      </c>
      <c r="G244" s="1" t="str">
        <f ca="1">IFERROR(__xludf.DUMMYFUNCTION("""COMPUTED_VALUE"""),"Quản trị Du lịch &amp; Khách sạn")</f>
        <v>Quản trị Du lịch &amp; Khách sạn</v>
      </c>
      <c r="H244" s="1" t="str">
        <f ca="1">IFERROR(__xludf.DUMMYFUNCTION("""COMPUTED_VALUE"""),"K28")</f>
        <v>K28</v>
      </c>
      <c r="I244" s="1" t="str">
        <f ca="1">IFERROR(__xludf.DUMMYFUNCTION("""COMPUTED_VALUE"""),"0822139359")</f>
        <v>0822139359</v>
      </c>
      <c r="J244" s="1">
        <f ca="1">IFERROR(__xludf.DUMMYFUNCTION("""COMPUTED_VALUE"""),3.05)</f>
        <v>3.05</v>
      </c>
      <c r="K244" s="1">
        <f ca="1">IFERROR(__xludf.DUMMYFUNCTION("""COMPUTED_VALUE"""),121)</f>
        <v>121</v>
      </c>
      <c r="L244" s="1" t="str">
        <f ca="1">IFERROR(__xludf.DUMMYFUNCTION("""COMPUTED_VALUE"""),"Rồi")</f>
        <v>Rồi</v>
      </c>
      <c r="M244" s="1" t="str">
        <f ca="1">IFERROR(__xludf.DUMMYFUNCTION("""COMPUTED_VALUE"""),"Thực tập tốt nghiệp, Thi tốt nghiệp")</f>
        <v>Thực tập tốt nghiệp, Thi tốt nghiệp</v>
      </c>
      <c r="N244" s="1">
        <f ca="1">IFERROR(__xludf.DUMMYFUNCTION("""COMPUTED_VALUE"""),0)</f>
        <v>0</v>
      </c>
      <c r="O244" s="1" t="str">
        <f ca="1">IFERROR(__xludf.DUMMYFUNCTION("""COMPUTED_VALUE"""),"cam kết")</f>
        <v>cam kết</v>
      </c>
      <c r="P244" s="1"/>
      <c r="Q244" s="1"/>
      <c r="R244" s="1" t="str">
        <f ca="1">IFERROR(__xludf.DUMMYFUNCTION("""COMPUTED_VALUE"""),"17/01/2026")</f>
        <v>17/01/2026</v>
      </c>
      <c r="S244" s="1" t="str">
        <f ca="1">IFERROR(__xludf.DUMMYFUNCTION("""COMPUTED_VALUE"""),"thực tập TN, Thi TN")</f>
        <v>thực tập TN, Thi TN</v>
      </c>
      <c r="T244" s="1" t="str">
        <f ca="1">IFERROR(__xludf.DUMMYFUNCTION("""COMPUTED_VALUE"""),"Đã email cấp giấy giới thiệu ngày 15/01/2026")</f>
        <v>Đã email cấp giấy giới thiệu ngày 15/01/2026</v>
      </c>
      <c r="U244" s="1"/>
      <c r="V244" s="1"/>
      <c r="W244" s="1" t="str">
        <f ca="1">IFERROR(__xludf.DUMMYFUNCTION("""COMPUTED_VALUE"""),"K28DLK3")</f>
        <v>K28DLK3</v>
      </c>
      <c r="X244" s="1"/>
      <c r="Y244" s="1" t="str">
        <f ca="1">IFERROR(__xludf.DUMMYFUNCTION("""COMPUTED_VALUE"""),"Danang Marriott Resort &amp; Spa")</f>
        <v>Danang Marriott Resort &amp; Spa</v>
      </c>
      <c r="Z244" s="1" t="str">
        <f ca="1">IFERROR(__xludf.DUMMYFUNCTION("""COMPUTED_VALUE"""),"Nhà hàng")</f>
        <v>Nhà hàng</v>
      </c>
      <c r="AA244" s="1" t="str">
        <f ca="1">IFERROR(__xludf.DUMMYFUNCTION("""COMPUTED_VALUE"""),"DUYỆT")</f>
        <v>DUYỆT</v>
      </c>
      <c r="AB244" s="1" t="str">
        <f ca="1">IFERROR(__xludf.DUMMYFUNCTION("""COMPUTED_VALUE"""),"26/01/2026")</f>
        <v>26/01/2026</v>
      </c>
      <c r="AC244" s="1" t="str">
        <f ca="1">IFERROR(__xludf.DUMMYFUNCTION("""COMPUTED_VALUE"""),"BÁO CÁO THỰC TẬP TỐT NGHIỆP")</f>
        <v>BÁO CÁO THỰC TẬP TỐT NGHIỆP</v>
      </c>
      <c r="AD244" s="1" t="str">
        <f ca="1">IFERROR(__xludf.DUMMYFUNCTION("""COMPUTED_VALUE"""),"Nguyễn Thị Minh Thư")</f>
        <v>Nguyễn Thị Minh Thư</v>
      </c>
      <c r="AE244" s="1" t="str">
        <f ca="1">IFERROR(__xludf.DUMMYFUNCTION("""COMPUTED_VALUE"""),"Thạc sĩ")</f>
        <v>Thạc sĩ</v>
      </c>
      <c r="AF244" s="1" t="str">
        <f ca="1">IFERROR(__xludf.DUMMYFUNCTION("""COMPUTED_VALUE"""),"0396.153.687")</f>
        <v>0396.153.687</v>
      </c>
      <c r="AG244" s="1" t="str">
        <f ca="1">IFERROR(__xludf.DUMMYFUNCTION("""COMPUTED_VALUE"""),"nguyentminhthu@dtu-hti.edu.vn")</f>
        <v>nguyentminhthu@dtu-hti.edu.vn</v>
      </c>
      <c r="AH244" s="1" t="str">
        <f ca="1">IFERROR(__xludf.DUMMYFUNCTION("""COMPUTED_VALUE"""),"#N/A")</f>
        <v>#N/A</v>
      </c>
      <c r="AI244" s="1"/>
    </row>
    <row r="245" spans="1:35" x14ac:dyDescent="0.2">
      <c r="A245" s="3">
        <f ca="1">IFERROR(__xludf.DUMMYFUNCTION("""COMPUTED_VALUE"""),46037.4668657291)</f>
        <v>46037.466865729097</v>
      </c>
      <c r="B245" s="1" t="str">
        <f ca="1">IFERROR(__xludf.DUMMYFUNCTION("""COMPUTED_VALUE"""),"Quangphamtn2002@gmail.com")</f>
        <v>Quangphamtn2002@gmail.com</v>
      </c>
      <c r="C245" s="1">
        <f ca="1">IFERROR(__xludf.DUMMYFUNCTION("""COMPUTED_VALUE"""),26217232879)</f>
        <v>26217232879</v>
      </c>
      <c r="D245" s="1" t="str">
        <f ca="1">IFERROR(__xludf.DUMMYFUNCTION("""COMPUTED_VALUE"""),"Phạm Hào Quang")</f>
        <v>Phạm Hào Quang</v>
      </c>
      <c r="E245" s="1"/>
      <c r="F245" s="1" t="str">
        <f ca="1">IFERROR(__xludf.DUMMYFUNCTION("""COMPUTED_VALUE"""),"K26DLK14")</f>
        <v>K26DLK14</v>
      </c>
      <c r="G245" s="1" t="str">
        <f ca="1">IFERROR(__xludf.DUMMYFUNCTION("""COMPUTED_VALUE"""),"Quản trị Du lịch &amp; Khách sạn")</f>
        <v>Quản trị Du lịch &amp; Khách sạn</v>
      </c>
      <c r="H245" s="1" t="str">
        <f ca="1">IFERROR(__xludf.DUMMYFUNCTION("""COMPUTED_VALUE"""),"K26")</f>
        <v>K26</v>
      </c>
      <c r="I245" s="1" t="str">
        <f ca="1">IFERROR(__xludf.DUMMYFUNCTION("""COMPUTED_VALUE"""),"0328235482")</f>
        <v>0328235482</v>
      </c>
      <c r="J245" s="1">
        <f ca="1">IFERROR(__xludf.DUMMYFUNCTION("""COMPUTED_VALUE"""),1.94)</f>
        <v>1.94</v>
      </c>
      <c r="K245" s="1">
        <f ca="1">IFERROR(__xludf.DUMMYFUNCTION("""COMPUTED_VALUE"""),117)</f>
        <v>117</v>
      </c>
      <c r="L245" s="1" t="str">
        <f ca="1">IFERROR(__xludf.DUMMYFUNCTION("""COMPUTED_VALUE"""),"Rồi")</f>
        <v>Rồi</v>
      </c>
      <c r="M245" s="1" t="str">
        <f ca="1">IFERROR(__xludf.DUMMYFUNCTION("""COMPUTED_VALUE"""),"Thực tập tốt nghiệp, Công nhận tốt nghiệp")</f>
        <v>Thực tập tốt nghiệp, Công nhận tốt nghiệp</v>
      </c>
      <c r="N245" s="1">
        <f ca="1">IFERROR(__xludf.DUMMYFUNCTION("""COMPUTED_VALUE"""),8)</f>
        <v>8</v>
      </c>
      <c r="O245" s="1" t="str">
        <f ca="1">IFERROR(__xludf.DUMMYFUNCTION("""COMPUTED_VALUE"""),"cam kết")</f>
        <v>cam kết</v>
      </c>
      <c r="P245" s="1" t="str">
        <f ca="1">IFERROR(__xludf.DUMMYFUNCTION("""COMPUTED_VALUE"""),"CHƯA NỘP")</f>
        <v>CHƯA NỘP</v>
      </c>
      <c r="Q245" s="1">
        <f ca="1">IFERROR(__xludf.DUMMYFUNCTION("""COMPUTED_VALUE"""),41)</f>
        <v>41</v>
      </c>
      <c r="R245" s="1" t="str">
        <f ca="1">IFERROR(__xludf.DUMMYFUNCTION("""COMPUTED_VALUE"""),"17/01/2026")</f>
        <v>17/01/2026</v>
      </c>
      <c r="S245" s="1" t="str">
        <f ca="1">IFERROR(__xludf.DUMMYFUNCTION("""COMPUTED_VALUE"""),"không đủ điều kiện thực tập")</f>
        <v>không đủ điều kiện thực tập</v>
      </c>
      <c r="T245" s="1"/>
      <c r="U245" s="1"/>
      <c r="V245" s="1"/>
      <c r="W245" s="1" t="str">
        <f ca="1">IFERROR(__xludf.DUMMYFUNCTION("""COMPUTED_VALUE"""),"K26DLK14")</f>
        <v>K26DLK14</v>
      </c>
      <c r="X245" s="1"/>
      <c r="Y245" s="1" t="str">
        <f ca="1">IFERROR(__xludf.DUMMYFUNCTION("""COMPUTED_VALUE"""),"#N/A")</f>
        <v>#N/A</v>
      </c>
      <c r="Z245" s="1" t="str">
        <f ca="1">IFERROR(__xludf.DUMMYFUNCTION("""COMPUTED_VALUE"""),"#N/A")</f>
        <v>#N/A</v>
      </c>
      <c r="AA245" s="1" t="str">
        <f ca="1">IFERROR(__xludf.DUMMYFUNCTION("""COMPUTED_VALUE"""),"#N/A")</f>
        <v>#N/A</v>
      </c>
      <c r="AB245" s="1"/>
      <c r="AC245" s="1" t="str">
        <f ca="1">IFERROR(__xludf.DUMMYFUNCTION("""COMPUTED_VALUE""")," ")</f>
        <v xml:space="preserve"> </v>
      </c>
      <c r="AD245" s="1"/>
      <c r="AE245" s="1" t="str">
        <f ca="1">IFERROR(__xludf.DUMMYFUNCTION("""COMPUTED_VALUE"""),"#N/A")</f>
        <v>#N/A</v>
      </c>
      <c r="AF245" s="1" t="str">
        <f ca="1">IFERROR(__xludf.DUMMYFUNCTION("""COMPUTED_VALUE"""),"#N/A")</f>
        <v>#N/A</v>
      </c>
      <c r="AG245" s="1" t="str">
        <f ca="1">IFERROR(__xludf.DUMMYFUNCTION("""COMPUTED_VALUE"""),"#N/A")</f>
        <v>#N/A</v>
      </c>
      <c r="AH245" s="1"/>
      <c r="AI245" s="1"/>
    </row>
    <row r="246" spans="1:35" x14ac:dyDescent="0.2">
      <c r="A246" s="3">
        <f ca="1">IFERROR(__xludf.DUMMYFUNCTION("""COMPUTED_VALUE"""),46037.4757655902)</f>
        <v>46037.475765590199</v>
      </c>
      <c r="B246" s="1" t="str">
        <f ca="1">IFERROR(__xludf.DUMMYFUNCTION("""COMPUTED_VALUE"""),"leyennhi3333@gmail.com")</f>
        <v>leyennhi3333@gmail.com</v>
      </c>
      <c r="C246" s="1">
        <f ca="1">IFERROR(__xludf.DUMMYFUNCTION("""COMPUTED_VALUE"""),27207147400)</f>
        <v>27207147400</v>
      </c>
      <c r="D246" s="1" t="str">
        <f ca="1">IFERROR(__xludf.DUMMYFUNCTION("""COMPUTED_VALUE"""),"Lê Thị Yến Nhi")</f>
        <v>Lê Thị Yến Nhi</v>
      </c>
      <c r="E246" s="1"/>
      <c r="F246" s="1" t="str">
        <f ca="1">IFERROR(__xludf.DUMMYFUNCTION("""COMPUTED_VALUE"""),"K27DLK6")</f>
        <v>K27DLK6</v>
      </c>
      <c r="G246" s="1" t="str">
        <f ca="1">IFERROR(__xludf.DUMMYFUNCTION("""COMPUTED_VALUE"""),"Quản trị Du lịch &amp; Khách sạn")</f>
        <v>Quản trị Du lịch &amp; Khách sạn</v>
      </c>
      <c r="H246" s="1" t="str">
        <f ca="1">IFERROR(__xludf.DUMMYFUNCTION("""COMPUTED_VALUE"""),"K27")</f>
        <v>K27</v>
      </c>
      <c r="I246" s="1" t="str">
        <f ca="1">IFERROR(__xludf.DUMMYFUNCTION("""COMPUTED_VALUE"""),"0396095413")</f>
        <v>0396095413</v>
      </c>
      <c r="J246" s="1">
        <f ca="1">IFERROR(__xludf.DUMMYFUNCTION("""COMPUTED_VALUE"""),2.56)</f>
        <v>2.56</v>
      </c>
      <c r="K246" s="1">
        <f ca="1">IFERROR(__xludf.DUMMYFUNCTION("""COMPUTED_VALUE"""),128)</f>
        <v>128</v>
      </c>
      <c r="L246" s="1" t="str">
        <f ca="1">IFERROR(__xludf.DUMMYFUNCTION("""COMPUTED_VALUE"""),"Rồi")</f>
        <v>Rồi</v>
      </c>
      <c r="M246" s="1" t="str">
        <f ca="1">IFERROR(__xludf.DUMMYFUNCTION("""COMPUTED_VALUE"""),"Công nhận tốt nghiệp")</f>
        <v>Công nhận tốt nghiệp</v>
      </c>
      <c r="N246" s="1">
        <f ca="1">IFERROR(__xludf.DUMMYFUNCTION("""COMPUTED_VALUE"""),0)</f>
        <v>0</v>
      </c>
      <c r="O246" s="1" t="str">
        <f ca="1">IFERROR(__xludf.DUMMYFUNCTION("""COMPUTED_VALUE"""),"cam kết")</f>
        <v>cam kết</v>
      </c>
      <c r="P246" s="1" t="str">
        <f ca="1">IFERROR(__xludf.DUMMYFUNCTION("""COMPUTED_VALUE"""),"CHƯA NỘP")</f>
        <v>CHƯA NỘP</v>
      </c>
      <c r="Q246" s="1">
        <f ca="1">IFERROR(__xludf.DUMMYFUNCTION("""COMPUTED_VALUE"""),42)</f>
        <v>42</v>
      </c>
      <c r="R246" s="1" t="str">
        <f ca="1">IFERROR(__xludf.DUMMYFUNCTION("""COMPUTED_VALUE"""),"17/01/2026")</f>
        <v>17/01/2026</v>
      </c>
      <c r="S246" s="1" t="str">
        <f ca="1">IFERROR(__xludf.DUMMYFUNCTION("""COMPUTED_VALUE"""),"xét công nhận TN")</f>
        <v>xét công nhận TN</v>
      </c>
      <c r="T246" s="1"/>
      <c r="U246" s="1"/>
      <c r="V246" s="1"/>
      <c r="W246" s="1" t="str">
        <f ca="1">IFERROR(__xludf.DUMMYFUNCTION("""COMPUTED_VALUE"""),"K27DLK6")</f>
        <v>K27DLK6</v>
      </c>
      <c r="X246" s="1"/>
      <c r="Y246" s="1" t="str">
        <f ca="1">IFERROR(__xludf.DUMMYFUNCTION("""COMPUTED_VALUE"""),"#N/A")</f>
        <v>#N/A</v>
      </c>
      <c r="Z246" s="1" t="str">
        <f ca="1">IFERROR(__xludf.DUMMYFUNCTION("""COMPUTED_VALUE"""),"#N/A")</f>
        <v>#N/A</v>
      </c>
      <c r="AA246" s="1" t="str">
        <f ca="1">IFERROR(__xludf.DUMMYFUNCTION("""COMPUTED_VALUE"""),"#N/A")</f>
        <v>#N/A</v>
      </c>
      <c r="AB246" s="1"/>
      <c r="AC246" s="1" t="str">
        <f ca="1">IFERROR(__xludf.DUMMYFUNCTION("""COMPUTED_VALUE""")," ")</f>
        <v xml:space="preserve"> </v>
      </c>
      <c r="AD246" s="1"/>
      <c r="AE246" s="1"/>
      <c r="AF246" s="1"/>
      <c r="AG246" s="1"/>
      <c r="AH246" s="1"/>
      <c r="AI246" s="1"/>
    </row>
    <row r="247" spans="1:35" x14ac:dyDescent="0.2">
      <c r="A247" s="3">
        <f ca="1">IFERROR(__xludf.DUMMYFUNCTION("""COMPUTED_VALUE"""),46037.4810604976)</f>
        <v>46037.481060497601</v>
      </c>
      <c r="B247" s="1" t="str">
        <f ca="1">IFERROR(__xludf.DUMMYFUNCTION("""COMPUTED_VALUE"""),"trungtran85200@gmail.com")</f>
        <v>trungtran85200@gmail.com</v>
      </c>
      <c r="C247" s="1">
        <f ca="1">IFERROR(__xludf.DUMMYFUNCTION("""COMPUTED_VALUE"""),27217123680)</f>
        <v>27217123680</v>
      </c>
      <c r="D247" s="1" t="str">
        <f ca="1">IFERROR(__xludf.DUMMYFUNCTION("""COMPUTED_VALUE"""),"Trần Hữu Chung")</f>
        <v>Trần Hữu Chung</v>
      </c>
      <c r="E247" s="1"/>
      <c r="F247" s="1" t="str">
        <f ca="1">IFERROR(__xludf.DUMMYFUNCTION("""COMPUTED_VALUE"""),"K27DLK5")</f>
        <v>K27DLK5</v>
      </c>
      <c r="G247" s="1" t="str">
        <f ca="1">IFERROR(__xludf.DUMMYFUNCTION("""COMPUTED_VALUE"""),"Quản trị Du lịch &amp; Khách sạn")</f>
        <v>Quản trị Du lịch &amp; Khách sạn</v>
      </c>
      <c r="H247" s="1" t="str">
        <f ca="1">IFERROR(__xludf.DUMMYFUNCTION("""COMPUTED_VALUE"""),"K27")</f>
        <v>K27</v>
      </c>
      <c r="I247" s="1" t="str">
        <f ca="1">IFERROR(__xludf.DUMMYFUNCTION("""COMPUTED_VALUE"""),"0356485200")</f>
        <v>0356485200</v>
      </c>
      <c r="J247" s="1">
        <f ca="1">IFERROR(__xludf.DUMMYFUNCTION("""COMPUTED_VALUE"""),2.74)</f>
        <v>2.74</v>
      </c>
      <c r="K247" s="1">
        <f ca="1">IFERROR(__xludf.DUMMYFUNCTION("""COMPUTED_VALUE"""),129)</f>
        <v>129</v>
      </c>
      <c r="L247" s="1" t="str">
        <f ca="1">IFERROR(__xludf.DUMMYFUNCTION("""COMPUTED_VALUE"""),"Rồi")</f>
        <v>Rồi</v>
      </c>
      <c r="M247" s="1" t="str">
        <f ca="1">IFERROR(__xludf.DUMMYFUNCTION("""COMPUTED_VALUE"""),"Công nhận tốt nghiệp")</f>
        <v>Công nhận tốt nghiệp</v>
      </c>
      <c r="N247" s="1">
        <f ca="1">IFERROR(__xludf.DUMMYFUNCTION("""COMPUTED_VALUE"""),0)</f>
        <v>0</v>
      </c>
      <c r="O247" s="1" t="str">
        <f ca="1">IFERROR(__xludf.DUMMYFUNCTION("""COMPUTED_VALUE"""),"cam kết")</f>
        <v>cam kết</v>
      </c>
      <c r="P247" s="1" t="str">
        <f ca="1">IFERROR(__xludf.DUMMYFUNCTION("""COMPUTED_VALUE"""),"CHƯA NỘP")</f>
        <v>CHƯA NỘP</v>
      </c>
      <c r="Q247" s="1">
        <f ca="1">IFERROR(__xludf.DUMMYFUNCTION("""COMPUTED_VALUE"""),43)</f>
        <v>43</v>
      </c>
      <c r="R247" s="1" t="str">
        <f ca="1">IFERROR(__xludf.DUMMYFUNCTION("""COMPUTED_VALUE"""),"17/01/2026")</f>
        <v>17/01/2026</v>
      </c>
      <c r="S247" s="1" t="str">
        <f ca="1">IFERROR(__xludf.DUMMYFUNCTION("""COMPUTED_VALUE"""),"xét công nhận TN")</f>
        <v>xét công nhận TN</v>
      </c>
      <c r="T247" s="1"/>
      <c r="U247" s="1"/>
      <c r="V247" s="1"/>
      <c r="W247" s="1" t="str">
        <f ca="1">IFERROR(__xludf.DUMMYFUNCTION("""COMPUTED_VALUE"""),"K27DLK5")</f>
        <v>K27DLK5</v>
      </c>
      <c r="X247" s="1"/>
      <c r="Y247" s="1" t="str">
        <f ca="1">IFERROR(__xludf.DUMMYFUNCTION("""COMPUTED_VALUE"""),"#N/A")</f>
        <v>#N/A</v>
      </c>
      <c r="Z247" s="1" t="str">
        <f ca="1">IFERROR(__xludf.DUMMYFUNCTION("""COMPUTED_VALUE"""),"#N/A")</f>
        <v>#N/A</v>
      </c>
      <c r="AA247" s="1" t="str">
        <f ca="1">IFERROR(__xludf.DUMMYFUNCTION("""COMPUTED_VALUE"""),"#N/A")</f>
        <v>#N/A</v>
      </c>
      <c r="AB247" s="1"/>
      <c r="AC247" s="1" t="str">
        <f ca="1">IFERROR(__xludf.DUMMYFUNCTION("""COMPUTED_VALUE""")," ")</f>
        <v xml:space="preserve"> </v>
      </c>
      <c r="AD247" s="1"/>
      <c r="AE247" s="1"/>
      <c r="AF247" s="1"/>
      <c r="AG247" s="1"/>
      <c r="AH247" s="1"/>
      <c r="AI247" s="1"/>
    </row>
    <row r="248" spans="1:35" x14ac:dyDescent="0.2">
      <c r="A248" s="3">
        <f ca="1">IFERROR(__xludf.DUMMYFUNCTION("""COMPUTED_VALUE"""),46037.5897160532)</f>
        <v>46037.589716053197</v>
      </c>
      <c r="B248" s="1" t="str">
        <f ca="1">IFERROR(__xludf.DUMMYFUNCTION("""COMPUTED_VALUE"""),"phamthithanhhuyen60@gmail.com")</f>
        <v>phamthithanhhuyen60@gmail.com</v>
      </c>
      <c r="C248" s="1">
        <f ca="1">IFERROR(__xludf.DUMMYFUNCTION("""COMPUTED_VALUE"""),27207139716)</f>
        <v>27207139716</v>
      </c>
      <c r="D248" s="1" t="str">
        <f ca="1">IFERROR(__xludf.DUMMYFUNCTION("""COMPUTED_VALUE"""),"Phạm Thị Thanh Huyền")</f>
        <v>Phạm Thị Thanh Huyền</v>
      </c>
      <c r="E248" s="1"/>
      <c r="F248" s="1" t="str">
        <f ca="1">IFERROR(__xludf.DUMMYFUNCTION("""COMPUTED_VALUE"""),"K27DLK1")</f>
        <v>K27DLK1</v>
      </c>
      <c r="G248" s="1" t="str">
        <f ca="1">IFERROR(__xludf.DUMMYFUNCTION("""COMPUTED_VALUE"""),"Quản trị Du lịch &amp; Khách sạn")</f>
        <v>Quản trị Du lịch &amp; Khách sạn</v>
      </c>
      <c r="H248" s="1" t="str">
        <f ca="1">IFERROR(__xludf.DUMMYFUNCTION("""COMPUTED_VALUE"""),"K27")</f>
        <v>K27</v>
      </c>
      <c r="I248" s="1" t="str">
        <f ca="1">IFERROR(__xludf.DUMMYFUNCTION("""COMPUTED_VALUE"""),"0984796664")</f>
        <v>0984796664</v>
      </c>
      <c r="J248" s="1">
        <f ca="1">IFERROR(__xludf.DUMMYFUNCTION("""COMPUTED_VALUE"""),3.21)</f>
        <v>3.21</v>
      </c>
      <c r="K248" s="1">
        <f ca="1">IFERROR(__xludf.DUMMYFUNCTION("""COMPUTED_VALUE"""),129)</f>
        <v>129</v>
      </c>
      <c r="L248" s="1" t="str">
        <f ca="1">IFERROR(__xludf.DUMMYFUNCTION("""COMPUTED_VALUE"""),"Rồi")</f>
        <v>Rồi</v>
      </c>
      <c r="M248" s="1" t="str">
        <f ca="1">IFERROR(__xludf.DUMMYFUNCTION("""COMPUTED_VALUE"""),"Công nhận tốt nghiệp")</f>
        <v>Công nhận tốt nghiệp</v>
      </c>
      <c r="N248" s="1">
        <f ca="1">IFERROR(__xludf.DUMMYFUNCTION("""COMPUTED_VALUE"""),0)</f>
        <v>0</v>
      </c>
      <c r="O248" s="1" t="str">
        <f ca="1">IFERROR(__xludf.DUMMYFUNCTION("""COMPUTED_VALUE"""),"cam kết")</f>
        <v>cam kết</v>
      </c>
      <c r="P248" s="1" t="str">
        <f ca="1">IFERROR(__xludf.DUMMYFUNCTION("""COMPUTED_VALUE"""),"CHƯA NỘP")</f>
        <v>CHƯA NỘP</v>
      </c>
      <c r="Q248" s="1">
        <f ca="1">IFERROR(__xludf.DUMMYFUNCTION("""COMPUTED_VALUE"""),44)</f>
        <v>44</v>
      </c>
      <c r="R248" s="1" t="str">
        <f ca="1">IFERROR(__xludf.DUMMYFUNCTION("""COMPUTED_VALUE"""),"17/01/2026")</f>
        <v>17/01/2026</v>
      </c>
      <c r="S248" s="1" t="str">
        <f ca="1">IFERROR(__xludf.DUMMYFUNCTION("""COMPUTED_VALUE"""),"xét công nhận TN")</f>
        <v>xét công nhận TN</v>
      </c>
      <c r="T248" s="1"/>
      <c r="U248" s="1"/>
      <c r="V248" s="1"/>
      <c r="W248" s="1" t="str">
        <f ca="1">IFERROR(__xludf.DUMMYFUNCTION("""COMPUTED_VALUE"""),"K27DLK1")</f>
        <v>K27DLK1</v>
      </c>
      <c r="X248" s="1"/>
      <c r="Y248" s="1" t="str">
        <f ca="1">IFERROR(__xludf.DUMMYFUNCTION("""COMPUTED_VALUE"""),"#N/A")</f>
        <v>#N/A</v>
      </c>
      <c r="Z248" s="1" t="str">
        <f ca="1">IFERROR(__xludf.DUMMYFUNCTION("""COMPUTED_VALUE"""),"#N/A")</f>
        <v>#N/A</v>
      </c>
      <c r="AA248" s="1" t="str">
        <f ca="1">IFERROR(__xludf.DUMMYFUNCTION("""COMPUTED_VALUE"""),"#N/A")</f>
        <v>#N/A</v>
      </c>
      <c r="AB248" s="1"/>
      <c r="AC248" s="1" t="str">
        <f ca="1">IFERROR(__xludf.DUMMYFUNCTION("""COMPUTED_VALUE""")," ")</f>
        <v xml:space="preserve"> </v>
      </c>
      <c r="AD248" s="1"/>
      <c r="AE248" s="1"/>
      <c r="AF248" s="1"/>
      <c r="AG248" s="1"/>
      <c r="AH248" s="1"/>
      <c r="AI248" s="1"/>
    </row>
    <row r="249" spans="1:35" x14ac:dyDescent="0.2">
      <c r="A249" s="3">
        <f ca="1">IFERROR(__xludf.DUMMYFUNCTION("""COMPUTED_VALUE"""),46037.5933734606)</f>
        <v>46037.593373460601</v>
      </c>
      <c r="B249" s="1" t="str">
        <f ca="1">IFERROR(__xludf.DUMMYFUNCTION("""COMPUTED_VALUE"""),"nguyendieulinh325@gmail.com")</f>
        <v>nguyendieulinh325@gmail.com</v>
      </c>
      <c r="C249" s="1">
        <f ca="1">IFERROR(__xludf.DUMMYFUNCTION("""COMPUTED_VALUE"""),25207100932)</f>
        <v>25207100932</v>
      </c>
      <c r="D249" s="1" t="str">
        <f ca="1">IFERROR(__xludf.DUMMYFUNCTION("""COMPUTED_VALUE"""),"Nguyễn Thị Diệu Linh ")</f>
        <v xml:space="preserve">Nguyễn Thị Diệu Linh </v>
      </c>
      <c r="E249" s="1"/>
      <c r="F249" s="1" t="str">
        <f ca="1">IFERROR(__xludf.DUMMYFUNCTION("""COMPUTED_VALUE"""),"K27DLK6")</f>
        <v>K27DLK6</v>
      </c>
      <c r="G249" s="1" t="str">
        <f ca="1">IFERROR(__xludf.DUMMYFUNCTION("""COMPUTED_VALUE"""),"Quản trị Du lịch &amp; Khách sạn")</f>
        <v>Quản trị Du lịch &amp; Khách sạn</v>
      </c>
      <c r="H249" s="1" t="str">
        <f ca="1">IFERROR(__xludf.DUMMYFUNCTION("""COMPUTED_VALUE"""),"K27")</f>
        <v>K27</v>
      </c>
      <c r="I249" s="1" t="str">
        <f ca="1">IFERROR(__xludf.DUMMYFUNCTION("""COMPUTED_VALUE"""),"0766609417")</f>
        <v>0766609417</v>
      </c>
      <c r="J249" s="1">
        <f ca="1">IFERROR(__xludf.DUMMYFUNCTION("""COMPUTED_VALUE"""),3.08)</f>
        <v>3.08</v>
      </c>
      <c r="K249" s="1">
        <f ca="1">IFERROR(__xludf.DUMMYFUNCTION("""COMPUTED_VALUE"""),139)</f>
        <v>139</v>
      </c>
      <c r="L249" s="1" t="str">
        <f ca="1">IFERROR(__xludf.DUMMYFUNCTION("""COMPUTED_VALUE"""),"Rồi")</f>
        <v>Rồi</v>
      </c>
      <c r="M249" s="1" t="str">
        <f ca="1">IFERROR(__xludf.DUMMYFUNCTION("""COMPUTED_VALUE"""),"Thi tốt nghiệp, Công nhận tốt nghiệp")</f>
        <v>Thi tốt nghiệp, Công nhận tốt nghiệp</v>
      </c>
      <c r="N249" s="1">
        <f ca="1">IFERROR(__xludf.DUMMYFUNCTION("""COMPUTED_VALUE"""),0)</f>
        <v>0</v>
      </c>
      <c r="O249" s="1" t="str">
        <f ca="1">IFERROR(__xludf.DUMMYFUNCTION("""COMPUTED_VALUE"""),"cam kết")</f>
        <v>cam kết</v>
      </c>
      <c r="P249" s="1" t="str">
        <f ca="1">IFERROR(__xludf.DUMMYFUNCTION("""COMPUTED_VALUE"""),"CHƯA NỘP")</f>
        <v>CHƯA NỘP</v>
      </c>
      <c r="Q249" s="1">
        <f ca="1">IFERROR(__xludf.DUMMYFUNCTION("""COMPUTED_VALUE"""),45)</f>
        <v>45</v>
      </c>
      <c r="R249" s="1" t="str">
        <f ca="1">IFERROR(__xludf.DUMMYFUNCTION("""COMPUTED_VALUE"""),"17/01/2026")</f>
        <v>17/01/2026</v>
      </c>
      <c r="S249" s="1" t="str">
        <f ca="1">IFERROR(__xludf.DUMMYFUNCTION("""COMPUTED_VALUE"""),"Thi TN")</f>
        <v>Thi TN</v>
      </c>
      <c r="T249" s="1"/>
      <c r="U249" s="1"/>
      <c r="V249" s="1"/>
      <c r="W249" s="1" t="str">
        <f ca="1">IFERROR(__xludf.DUMMYFUNCTION("""COMPUTED_VALUE"""),"K27DLK6")</f>
        <v>K27DLK6</v>
      </c>
      <c r="X249" s="1"/>
      <c r="Y249" s="1" t="str">
        <f ca="1">IFERROR(__xludf.DUMMYFUNCTION("""COMPUTED_VALUE"""),"#N/A")</f>
        <v>#N/A</v>
      </c>
      <c r="Z249" s="1" t="str">
        <f ca="1">IFERROR(__xludf.DUMMYFUNCTION("""COMPUTED_VALUE"""),"#N/A")</f>
        <v>#N/A</v>
      </c>
      <c r="AA249" s="1" t="str">
        <f ca="1">IFERROR(__xludf.DUMMYFUNCTION("""COMPUTED_VALUE"""),"#N/A")</f>
        <v>#N/A</v>
      </c>
      <c r="AB249" s="1"/>
      <c r="AC249" s="1" t="str">
        <f ca="1">IFERROR(__xludf.DUMMYFUNCTION("""COMPUTED_VALUE""")," ")</f>
        <v xml:space="preserve"> </v>
      </c>
      <c r="AD249" s="1"/>
      <c r="AE249" s="1"/>
      <c r="AF249" s="1"/>
      <c r="AG249" s="1"/>
      <c r="AH249" s="1"/>
      <c r="AI249" s="1"/>
    </row>
    <row r="250" spans="1:35" x14ac:dyDescent="0.2">
      <c r="A250" s="3">
        <f ca="1">IFERROR(__xludf.DUMMYFUNCTION("""COMPUTED_VALUE"""),46037.6509573032)</f>
        <v>46037.650957303202</v>
      </c>
      <c r="B250" s="1" t="str">
        <f ca="1">IFERROR(__xludf.DUMMYFUNCTION("""COMPUTED_VALUE"""),"thuhien2042@gmail.com")</f>
        <v>thuhien2042@gmail.com</v>
      </c>
      <c r="C250" s="1">
        <f ca="1">IFERROR(__xludf.DUMMYFUNCTION("""COMPUTED_VALUE"""),27207128512)</f>
        <v>27207128512</v>
      </c>
      <c r="D250" s="1" t="str">
        <f ca="1">IFERROR(__xludf.DUMMYFUNCTION("""COMPUTED_VALUE"""),"Nguyễn Thị Thu Hiền")</f>
        <v>Nguyễn Thị Thu Hiền</v>
      </c>
      <c r="E250" s="1"/>
      <c r="F250" s="1" t="str">
        <f ca="1">IFERROR(__xludf.DUMMYFUNCTION("""COMPUTED_VALUE"""),"K27DLK1")</f>
        <v>K27DLK1</v>
      </c>
      <c r="G250" s="1" t="str">
        <f ca="1">IFERROR(__xludf.DUMMYFUNCTION("""COMPUTED_VALUE"""),"Quản trị Du lịch &amp; Khách sạn")</f>
        <v>Quản trị Du lịch &amp; Khách sạn</v>
      </c>
      <c r="H250" s="1" t="str">
        <f ca="1">IFERROR(__xludf.DUMMYFUNCTION("""COMPUTED_VALUE"""),"K27")</f>
        <v>K27</v>
      </c>
      <c r="I250" s="1" t="str">
        <f ca="1">IFERROR(__xludf.DUMMYFUNCTION("""COMPUTED_VALUE"""),"0896406241")</f>
        <v>0896406241</v>
      </c>
      <c r="J250" s="1">
        <f ca="1">IFERROR(__xludf.DUMMYFUNCTION("""COMPUTED_VALUE"""),3.25)</f>
        <v>3.25</v>
      </c>
      <c r="K250" s="1">
        <f ca="1">IFERROR(__xludf.DUMMYFUNCTION("""COMPUTED_VALUE"""),129)</f>
        <v>129</v>
      </c>
      <c r="L250" s="1" t="str">
        <f ca="1">IFERROR(__xludf.DUMMYFUNCTION("""COMPUTED_VALUE"""),"Rồi")</f>
        <v>Rồi</v>
      </c>
      <c r="M250" s="1" t="str">
        <f ca="1">IFERROR(__xludf.DUMMYFUNCTION("""COMPUTED_VALUE"""),"Công nhận tốt nghiệp")</f>
        <v>Công nhận tốt nghiệp</v>
      </c>
      <c r="N250" s="1">
        <f ca="1">IFERROR(__xludf.DUMMYFUNCTION("""COMPUTED_VALUE"""),0)</f>
        <v>0</v>
      </c>
      <c r="O250" s="1" t="str">
        <f ca="1">IFERROR(__xludf.DUMMYFUNCTION("""COMPUTED_VALUE"""),"cam kết")</f>
        <v>cam kết</v>
      </c>
      <c r="P250" s="1" t="str">
        <f ca="1">IFERROR(__xludf.DUMMYFUNCTION("""COMPUTED_VALUE"""),"CHƯA NỘP")</f>
        <v>CHƯA NỘP</v>
      </c>
      <c r="Q250" s="1">
        <f ca="1">IFERROR(__xludf.DUMMYFUNCTION("""COMPUTED_VALUE"""),46)</f>
        <v>46</v>
      </c>
      <c r="R250" s="1" t="str">
        <f ca="1">IFERROR(__xludf.DUMMYFUNCTION("""COMPUTED_VALUE"""),"17/01/2026")</f>
        <v>17/01/2026</v>
      </c>
      <c r="S250" s="1" t="str">
        <f ca="1">IFERROR(__xludf.DUMMYFUNCTION("""COMPUTED_VALUE"""),"xét công nhận TN")</f>
        <v>xét công nhận TN</v>
      </c>
      <c r="T250" s="1"/>
      <c r="U250" s="1"/>
      <c r="V250" s="1"/>
      <c r="W250" s="1" t="str">
        <f ca="1">IFERROR(__xludf.DUMMYFUNCTION("""COMPUTED_VALUE"""),"K27DLK1")</f>
        <v>K27DLK1</v>
      </c>
      <c r="X250" s="1"/>
      <c r="Y250" s="1" t="str">
        <f ca="1">IFERROR(__xludf.DUMMYFUNCTION("""COMPUTED_VALUE"""),"#N/A")</f>
        <v>#N/A</v>
      </c>
      <c r="Z250" s="1" t="str">
        <f ca="1">IFERROR(__xludf.DUMMYFUNCTION("""COMPUTED_VALUE"""),"#N/A")</f>
        <v>#N/A</v>
      </c>
      <c r="AA250" s="1" t="str">
        <f ca="1">IFERROR(__xludf.DUMMYFUNCTION("""COMPUTED_VALUE"""),"#N/A")</f>
        <v>#N/A</v>
      </c>
      <c r="AB250" s="1"/>
      <c r="AC250" s="1" t="str">
        <f ca="1">IFERROR(__xludf.DUMMYFUNCTION("""COMPUTED_VALUE""")," ")</f>
        <v xml:space="preserve"> </v>
      </c>
      <c r="AD250" s="1"/>
      <c r="AE250" s="1"/>
      <c r="AF250" s="1"/>
      <c r="AG250" s="1"/>
      <c r="AH250" s="1"/>
      <c r="AI250" s="1"/>
    </row>
    <row r="251" spans="1:35" x14ac:dyDescent="0.2">
      <c r="A251" s="3">
        <f ca="1">IFERROR(__xludf.DUMMYFUNCTION("""COMPUTED_VALUE"""),46037.8335759722)</f>
        <v>46037.833575972203</v>
      </c>
      <c r="B251" s="1" t="str">
        <f ca="1">IFERROR(__xludf.DUMMYFUNCTION("""COMPUTED_VALUE"""),"luongthingocly124@gmail.com")</f>
        <v>luongthingocly124@gmail.com</v>
      </c>
      <c r="C251" s="1">
        <f ca="1">IFERROR(__xludf.DUMMYFUNCTION("""COMPUTED_VALUE"""),25207108703)</f>
        <v>25207108703</v>
      </c>
      <c r="D251" s="1" t="str">
        <f ca="1">IFERROR(__xludf.DUMMYFUNCTION("""COMPUTED_VALUE"""),"Lương thị ngọc ly ")</f>
        <v xml:space="preserve">Lương thị ngọc ly </v>
      </c>
      <c r="E251" s="1"/>
      <c r="F251" s="1" t="str">
        <f ca="1">IFERROR(__xludf.DUMMYFUNCTION("""COMPUTED_VALUE"""),"K25DLk18")</f>
        <v>K25DLk18</v>
      </c>
      <c r="G251" s="1" t="str">
        <f ca="1">IFERROR(__xludf.DUMMYFUNCTION("""COMPUTED_VALUE"""),"Quản trị Du lịch &amp; Khách sạn")</f>
        <v>Quản trị Du lịch &amp; Khách sạn</v>
      </c>
      <c r="H251" s="1" t="str">
        <f ca="1">IFERROR(__xludf.DUMMYFUNCTION("""COMPUTED_VALUE"""),"K25")</f>
        <v>K25</v>
      </c>
      <c r="I251" s="1" t="str">
        <f ca="1">IFERROR(__xludf.DUMMYFUNCTION("""COMPUTED_VALUE"""),"0326005148")</f>
        <v>0326005148</v>
      </c>
      <c r="J251" s="1">
        <f ca="1">IFERROR(__xludf.DUMMYFUNCTION("""COMPUTED_VALUE"""),2.4)</f>
        <v>2.4</v>
      </c>
      <c r="K251" s="1">
        <f ca="1">IFERROR(__xludf.DUMMYFUNCTION("""COMPUTED_VALUE"""),135)</f>
        <v>135</v>
      </c>
      <c r="L251" s="1" t="str">
        <f ca="1">IFERROR(__xludf.DUMMYFUNCTION("""COMPUTED_VALUE"""),"Rồi")</f>
        <v>Rồi</v>
      </c>
      <c r="M251" s="1" t="str">
        <f ca="1">IFERROR(__xludf.DUMMYFUNCTION("""COMPUTED_VALUE"""),"Thi tốt nghiệp, Công nhận tốt nghiệp")</f>
        <v>Thi tốt nghiệp, Công nhận tốt nghiệp</v>
      </c>
      <c r="N251" s="1">
        <f ca="1">IFERROR(__xludf.DUMMYFUNCTION("""COMPUTED_VALUE"""),0)</f>
        <v>0</v>
      </c>
      <c r="O251" s="1" t="str">
        <f ca="1">IFERROR(__xludf.DUMMYFUNCTION("""COMPUTED_VALUE"""),"cam kết")</f>
        <v>cam kết</v>
      </c>
      <c r="P251" s="1" t="str">
        <f ca="1">IFERROR(__xludf.DUMMYFUNCTION("""COMPUTED_VALUE"""),"CHƯA NỘP")</f>
        <v>CHƯA NỘP</v>
      </c>
      <c r="Q251" s="1">
        <f ca="1">IFERROR(__xludf.DUMMYFUNCTION("""COMPUTED_VALUE"""),47)</f>
        <v>47</v>
      </c>
      <c r="R251" s="1" t="str">
        <f ca="1">IFERROR(__xludf.DUMMYFUNCTION("""COMPUTED_VALUE"""),"17/01/2026")</f>
        <v>17/01/2026</v>
      </c>
      <c r="S251" s="1" t="str">
        <f ca="1">IFERROR(__xludf.DUMMYFUNCTION("""COMPUTED_VALUE"""),"Thi TN")</f>
        <v>Thi TN</v>
      </c>
      <c r="T251" s="1"/>
      <c r="U251" s="1"/>
      <c r="V251" s="1"/>
      <c r="W251" s="1" t="str">
        <f ca="1">IFERROR(__xludf.DUMMYFUNCTION("""COMPUTED_VALUE"""),"K28DLK8")</f>
        <v>K28DLK8</v>
      </c>
      <c r="X251" s="1"/>
      <c r="Y251" s="1" t="str">
        <f ca="1">IFERROR(__xludf.DUMMYFUNCTION("""COMPUTED_VALUE"""),"#N/A")</f>
        <v>#N/A</v>
      </c>
      <c r="Z251" s="1" t="str">
        <f ca="1">IFERROR(__xludf.DUMMYFUNCTION("""COMPUTED_VALUE"""),"#N/A")</f>
        <v>#N/A</v>
      </c>
      <c r="AA251" s="1" t="str">
        <f ca="1">IFERROR(__xludf.DUMMYFUNCTION("""COMPUTED_VALUE"""),"#N/A")</f>
        <v>#N/A</v>
      </c>
      <c r="AB251" s="1"/>
      <c r="AC251" s="1" t="str">
        <f ca="1">IFERROR(__xludf.DUMMYFUNCTION("""COMPUTED_VALUE""")," ")</f>
        <v xml:space="preserve"> </v>
      </c>
      <c r="AD251" s="1"/>
      <c r="AE251" s="1"/>
      <c r="AF251" s="1"/>
      <c r="AG251" s="1"/>
      <c r="AH251" s="1"/>
      <c r="AI251" s="1"/>
    </row>
    <row r="252" spans="1:35" x14ac:dyDescent="0.2">
      <c r="A252" s="3">
        <f ca="1">IFERROR(__xludf.DUMMYFUNCTION("""COMPUTED_VALUE"""),46037.9009534259)</f>
        <v>46037.900953425902</v>
      </c>
      <c r="B252" s="1" t="str">
        <f ca="1">IFERROR(__xludf.DUMMYFUNCTION("""COMPUTED_VALUE"""),"truonghoangngocnhi24052003@gmail.com")</f>
        <v>truonghoangngocnhi24052003@gmail.com</v>
      </c>
      <c r="C252" s="1">
        <f ca="1">IFERROR(__xludf.DUMMYFUNCTION("""COMPUTED_VALUE"""),27217200882)</f>
        <v>27217200882</v>
      </c>
      <c r="D252" s="1" t="str">
        <f ca="1">IFERROR(__xludf.DUMMYFUNCTION("""COMPUTED_VALUE"""),"Trương Hoàng Ngọc Nhi")</f>
        <v>Trương Hoàng Ngọc Nhi</v>
      </c>
      <c r="E252" s="1"/>
      <c r="F252" s="1" t="str">
        <f ca="1">IFERROR(__xludf.DUMMYFUNCTION("""COMPUTED_VALUE"""),"K27DLK4")</f>
        <v>K27DLK4</v>
      </c>
      <c r="G252" s="1" t="str">
        <f ca="1">IFERROR(__xludf.DUMMYFUNCTION("""COMPUTED_VALUE"""),"Quản trị Du lịch &amp; Khách sạn")</f>
        <v>Quản trị Du lịch &amp; Khách sạn</v>
      </c>
      <c r="H252" s="1" t="str">
        <f ca="1">IFERROR(__xludf.DUMMYFUNCTION("""COMPUTED_VALUE"""),"K27")</f>
        <v>K27</v>
      </c>
      <c r="I252" s="1" t="str">
        <f ca="1">IFERROR(__xludf.DUMMYFUNCTION("""COMPUTED_VALUE"""),"0826557727")</f>
        <v>0826557727</v>
      </c>
      <c r="J252" s="1">
        <f ca="1">IFERROR(__xludf.DUMMYFUNCTION("""COMPUTED_VALUE"""),2.76)</f>
        <v>2.76</v>
      </c>
      <c r="K252" s="1">
        <f ca="1">IFERROR(__xludf.DUMMYFUNCTION("""COMPUTED_VALUE"""),128)</f>
        <v>128</v>
      </c>
      <c r="L252" s="1" t="str">
        <f ca="1">IFERROR(__xludf.DUMMYFUNCTION("""COMPUTED_VALUE"""),"Rồi")</f>
        <v>Rồi</v>
      </c>
      <c r="M252" s="1" t="str">
        <f ca="1">IFERROR(__xludf.DUMMYFUNCTION("""COMPUTED_VALUE"""),"Công nhận tốt nghiệp")</f>
        <v>Công nhận tốt nghiệp</v>
      </c>
      <c r="N252" s="1" t="str">
        <f ca="1">IFERROR(__xludf.DUMMYFUNCTION("""COMPUTED_VALUE"""),"Không có")</f>
        <v>Không có</v>
      </c>
      <c r="O252" s="1" t="str">
        <f ca="1">IFERROR(__xludf.DUMMYFUNCTION("""COMPUTED_VALUE"""),"cam kết")</f>
        <v>cam kết</v>
      </c>
      <c r="P252" s="1" t="str">
        <f ca="1">IFERROR(__xludf.DUMMYFUNCTION("""COMPUTED_VALUE"""),"CHƯA NỘP")</f>
        <v>CHƯA NỘP</v>
      </c>
      <c r="Q252" s="1">
        <f ca="1">IFERROR(__xludf.DUMMYFUNCTION("""COMPUTED_VALUE"""),48)</f>
        <v>48</v>
      </c>
      <c r="R252" s="1" t="str">
        <f ca="1">IFERROR(__xludf.DUMMYFUNCTION("""COMPUTED_VALUE"""),"17/01/2026")</f>
        <v>17/01/2026</v>
      </c>
      <c r="S252" s="1" t="str">
        <f ca="1">IFERROR(__xludf.DUMMYFUNCTION("""COMPUTED_VALUE"""),"xét công nhận TN")</f>
        <v>xét công nhận TN</v>
      </c>
      <c r="T252" s="1"/>
      <c r="U252" s="1"/>
      <c r="V252" s="1"/>
      <c r="W252" s="1" t="str">
        <f ca="1">IFERROR(__xludf.DUMMYFUNCTION("""COMPUTED_VALUE"""),"K27DLK4")</f>
        <v>K27DLK4</v>
      </c>
      <c r="X252" s="1"/>
      <c r="Y252" s="1" t="str">
        <f ca="1">IFERROR(__xludf.DUMMYFUNCTION("""COMPUTED_VALUE"""),"#N/A")</f>
        <v>#N/A</v>
      </c>
      <c r="Z252" s="1" t="str">
        <f ca="1">IFERROR(__xludf.DUMMYFUNCTION("""COMPUTED_VALUE"""),"#N/A")</f>
        <v>#N/A</v>
      </c>
      <c r="AA252" s="1" t="str">
        <f ca="1">IFERROR(__xludf.DUMMYFUNCTION("""COMPUTED_VALUE"""),"#N/A")</f>
        <v>#N/A</v>
      </c>
      <c r="AB252" s="1"/>
      <c r="AC252" s="1" t="str">
        <f ca="1">IFERROR(__xludf.DUMMYFUNCTION("""COMPUTED_VALUE""")," ")</f>
        <v xml:space="preserve"> </v>
      </c>
      <c r="AD252" s="1"/>
      <c r="AE252" s="1"/>
      <c r="AF252" s="1"/>
      <c r="AG252" s="1"/>
      <c r="AH252" s="1"/>
      <c r="AI252" s="1"/>
    </row>
    <row r="253" spans="1:35" x14ac:dyDescent="0.2">
      <c r="A253" s="3">
        <f ca="1">IFERROR(__xludf.DUMMYFUNCTION("""COMPUTED_VALUE"""),46037.9383840972)</f>
        <v>46037.9383840972</v>
      </c>
      <c r="B253" s="1" t="str">
        <f ca="1">IFERROR(__xludf.DUMMYFUNCTION("""COMPUTED_VALUE"""),"haquynhnhi2461@gmail.com")</f>
        <v>haquynhnhi2461@gmail.com</v>
      </c>
      <c r="C253" s="1">
        <f ca="1">IFERROR(__xludf.DUMMYFUNCTION("""COMPUTED_VALUE"""),25207109942)</f>
        <v>25207109942</v>
      </c>
      <c r="D253" s="1" t="str">
        <f ca="1">IFERROR(__xludf.DUMMYFUNCTION("""COMPUTED_VALUE"""),"Hà Quỳnh Nhi")</f>
        <v>Hà Quỳnh Nhi</v>
      </c>
      <c r="E253" s="1"/>
      <c r="F253" s="1" t="str">
        <f ca="1">IFERROR(__xludf.DUMMYFUNCTION("""COMPUTED_VALUE"""),"K25DLK19")</f>
        <v>K25DLK19</v>
      </c>
      <c r="G253" s="1" t="str">
        <f ca="1">IFERROR(__xludf.DUMMYFUNCTION("""COMPUTED_VALUE"""),"Quản trị Du lịch &amp; Khách sạn")</f>
        <v>Quản trị Du lịch &amp; Khách sạn</v>
      </c>
      <c r="H253" s="1" t="str">
        <f ca="1">IFERROR(__xludf.DUMMYFUNCTION("""COMPUTED_VALUE"""),"K25")</f>
        <v>K25</v>
      </c>
      <c r="I253" s="1" t="str">
        <f ca="1">IFERROR(__xludf.DUMMYFUNCTION("""COMPUTED_VALUE"""),"0776765447")</f>
        <v>0776765447</v>
      </c>
      <c r="J253" s="1">
        <f ca="1">IFERROR(__xludf.DUMMYFUNCTION("""COMPUTED_VALUE"""),2.87)</f>
        <v>2.87</v>
      </c>
      <c r="K253" s="1">
        <f ca="1">IFERROR(__xludf.DUMMYFUNCTION("""COMPUTED_VALUE"""),133)</f>
        <v>133</v>
      </c>
      <c r="L253" s="1" t="str">
        <f ca="1">IFERROR(__xludf.DUMMYFUNCTION("""COMPUTED_VALUE"""),"Rồi")</f>
        <v>Rồi</v>
      </c>
      <c r="M253" s="1" t="str">
        <f ca="1">IFERROR(__xludf.DUMMYFUNCTION("""COMPUTED_VALUE"""),"Công nhận tốt nghiệp")</f>
        <v>Công nhận tốt nghiệp</v>
      </c>
      <c r="N253" s="1">
        <f ca="1">IFERROR(__xludf.DUMMYFUNCTION("""COMPUTED_VALUE"""),0)</f>
        <v>0</v>
      </c>
      <c r="O253" s="1" t="str">
        <f ca="1">IFERROR(__xludf.DUMMYFUNCTION("""COMPUTED_VALUE"""),"cam kết")</f>
        <v>cam kết</v>
      </c>
      <c r="P253" s="1" t="str">
        <f ca="1">IFERROR(__xludf.DUMMYFUNCTION("""COMPUTED_VALUE"""),"CHƯA NỘP")</f>
        <v>CHƯA NỘP</v>
      </c>
      <c r="Q253" s="1">
        <f ca="1">IFERROR(__xludf.DUMMYFUNCTION("""COMPUTED_VALUE"""),49)</f>
        <v>49</v>
      </c>
      <c r="R253" s="1" t="str">
        <f ca="1">IFERROR(__xludf.DUMMYFUNCTION("""COMPUTED_VALUE"""),"17/01/2026")</f>
        <v>17/01/2026</v>
      </c>
      <c r="S253" s="1" t="str">
        <f ca="1">IFERROR(__xludf.DUMMYFUNCTION("""COMPUTED_VALUE"""),"xét công nhận tốt nghiệp")</f>
        <v>xét công nhận tốt nghiệp</v>
      </c>
      <c r="T253" s="1"/>
      <c r="U253" s="1"/>
      <c r="V253" s="1"/>
      <c r="W253" s="1" t="str">
        <f ca="1">IFERROR(__xludf.DUMMYFUNCTION("""COMPUTED_VALUE"""),"K25DLK19")</f>
        <v>K25DLK19</v>
      </c>
      <c r="X253" s="1"/>
      <c r="Y253" s="1" t="str">
        <f ca="1">IFERROR(__xludf.DUMMYFUNCTION("""COMPUTED_VALUE"""),"#N/A")</f>
        <v>#N/A</v>
      </c>
      <c r="Z253" s="1" t="str">
        <f ca="1">IFERROR(__xludf.DUMMYFUNCTION("""COMPUTED_VALUE"""),"#N/A")</f>
        <v>#N/A</v>
      </c>
      <c r="AA253" s="1" t="str">
        <f ca="1">IFERROR(__xludf.DUMMYFUNCTION("""COMPUTED_VALUE"""),"#N/A")</f>
        <v>#N/A</v>
      </c>
      <c r="AB253" s="1"/>
      <c r="AC253" s="1" t="str">
        <f ca="1">IFERROR(__xludf.DUMMYFUNCTION("""COMPUTED_VALUE""")," ")</f>
        <v xml:space="preserve"> </v>
      </c>
      <c r="AD253" s="1"/>
      <c r="AE253" s="1"/>
      <c r="AF253" s="1"/>
      <c r="AG253" s="1"/>
      <c r="AH253" s="1"/>
      <c r="AI253" s="1"/>
    </row>
    <row r="254" spans="1:35" x14ac:dyDescent="0.2">
      <c r="A254" s="3">
        <f ca="1">IFERROR(__xludf.DUMMYFUNCTION("""COMPUTED_VALUE"""),46044.6976579051)</f>
        <v>46044.697657905097</v>
      </c>
      <c r="B254" s="1" t="str">
        <f ca="1">IFERROR(__xludf.DUMMYFUNCTION("""COMPUTED_VALUE"""),"phanthilananh1008@gmail.com")</f>
        <v>phanthilananh1008@gmail.com</v>
      </c>
      <c r="C254" s="1">
        <f ca="1">IFERROR(__xludf.DUMMYFUNCTION("""COMPUTED_VALUE"""),27207102890)</f>
        <v>27207102890</v>
      </c>
      <c r="D254" s="1" t="str">
        <f ca="1">IFERROR(__xludf.DUMMYFUNCTION("""COMPUTED_VALUE"""),"Phan Thị Lan Anh")</f>
        <v>Phan Thị Lan Anh</v>
      </c>
      <c r="E254" s="1"/>
      <c r="F254" s="1" t="str">
        <f ca="1">IFERROR(__xludf.DUMMYFUNCTION("""COMPUTED_VALUE"""),"K27DLK5")</f>
        <v>K27DLK5</v>
      </c>
      <c r="G254" s="1" t="str">
        <f ca="1">IFERROR(__xludf.DUMMYFUNCTION("""COMPUTED_VALUE"""),"Quản trị Du lịch &amp; Khách sạn")</f>
        <v>Quản trị Du lịch &amp; Khách sạn</v>
      </c>
      <c r="H254" s="1" t="str">
        <f ca="1">IFERROR(__xludf.DUMMYFUNCTION("""COMPUTED_VALUE"""),"K27")</f>
        <v>K27</v>
      </c>
      <c r="I254" s="1" t="str">
        <f ca="1">IFERROR(__xludf.DUMMYFUNCTION("""COMPUTED_VALUE"""),"0777543419")</f>
        <v>0777543419</v>
      </c>
      <c r="J254" s="1" t="str">
        <f ca="1">IFERROR(__xludf.DUMMYFUNCTION("""COMPUTED_VALUE"""),"2,64")</f>
        <v>2,64</v>
      </c>
      <c r="K254" s="1">
        <f ca="1">IFERROR(__xludf.DUMMYFUNCTION("""COMPUTED_VALUE"""),128)</f>
        <v>128</v>
      </c>
      <c r="L254" s="1" t="str">
        <f ca="1">IFERROR(__xludf.DUMMYFUNCTION("""COMPUTED_VALUE"""),"Rồi")</f>
        <v>Rồi</v>
      </c>
      <c r="M254" s="1" t="str">
        <f ca="1">IFERROR(__xludf.DUMMYFUNCTION("""COMPUTED_VALUE"""),"Thực tập tốt nghiệp, Thi tốt nghiệp, Công nhận tốt nghiệp")</f>
        <v>Thực tập tốt nghiệp, Thi tốt nghiệp, Công nhận tốt nghiệp</v>
      </c>
      <c r="N254" s="1">
        <f ca="1">IFERROR(__xludf.DUMMYFUNCTION("""COMPUTED_VALUE"""),0)</f>
        <v>0</v>
      </c>
      <c r="O254" s="1" t="str">
        <f ca="1">IFERROR(__xludf.DUMMYFUNCTION("""COMPUTED_VALUE"""),"cam kết")</f>
        <v>cam kết</v>
      </c>
      <c r="P254" s="1" t="str">
        <f ca="1">IFERROR(__xludf.DUMMYFUNCTION("""COMPUTED_VALUE"""),"ĐÃ NỘP")</f>
        <v>ĐÃ NỘP</v>
      </c>
      <c r="Q254" s="1">
        <f ca="1">IFERROR(__xludf.DUMMYFUNCTION("""COMPUTED_VALUE"""),50)</f>
        <v>50</v>
      </c>
      <c r="R254" s="1" t="str">
        <f ca="1">IFERROR(__xludf.DUMMYFUNCTION("""COMPUTED_VALUE"""),"17/01/2026")</f>
        <v>17/01/2026</v>
      </c>
      <c r="S254" s="1" t="str">
        <f ca="1">IFERROR(__xludf.DUMMYFUNCTION("""COMPUTED_VALUE"""),"thực tập TN, Thi TN")</f>
        <v>thực tập TN, Thi TN</v>
      </c>
      <c r="T254" s="1"/>
      <c r="U254" s="1"/>
      <c r="V254" s="1"/>
      <c r="W254" s="1" t="str">
        <f ca="1">IFERROR(__xludf.DUMMYFUNCTION("""COMPUTED_VALUE"""),"K27DLK5")</f>
        <v>K27DLK5</v>
      </c>
      <c r="X254" s="1"/>
      <c r="Y254" s="1" t="str">
        <f ca="1">IFERROR(__xludf.DUMMYFUNCTION("""COMPUTED_VALUE"""),"Radisson Hotel Danang")</f>
        <v>Radisson Hotel Danang</v>
      </c>
      <c r="Z254" s="1" t="str">
        <f ca="1">IFERROR(__xludf.DUMMYFUNCTION("""COMPUTED_VALUE"""),"Buồng phòng")</f>
        <v>Buồng phòng</v>
      </c>
      <c r="AA254" s="1" t="str">
        <f ca="1">IFERROR(__xludf.DUMMYFUNCTION("""COMPUTED_VALUE"""),"DUYỆT")</f>
        <v>DUYỆT</v>
      </c>
      <c r="AB254" s="1" t="str">
        <f ca="1">IFERROR(__xludf.DUMMYFUNCTION("""COMPUTED_VALUE"""),"xin nộp trễ: 5/2/2026")</f>
        <v>xin nộp trễ: 5/2/2026</v>
      </c>
      <c r="AC254" s="1" t="str">
        <f ca="1">IFERROR(__xludf.DUMMYFUNCTION("""COMPUTED_VALUE"""),"BÁO CÁO THỰC TẬP TỐT NGHIỆP")</f>
        <v>BÁO CÁO THỰC TẬP TỐT NGHIỆP</v>
      </c>
      <c r="AD254" s="1" t="str">
        <f ca="1">IFERROR(__xludf.DUMMYFUNCTION("""COMPUTED_VALUE"""),"Phạm Thị Thu Thủy")</f>
        <v>Phạm Thị Thu Thủy</v>
      </c>
      <c r="AE254" s="1" t="str">
        <f ca="1">IFERROR(__xludf.DUMMYFUNCTION("""COMPUTED_VALUE"""),"Thạc sĩ")</f>
        <v>Thạc sĩ</v>
      </c>
      <c r="AF254" s="1" t="str">
        <f ca="1">IFERROR(__xludf.DUMMYFUNCTION("""COMPUTED_VALUE"""),"0938290678")</f>
        <v>0938290678</v>
      </c>
      <c r="AG254" s="1" t="str">
        <f ca="1">IFERROR(__xludf.DUMMYFUNCTION("""COMPUTED_VALUE"""),"phamtthuthuy2@dtu-hti.edu.vn")</f>
        <v>phamtthuthuy2@dtu-hti.edu.vn</v>
      </c>
      <c r="AH254" s="1" t="str">
        <f ca="1">IFERROR(__xludf.DUMMYFUNCTION("""COMPUTED_VALUE"""),"Báo cáo kết quả thực tập và thực trạng quy trình phục vụ buồng tại bộ phận buồng khách sạn Radisson Hotel Danang.")</f>
        <v>Báo cáo kết quả thực tập và thực trạng quy trình phục vụ buồng tại bộ phận buồng khách sạn Radisson Hotel Danang.</v>
      </c>
      <c r="AI254" s="1"/>
    </row>
    <row r="255" spans="1:35" x14ac:dyDescent="0.2">
      <c r="A255" s="3">
        <f ca="1">IFERROR(__xludf.DUMMYFUNCTION("""COMPUTED_VALUE"""),46039.6504965162)</f>
        <v>46039.650496516202</v>
      </c>
      <c r="B255" s="1" t="str">
        <f ca="1">IFERROR(__xludf.DUMMYFUNCTION("""COMPUTED_VALUE"""),"nguyentkieutrang17@dtu.edu.vn")</f>
        <v>nguyentkieutrang17@dtu.edu.vn</v>
      </c>
      <c r="C255" s="1">
        <f ca="1">IFERROR(__xludf.DUMMYFUNCTION("""COMPUTED_VALUE"""),29207180303)</f>
        <v>29207180303</v>
      </c>
      <c r="D255" s="1" t="str">
        <f ca="1">IFERROR(__xludf.DUMMYFUNCTION("""COMPUTED_VALUE"""),"Nguyễn Thị Kiều Trang")</f>
        <v>Nguyễn Thị Kiều Trang</v>
      </c>
      <c r="E255" s="1"/>
      <c r="F255" s="1" t="str">
        <f ca="1">IFERROR(__xludf.DUMMYFUNCTION("""COMPUTED_VALUE"""),"K29DLK7")</f>
        <v>K29DLK7</v>
      </c>
      <c r="G255" s="1" t="str">
        <f ca="1">IFERROR(__xludf.DUMMYFUNCTION("""COMPUTED_VALUE"""),"Quản trị Du lịch &amp; Khách sạn")</f>
        <v>Quản trị Du lịch &amp; Khách sạn</v>
      </c>
      <c r="H255" s="1" t="str">
        <f ca="1">IFERROR(__xludf.DUMMYFUNCTION("""COMPUTED_VALUE"""),"K29")</f>
        <v>K29</v>
      </c>
      <c r="I255" s="1" t="str">
        <f ca="1">IFERROR(__xludf.DUMMYFUNCTION("""COMPUTED_VALUE"""),"0865945152")</f>
        <v>0865945152</v>
      </c>
      <c r="J255" s="1">
        <f ca="1">IFERROR(__xludf.DUMMYFUNCTION("""COMPUTED_VALUE"""),2.61)</f>
        <v>2.61</v>
      </c>
      <c r="K255" s="1">
        <f ca="1">IFERROR(__xludf.DUMMYFUNCTION("""COMPUTED_VALUE"""),132)</f>
        <v>132</v>
      </c>
      <c r="L255" s="1" t="str">
        <f ca="1">IFERROR(__xludf.DUMMYFUNCTION("""COMPUTED_VALUE"""),"Rồi")</f>
        <v>Rồi</v>
      </c>
      <c r="M255" s="1" t="str">
        <f ca="1">IFERROR(__xludf.DUMMYFUNCTION("""COMPUTED_VALUE"""),"Công nhận tốt nghiệp")</f>
        <v>Công nhận tốt nghiệp</v>
      </c>
      <c r="N255" s="1">
        <f ca="1">IFERROR(__xludf.DUMMYFUNCTION("""COMPUTED_VALUE"""),0)</f>
        <v>0</v>
      </c>
      <c r="O255" s="1" t="str">
        <f ca="1">IFERROR(__xludf.DUMMYFUNCTION("""COMPUTED_VALUE"""),"cam kết")</f>
        <v>cam kết</v>
      </c>
      <c r="P255" s="1" t="str">
        <f ca="1">IFERROR(__xludf.DUMMYFUNCTION("""COMPUTED_VALUE"""),"CHƯA NỘP")</f>
        <v>CHƯA NỘP</v>
      </c>
      <c r="Q255" s="1">
        <f ca="1">IFERROR(__xludf.DUMMYFUNCTION("""COMPUTED_VALUE"""),51)</f>
        <v>51</v>
      </c>
      <c r="R255" s="1" t="str">
        <f ca="1">IFERROR(__xludf.DUMMYFUNCTION("""COMPUTED_VALUE"""),"17/01/2026")</f>
        <v>17/01/2026</v>
      </c>
      <c r="S255" s="1" t="str">
        <f ca="1">IFERROR(__xludf.DUMMYFUNCTION("""COMPUTED_VALUE"""),"xét công nhận tốt nghiệp")</f>
        <v>xét công nhận tốt nghiệp</v>
      </c>
      <c r="T255" s="1"/>
      <c r="U255" s="1"/>
      <c r="V255" s="1"/>
      <c r="W255" s="1" t="str">
        <f ca="1">IFERROR(__xludf.DUMMYFUNCTION("""COMPUTED_VALUE"""),"#N/A")</f>
        <v>#N/A</v>
      </c>
      <c r="X255" s="1"/>
      <c r="Y255" s="1" t="str">
        <f ca="1">IFERROR(__xludf.DUMMYFUNCTION("""COMPUTED_VALUE"""),"#N/A")</f>
        <v>#N/A</v>
      </c>
      <c r="Z255" s="1" t="str">
        <f ca="1">IFERROR(__xludf.DUMMYFUNCTION("""COMPUTED_VALUE"""),"#N/A")</f>
        <v>#N/A</v>
      </c>
      <c r="AA255" s="1" t="str">
        <f ca="1">IFERROR(__xludf.DUMMYFUNCTION("""COMPUTED_VALUE"""),"#N/A")</f>
        <v>#N/A</v>
      </c>
      <c r="AB255" s="1"/>
      <c r="AC255" s="1" t="str">
        <f ca="1">IFERROR(__xludf.DUMMYFUNCTION("""COMPUTED_VALUE""")," ")</f>
        <v xml:space="preserve"> </v>
      </c>
      <c r="AD255" s="1"/>
      <c r="AE255" s="1"/>
      <c r="AF255" s="1"/>
      <c r="AG255" s="1"/>
      <c r="AH255" s="1"/>
      <c r="AI255" s="1"/>
    </row>
    <row r="256" spans="1:35" x14ac:dyDescent="0.2">
      <c r="A256" s="3">
        <f ca="1">IFERROR(__xludf.DUMMYFUNCTION("""COMPUTED_VALUE"""),46039.6899933101)</f>
        <v>46039.689993310101</v>
      </c>
      <c r="B256" s="1" t="str">
        <f ca="1">IFERROR(__xludf.DUMMYFUNCTION("""COMPUTED_VALUE"""),"haneleo2509@gmail.com")</f>
        <v>haneleo2509@gmail.com</v>
      </c>
      <c r="C256" s="1">
        <f ca="1">IFERROR(__xludf.DUMMYFUNCTION("""COMPUTED_VALUE"""),26217130366)</f>
        <v>26217130366</v>
      </c>
      <c r="D256" s="1" t="str">
        <f ca="1">IFERROR(__xludf.DUMMYFUNCTION("""COMPUTED_VALUE"""),"Phùng Hữu Minh Huy")</f>
        <v>Phùng Hữu Minh Huy</v>
      </c>
      <c r="E256" s="1"/>
      <c r="F256" s="1" t="str">
        <f ca="1">IFERROR(__xludf.DUMMYFUNCTION("""COMPUTED_VALUE"""),"K26PSUDLK4")</f>
        <v>K26PSUDLK4</v>
      </c>
      <c r="G256" s="1" t="str">
        <f ca="1">IFERROR(__xludf.DUMMYFUNCTION("""COMPUTED_VALUE"""),"Quản trị Du lịch &amp; Khách sạn chuẩn PSU")</f>
        <v>Quản trị Du lịch &amp; Khách sạn chuẩn PSU</v>
      </c>
      <c r="H256" s="1" t="str">
        <f ca="1">IFERROR(__xludf.DUMMYFUNCTION("""COMPUTED_VALUE"""),"K26")</f>
        <v>K26</v>
      </c>
      <c r="I256" s="1" t="str">
        <f ca="1">IFERROR(__xludf.DUMMYFUNCTION("""COMPUTED_VALUE"""),"0971061912")</f>
        <v>0971061912</v>
      </c>
      <c r="J256" s="1">
        <f ca="1">IFERROR(__xludf.DUMMYFUNCTION("""COMPUTED_VALUE"""),2.5)</f>
        <v>2.5</v>
      </c>
      <c r="K256" s="1">
        <f ca="1">IFERROR(__xludf.DUMMYFUNCTION("""COMPUTED_VALUE"""),128)</f>
        <v>128</v>
      </c>
      <c r="L256" s="1" t="str">
        <f ca="1">IFERROR(__xludf.DUMMYFUNCTION("""COMPUTED_VALUE"""),"Rồi")</f>
        <v>Rồi</v>
      </c>
      <c r="M256" s="1" t="str">
        <f ca="1">IFERROR(__xludf.DUMMYFUNCTION("""COMPUTED_VALUE"""),"Thực tập tốt nghiệp, Thi tốt nghiệp, Công nhận tốt nghiệp")</f>
        <v>Thực tập tốt nghiệp, Thi tốt nghiệp, Công nhận tốt nghiệp</v>
      </c>
      <c r="N256" s="1">
        <f ca="1">IFERROR(__xludf.DUMMYFUNCTION("""COMPUTED_VALUE"""),3)</f>
        <v>3</v>
      </c>
      <c r="O256" s="1" t="str">
        <f ca="1">IFERROR(__xludf.DUMMYFUNCTION("""COMPUTED_VALUE"""),"cam kết")</f>
        <v>cam kết</v>
      </c>
      <c r="P256" s="1" t="str">
        <f ca="1">IFERROR(__xludf.DUMMYFUNCTION("""COMPUTED_VALUE"""),"ĐÃ NỘP")</f>
        <v>ĐÃ NỘP</v>
      </c>
      <c r="Q256" s="1">
        <f ca="1">IFERROR(__xludf.DUMMYFUNCTION("""COMPUTED_VALUE"""),52)</f>
        <v>52</v>
      </c>
      <c r="R256" s="1" t="str">
        <f ca="1">IFERROR(__xludf.DUMMYFUNCTION("""COMPUTED_VALUE"""),"17/01/2026")</f>
        <v>17/01/2026</v>
      </c>
      <c r="S256" s="1" t="str">
        <f ca="1">IFERROR(__xludf.DUMMYFUNCTION("""COMPUTED_VALUE"""),"thực tập TN, Thi TN")</f>
        <v>thực tập TN, Thi TN</v>
      </c>
      <c r="T256" s="1" t="str">
        <f ca="1">IFERROR(__xludf.DUMMYFUNCTION("""COMPUTED_VALUE"""),"Đã email cấp giấy giới thiệu ngày 19/01/2026")</f>
        <v>Đã email cấp giấy giới thiệu ngày 19/01/2026</v>
      </c>
      <c r="U256" s="1"/>
      <c r="V256" s="1"/>
      <c r="W256" s="1" t="str">
        <f ca="1">IFERROR(__xludf.DUMMYFUNCTION("""COMPUTED_VALUE"""),"K26PSU-DLK4")</f>
        <v>K26PSU-DLK4</v>
      </c>
      <c r="X256" s="1"/>
      <c r="Y256" s="1" t="str">
        <f ca="1">IFERROR(__xludf.DUMMYFUNCTION("""COMPUTED_VALUE"""),"Danang Marriott Resort &amp; Spa, Non Nuoc Beach Villas")</f>
        <v>Danang Marriott Resort &amp; Spa, Non Nuoc Beach Villas</v>
      </c>
      <c r="Z256" s="1" t="str">
        <f ca="1">IFERROR(__xludf.DUMMYFUNCTION("""COMPUTED_VALUE"""),"Nhà hàng")</f>
        <v>Nhà hàng</v>
      </c>
      <c r="AA256" s="1" t="str">
        <f ca="1">IFERROR(__xludf.DUMMYFUNCTION("""COMPUTED_VALUE"""),"DUYỆT")</f>
        <v>DUYỆT</v>
      </c>
      <c r="AB256" s="1" t="str">
        <f ca="1">IFERROR(__xludf.DUMMYFUNCTION("""COMPUTED_VALUE"""),"27/01/2026")</f>
        <v>27/01/2026</v>
      </c>
      <c r="AC256" s="1" t="str">
        <f ca="1">IFERROR(__xludf.DUMMYFUNCTION("""COMPUTED_VALUE"""),"BÁO CÁO THỰC TẬP TỐT NGHIỆP")</f>
        <v>BÁO CÁO THỰC TẬP TỐT NGHIỆP</v>
      </c>
      <c r="AD256" s="1" t="str">
        <f ca="1">IFERROR(__xludf.DUMMYFUNCTION("""COMPUTED_VALUE"""),"Nguyễn Thị Minh Thư")</f>
        <v>Nguyễn Thị Minh Thư</v>
      </c>
      <c r="AE256" s="1" t="str">
        <f ca="1">IFERROR(__xludf.DUMMYFUNCTION("""COMPUTED_VALUE"""),"Thạc sĩ")</f>
        <v>Thạc sĩ</v>
      </c>
      <c r="AF256" s="1" t="str">
        <f ca="1">IFERROR(__xludf.DUMMYFUNCTION("""COMPUTED_VALUE"""),"0396.153.687")</f>
        <v>0396.153.687</v>
      </c>
      <c r="AG256" s="1" t="str">
        <f ca="1">IFERROR(__xludf.DUMMYFUNCTION("""COMPUTED_VALUE"""),"nguyentminhthu@dtu-hti.edu.vn")</f>
        <v>nguyentminhthu@dtu-hti.edu.vn</v>
      </c>
      <c r="AH256" s="1" t="str">
        <f ca="1">IFERROR(__xludf.DUMMYFUNCTION("""COMPUTED_VALUE""")," Báo cáo kết quả thực tập và thực trạng về chất lượng cơ sở vật chất của bộ phận nhà hàng tại Danang Marriot Resort &amp; Spa, Non Nuoc Beach Villas")</f>
        <v xml:space="preserve"> Báo cáo kết quả thực tập và thực trạng về chất lượng cơ sở vật chất của bộ phận nhà hàng tại Danang Marriot Resort &amp; Spa, Non Nuoc Beach Villas</v>
      </c>
      <c r="AI256" s="1"/>
    </row>
    <row r="257" spans="1:35" x14ac:dyDescent="0.2">
      <c r="A257" s="3">
        <f ca="1">IFERROR(__xludf.DUMMYFUNCTION("""COMPUTED_VALUE"""),46039.67878375)</f>
        <v>46039.678783750001</v>
      </c>
      <c r="B257" s="1" t="str">
        <f ca="1">IFERROR(__xludf.DUMMYFUNCTION("""COMPUTED_VALUE"""),"tuvipprono1@gmail.com")</f>
        <v>tuvipprono1@gmail.com</v>
      </c>
      <c r="C257" s="1">
        <f ca="1">IFERROR(__xludf.DUMMYFUNCTION("""COMPUTED_VALUE"""),26217220919)</f>
        <v>26217220919</v>
      </c>
      <c r="D257" s="1" t="str">
        <f ca="1">IFERROR(__xludf.DUMMYFUNCTION("""COMPUTED_VALUE"""),"Nguyễn Tư Hoàng")</f>
        <v>Nguyễn Tư Hoàng</v>
      </c>
      <c r="E257" s="1"/>
      <c r="F257" s="1" t="str">
        <f ca="1">IFERROR(__xludf.DUMMYFUNCTION("""COMPUTED_VALUE"""),"K26DLK13")</f>
        <v>K26DLK13</v>
      </c>
      <c r="G257" s="1" t="str">
        <f ca="1">IFERROR(__xludf.DUMMYFUNCTION("""COMPUTED_VALUE"""),"Quản trị Du lịch &amp; Khách sạn")</f>
        <v>Quản trị Du lịch &amp; Khách sạn</v>
      </c>
      <c r="H257" s="1" t="str">
        <f ca="1">IFERROR(__xludf.DUMMYFUNCTION("""COMPUTED_VALUE"""),"K26")</f>
        <v>K26</v>
      </c>
      <c r="I257" s="1" t="str">
        <f ca="1">IFERROR(__xludf.DUMMYFUNCTION("""COMPUTED_VALUE"""),"0913022745")</f>
        <v>0913022745</v>
      </c>
      <c r="J257" s="1">
        <f ca="1">IFERROR(__xludf.DUMMYFUNCTION("""COMPUTED_VALUE"""),2.47)</f>
        <v>2.4700000000000002</v>
      </c>
      <c r="K257" s="1">
        <f ca="1">IFERROR(__xludf.DUMMYFUNCTION("""COMPUTED_VALUE"""),125)</f>
        <v>125</v>
      </c>
      <c r="L257" s="1" t="str">
        <f ca="1">IFERROR(__xludf.DUMMYFUNCTION("""COMPUTED_VALUE"""),"Rồi")</f>
        <v>Rồi</v>
      </c>
      <c r="M257" s="1" t="str">
        <f ca="1">IFERROR(__xludf.DUMMYFUNCTION("""COMPUTED_VALUE"""),"Thực tập tốt nghiệp, Thi tốt nghiệp, Công nhận tốt nghiệp")</f>
        <v>Thực tập tốt nghiệp, Thi tốt nghiệp, Công nhận tốt nghiệp</v>
      </c>
      <c r="N257" s="1">
        <f ca="1">IFERROR(__xludf.DUMMYFUNCTION("""COMPUTED_VALUE"""),5)</f>
        <v>5</v>
      </c>
      <c r="O257" s="1" t="str">
        <f ca="1">IFERROR(__xludf.DUMMYFUNCTION("""COMPUTED_VALUE"""),"cam kết")</f>
        <v>cam kết</v>
      </c>
      <c r="P257" s="1" t="str">
        <f ca="1">IFERROR(__xludf.DUMMYFUNCTION("""COMPUTED_VALUE"""),"ĐÃ NỘP")</f>
        <v>ĐÃ NỘP</v>
      </c>
      <c r="Q257" s="1">
        <f ca="1">IFERROR(__xludf.DUMMYFUNCTION("""COMPUTED_VALUE"""),53)</f>
        <v>53</v>
      </c>
      <c r="R257" s="1" t="str">
        <f ca="1">IFERROR(__xludf.DUMMYFUNCTION("""COMPUTED_VALUE"""),"17/01/2026")</f>
        <v>17/01/2026</v>
      </c>
      <c r="S257" s="1" t="str">
        <f ca="1">IFERROR(__xludf.DUMMYFUNCTION("""COMPUTED_VALUE"""),"thực tập TN, Thi TN")</f>
        <v>thực tập TN, Thi TN</v>
      </c>
      <c r="T257" s="1"/>
      <c r="U257" s="1"/>
      <c r="V257" s="1"/>
      <c r="W257" s="1" t="str">
        <f ca="1">IFERROR(__xludf.DUMMYFUNCTION("""COMPUTED_VALUE"""),"K26DLK13")</f>
        <v>K26DLK13</v>
      </c>
      <c r="X257" s="1"/>
      <c r="Y257" s="1" t="str">
        <f ca="1">IFERROR(__xludf.DUMMYFUNCTION("""COMPUTED_VALUE"""),"BaNa Hill")</f>
        <v>BaNa Hill</v>
      </c>
      <c r="Z257" s="1" t="str">
        <f ca="1">IFERROR(__xludf.DUMMYFUNCTION("""COMPUTED_VALUE"""),"Nhà hàng")</f>
        <v>Nhà hàng</v>
      </c>
      <c r="AA257" s="1" t="str">
        <f ca="1">IFERROR(__xludf.DUMMYFUNCTION("""COMPUTED_VALUE"""),"DUYỆT")</f>
        <v>DUYỆT</v>
      </c>
      <c r="AB257" s="1" t="str">
        <f ca="1">IFERROR(__xludf.DUMMYFUNCTION("""COMPUTED_VALUE"""),"29/01/2026")</f>
        <v>29/01/2026</v>
      </c>
      <c r="AC257" s="1" t="str">
        <f ca="1">IFERROR(__xludf.DUMMYFUNCTION("""COMPUTED_VALUE"""),"BÁO CÁO THỰC TẬP TỐT NGHIỆP")</f>
        <v>BÁO CÁO THỰC TẬP TỐT NGHIỆP</v>
      </c>
      <c r="AD257" s="1" t="str">
        <f ca="1">IFERROR(__xludf.DUMMYFUNCTION("""COMPUTED_VALUE"""),"Mai Thị Thương")</f>
        <v>Mai Thị Thương</v>
      </c>
      <c r="AE257" s="1" t="str">
        <f ca="1">IFERROR(__xludf.DUMMYFUNCTION("""COMPUTED_VALUE"""),"Thạc sĩ")</f>
        <v>Thạc sĩ</v>
      </c>
      <c r="AF257" s="1" t="str">
        <f ca="1">IFERROR(__xludf.DUMMYFUNCTION("""COMPUTED_VALUE"""),"0905767050")</f>
        <v>0905767050</v>
      </c>
      <c r="AG257" s="1" t="str">
        <f ca="1">IFERROR(__xludf.DUMMYFUNCTION("""COMPUTED_VALUE"""),"maithithuong@dtu-hti.edu.vn")</f>
        <v>maithithuong@dtu-hti.edu.vn</v>
      </c>
      <c r="AH257" s="1" t="str">
        <f ca="1">IFERROR(__xludf.DUMMYFUNCTION("""COMPUTED_VALUE"""),"Báo cáo kết quả thực tập và thực trạng về các yếu tố ảnh hưởng đến chất lượng phục vụ tại nhà hàng Taiga thuộc BaNa Hill")</f>
        <v>Báo cáo kết quả thực tập và thực trạng về các yếu tố ảnh hưởng đến chất lượng phục vụ tại nhà hàng Taiga thuộc BaNa Hill</v>
      </c>
      <c r="AI257" s="1"/>
    </row>
    <row r="258" spans="1:35" x14ac:dyDescent="0.2">
      <c r="A258" s="3">
        <f ca="1">IFERROR(__xludf.DUMMYFUNCTION("""COMPUTED_VALUE"""),46039.7187884259)</f>
        <v>46039.718788425896</v>
      </c>
      <c r="B258" s="1" t="str">
        <f ca="1">IFERROR(__xludf.DUMMYFUNCTION("""COMPUTED_VALUE"""),"nhi260112003@gmail.com")</f>
        <v>nhi260112003@gmail.com</v>
      </c>
      <c r="C258" s="1">
        <f ca="1">IFERROR(__xludf.DUMMYFUNCTION("""COMPUTED_VALUE"""),27207101069)</f>
        <v>27207101069</v>
      </c>
      <c r="D258" s="1" t="str">
        <f ca="1">IFERROR(__xludf.DUMMYFUNCTION("""COMPUTED_VALUE"""),"Huỳnh Nguyễn Yến Nhi ")</f>
        <v xml:space="preserve">Huỳnh Nguyễn Yến Nhi </v>
      </c>
      <c r="E258" s="1"/>
      <c r="F258" s="1" t="str">
        <f ca="1">IFERROR(__xludf.DUMMYFUNCTION("""COMPUTED_VALUE"""),"K27DLK2")</f>
        <v>K27DLK2</v>
      </c>
      <c r="G258" s="1" t="str">
        <f ca="1">IFERROR(__xludf.DUMMYFUNCTION("""COMPUTED_VALUE"""),"Quản trị Du lịch &amp; Khách sạn")</f>
        <v>Quản trị Du lịch &amp; Khách sạn</v>
      </c>
      <c r="H258" s="1" t="str">
        <f ca="1">IFERROR(__xludf.DUMMYFUNCTION("""COMPUTED_VALUE"""),"K27")</f>
        <v>K27</v>
      </c>
      <c r="I258" s="1" t="str">
        <f ca="1">IFERROR(__xludf.DUMMYFUNCTION("""COMPUTED_VALUE"""),"0702775487")</f>
        <v>0702775487</v>
      </c>
      <c r="J258" s="1">
        <f ca="1">IFERROR(__xludf.DUMMYFUNCTION("""COMPUTED_VALUE"""),3.03)</f>
        <v>3.03</v>
      </c>
      <c r="K258" s="1">
        <f ca="1">IFERROR(__xludf.DUMMYFUNCTION("""COMPUTED_VALUE"""),124)</f>
        <v>124</v>
      </c>
      <c r="L258" s="1" t="str">
        <f ca="1">IFERROR(__xludf.DUMMYFUNCTION("""COMPUTED_VALUE"""),"Rồi")</f>
        <v>Rồi</v>
      </c>
      <c r="M258" s="1" t="str">
        <f ca="1">IFERROR(__xludf.DUMMYFUNCTION("""COMPUTED_VALUE"""),"Thực tập tốt nghiệp, Thi tốt nghiệp, Công nhận tốt nghiệp")</f>
        <v>Thực tập tốt nghiệp, Thi tốt nghiệp, Công nhận tốt nghiệp</v>
      </c>
      <c r="N258" s="1">
        <f ca="1">IFERROR(__xludf.DUMMYFUNCTION("""COMPUTED_VALUE"""),0)</f>
        <v>0</v>
      </c>
      <c r="O258" s="1" t="str">
        <f ca="1">IFERROR(__xludf.DUMMYFUNCTION("""COMPUTED_VALUE"""),"cam kết")</f>
        <v>cam kết</v>
      </c>
      <c r="P258" s="1" t="str">
        <f ca="1">IFERROR(__xludf.DUMMYFUNCTION("""COMPUTED_VALUE"""),"ĐÃ NỘP")</f>
        <v>ĐÃ NỘP</v>
      </c>
      <c r="Q258" s="1">
        <f ca="1">IFERROR(__xludf.DUMMYFUNCTION("""COMPUTED_VALUE"""),54)</f>
        <v>54</v>
      </c>
      <c r="R258" s="1" t="str">
        <f ca="1">IFERROR(__xludf.DUMMYFUNCTION("""COMPUTED_VALUE"""),"19/01/2026")</f>
        <v>19/01/2026</v>
      </c>
      <c r="S258" s="1" t="str">
        <f ca="1">IFERROR(__xludf.DUMMYFUNCTION("""COMPUTED_VALUE"""),"thực tập TN, Thi TN")</f>
        <v>thực tập TN, Thi TN</v>
      </c>
      <c r="T258" s="1" t="str">
        <f ca="1">IFERROR(__xludf.DUMMYFUNCTION("""COMPUTED_VALUE"""),"đã email ngày 20/01/2026")</f>
        <v>đã email ngày 20/01/2026</v>
      </c>
      <c r="U258" s="1"/>
      <c r="V258" s="1"/>
      <c r="W258" s="1" t="str">
        <f ca="1">IFERROR(__xludf.DUMMYFUNCTION("""COMPUTED_VALUE"""),"K27DLK2")</f>
        <v>K27DLK2</v>
      </c>
      <c r="X258" s="1"/>
      <c r="Y258" s="1" t="str">
        <f ca="1">IFERROR(__xludf.DUMMYFUNCTION("""COMPUTED_VALUE"""),"#N/A")</f>
        <v>#N/A</v>
      </c>
      <c r="Z258" s="1" t="str">
        <f ca="1">IFERROR(__xludf.DUMMYFUNCTION("""COMPUTED_VALUE"""),"#N/A")</f>
        <v>#N/A</v>
      </c>
      <c r="AA258" s="1" t="str">
        <f ca="1">IFERROR(__xludf.DUMMYFUNCTION("""COMPUTED_VALUE"""),"#N/A")</f>
        <v>#N/A</v>
      </c>
      <c r="AB258" s="1" t="str">
        <f ca="1">IFERROR(__xludf.DUMMYFUNCTION("""COMPUTED_VALUE"""),"#N/A")</f>
        <v>#N/A</v>
      </c>
      <c r="AC258" s="1" t="str">
        <f ca="1">IFERROR(__xludf.DUMMYFUNCTION("""COMPUTED_VALUE"""),"BÁO CÁO THỰC TẬP TỐT NGHIỆP")</f>
        <v>BÁO CÁO THỰC TẬP TỐT NGHIỆP</v>
      </c>
      <c r="AD258" s="1">
        <f ca="1">IFERROR(__xludf.DUMMYFUNCTION("""COMPUTED_VALUE"""),0)</f>
        <v>0</v>
      </c>
      <c r="AE258" s="1" t="str">
        <f ca="1">IFERROR(__xludf.DUMMYFUNCTION("""COMPUTED_VALUE"""),"#N/A")</f>
        <v>#N/A</v>
      </c>
      <c r="AF258" s="1" t="str">
        <f ca="1">IFERROR(__xludf.DUMMYFUNCTION("""COMPUTED_VALUE"""),"#N/A")</f>
        <v>#N/A</v>
      </c>
      <c r="AG258" s="1" t="str">
        <f ca="1">IFERROR(__xludf.DUMMYFUNCTION("""COMPUTED_VALUE"""),"#N/A")</f>
        <v>#N/A</v>
      </c>
      <c r="AH258" s="1" t="str">
        <f ca="1">IFERROR(__xludf.DUMMYFUNCTION("""COMPUTED_VALUE"""),"#N/A")</f>
        <v>#N/A</v>
      </c>
      <c r="AI258" s="1"/>
    </row>
    <row r="259" spans="1:35" x14ac:dyDescent="0.2">
      <c r="A259" s="3">
        <f ca="1">IFERROR(__xludf.DUMMYFUNCTION("""COMPUTED_VALUE"""),46040.8438270601)</f>
        <v>46040.843827060096</v>
      </c>
      <c r="B259" s="1" t="str">
        <f ca="1">IFERROR(__xludf.DUMMYFUNCTION("""COMPUTED_VALUE"""),"nguyenthingocnhi12092003@gmail.com")</f>
        <v>nguyenthingocnhi12092003@gmail.com</v>
      </c>
      <c r="C259" s="1">
        <f ca="1">IFERROR(__xludf.DUMMYFUNCTION("""COMPUTED_VALUE"""),27207128195)</f>
        <v>27207128195</v>
      </c>
      <c r="D259" s="1" t="str">
        <f ca="1">IFERROR(__xludf.DUMMYFUNCTION("""COMPUTED_VALUE"""),"Nguyễn Thị Ngọc Nhi")</f>
        <v>Nguyễn Thị Ngọc Nhi</v>
      </c>
      <c r="E259" s="1"/>
      <c r="F259" s="1" t="str">
        <f ca="1">IFERROR(__xludf.DUMMYFUNCTION("""COMPUTED_VALUE"""),"K27DLK5")</f>
        <v>K27DLK5</v>
      </c>
      <c r="G259" s="1" t="str">
        <f ca="1">IFERROR(__xludf.DUMMYFUNCTION("""COMPUTED_VALUE"""),"Quản trị Du lịch &amp; Khách sạn")</f>
        <v>Quản trị Du lịch &amp; Khách sạn</v>
      </c>
      <c r="H259" s="1" t="str">
        <f ca="1">IFERROR(__xludf.DUMMYFUNCTION("""COMPUTED_VALUE"""),"K27")</f>
        <v>K27</v>
      </c>
      <c r="I259" s="1" t="str">
        <f ca="1">IFERROR(__xludf.DUMMYFUNCTION("""COMPUTED_VALUE"""),"0898450230")</f>
        <v>0898450230</v>
      </c>
      <c r="J259" s="1">
        <f ca="1">IFERROR(__xludf.DUMMYFUNCTION("""COMPUTED_VALUE"""),2.63)</f>
        <v>2.63</v>
      </c>
      <c r="K259" s="1">
        <f ca="1">IFERROR(__xludf.DUMMYFUNCTION("""COMPUTED_VALUE"""),131)</f>
        <v>131</v>
      </c>
      <c r="L259" s="1" t="str">
        <f ca="1">IFERROR(__xludf.DUMMYFUNCTION("""COMPUTED_VALUE"""),"Rồi")</f>
        <v>Rồi</v>
      </c>
      <c r="M259" s="1" t="str">
        <f ca="1">IFERROR(__xludf.DUMMYFUNCTION("""COMPUTED_VALUE"""),"Thực tập tốt nghiệp")</f>
        <v>Thực tập tốt nghiệp</v>
      </c>
      <c r="N259" s="1">
        <f ca="1">IFERROR(__xludf.DUMMYFUNCTION("""COMPUTED_VALUE"""),0)</f>
        <v>0</v>
      </c>
      <c r="O259" s="1" t="str">
        <f ca="1">IFERROR(__xludf.DUMMYFUNCTION("""COMPUTED_VALUE"""),"cam kết")</f>
        <v>cam kết</v>
      </c>
      <c r="P259" s="1" t="str">
        <f ca="1">IFERROR(__xludf.DUMMYFUNCTION("""COMPUTED_VALUE"""),"CHƯA NỘP")</f>
        <v>CHƯA NỘP</v>
      </c>
      <c r="Q259" s="1">
        <f ca="1">IFERROR(__xludf.DUMMYFUNCTION("""COMPUTED_VALUE"""),55)</f>
        <v>55</v>
      </c>
      <c r="R259" s="1" t="str">
        <f ca="1">IFERROR(__xludf.DUMMYFUNCTION("""COMPUTED_VALUE"""),"19/01/2026")</f>
        <v>19/01/2026</v>
      </c>
      <c r="S259" s="1" t="str">
        <f ca="1">IFERROR(__xludf.DUMMYFUNCTION("""COMPUTED_VALUE"""),"Thực tập TN")</f>
        <v>Thực tập TN</v>
      </c>
      <c r="T259" s="1" t="str">
        <f ca="1">IFERROR(__xludf.DUMMYFUNCTION("""COMPUTED_VALUE"""),"HỦY ĐĂNG KÝ THAM DỰ THỰC TẬP TN VÌ SINH VIÊN CHƯA NỘP ĐƠN NHƯ THÔNG BÁO")</f>
        <v>HỦY ĐĂNG KÝ THAM DỰ THỰC TẬP TN VÌ SINH VIÊN CHƯA NỘP ĐƠN NHƯ THÔNG BÁO</v>
      </c>
      <c r="U259" s="1"/>
      <c r="V259" s="1"/>
      <c r="W259" s="1" t="str">
        <f ca="1">IFERROR(__xludf.DUMMYFUNCTION("""COMPUTED_VALUE"""),"K27DLK5")</f>
        <v>K27DLK5</v>
      </c>
      <c r="X259" s="1"/>
      <c r="Y259" s="1" t="str">
        <f ca="1">IFERROR(__xludf.DUMMYFUNCTION("""COMPUTED_VALUE"""),"#N/A")</f>
        <v>#N/A</v>
      </c>
      <c r="Z259" s="1" t="str">
        <f ca="1">IFERROR(__xludf.DUMMYFUNCTION("""COMPUTED_VALUE"""),"#N/A")</f>
        <v>#N/A</v>
      </c>
      <c r="AA259" s="1" t="str">
        <f ca="1">IFERROR(__xludf.DUMMYFUNCTION("""COMPUTED_VALUE"""),"#N/A")</f>
        <v>#N/A</v>
      </c>
      <c r="AB259" s="1"/>
      <c r="AC259" s="1" t="str">
        <f ca="1">IFERROR(__xludf.DUMMYFUNCTION("""COMPUTED_VALUE"""),"BÁO CÁO THỰC TẬP TỐT NGHIỆP")</f>
        <v>BÁO CÁO THỰC TẬP TỐT NGHIỆP</v>
      </c>
      <c r="AD259" s="1"/>
      <c r="AE259" s="1" t="str">
        <f ca="1">IFERROR(__xludf.DUMMYFUNCTION("""COMPUTED_VALUE"""),"#N/A")</f>
        <v>#N/A</v>
      </c>
      <c r="AF259" s="1" t="str">
        <f ca="1">IFERROR(__xludf.DUMMYFUNCTION("""COMPUTED_VALUE"""),"#N/A")</f>
        <v>#N/A</v>
      </c>
      <c r="AG259" s="1" t="str">
        <f ca="1">IFERROR(__xludf.DUMMYFUNCTION("""COMPUTED_VALUE"""),"#N/A")</f>
        <v>#N/A</v>
      </c>
      <c r="AH259" s="1" t="str">
        <f ca="1">IFERROR(__xludf.DUMMYFUNCTION("""COMPUTED_VALUE"""),"#N/A")</f>
        <v>#N/A</v>
      </c>
      <c r="AI259" s="1"/>
    </row>
    <row r="260" spans="1:35" x14ac:dyDescent="0.2">
      <c r="A260" s="3">
        <f ca="1">IFERROR(__xludf.DUMMYFUNCTION("""COMPUTED_VALUE"""),46041.2992784838)</f>
        <v>46041.299278483799</v>
      </c>
      <c r="B260" s="1" t="str">
        <f ca="1">IFERROR(__xludf.DUMMYFUNCTION("""COMPUTED_VALUE"""),"datcongvo098@gmail.com")</f>
        <v>datcongvo098@gmail.com</v>
      </c>
      <c r="C260" s="1">
        <f ca="1">IFERROR(__xludf.DUMMYFUNCTION("""COMPUTED_VALUE"""),27217153254)</f>
        <v>27217153254</v>
      </c>
      <c r="D260" s="1" t="str">
        <f ca="1">IFERROR(__xludf.DUMMYFUNCTION("""COMPUTED_VALUE"""),"Võ công đạt ")</f>
        <v xml:space="preserve">Võ công đạt </v>
      </c>
      <c r="E260" s="1"/>
      <c r="F260" s="1" t="str">
        <f ca="1">IFERROR(__xludf.DUMMYFUNCTION("""COMPUTED_VALUE"""),"K28DLK3")</f>
        <v>K28DLK3</v>
      </c>
      <c r="G260" s="1" t="str">
        <f ca="1">IFERROR(__xludf.DUMMYFUNCTION("""COMPUTED_VALUE"""),"Quản trị Du lịch &amp; Khách sạn")</f>
        <v>Quản trị Du lịch &amp; Khách sạn</v>
      </c>
      <c r="H260" s="1" t="str">
        <f ca="1">IFERROR(__xludf.DUMMYFUNCTION("""COMPUTED_VALUE"""),"K28")</f>
        <v>K28</v>
      </c>
      <c r="I260" s="1" t="str">
        <f ca="1">IFERROR(__xludf.DUMMYFUNCTION("""COMPUTED_VALUE"""),"0396184265")</f>
        <v>0396184265</v>
      </c>
      <c r="J260" s="1">
        <f ca="1">IFERROR(__xludf.DUMMYFUNCTION("""COMPUTED_VALUE"""),3.44)</f>
        <v>3.44</v>
      </c>
      <c r="K260" s="1">
        <f ca="1">IFERROR(__xludf.DUMMYFUNCTION("""COMPUTED_VALUE"""),128)</f>
        <v>128</v>
      </c>
      <c r="L260" s="1" t="str">
        <f ca="1">IFERROR(__xludf.DUMMYFUNCTION("""COMPUTED_VALUE"""),"Rồi")</f>
        <v>Rồi</v>
      </c>
      <c r="M260" s="1" t="str">
        <f ca="1">IFERROR(__xludf.DUMMYFUNCTION("""COMPUTED_VALUE"""),"Công nhận tốt nghiệp")</f>
        <v>Công nhận tốt nghiệp</v>
      </c>
      <c r="N260" s="1">
        <f ca="1">IFERROR(__xludf.DUMMYFUNCTION("""COMPUTED_VALUE"""),0)</f>
        <v>0</v>
      </c>
      <c r="O260" s="1" t="str">
        <f ca="1">IFERROR(__xludf.DUMMYFUNCTION("""COMPUTED_VALUE"""),"cam kết")</f>
        <v>cam kết</v>
      </c>
      <c r="P260" s="1" t="str">
        <f ca="1">IFERROR(__xludf.DUMMYFUNCTION("""COMPUTED_VALUE"""),"CHƯA NỘP")</f>
        <v>CHƯA NỘP</v>
      </c>
      <c r="Q260" s="1"/>
      <c r="R260" s="1" t="str">
        <f ca="1">IFERROR(__xludf.DUMMYFUNCTION("""COMPUTED_VALUE"""),"19/01/2026")</f>
        <v>19/01/2026</v>
      </c>
      <c r="S260" s="1" t="str">
        <f ca="1">IFERROR(__xludf.DUMMYFUNCTION("""COMPUTED_VALUE"""),"xét công nhận TN")</f>
        <v>xét công nhận TN</v>
      </c>
      <c r="T260" s="1"/>
      <c r="U260" s="1"/>
      <c r="V260" s="1"/>
      <c r="W260" s="1" t="str">
        <f ca="1">IFERROR(__xludf.DUMMYFUNCTION("""COMPUTED_VALUE"""),"K28DLK3")</f>
        <v>K28DLK3</v>
      </c>
      <c r="X260" s="1"/>
      <c r="Y260" s="1" t="str">
        <f ca="1">IFERROR(__xludf.DUMMYFUNCTION("""COMPUTED_VALUE"""),"#N/A")</f>
        <v>#N/A</v>
      </c>
      <c r="Z260" s="1" t="str">
        <f ca="1">IFERROR(__xludf.DUMMYFUNCTION("""COMPUTED_VALUE"""),"#N/A")</f>
        <v>#N/A</v>
      </c>
      <c r="AA260" s="1" t="str">
        <f ca="1">IFERROR(__xludf.DUMMYFUNCTION("""COMPUTED_VALUE"""),"#N/A")</f>
        <v>#N/A</v>
      </c>
      <c r="AB260" s="1"/>
      <c r="AC260" s="1" t="str">
        <f ca="1">IFERROR(__xludf.DUMMYFUNCTION("""COMPUTED_VALUE""")," ")</f>
        <v xml:space="preserve"> </v>
      </c>
      <c r="AD260" s="1"/>
      <c r="AE260" s="1"/>
      <c r="AF260" s="1"/>
      <c r="AG260" s="1"/>
      <c r="AH260" s="1"/>
      <c r="AI260" s="1"/>
    </row>
    <row r="261" spans="1:35" x14ac:dyDescent="0.2">
      <c r="A261" s="3">
        <f ca="1">IFERROR(__xludf.DUMMYFUNCTION("""COMPUTED_VALUE"""),46041.4645311805)</f>
        <v>46041.4645311805</v>
      </c>
      <c r="B261" s="1" t="str">
        <f ca="1">IFERROR(__xludf.DUMMYFUNCTION("""COMPUTED_VALUE"""),"vietvanthanh2003@gmail.com")</f>
        <v>vietvanthanh2003@gmail.com</v>
      </c>
      <c r="C261" s="1">
        <f ca="1">IFERROR(__xludf.DUMMYFUNCTION("""COMPUTED_VALUE"""),27217128905)</f>
        <v>27217128905</v>
      </c>
      <c r="D261" s="1" t="str">
        <f ca="1">IFERROR(__xludf.DUMMYFUNCTION("""COMPUTED_VALUE"""),"Văn Thanh Việt")</f>
        <v>Văn Thanh Việt</v>
      </c>
      <c r="E261" s="1"/>
      <c r="F261" s="1" t="str">
        <f ca="1">IFERROR(__xludf.DUMMYFUNCTION("""COMPUTED_VALUE"""),"K27PSUDLK1")</f>
        <v>K27PSUDLK1</v>
      </c>
      <c r="G261" s="1" t="str">
        <f ca="1">IFERROR(__xludf.DUMMYFUNCTION("""COMPUTED_VALUE"""),"Quản trị Du lịch &amp; Khách sạn chuẩn PSU")</f>
        <v>Quản trị Du lịch &amp; Khách sạn chuẩn PSU</v>
      </c>
      <c r="H261" s="1" t="str">
        <f ca="1">IFERROR(__xludf.DUMMYFUNCTION("""COMPUTED_VALUE"""),"K27")</f>
        <v>K27</v>
      </c>
      <c r="I261" s="1" t="str">
        <f ca="1">IFERROR(__xludf.DUMMYFUNCTION("""COMPUTED_VALUE"""),"0915066334")</f>
        <v>0915066334</v>
      </c>
      <c r="J261" s="1">
        <f ca="1">IFERROR(__xludf.DUMMYFUNCTION("""COMPUTED_VALUE"""),2.62)</f>
        <v>2.62</v>
      </c>
      <c r="K261" s="1">
        <f ca="1">IFERROR(__xludf.DUMMYFUNCTION("""COMPUTED_VALUE"""),129)</f>
        <v>129</v>
      </c>
      <c r="L261" s="1" t="str">
        <f ca="1">IFERROR(__xludf.DUMMYFUNCTION("""COMPUTED_VALUE"""),"Rồi")</f>
        <v>Rồi</v>
      </c>
      <c r="M261" s="1" t="str">
        <f ca="1">IFERROR(__xludf.DUMMYFUNCTION("""COMPUTED_VALUE"""),"Thực tập tốt nghiệp, Công nhận tốt nghiệp")</f>
        <v>Thực tập tốt nghiệp, Công nhận tốt nghiệp</v>
      </c>
      <c r="N261" s="1">
        <f ca="1">IFERROR(__xludf.DUMMYFUNCTION("""COMPUTED_VALUE"""),0)</f>
        <v>0</v>
      </c>
      <c r="O261" s="1" t="str">
        <f ca="1">IFERROR(__xludf.DUMMYFUNCTION("""COMPUTED_VALUE"""),"cam kết")</f>
        <v>cam kết</v>
      </c>
      <c r="P261" s="1" t="str">
        <f ca="1">IFERROR(__xludf.DUMMYFUNCTION("""COMPUTED_VALUE"""),"ĐÃ NỘP")</f>
        <v>ĐÃ NỘP</v>
      </c>
      <c r="Q261" s="1">
        <f ca="1">IFERROR(__xludf.DUMMYFUNCTION("""COMPUTED_VALUE"""),56)</f>
        <v>56</v>
      </c>
      <c r="R261" s="1" t="str">
        <f ca="1">IFERROR(__xludf.DUMMYFUNCTION("""COMPUTED_VALUE"""),"19/01/2026")</f>
        <v>19/01/2026</v>
      </c>
      <c r="S261" s="1" t="str">
        <f ca="1">IFERROR(__xludf.DUMMYFUNCTION("""COMPUTED_VALUE"""),"Thực tập TN")</f>
        <v>Thực tập TN</v>
      </c>
      <c r="T261" s="1"/>
      <c r="U261" s="1"/>
      <c r="V261" s="1"/>
      <c r="W261" s="1" t="str">
        <f ca="1">IFERROR(__xludf.DUMMYFUNCTION("""COMPUTED_VALUE"""),"K27PSU-DLK1")</f>
        <v>K27PSU-DLK1</v>
      </c>
      <c r="X261" s="1"/>
      <c r="Y261" s="1" t="str">
        <f ca="1">IFERROR(__xludf.DUMMYFUNCTION("""COMPUTED_VALUE"""),"Pullman Danang Beach Resort")</f>
        <v>Pullman Danang Beach Resort</v>
      </c>
      <c r="Z261" s="1" t="str">
        <f ca="1">IFERROR(__xludf.DUMMYFUNCTION("""COMPUTED_VALUE"""),"Nhà hàng")</f>
        <v>Nhà hàng</v>
      </c>
      <c r="AA261" s="1" t="str">
        <f ca="1">IFERROR(__xludf.DUMMYFUNCTION("""COMPUTED_VALUE"""),"DUYỆT")</f>
        <v>DUYỆT</v>
      </c>
      <c r="AB261" s="1" t="str">
        <f ca="1">IFERROR(__xludf.DUMMYFUNCTION("""COMPUTED_VALUE"""),"22/01/2026")</f>
        <v>22/01/2026</v>
      </c>
      <c r="AC261" s="1" t="str">
        <f ca="1">IFERROR(__xludf.DUMMYFUNCTION("""COMPUTED_VALUE"""),"BÁO CÁO THỰC TẬP TỐT NGHIỆP")</f>
        <v>BÁO CÁO THỰC TẬP TỐT NGHIỆP</v>
      </c>
      <c r="AD261" s="1" t="str">
        <f ca="1">IFERROR(__xludf.DUMMYFUNCTION("""COMPUTED_VALUE"""),"Mai Thị Thương")</f>
        <v>Mai Thị Thương</v>
      </c>
      <c r="AE261" s="1" t="str">
        <f ca="1">IFERROR(__xludf.DUMMYFUNCTION("""COMPUTED_VALUE"""),"Thạc sĩ")</f>
        <v>Thạc sĩ</v>
      </c>
      <c r="AF261" s="1" t="str">
        <f ca="1">IFERROR(__xludf.DUMMYFUNCTION("""COMPUTED_VALUE"""),"0905767050")</f>
        <v>0905767050</v>
      </c>
      <c r="AG261" s="1" t="str">
        <f ca="1">IFERROR(__xludf.DUMMYFUNCTION("""COMPUTED_VALUE"""),"maithithuong@dtu-hti.edu.vn")</f>
        <v>maithithuong@dtu-hti.edu.vn</v>
      </c>
      <c r="AH261" s="1" t="str">
        <f ca="1">IFERROR(__xludf.DUMMYFUNCTION("""COMPUTED_VALUE"""),"Báo cáo kết quả thực tập và thực trạng về các yếu tố ảnh hưởng đến chất lượng phục vụ tại nhà hàng Epice thuộc Pullman Danang Beach Resort")</f>
        <v>Báo cáo kết quả thực tập và thực trạng về các yếu tố ảnh hưởng đến chất lượng phục vụ tại nhà hàng Epice thuộc Pullman Danang Beach Resort</v>
      </c>
      <c r="AI261" s="1"/>
    </row>
    <row r="262" spans="1:35" x14ac:dyDescent="0.2">
      <c r="A262" s="3">
        <f ca="1">IFERROR(__xludf.DUMMYFUNCTION("""COMPUTED_VALUE"""),46041.5577116203)</f>
        <v>46041.557711620299</v>
      </c>
      <c r="B262" s="1" t="str">
        <f ca="1">IFERROR(__xludf.DUMMYFUNCTION("""COMPUTED_VALUE"""),"doquynhdung.dqd@gmail.com")</f>
        <v>doquynhdung.dqd@gmail.com</v>
      </c>
      <c r="C262" s="1">
        <f ca="1">IFERROR(__xludf.DUMMYFUNCTION("""COMPUTED_VALUE"""),2320713726)</f>
        <v>2320713726</v>
      </c>
      <c r="D262" s="1" t="str">
        <f ca="1">IFERROR(__xludf.DUMMYFUNCTION("""COMPUTED_VALUE"""),"Đỗ Thị Quỳnh Dung")</f>
        <v>Đỗ Thị Quỳnh Dung</v>
      </c>
      <c r="E262" s="1"/>
      <c r="F262" s="1" t="str">
        <f ca="1">IFERROR(__xludf.DUMMYFUNCTION("""COMPUTED_VALUE"""),"K26 PSU DLK2")</f>
        <v>K26 PSU DLK2</v>
      </c>
      <c r="G262" s="1" t="str">
        <f ca="1">IFERROR(__xludf.DUMMYFUNCTION("""COMPUTED_VALUE"""),"Quản trị Du lịch &amp; Khách sạn chuẩn PSU")</f>
        <v>Quản trị Du lịch &amp; Khách sạn chuẩn PSU</v>
      </c>
      <c r="H262" s="1" t="str">
        <f ca="1">IFERROR(__xludf.DUMMYFUNCTION("""COMPUTED_VALUE"""),"K26")</f>
        <v>K26</v>
      </c>
      <c r="I262" s="1" t="str">
        <f ca="1">IFERROR(__xludf.DUMMYFUNCTION("""COMPUTED_VALUE"""),"0382249937")</f>
        <v>0382249937</v>
      </c>
      <c r="J262" s="1">
        <f ca="1">IFERROR(__xludf.DUMMYFUNCTION("""COMPUTED_VALUE"""),2.48)</f>
        <v>2.48</v>
      </c>
      <c r="K262" s="1">
        <f ca="1">IFERROR(__xludf.DUMMYFUNCTION("""COMPUTED_VALUE"""),243)</f>
        <v>243</v>
      </c>
      <c r="L262" s="1" t="str">
        <f ca="1">IFERROR(__xludf.DUMMYFUNCTION("""COMPUTED_VALUE"""),"Rồi")</f>
        <v>Rồi</v>
      </c>
      <c r="M262" s="1" t="str">
        <f ca="1">IFERROR(__xludf.DUMMYFUNCTION("""COMPUTED_VALUE"""),"Công nhận tốt nghiệp")</f>
        <v>Công nhận tốt nghiệp</v>
      </c>
      <c r="N262" s="1">
        <f ca="1">IFERROR(__xludf.DUMMYFUNCTION("""COMPUTED_VALUE"""),0)</f>
        <v>0</v>
      </c>
      <c r="O262" s="1" t="str">
        <f ca="1">IFERROR(__xludf.DUMMYFUNCTION("""COMPUTED_VALUE"""),"cam kết")</f>
        <v>cam kết</v>
      </c>
      <c r="P262" s="1" t="str">
        <f ca="1">IFERROR(__xludf.DUMMYFUNCTION("""COMPUTED_VALUE"""),"CHƯA NỘP")</f>
        <v>CHƯA NỘP</v>
      </c>
      <c r="Q262" s="1">
        <f ca="1">IFERROR(__xludf.DUMMYFUNCTION("""COMPUTED_VALUE"""),57)</f>
        <v>57</v>
      </c>
      <c r="R262" s="1" t="str">
        <f ca="1">IFERROR(__xludf.DUMMYFUNCTION("""COMPUTED_VALUE"""),"19/01/2026")</f>
        <v>19/01/2026</v>
      </c>
      <c r="S262" s="1" t="str">
        <f ca="1">IFERROR(__xludf.DUMMYFUNCTION("""COMPUTED_VALUE"""),"xét công nhận TN")</f>
        <v>xét công nhận TN</v>
      </c>
      <c r="T262" s="1"/>
      <c r="U262" s="1"/>
      <c r="V262" s="1"/>
      <c r="W262" s="1" t="str">
        <f ca="1">IFERROR(__xludf.DUMMYFUNCTION("""COMPUTED_VALUE"""),"K26PSU-DLK2")</f>
        <v>K26PSU-DLK2</v>
      </c>
      <c r="X262" s="1"/>
      <c r="Y262" s="1" t="str">
        <f ca="1">IFERROR(__xludf.DUMMYFUNCTION("""COMPUTED_VALUE"""),"#N/A")</f>
        <v>#N/A</v>
      </c>
      <c r="Z262" s="1" t="str">
        <f ca="1">IFERROR(__xludf.DUMMYFUNCTION("""COMPUTED_VALUE"""),"#N/A")</f>
        <v>#N/A</v>
      </c>
      <c r="AA262" s="1" t="str">
        <f ca="1">IFERROR(__xludf.DUMMYFUNCTION("""COMPUTED_VALUE"""),"#N/A")</f>
        <v>#N/A</v>
      </c>
      <c r="AB262" s="1"/>
      <c r="AC262" s="1" t="str">
        <f ca="1">IFERROR(__xludf.DUMMYFUNCTION("""COMPUTED_VALUE""")," ")</f>
        <v xml:space="preserve"> </v>
      </c>
      <c r="AD262" s="1"/>
      <c r="AE262" s="1"/>
      <c r="AF262" s="1"/>
      <c r="AG262" s="1"/>
      <c r="AH262" s="1"/>
      <c r="AI262" s="1"/>
    </row>
    <row r="263" spans="1:35" x14ac:dyDescent="0.2">
      <c r="A263" s="3">
        <f ca="1">IFERROR(__xludf.DUMMYFUNCTION("""COMPUTED_VALUE"""),46042.3531398958)</f>
        <v>46042.3531398958</v>
      </c>
      <c r="B263" s="1" t="str">
        <f ca="1">IFERROR(__xludf.DUMMYFUNCTION("""COMPUTED_VALUE"""),"tranliem232001@gmail.com")</f>
        <v>tranliem232001@gmail.com</v>
      </c>
      <c r="C263" s="1">
        <f ca="1">IFERROR(__xludf.DUMMYFUNCTION("""COMPUTED_VALUE"""),25217203161)</f>
        <v>25217203161</v>
      </c>
      <c r="D263" s="1" t="str">
        <f ca="1">IFERROR(__xludf.DUMMYFUNCTION("""COMPUTED_VALUE"""),"Trần Văn Liêm")</f>
        <v>Trần Văn Liêm</v>
      </c>
      <c r="E263" s="1"/>
      <c r="F263" s="1" t="str">
        <f ca="1">IFERROR(__xludf.DUMMYFUNCTION("""COMPUTED_VALUE"""),"K25DLK 19")</f>
        <v>K25DLK 19</v>
      </c>
      <c r="G263" s="1" t="str">
        <f ca="1">IFERROR(__xludf.DUMMYFUNCTION("""COMPUTED_VALUE"""),"Quản trị Du lịch &amp; Khách sạn")</f>
        <v>Quản trị Du lịch &amp; Khách sạn</v>
      </c>
      <c r="H263" s="1" t="str">
        <f ca="1">IFERROR(__xludf.DUMMYFUNCTION("""COMPUTED_VALUE"""),"K25")</f>
        <v>K25</v>
      </c>
      <c r="I263" s="1" t="str">
        <f ca="1">IFERROR(__xludf.DUMMYFUNCTION("""COMPUTED_VALUE"""),"0774441502")</f>
        <v>0774441502</v>
      </c>
      <c r="J263" s="1">
        <f ca="1">IFERROR(__xludf.DUMMYFUNCTION("""COMPUTED_VALUE"""),3.11)</f>
        <v>3.11</v>
      </c>
      <c r="K263" s="1">
        <f ca="1">IFERROR(__xludf.DUMMYFUNCTION("""COMPUTED_VALUE"""),133)</f>
        <v>133</v>
      </c>
      <c r="L263" s="1" t="str">
        <f ca="1">IFERROR(__xludf.DUMMYFUNCTION("""COMPUTED_VALUE"""),"Rồi")</f>
        <v>Rồi</v>
      </c>
      <c r="M263" s="1" t="str">
        <f ca="1">IFERROR(__xludf.DUMMYFUNCTION("""COMPUTED_VALUE"""),"Thực tập tốt nghiệp, Công nhận tốt nghiệp")</f>
        <v>Thực tập tốt nghiệp, Công nhận tốt nghiệp</v>
      </c>
      <c r="N263" s="1">
        <f ca="1">IFERROR(__xludf.DUMMYFUNCTION("""COMPUTED_VALUE"""),0)</f>
        <v>0</v>
      </c>
      <c r="O263" s="1" t="str">
        <f ca="1">IFERROR(__xludf.DUMMYFUNCTION("""COMPUTED_VALUE"""),"cam kết")</f>
        <v>cam kết</v>
      </c>
      <c r="P263" s="1" t="str">
        <f ca="1">IFERROR(__xludf.DUMMYFUNCTION("""COMPUTED_VALUE"""),"ĐÃ NỘP")</f>
        <v>ĐÃ NỘP</v>
      </c>
      <c r="Q263" s="1">
        <f ca="1">IFERROR(__xludf.DUMMYFUNCTION("""COMPUTED_VALUE"""),58)</f>
        <v>58</v>
      </c>
      <c r="R263" s="1" t="str">
        <f ca="1">IFERROR(__xludf.DUMMYFUNCTION("""COMPUTED_VALUE"""),"20/01/2026")</f>
        <v>20/01/2026</v>
      </c>
      <c r="S263" s="1" t="str">
        <f ca="1">IFERROR(__xludf.DUMMYFUNCTION("""COMPUTED_VALUE"""),"thực tập TN")</f>
        <v>thực tập TN</v>
      </c>
      <c r="T263" s="1"/>
      <c r="U263" s="1"/>
      <c r="V263" s="1"/>
      <c r="W263" s="1" t="str">
        <f ca="1">IFERROR(__xludf.DUMMYFUNCTION("""COMPUTED_VALUE"""),"K25DLK19")</f>
        <v>K25DLK19</v>
      </c>
      <c r="X263" s="1"/>
      <c r="Y263" s="1" t="str">
        <f ca="1">IFERROR(__xludf.DUMMYFUNCTION("""COMPUTED_VALUE"""),"Khách sạn Mường Thanh Luxury Đà Nẵng")</f>
        <v>Khách sạn Mường Thanh Luxury Đà Nẵng</v>
      </c>
      <c r="Z263" s="1" t="str">
        <f ca="1">IFERROR(__xludf.DUMMYFUNCTION("""COMPUTED_VALUE"""),"Tiền sảnh")</f>
        <v>Tiền sảnh</v>
      </c>
      <c r="AA263" s="1" t="str">
        <f ca="1">IFERROR(__xludf.DUMMYFUNCTION("""COMPUTED_VALUE"""),"DUYỆT")</f>
        <v>DUYỆT</v>
      </c>
      <c r="AB263" s="1" t="str">
        <f ca="1">IFERROR(__xludf.DUMMYFUNCTION("""COMPUTED_VALUE"""),"27/01/2026")</f>
        <v>27/01/2026</v>
      </c>
      <c r="AC263" s="1" t="str">
        <f ca="1">IFERROR(__xludf.DUMMYFUNCTION("""COMPUTED_VALUE"""),"BÁO CÁO THỰC TẬP TỐT NGHIỆP")</f>
        <v>BÁO CÁO THỰC TẬP TỐT NGHIỆP</v>
      </c>
      <c r="AD263" s="1" t="str">
        <f ca="1">IFERROR(__xludf.DUMMYFUNCTION("""COMPUTED_VALUE"""),"Trịnh Thị Kim Chung")</f>
        <v>Trịnh Thị Kim Chung</v>
      </c>
      <c r="AE263" s="1" t="str">
        <f ca="1">IFERROR(__xludf.DUMMYFUNCTION("""COMPUTED_VALUE"""),"Thạc sĩ")</f>
        <v>Thạc sĩ</v>
      </c>
      <c r="AF263" s="1" t="str">
        <f ca="1">IFERROR(__xludf.DUMMYFUNCTION("""COMPUTED_VALUE"""),"0375658728")</f>
        <v>0375658728</v>
      </c>
      <c r="AG263" s="1" t="str">
        <f ca="1">IFERROR(__xludf.DUMMYFUNCTION("""COMPUTED_VALUE"""),"trinhtkimchung@dtu-hti.edu.vn")</f>
        <v>trinhtkimchung@dtu-hti.edu.vn</v>
      </c>
      <c r="AH263" s="1" t="str">
        <f ca="1">IFERROR(__xludf.DUMMYFUNCTION("""COMPUTED_VALUE"""),"Báo cáo kết quả thực tập và thực trạng quy trình đăng ký khách sạn tại bộ phận tiền sảnh thuộc Khách sạn Mường Thanh Luxury Đà Nẵng")</f>
        <v>Báo cáo kết quả thực tập và thực trạng quy trình đăng ký khách sạn tại bộ phận tiền sảnh thuộc Khách sạn Mường Thanh Luxury Đà Nẵng</v>
      </c>
      <c r="AI263" s="1"/>
    </row>
    <row r="264" spans="1:35" x14ac:dyDescent="0.2">
      <c r="A264" s="3">
        <f ca="1">IFERROR(__xludf.DUMMYFUNCTION("""COMPUTED_VALUE"""),46042.4047336226)</f>
        <v>46042.404733622599</v>
      </c>
      <c r="B264" s="1" t="str">
        <f ca="1">IFERROR(__xludf.DUMMYFUNCTION("""COMPUTED_VALUE"""),"lethihoanglan06012000@gmail.com")</f>
        <v>lethihoanglan06012000@gmail.com</v>
      </c>
      <c r="C264" s="1">
        <f ca="1">IFERROR(__xludf.DUMMYFUNCTION("""COMPUTED_VALUE"""),24207104117)</f>
        <v>24207104117</v>
      </c>
      <c r="D264" s="1" t="str">
        <f ca="1">IFERROR(__xludf.DUMMYFUNCTION("""COMPUTED_VALUE"""),"Lê Thị Hoàng Lan")</f>
        <v>Lê Thị Hoàng Lan</v>
      </c>
      <c r="E264" s="1"/>
      <c r="F264" s="1" t="str">
        <f ca="1">IFERROR(__xludf.DUMMYFUNCTION("""COMPUTED_VALUE"""),"K25DLK11")</f>
        <v>K25DLK11</v>
      </c>
      <c r="G264" s="1" t="str">
        <f ca="1">IFERROR(__xludf.DUMMYFUNCTION("""COMPUTED_VALUE"""),"Quản trị Du lịch &amp; Khách sạn")</f>
        <v>Quản trị Du lịch &amp; Khách sạn</v>
      </c>
      <c r="H264" s="1" t="str">
        <f ca="1">IFERROR(__xludf.DUMMYFUNCTION("""COMPUTED_VALUE"""),"K25")</f>
        <v>K25</v>
      </c>
      <c r="I264" s="1" t="str">
        <f ca="1">IFERROR(__xludf.DUMMYFUNCTION("""COMPUTED_VALUE"""),"0325777068")</f>
        <v>0325777068</v>
      </c>
      <c r="J264" s="1">
        <f ca="1">IFERROR(__xludf.DUMMYFUNCTION("""COMPUTED_VALUE"""),2.42)</f>
        <v>2.42</v>
      </c>
      <c r="K264" s="1">
        <f ca="1">IFERROR(__xludf.DUMMYFUNCTION("""COMPUTED_VALUE"""),134)</f>
        <v>134</v>
      </c>
      <c r="L264" s="1" t="str">
        <f ca="1">IFERROR(__xludf.DUMMYFUNCTION("""COMPUTED_VALUE"""),"Rồi")</f>
        <v>Rồi</v>
      </c>
      <c r="M264" s="1" t="str">
        <f ca="1">IFERROR(__xludf.DUMMYFUNCTION("""COMPUTED_VALUE"""),"Công nhận tốt nghiệp")</f>
        <v>Công nhận tốt nghiệp</v>
      </c>
      <c r="N264" s="1">
        <f ca="1">IFERROR(__xludf.DUMMYFUNCTION("""COMPUTED_VALUE"""),0)</f>
        <v>0</v>
      </c>
      <c r="O264" s="1" t="str">
        <f ca="1">IFERROR(__xludf.DUMMYFUNCTION("""COMPUTED_VALUE"""),"cam kết")</f>
        <v>cam kết</v>
      </c>
      <c r="P264" s="1" t="str">
        <f ca="1">IFERROR(__xludf.DUMMYFUNCTION("""COMPUTED_VALUE"""),"ĐÃ NỘP")</f>
        <v>ĐÃ NỘP</v>
      </c>
      <c r="Q264" s="1">
        <f ca="1">IFERROR(__xludf.DUMMYFUNCTION("""COMPUTED_VALUE"""),59)</f>
        <v>59</v>
      </c>
      <c r="R264" s="1" t="str">
        <f ca="1">IFERROR(__xludf.DUMMYFUNCTION("""COMPUTED_VALUE"""),"20/01/2026")</f>
        <v>20/01/2026</v>
      </c>
      <c r="S264" s="1" t="str">
        <f ca="1">IFERROR(__xludf.DUMMYFUNCTION("""COMPUTED_VALUE"""),"xét công nhận tốt nghiệp")</f>
        <v>xét công nhận tốt nghiệp</v>
      </c>
      <c r="T264" s="1"/>
      <c r="U264" s="1"/>
      <c r="V264" s="1"/>
      <c r="W264" s="1" t="str">
        <f ca="1">IFERROR(__xludf.DUMMYFUNCTION("""COMPUTED_VALUE"""),"K25DLK11")</f>
        <v>K25DLK11</v>
      </c>
      <c r="X264" s="1"/>
      <c r="Y264" s="1" t="str">
        <f ca="1">IFERROR(__xludf.DUMMYFUNCTION("""COMPUTED_VALUE"""),"#N/A")</f>
        <v>#N/A</v>
      </c>
      <c r="Z264" s="1" t="str">
        <f ca="1">IFERROR(__xludf.DUMMYFUNCTION("""COMPUTED_VALUE"""),"#N/A")</f>
        <v>#N/A</v>
      </c>
      <c r="AA264" s="1" t="str">
        <f ca="1">IFERROR(__xludf.DUMMYFUNCTION("""COMPUTED_VALUE"""),"#N/A")</f>
        <v>#N/A</v>
      </c>
      <c r="AB264" s="1"/>
      <c r="AC264" s="1" t="str">
        <f ca="1">IFERROR(__xludf.DUMMYFUNCTION("""COMPUTED_VALUE""")," ")</f>
        <v xml:space="preserve"> </v>
      </c>
      <c r="AD264" s="1"/>
      <c r="AE264" s="1"/>
      <c r="AF264" s="1"/>
      <c r="AG264" s="1"/>
      <c r="AH264" s="1"/>
      <c r="AI264" s="1"/>
    </row>
    <row r="265" spans="1:35" x14ac:dyDescent="0.2">
      <c r="A265" s="3">
        <f ca="1">IFERROR(__xludf.DUMMYFUNCTION("""COMPUTED_VALUE"""),46042.947274456)</f>
        <v>46042.947274455997</v>
      </c>
      <c r="B265" s="1" t="str">
        <f ca="1">IFERROR(__xludf.DUMMYFUNCTION("""COMPUTED_VALUE"""),"kimanh16062003@gmail.com")</f>
        <v>kimanh16062003@gmail.com</v>
      </c>
      <c r="C265" s="1">
        <f ca="1">IFERROR(__xludf.DUMMYFUNCTION("""COMPUTED_VALUE"""),27207600030)</f>
        <v>27207600030</v>
      </c>
      <c r="D265" s="1" t="str">
        <f ca="1">IFERROR(__xludf.DUMMYFUNCTION("""COMPUTED_VALUE"""),"Trần Kim Anh")</f>
        <v>Trần Kim Anh</v>
      </c>
      <c r="E265" s="1"/>
      <c r="F265" s="1" t="str">
        <f ca="1">IFERROR(__xludf.DUMMYFUNCTION("""COMPUTED_VALUE"""),"K27DLK5")</f>
        <v>K27DLK5</v>
      </c>
      <c r="G265" s="1" t="str">
        <f ca="1">IFERROR(__xludf.DUMMYFUNCTION("""COMPUTED_VALUE"""),"Quản trị Du lịch &amp; Khách sạn")</f>
        <v>Quản trị Du lịch &amp; Khách sạn</v>
      </c>
      <c r="H265" s="1" t="str">
        <f ca="1">IFERROR(__xludf.DUMMYFUNCTION("""COMPUTED_VALUE"""),"K27")</f>
        <v>K27</v>
      </c>
      <c r="I265" s="1" t="str">
        <f ca="1">IFERROR(__xludf.DUMMYFUNCTION("""COMPUTED_VALUE"""),"0843096408")</f>
        <v>0843096408</v>
      </c>
      <c r="J265" s="1">
        <f ca="1">IFERROR(__xludf.DUMMYFUNCTION("""COMPUTED_VALUE"""),3.52)</f>
        <v>3.52</v>
      </c>
      <c r="K265" s="1">
        <f ca="1">IFERROR(__xludf.DUMMYFUNCTION("""COMPUTED_VALUE"""),125)</f>
        <v>125</v>
      </c>
      <c r="L265" s="1" t="str">
        <f ca="1">IFERROR(__xludf.DUMMYFUNCTION("""COMPUTED_VALUE"""),"Rồi")</f>
        <v>Rồi</v>
      </c>
      <c r="M265" s="1" t="str">
        <f ca="1">IFERROR(__xludf.DUMMYFUNCTION("""COMPUTED_VALUE"""),"Thi tốt nghiệp, Công nhận tốt nghiệp")</f>
        <v>Thi tốt nghiệp, Công nhận tốt nghiệp</v>
      </c>
      <c r="N265" s="1">
        <f ca="1">IFERROR(__xludf.DUMMYFUNCTION("""COMPUTED_VALUE"""),0)</f>
        <v>0</v>
      </c>
      <c r="O265" s="1" t="str">
        <f ca="1">IFERROR(__xludf.DUMMYFUNCTION("""COMPUTED_VALUE"""),"cam kết")</f>
        <v>cam kết</v>
      </c>
      <c r="P265" s="1" t="str">
        <f ca="1">IFERROR(__xludf.DUMMYFUNCTION("""COMPUTED_VALUE"""),"ĐÃ NỘP")</f>
        <v>ĐÃ NỘP</v>
      </c>
      <c r="Q265" s="1">
        <f ca="1">IFERROR(__xludf.DUMMYFUNCTION("""COMPUTED_VALUE"""),60)</f>
        <v>60</v>
      </c>
      <c r="R265" s="1" t="str">
        <f ca="1">IFERROR(__xludf.DUMMYFUNCTION("""COMPUTED_VALUE"""),"20/01/2026")</f>
        <v>20/01/2026</v>
      </c>
      <c r="S265" s="1" t="str">
        <f ca="1">IFERROR(__xludf.DUMMYFUNCTION("""COMPUTED_VALUE"""),"Thi TN")</f>
        <v>Thi TN</v>
      </c>
      <c r="T265" s="1"/>
      <c r="U265" s="1"/>
      <c r="V265" s="1"/>
      <c r="W265" s="1" t="str">
        <f ca="1">IFERROR(__xludf.DUMMYFUNCTION("""COMPUTED_VALUE"""),"K27DLK5")</f>
        <v>K27DLK5</v>
      </c>
      <c r="X265" s="1"/>
      <c r="Y265" s="1" t="str">
        <f ca="1">IFERROR(__xludf.DUMMYFUNCTION("""COMPUTED_VALUE"""),"#N/A")</f>
        <v>#N/A</v>
      </c>
      <c r="Z265" s="1" t="str">
        <f ca="1">IFERROR(__xludf.DUMMYFUNCTION("""COMPUTED_VALUE"""),"#N/A")</f>
        <v>#N/A</v>
      </c>
      <c r="AA265" s="1" t="str">
        <f ca="1">IFERROR(__xludf.DUMMYFUNCTION("""COMPUTED_VALUE"""),"#N/A")</f>
        <v>#N/A</v>
      </c>
      <c r="AB265" s="1"/>
      <c r="AC265" s="1" t="str">
        <f ca="1">IFERROR(__xludf.DUMMYFUNCTION("""COMPUTED_VALUE""")," ")</f>
        <v xml:space="preserve"> </v>
      </c>
      <c r="AD265" s="1"/>
      <c r="AE265" s="1"/>
      <c r="AF265" s="1"/>
      <c r="AG265" s="1"/>
      <c r="AH265" s="1"/>
      <c r="AI265" s="1"/>
    </row>
    <row r="266" spans="1:35" x14ac:dyDescent="0.2">
      <c r="A266" s="3">
        <f ca="1">IFERROR(__xludf.DUMMYFUNCTION("""COMPUTED_VALUE"""),46043.7073095486)</f>
        <v>46043.707309548598</v>
      </c>
      <c r="B266" s="1" t="str">
        <f ca="1">IFERROR(__xludf.DUMMYFUNCTION("""COMPUTED_VALUE"""),"thaitien18122000@gmail.com")</f>
        <v>thaitien18122000@gmail.com</v>
      </c>
      <c r="C266" s="1">
        <f ca="1">IFERROR(__xludf.DUMMYFUNCTION("""COMPUTED_VALUE"""),24207108085)</f>
        <v>24207108085</v>
      </c>
      <c r="D266" s="1" t="str">
        <f ca="1">IFERROR(__xludf.DUMMYFUNCTION("""COMPUTED_VALUE"""),"Tôn Nữ Thái Tiên ")</f>
        <v xml:space="preserve">Tôn Nữ Thái Tiên </v>
      </c>
      <c r="E266" s="1"/>
      <c r="F266" s="1" t="str">
        <f ca="1">IFERROR(__xludf.DUMMYFUNCTION("""COMPUTED_VALUE"""),"K24DLK5")</f>
        <v>K24DLK5</v>
      </c>
      <c r="G266" s="1" t="str">
        <f ca="1">IFERROR(__xludf.DUMMYFUNCTION("""COMPUTED_VALUE"""),"Quản trị Du lịch &amp; Khách sạn")</f>
        <v>Quản trị Du lịch &amp; Khách sạn</v>
      </c>
      <c r="H266" s="1" t="str">
        <f ca="1">IFERROR(__xludf.DUMMYFUNCTION("""COMPUTED_VALUE"""),"K25")</f>
        <v>K25</v>
      </c>
      <c r="I266" s="1" t="str">
        <f ca="1">IFERROR(__xludf.DUMMYFUNCTION("""COMPUTED_VALUE"""),"076373310")</f>
        <v>076373310</v>
      </c>
      <c r="J266" s="1">
        <f ca="1">IFERROR(__xludf.DUMMYFUNCTION("""COMPUTED_VALUE"""),2.51)</f>
        <v>2.5099999999999998</v>
      </c>
      <c r="K266" s="1">
        <f ca="1">IFERROR(__xludf.DUMMYFUNCTION("""COMPUTED_VALUE"""),132)</f>
        <v>132</v>
      </c>
      <c r="L266" s="1" t="str">
        <f ca="1">IFERROR(__xludf.DUMMYFUNCTION("""COMPUTED_VALUE"""),"Rồi")</f>
        <v>Rồi</v>
      </c>
      <c r="M266" s="1" t="str">
        <f ca="1">IFERROR(__xludf.DUMMYFUNCTION("""COMPUTED_VALUE"""),"Công nhận tốt nghiệp")</f>
        <v>Công nhận tốt nghiệp</v>
      </c>
      <c r="N266" s="1">
        <f ca="1">IFERROR(__xludf.DUMMYFUNCTION("""COMPUTED_VALUE"""),0)</f>
        <v>0</v>
      </c>
      <c r="O266" s="1" t="str">
        <f ca="1">IFERROR(__xludf.DUMMYFUNCTION("""COMPUTED_VALUE"""),"cam kết")</f>
        <v>cam kết</v>
      </c>
      <c r="P266" s="1" t="str">
        <f ca="1">IFERROR(__xludf.DUMMYFUNCTION("""COMPUTED_VALUE"""),"CHƯA NỘP")</f>
        <v>CHƯA NỘP</v>
      </c>
      <c r="Q266" s="1">
        <f ca="1">IFERROR(__xludf.DUMMYFUNCTION("""COMPUTED_VALUE"""),61)</f>
        <v>61</v>
      </c>
      <c r="R266" s="1" t="str">
        <f ca="1">IFERROR(__xludf.DUMMYFUNCTION("""COMPUTED_VALUE"""),"22/01/2026")</f>
        <v>22/01/2026</v>
      </c>
      <c r="S266" s="1" t="str">
        <f ca="1">IFERROR(__xludf.DUMMYFUNCTION("""COMPUTED_VALUE"""),"#N/A")</f>
        <v>#N/A</v>
      </c>
      <c r="T266" s="1"/>
      <c r="U266" s="1"/>
      <c r="V266" s="1"/>
      <c r="W266" s="1" t="str">
        <f ca="1">IFERROR(__xludf.DUMMYFUNCTION("""COMPUTED_VALUE"""),"K24DLK5")</f>
        <v>K24DLK5</v>
      </c>
      <c r="X266" s="1"/>
      <c r="Y266" s="1" t="str">
        <f ca="1">IFERROR(__xludf.DUMMYFUNCTION("""COMPUTED_VALUE"""),"#N/A")</f>
        <v>#N/A</v>
      </c>
      <c r="Z266" s="1" t="str">
        <f ca="1">IFERROR(__xludf.DUMMYFUNCTION("""COMPUTED_VALUE"""),"#N/A")</f>
        <v>#N/A</v>
      </c>
      <c r="AA266" s="1" t="str">
        <f ca="1">IFERROR(__xludf.DUMMYFUNCTION("""COMPUTED_VALUE"""),"#N/A")</f>
        <v>#N/A</v>
      </c>
      <c r="AB266" s="1"/>
      <c r="AC266" s="1" t="str">
        <f ca="1">IFERROR(__xludf.DUMMYFUNCTION("""COMPUTED_VALUE"""),"#N/A")</f>
        <v>#N/A</v>
      </c>
      <c r="AD266" s="1"/>
      <c r="AE266" s="1"/>
      <c r="AF266" s="1"/>
      <c r="AG266" s="1"/>
      <c r="AH266" s="1"/>
      <c r="AI266" s="1"/>
    </row>
    <row r="267" spans="1:35" x14ac:dyDescent="0.2">
      <c r="A267" s="3">
        <f ca="1">IFERROR(__xludf.DUMMYFUNCTION("""COMPUTED_VALUE"""),46043.8462849768)</f>
        <v>46043.846284976797</v>
      </c>
      <c r="B267" s="1" t="str">
        <f ca="1">IFERROR(__xludf.DUMMYFUNCTION("""COMPUTED_VALUE"""),"lytran020903@gmail.com")</f>
        <v>lytran020903@gmail.com</v>
      </c>
      <c r="C267" s="1">
        <f ca="1">IFERROR(__xludf.DUMMYFUNCTION("""COMPUTED_VALUE"""),27207144021)</f>
        <v>27207144021</v>
      </c>
      <c r="D267" s="1" t="str">
        <f ca="1">IFERROR(__xludf.DUMMYFUNCTION("""COMPUTED_VALUE"""),"Trần Thị Thu Lý")</f>
        <v>Trần Thị Thu Lý</v>
      </c>
      <c r="E267" s="1"/>
      <c r="F267" s="1" t="str">
        <f ca="1">IFERROR(__xludf.DUMMYFUNCTION("""COMPUTED_VALUE"""),"K27DLK5")</f>
        <v>K27DLK5</v>
      </c>
      <c r="G267" s="1" t="str">
        <f ca="1">IFERROR(__xludf.DUMMYFUNCTION("""COMPUTED_VALUE"""),"Quản trị Du lịch &amp; Khách sạn")</f>
        <v>Quản trị Du lịch &amp; Khách sạn</v>
      </c>
      <c r="H267" s="1" t="str">
        <f ca="1">IFERROR(__xludf.DUMMYFUNCTION("""COMPUTED_VALUE"""),"K27")</f>
        <v>K27</v>
      </c>
      <c r="I267" s="1" t="str">
        <f ca="1">IFERROR(__xludf.DUMMYFUNCTION("""COMPUTED_VALUE"""),"0905965512")</f>
        <v>0905965512</v>
      </c>
      <c r="J267" s="1">
        <f ca="1">IFERROR(__xludf.DUMMYFUNCTION("""COMPUTED_VALUE"""),2.9)</f>
        <v>2.9</v>
      </c>
      <c r="K267" s="1">
        <f ca="1">IFERROR(__xludf.DUMMYFUNCTION("""COMPUTED_VALUE"""),128)</f>
        <v>128</v>
      </c>
      <c r="L267" s="1" t="str">
        <f ca="1">IFERROR(__xludf.DUMMYFUNCTION("""COMPUTED_VALUE"""),"Rồi")</f>
        <v>Rồi</v>
      </c>
      <c r="M267" s="1" t="str">
        <f ca="1">IFERROR(__xludf.DUMMYFUNCTION("""COMPUTED_VALUE"""),"Công nhận tốt nghiệp")</f>
        <v>Công nhận tốt nghiệp</v>
      </c>
      <c r="N267" s="1">
        <f ca="1">IFERROR(__xludf.DUMMYFUNCTION("""COMPUTED_VALUE"""),0)</f>
        <v>0</v>
      </c>
      <c r="O267" s="1" t="str">
        <f ca="1">IFERROR(__xludf.DUMMYFUNCTION("""COMPUTED_VALUE"""),"cam kết")</f>
        <v>cam kết</v>
      </c>
      <c r="P267" s="1" t="str">
        <f ca="1">IFERROR(__xludf.DUMMYFUNCTION("""COMPUTED_VALUE"""),"CHƯA NỘP")</f>
        <v>CHƯA NỘP</v>
      </c>
      <c r="Q267" s="1">
        <f ca="1">IFERROR(__xludf.DUMMYFUNCTION("""COMPUTED_VALUE"""),62)</f>
        <v>62</v>
      </c>
      <c r="R267" s="1" t="str">
        <f ca="1">IFERROR(__xludf.DUMMYFUNCTION("""COMPUTED_VALUE"""),"22/01/2026")</f>
        <v>22/01/2026</v>
      </c>
      <c r="S267" s="1" t="str">
        <f ca="1">IFERROR(__xludf.DUMMYFUNCTION("""COMPUTED_VALUE"""),"xét công nhận TN")</f>
        <v>xét công nhận TN</v>
      </c>
      <c r="T267" s="1"/>
      <c r="U267" s="1"/>
      <c r="V267" s="1"/>
      <c r="W267" s="1" t="str">
        <f ca="1">IFERROR(__xludf.DUMMYFUNCTION("""COMPUTED_VALUE"""),"K27DLK5")</f>
        <v>K27DLK5</v>
      </c>
      <c r="X267" s="1"/>
      <c r="Y267" s="1" t="str">
        <f ca="1">IFERROR(__xludf.DUMMYFUNCTION("""COMPUTED_VALUE"""),"#N/A")</f>
        <v>#N/A</v>
      </c>
      <c r="Z267" s="1" t="str">
        <f ca="1">IFERROR(__xludf.DUMMYFUNCTION("""COMPUTED_VALUE"""),"#N/A")</f>
        <v>#N/A</v>
      </c>
      <c r="AA267" s="1" t="str">
        <f ca="1">IFERROR(__xludf.DUMMYFUNCTION("""COMPUTED_VALUE"""),"#N/A")</f>
        <v>#N/A</v>
      </c>
      <c r="AB267" s="1"/>
      <c r="AC267" s="1" t="str">
        <f ca="1">IFERROR(__xludf.DUMMYFUNCTION("""COMPUTED_VALUE""")," ")</f>
        <v xml:space="preserve"> </v>
      </c>
      <c r="AD267" s="1"/>
      <c r="AE267" s="1"/>
      <c r="AF267" s="1"/>
      <c r="AG267" s="1"/>
      <c r="AH267" s="1"/>
      <c r="AI267" s="1"/>
    </row>
    <row r="268" spans="1:35" x14ac:dyDescent="0.2">
      <c r="A268" s="3">
        <f ca="1">IFERROR(__xludf.DUMMYFUNCTION("""COMPUTED_VALUE"""),46044.6672256712)</f>
        <v>46044.667225671197</v>
      </c>
      <c r="B268" s="1" t="str">
        <f ca="1">IFERROR(__xludf.DUMMYFUNCTION("""COMPUTED_VALUE"""),"vonuquynhtrang2004@gmail.com")</f>
        <v>vonuquynhtrang2004@gmail.com</v>
      </c>
      <c r="C268" s="1">
        <f ca="1">IFERROR(__xludf.DUMMYFUNCTION("""COMPUTED_VALUE"""),28208006659)</f>
        <v>28208006659</v>
      </c>
      <c r="D268" s="1" t="str">
        <f ca="1">IFERROR(__xludf.DUMMYFUNCTION("""COMPUTED_VALUE"""),"Võ Nữ Quỳnh Trang")</f>
        <v>Võ Nữ Quỳnh Trang</v>
      </c>
      <c r="E268" s="1"/>
      <c r="F268" s="1" t="str">
        <f ca="1">IFERROR(__xludf.DUMMYFUNCTION("""COMPUTED_VALUE"""),"K28DLK2")</f>
        <v>K28DLK2</v>
      </c>
      <c r="G268" s="1" t="str">
        <f ca="1">IFERROR(__xludf.DUMMYFUNCTION("""COMPUTED_VALUE"""),"Quản trị Du lịch &amp; Khách sạn")</f>
        <v>Quản trị Du lịch &amp; Khách sạn</v>
      </c>
      <c r="H268" s="1" t="str">
        <f ca="1">IFERROR(__xludf.DUMMYFUNCTION("""COMPUTED_VALUE"""),"K28")</f>
        <v>K28</v>
      </c>
      <c r="I268" s="1" t="str">
        <f ca="1">IFERROR(__xludf.DUMMYFUNCTION("""COMPUTED_VALUE"""),"0394654870")</f>
        <v>0394654870</v>
      </c>
      <c r="J268" s="1">
        <f ca="1">IFERROR(__xludf.DUMMYFUNCTION("""COMPUTED_VALUE"""),2.88)</f>
        <v>2.88</v>
      </c>
      <c r="K268" s="1">
        <f ca="1">IFERROR(__xludf.DUMMYFUNCTION("""COMPUTED_VALUE"""),123)</f>
        <v>123</v>
      </c>
      <c r="L268" s="1" t="str">
        <f ca="1">IFERROR(__xludf.DUMMYFUNCTION("""COMPUTED_VALUE"""),"Rồi")</f>
        <v>Rồi</v>
      </c>
      <c r="M268" s="1" t="str">
        <f ca="1">IFERROR(__xludf.DUMMYFUNCTION("""COMPUTED_VALUE"""),"Thực tập tốt nghiệp")</f>
        <v>Thực tập tốt nghiệp</v>
      </c>
      <c r="N268" s="1">
        <f ca="1">IFERROR(__xludf.DUMMYFUNCTION("""COMPUTED_VALUE"""),1)</f>
        <v>1</v>
      </c>
      <c r="O268" s="1" t="str">
        <f ca="1">IFERROR(__xludf.DUMMYFUNCTION("""COMPUTED_VALUE"""),"cam kết")</f>
        <v>cam kết</v>
      </c>
      <c r="P268" s="1"/>
      <c r="Q268" s="1"/>
      <c r="R268" s="1" t="str">
        <f ca="1">IFERROR(__xludf.DUMMYFUNCTION("""COMPUTED_VALUE"""),"22/01/2026")</f>
        <v>22/01/2026</v>
      </c>
      <c r="S268" s="1" t="str">
        <f ca="1">IFERROR(__xludf.DUMMYFUNCTION("""COMPUTED_VALUE"""),"thực tập TN, Thi TN")</f>
        <v>thực tập TN, Thi TN</v>
      </c>
      <c r="T268" s="1"/>
      <c r="U268" s="1"/>
      <c r="V268" s="1"/>
      <c r="W268" s="1" t="str">
        <f ca="1">IFERROR(__xludf.DUMMYFUNCTION("""COMPUTED_VALUE"""),"K28DLK2")</f>
        <v>K28DLK2</v>
      </c>
      <c r="X268" s="1"/>
      <c r="Y268" s="1" t="str">
        <f ca="1">IFERROR(__xludf.DUMMYFUNCTION("""COMPUTED_VALUE"""),"Danang Marriott Resort &amp; Spa")</f>
        <v>Danang Marriott Resort &amp; Spa</v>
      </c>
      <c r="Z268" s="1" t="str">
        <f ca="1">IFERROR(__xludf.DUMMYFUNCTION("""COMPUTED_VALUE"""),"Nhà hàng")</f>
        <v>Nhà hàng</v>
      </c>
      <c r="AA268" s="1" t="str">
        <f ca="1">IFERROR(__xludf.DUMMYFUNCTION("""COMPUTED_VALUE"""),"DUYỆT")</f>
        <v>DUYỆT</v>
      </c>
      <c r="AB268" s="1" t="str">
        <f ca="1">IFERROR(__xludf.DUMMYFUNCTION("""COMPUTED_VALUE"""),"27/01/2026")</f>
        <v>27/01/2026</v>
      </c>
      <c r="AC268" s="1" t="str">
        <f ca="1">IFERROR(__xludf.DUMMYFUNCTION("""COMPUTED_VALUE"""),"BÁO CÁO THỰC TẬP TỐT NGHIỆP")</f>
        <v>BÁO CÁO THỰC TẬP TỐT NGHIỆP</v>
      </c>
      <c r="AD268" s="1" t="str">
        <f ca="1">IFERROR(__xludf.DUMMYFUNCTION("""COMPUTED_VALUE"""),"Huỳnh Lý Thùy Linh")</f>
        <v>Huỳnh Lý Thùy Linh</v>
      </c>
      <c r="AE268" s="1" t="str">
        <f ca="1">IFERROR(__xludf.DUMMYFUNCTION("""COMPUTED_VALUE"""),"Thạc sĩ")</f>
        <v>Thạc sĩ</v>
      </c>
      <c r="AF268" s="1" t="str">
        <f ca="1">IFERROR(__xludf.DUMMYFUNCTION("""COMPUTED_VALUE"""),"0702605664")</f>
        <v>0702605664</v>
      </c>
      <c r="AG268" s="1" t="str">
        <f ca="1">IFERROR(__xludf.DUMMYFUNCTION("""COMPUTED_VALUE"""),"huynhlthuylinh@dtu-hti.edu.vn")</f>
        <v>huynhlthuylinh@dtu-hti.edu.vn</v>
      </c>
      <c r="AH268" s="1" t="str">
        <f ca="1">IFERROR(__xludf.DUMMYFUNCTION("""COMPUTED_VALUE"""),"Báo cáo kết quả thực tập và thực trạng quy trình phục vụ buffet sáng của nhà hàng Goji tại Danang Marriott Resort &amp; Spa")</f>
        <v>Báo cáo kết quả thực tập và thực trạng quy trình phục vụ buffet sáng của nhà hàng Goji tại Danang Marriott Resort &amp; Spa</v>
      </c>
      <c r="AI268" s="1"/>
    </row>
    <row r="269" spans="1:35" x14ac:dyDescent="0.2">
      <c r="A269" s="3">
        <f ca="1">IFERROR(__xludf.DUMMYFUNCTION("""COMPUTED_VALUE"""),46044.6810668634)</f>
        <v>46044.681066863399</v>
      </c>
      <c r="B269" s="1" t="str">
        <f ca="1">IFERROR(__xludf.DUMMYFUNCTION("""COMPUTED_VALUE"""),"anhle.bc28@gmail.com")</f>
        <v>anhle.bc28@gmail.com</v>
      </c>
      <c r="C269" s="1">
        <f ca="1">IFERROR(__xludf.DUMMYFUNCTION("""COMPUTED_VALUE"""),27217146062)</f>
        <v>27217146062</v>
      </c>
      <c r="D269" s="1" t="str">
        <f ca="1">IFERROR(__xludf.DUMMYFUNCTION("""COMPUTED_VALUE"""),"Lê Quốc Anh")</f>
        <v>Lê Quốc Anh</v>
      </c>
      <c r="E269" s="1"/>
      <c r="F269" s="1" t="str">
        <f ca="1">IFERROR(__xludf.DUMMYFUNCTION("""COMPUTED_VALUE"""),"K27DLK7")</f>
        <v>K27DLK7</v>
      </c>
      <c r="G269" s="1" t="str">
        <f ca="1">IFERROR(__xludf.DUMMYFUNCTION("""COMPUTED_VALUE"""),"Quản trị Du lịch &amp; Khách sạn")</f>
        <v>Quản trị Du lịch &amp; Khách sạn</v>
      </c>
      <c r="H269" s="1" t="str">
        <f ca="1">IFERROR(__xludf.DUMMYFUNCTION("""COMPUTED_VALUE"""),"K27")</f>
        <v>K27</v>
      </c>
      <c r="I269" s="1" t="str">
        <f ca="1">IFERROR(__xludf.DUMMYFUNCTION("""COMPUTED_VALUE"""),"0789472807")</f>
        <v>0789472807</v>
      </c>
      <c r="J269" s="1">
        <f ca="1">IFERROR(__xludf.DUMMYFUNCTION("""COMPUTED_VALUE"""),2.8)</f>
        <v>2.8</v>
      </c>
      <c r="K269" s="1">
        <f ca="1">IFERROR(__xludf.DUMMYFUNCTION("""COMPUTED_VALUE"""),127)</f>
        <v>127</v>
      </c>
      <c r="L269" s="1" t="str">
        <f ca="1">IFERROR(__xludf.DUMMYFUNCTION("""COMPUTED_VALUE"""),"Rồi")</f>
        <v>Rồi</v>
      </c>
      <c r="M269" s="1" t="str">
        <f ca="1">IFERROR(__xludf.DUMMYFUNCTION("""COMPUTED_VALUE"""),"Thực tập tốt nghiệp, Thi tốt nghiệp, Công nhận tốt nghiệp")</f>
        <v>Thực tập tốt nghiệp, Thi tốt nghiệp, Công nhận tốt nghiệp</v>
      </c>
      <c r="N269" s="1">
        <f ca="1">IFERROR(__xludf.DUMMYFUNCTION("""COMPUTED_VALUE"""),2)</f>
        <v>2</v>
      </c>
      <c r="O269" s="1" t="str">
        <f ca="1">IFERROR(__xludf.DUMMYFUNCTION("""COMPUTED_VALUE"""),"cam kết")</f>
        <v>cam kết</v>
      </c>
      <c r="P269" s="1" t="str">
        <f ca="1">IFERROR(__xludf.DUMMYFUNCTION("""COMPUTED_VALUE"""),"ĐÃ NỘP")</f>
        <v>ĐÃ NỘP</v>
      </c>
      <c r="Q269" s="1">
        <f ca="1">IFERROR(__xludf.DUMMYFUNCTION("""COMPUTED_VALUE"""),63)</f>
        <v>63</v>
      </c>
      <c r="R269" s="1" t="str">
        <f ca="1">IFERROR(__xludf.DUMMYFUNCTION("""COMPUTED_VALUE"""),"22/01/2026")</f>
        <v>22/01/2026</v>
      </c>
      <c r="S269" s="1" t="str">
        <f ca="1">IFERROR(__xludf.DUMMYFUNCTION("""COMPUTED_VALUE"""),"thực tập TN, Thi TN")</f>
        <v>thực tập TN, Thi TN</v>
      </c>
      <c r="T269" s="1"/>
      <c r="U269" s="1"/>
      <c r="V269" s="1"/>
      <c r="W269" s="1" t="str">
        <f ca="1">IFERROR(__xludf.DUMMYFUNCTION("""COMPUTED_VALUE"""),"K27DLK7")</f>
        <v>K27DLK7</v>
      </c>
      <c r="X269" s="1"/>
      <c r="Y269" s="1" t="str">
        <f ca="1">IFERROR(__xludf.DUMMYFUNCTION("""COMPUTED_VALUE"""),"Meliá Vinpearl Danang Riverfront")</f>
        <v>Meliá Vinpearl Danang Riverfront</v>
      </c>
      <c r="Z269" s="1" t="str">
        <f ca="1">IFERROR(__xludf.DUMMYFUNCTION("""COMPUTED_VALUE"""),"Tiền sảnh")</f>
        <v>Tiền sảnh</v>
      </c>
      <c r="AA269" s="1" t="str">
        <f ca="1">IFERROR(__xludf.DUMMYFUNCTION("""COMPUTED_VALUE"""),"DUYỆT")</f>
        <v>DUYỆT</v>
      </c>
      <c r="AB269" s="1" t="str">
        <f ca="1">IFERROR(__xludf.DUMMYFUNCTION("""COMPUTED_VALUE"""),"xin nộp trễ: 05/02/2026")</f>
        <v>xin nộp trễ: 05/02/2026</v>
      </c>
      <c r="AC269" s="1" t="str">
        <f ca="1">IFERROR(__xludf.DUMMYFUNCTION("""COMPUTED_VALUE"""),"BÁO CÁO THỰC TẬP TỐT NGHIỆP")</f>
        <v>BÁO CÁO THỰC TẬP TỐT NGHIỆP</v>
      </c>
      <c r="AD269" s="1" t="str">
        <f ca="1">IFERROR(__xludf.DUMMYFUNCTION("""COMPUTED_VALUE"""),"Võ Đức Hiếu")</f>
        <v>Võ Đức Hiếu</v>
      </c>
      <c r="AE269" s="1" t="str">
        <f ca="1">IFERROR(__xludf.DUMMYFUNCTION("""COMPUTED_VALUE"""),"Thạc sĩ")</f>
        <v>Thạc sĩ</v>
      </c>
      <c r="AF269" s="1" t="str">
        <f ca="1">IFERROR(__xludf.DUMMYFUNCTION("""COMPUTED_VALUE"""),"0905767997")</f>
        <v>0905767997</v>
      </c>
      <c r="AG269" s="1" t="str">
        <f ca="1">IFERROR(__xludf.DUMMYFUNCTION("""COMPUTED_VALUE"""),"voduchieu@dtu-hti.edu.vn")</f>
        <v>voduchieu@dtu-hti.edu.vn</v>
      </c>
      <c r="AH269" s="1" t="str">
        <f ca="1">IFERROR(__xludf.DUMMYFUNCTION("""COMPUTED_VALUE"""),"#N/A")</f>
        <v>#N/A</v>
      </c>
      <c r="AI269" s="1"/>
    </row>
    <row r="270" spans="1:35" x14ac:dyDescent="0.2">
      <c r="A270" s="3">
        <f ca="1">IFERROR(__xludf.DUMMYFUNCTION("""COMPUTED_VALUE"""),46044.7236152893)</f>
        <v>46044.723615289302</v>
      </c>
      <c r="B270" s="1" t="str">
        <f ca="1">IFERROR(__xludf.DUMMYFUNCTION("""COMPUTED_VALUE"""),"dinhkhiemqtks@gmail.com")</f>
        <v>dinhkhiemqtks@gmail.com</v>
      </c>
      <c r="C270" s="1">
        <f ca="1">IFERROR(__xludf.DUMMYFUNCTION("""COMPUTED_VALUE"""),27217100634)</f>
        <v>27217100634</v>
      </c>
      <c r="D270" s="1" t="str">
        <f ca="1">IFERROR(__xludf.DUMMYFUNCTION("""COMPUTED_VALUE"""),"Huỳnh Đình Khiêm")</f>
        <v>Huỳnh Đình Khiêm</v>
      </c>
      <c r="E270" s="1"/>
      <c r="F270" s="1" t="str">
        <f ca="1">IFERROR(__xludf.DUMMYFUNCTION("""COMPUTED_VALUE"""),"K27DLK3")</f>
        <v>K27DLK3</v>
      </c>
      <c r="G270" s="1" t="str">
        <f ca="1">IFERROR(__xludf.DUMMYFUNCTION("""COMPUTED_VALUE"""),"Quản trị Du lịch &amp; Khách sạn")</f>
        <v>Quản trị Du lịch &amp; Khách sạn</v>
      </c>
      <c r="H270" s="1" t="str">
        <f ca="1">IFERROR(__xludf.DUMMYFUNCTION("""COMPUTED_VALUE"""),"K27")</f>
        <v>K27</v>
      </c>
      <c r="I270" s="1" t="str">
        <f ca="1">IFERROR(__xludf.DUMMYFUNCTION("""COMPUTED_VALUE"""),"0905980434")</f>
        <v>0905980434</v>
      </c>
      <c r="J270" s="1">
        <f ca="1">IFERROR(__xludf.DUMMYFUNCTION("""COMPUTED_VALUE"""),2.56)</f>
        <v>2.56</v>
      </c>
      <c r="K270" s="1">
        <f ca="1">IFERROR(__xludf.DUMMYFUNCTION("""COMPUTED_VALUE"""),128)</f>
        <v>128</v>
      </c>
      <c r="L270" s="1" t="str">
        <f ca="1">IFERROR(__xludf.DUMMYFUNCTION("""COMPUTED_VALUE"""),"Rồi")</f>
        <v>Rồi</v>
      </c>
      <c r="M270" s="1" t="str">
        <f ca="1">IFERROR(__xludf.DUMMYFUNCTION("""COMPUTED_VALUE"""),"Công nhận tốt nghiệp")</f>
        <v>Công nhận tốt nghiệp</v>
      </c>
      <c r="N270" s="1">
        <f ca="1">IFERROR(__xludf.DUMMYFUNCTION("""COMPUTED_VALUE"""),0)</f>
        <v>0</v>
      </c>
      <c r="O270" s="1" t="str">
        <f ca="1">IFERROR(__xludf.DUMMYFUNCTION("""COMPUTED_VALUE"""),"cam kết")</f>
        <v>cam kết</v>
      </c>
      <c r="P270" s="1" t="str">
        <f ca="1">IFERROR(__xludf.DUMMYFUNCTION("""COMPUTED_VALUE"""),"ĐÃ NỘP")</f>
        <v>ĐÃ NỘP</v>
      </c>
      <c r="Q270" s="1">
        <f ca="1">IFERROR(__xludf.DUMMYFUNCTION("""COMPUTED_VALUE"""),64)</f>
        <v>64</v>
      </c>
      <c r="R270" s="1" t="str">
        <f ca="1">IFERROR(__xludf.DUMMYFUNCTION("""COMPUTED_VALUE"""),"23/01/2026")</f>
        <v>23/01/2026</v>
      </c>
      <c r="S270" s="1" t="str">
        <f ca="1">IFERROR(__xludf.DUMMYFUNCTION("""COMPUTED_VALUE"""),"xét công nhận TN")</f>
        <v>xét công nhận TN</v>
      </c>
      <c r="T270" s="1"/>
      <c r="U270" s="1"/>
      <c r="V270" s="1"/>
      <c r="W270" s="1" t="str">
        <f ca="1">IFERROR(__xludf.DUMMYFUNCTION("""COMPUTED_VALUE"""),"K27DLK3")</f>
        <v>K27DLK3</v>
      </c>
      <c r="X270" s="1"/>
      <c r="Y270" s="1" t="str">
        <f ca="1">IFERROR(__xludf.DUMMYFUNCTION("""COMPUTED_VALUE"""),"#N/A")</f>
        <v>#N/A</v>
      </c>
      <c r="Z270" s="1" t="str">
        <f ca="1">IFERROR(__xludf.DUMMYFUNCTION("""COMPUTED_VALUE"""),"#N/A")</f>
        <v>#N/A</v>
      </c>
      <c r="AA270" s="1" t="str">
        <f ca="1">IFERROR(__xludf.DUMMYFUNCTION("""COMPUTED_VALUE"""),"#N/A")</f>
        <v>#N/A</v>
      </c>
      <c r="AB270" s="1"/>
      <c r="AC270" s="1" t="str">
        <f ca="1">IFERROR(__xludf.DUMMYFUNCTION("""COMPUTED_VALUE""")," ")</f>
        <v xml:space="preserve"> </v>
      </c>
      <c r="AD270" s="1"/>
      <c r="AE270" s="1"/>
      <c r="AF270" s="1"/>
      <c r="AG270" s="1"/>
      <c r="AH270" s="1"/>
      <c r="AI270" s="1"/>
    </row>
    <row r="271" spans="1:35" x14ac:dyDescent="0.2">
      <c r="A271" s="3">
        <f ca="1">IFERROR(__xludf.DUMMYFUNCTION("""COMPUTED_VALUE"""),46045.655137581)</f>
        <v>46045.655137581001</v>
      </c>
      <c r="B271" s="1" t="str">
        <f ca="1">IFERROR(__xludf.DUMMYFUNCTION("""COMPUTED_VALUE"""),"thanhuyen790@gmail.com")</f>
        <v>thanhuyen790@gmail.com</v>
      </c>
      <c r="C271" s="1">
        <f ca="1">IFERROR(__xludf.DUMMYFUNCTION("""COMPUTED_VALUE"""),24207214504)</f>
        <v>24207214504</v>
      </c>
      <c r="D271" s="1" t="str">
        <f ca="1">IFERROR(__xludf.DUMMYFUNCTION("""COMPUTED_VALUE"""),"Nguyễn Thị Thanh Uyên")</f>
        <v>Nguyễn Thị Thanh Uyên</v>
      </c>
      <c r="E271" s="1"/>
      <c r="F271" s="1" t="str">
        <f ca="1">IFERROR(__xludf.DUMMYFUNCTION("""COMPUTED_VALUE"""),"K28PSUDLK1")</f>
        <v>K28PSUDLK1</v>
      </c>
      <c r="G271" s="1" t="str">
        <f ca="1">IFERROR(__xludf.DUMMYFUNCTION("""COMPUTED_VALUE"""),"Quản trị Du lịch &amp; Khách sạn chuẩn PSU")</f>
        <v>Quản trị Du lịch &amp; Khách sạn chuẩn PSU</v>
      </c>
      <c r="H271" s="1" t="str">
        <f ca="1">IFERROR(__xludf.DUMMYFUNCTION("""COMPUTED_VALUE"""),"K28")</f>
        <v>K28</v>
      </c>
      <c r="I271" s="1" t="str">
        <f ca="1">IFERROR(__xludf.DUMMYFUNCTION("""COMPUTED_VALUE"""),"0935269226")</f>
        <v>0935269226</v>
      </c>
      <c r="J271" s="1">
        <f ca="1">IFERROR(__xludf.DUMMYFUNCTION("""COMPUTED_VALUE"""),2.77)</f>
        <v>2.77</v>
      </c>
      <c r="K271" s="1">
        <f ca="1">IFERROR(__xludf.DUMMYFUNCTION("""COMPUTED_VALUE"""),140)</f>
        <v>140</v>
      </c>
      <c r="L271" s="1" t="str">
        <f ca="1">IFERROR(__xludf.DUMMYFUNCTION("""COMPUTED_VALUE"""),"Rồi")</f>
        <v>Rồi</v>
      </c>
      <c r="M271" s="1" t="str">
        <f ca="1">IFERROR(__xludf.DUMMYFUNCTION("""COMPUTED_VALUE"""),"Thực tập tốt nghiệp, Thi tốt nghiệp, Công nhận tốt nghiệp")</f>
        <v>Thực tập tốt nghiệp, Thi tốt nghiệp, Công nhận tốt nghiệp</v>
      </c>
      <c r="N271" s="1">
        <f ca="1">IFERROR(__xludf.DUMMYFUNCTION("""COMPUTED_VALUE"""),8)</f>
        <v>8</v>
      </c>
      <c r="O271" s="1" t="str">
        <f ca="1">IFERROR(__xludf.DUMMYFUNCTION("""COMPUTED_VALUE"""),"cam kết")</f>
        <v>cam kết</v>
      </c>
      <c r="P271" s="1"/>
      <c r="Q271" s="1"/>
      <c r="R271" s="1" t="str">
        <f ca="1">IFERROR(__xludf.DUMMYFUNCTION("""COMPUTED_VALUE"""),"22/01/2026")</f>
        <v>22/01/2026</v>
      </c>
      <c r="S271" s="1" t="str">
        <f ca="1">IFERROR(__xludf.DUMMYFUNCTION("""COMPUTED_VALUE"""),"thực tập TN, Thi TN")</f>
        <v>thực tập TN, Thi TN</v>
      </c>
      <c r="T271" s="1"/>
      <c r="U271" s="1"/>
      <c r="V271" s="1"/>
      <c r="W271" s="1" t="str">
        <f ca="1">IFERROR(__xludf.DUMMYFUNCTION("""COMPUTED_VALUE"""),"K28PSU-DLK")</f>
        <v>K28PSU-DLK</v>
      </c>
      <c r="X271" s="1"/>
      <c r="Y271" s="1" t="str">
        <f ca="1">IFERROR(__xludf.DUMMYFUNCTION("""COMPUTED_VALUE"""),"Hyatt Regency Danang Resort and Spa")</f>
        <v>Hyatt Regency Danang Resort and Spa</v>
      </c>
      <c r="Z271" s="1" t="str">
        <f ca="1">IFERROR(__xludf.DUMMYFUNCTION("""COMPUTED_VALUE"""),"Nhà hàng")</f>
        <v>Nhà hàng</v>
      </c>
      <c r="AA271" s="1" t="str">
        <f ca="1">IFERROR(__xludf.DUMMYFUNCTION("""COMPUTED_VALUE"""),"DUYỆT")</f>
        <v>DUYỆT</v>
      </c>
      <c r="AB271" s="1"/>
      <c r="AC271" s="1" t="str">
        <f ca="1">IFERROR(__xludf.DUMMYFUNCTION("""COMPUTED_VALUE"""),"BÁO CÁO THỰC TẬP TỐT NGHIỆP")</f>
        <v>BÁO CÁO THỰC TẬP TỐT NGHIỆP</v>
      </c>
      <c r="AD271" s="1" t="str">
        <f ca="1">IFERROR(__xludf.DUMMYFUNCTION("""COMPUTED_VALUE"""),"Mai Thị Thương")</f>
        <v>Mai Thị Thương</v>
      </c>
      <c r="AE271" s="1" t="str">
        <f ca="1">IFERROR(__xludf.DUMMYFUNCTION("""COMPUTED_VALUE"""),"Thạc sĩ")</f>
        <v>Thạc sĩ</v>
      </c>
      <c r="AF271" s="1" t="str">
        <f ca="1">IFERROR(__xludf.DUMMYFUNCTION("""COMPUTED_VALUE"""),"0905767050")</f>
        <v>0905767050</v>
      </c>
      <c r="AG271" s="1" t="str">
        <f ca="1">IFERROR(__xludf.DUMMYFUNCTION("""COMPUTED_VALUE"""),"maithithuong@dtu-hti.edu.vn")</f>
        <v>maithithuong@dtu-hti.edu.vn</v>
      </c>
      <c r="AH271" s="1" t="str">
        <f ca="1">IFERROR(__xludf.DUMMYFUNCTION("""COMPUTED_VALUE"""),"Báo cáo kết quả thực tập và thực trạng về các yếu tố ảnh hưởng đến chất lượng phục vụ tại nhà hàng Osteria al Mare thuộc Hyatt Regency Danang Resort and Spa")</f>
        <v>Báo cáo kết quả thực tập và thực trạng về các yếu tố ảnh hưởng đến chất lượng phục vụ tại nhà hàng Osteria al Mare thuộc Hyatt Regency Danang Resort and Spa</v>
      </c>
      <c r="AI271" s="1"/>
    </row>
    <row r="272" spans="1:35" x14ac:dyDescent="0.2">
      <c r="A272" s="3">
        <f ca="1">IFERROR(__xludf.DUMMYFUNCTION("""COMPUTED_VALUE"""),46047.7062870601)</f>
        <v>46047.7062870601</v>
      </c>
      <c r="B272" s="1" t="str">
        <f ca="1">IFERROR(__xludf.DUMMYFUNCTION("""COMPUTED_VALUE"""),"hoaithu12014@gmail.com")</f>
        <v>hoaithu12014@gmail.com</v>
      </c>
      <c r="C272" s="1">
        <f ca="1">IFERROR(__xludf.DUMMYFUNCTION("""COMPUTED_VALUE"""),25207207023)</f>
        <v>25207207023</v>
      </c>
      <c r="D272" s="1" t="str">
        <f ca="1">IFERROR(__xludf.DUMMYFUNCTION("""COMPUTED_VALUE"""),"Nguyễn Thị Hoài Thu")</f>
        <v>Nguyễn Thị Hoài Thu</v>
      </c>
      <c r="E272" s="1"/>
      <c r="F272" s="1" t="str">
        <f ca="1">IFERROR(__xludf.DUMMYFUNCTION("""COMPUTED_VALUE"""),"K25DKL13")</f>
        <v>K25DKL13</v>
      </c>
      <c r="G272" s="1" t="str">
        <f ca="1">IFERROR(__xludf.DUMMYFUNCTION("""COMPUTED_VALUE"""),"Quản trị Du lịch &amp; Khách sạn")</f>
        <v>Quản trị Du lịch &amp; Khách sạn</v>
      </c>
      <c r="H272" s="1" t="str">
        <f ca="1">IFERROR(__xludf.DUMMYFUNCTION("""COMPUTED_VALUE"""),"K25")</f>
        <v>K25</v>
      </c>
      <c r="I272" s="1" t="str">
        <f ca="1">IFERROR(__xludf.DUMMYFUNCTION("""COMPUTED_VALUE"""),"0889078896")</f>
        <v>0889078896</v>
      </c>
      <c r="J272" s="1">
        <f ca="1">IFERROR(__xludf.DUMMYFUNCTION("""COMPUTED_VALUE"""),2.6)</f>
        <v>2.6</v>
      </c>
      <c r="K272" s="1">
        <f ca="1">IFERROR(__xludf.DUMMYFUNCTION("""COMPUTED_VALUE"""),149)</f>
        <v>149</v>
      </c>
      <c r="L272" s="1" t="str">
        <f ca="1">IFERROR(__xludf.DUMMYFUNCTION("""COMPUTED_VALUE"""),"Rồi")</f>
        <v>Rồi</v>
      </c>
      <c r="M272" s="1" t="str">
        <f ca="1">IFERROR(__xludf.DUMMYFUNCTION("""COMPUTED_VALUE"""),"Công nhận tốt nghiệp")</f>
        <v>Công nhận tốt nghiệp</v>
      </c>
      <c r="N272" s="1">
        <f ca="1">IFERROR(__xludf.DUMMYFUNCTION("""COMPUTED_VALUE"""),0)</f>
        <v>0</v>
      </c>
      <c r="O272" s="1" t="str">
        <f ca="1">IFERROR(__xludf.DUMMYFUNCTION("""COMPUTED_VALUE"""),"cam kết")</f>
        <v>cam kết</v>
      </c>
      <c r="P272" s="1" t="str">
        <f ca="1">IFERROR(__xludf.DUMMYFUNCTION("""COMPUTED_VALUE"""),"ĐÃ NỘP")</f>
        <v>ĐÃ NỘP</v>
      </c>
      <c r="Q272" s="1">
        <f ca="1">IFERROR(__xludf.DUMMYFUNCTION("""COMPUTED_VALUE"""),65)</f>
        <v>65</v>
      </c>
      <c r="R272" s="1" t="str">
        <f ca="1">IFERROR(__xludf.DUMMYFUNCTION("""COMPUTED_VALUE"""),"23/01/2026")</f>
        <v>23/01/2026</v>
      </c>
      <c r="S272" s="1" t="str">
        <f ca="1">IFERROR(__xludf.DUMMYFUNCTION("""COMPUTED_VALUE"""),"xét công nhận tốt nghiệp")</f>
        <v>xét công nhận tốt nghiệp</v>
      </c>
      <c r="T272" s="1"/>
      <c r="U272" s="1"/>
      <c r="V272" s="1"/>
      <c r="W272" s="1" t="str">
        <f ca="1">IFERROR(__xludf.DUMMYFUNCTION("""COMPUTED_VALUE"""),"K25DLK13")</f>
        <v>K25DLK13</v>
      </c>
      <c r="X272" s="1"/>
      <c r="Y272" s="1" t="str">
        <f ca="1">IFERROR(__xludf.DUMMYFUNCTION("""COMPUTED_VALUE"""),"#N/A")</f>
        <v>#N/A</v>
      </c>
      <c r="Z272" s="1" t="str">
        <f ca="1">IFERROR(__xludf.DUMMYFUNCTION("""COMPUTED_VALUE"""),"#N/A")</f>
        <v>#N/A</v>
      </c>
      <c r="AA272" s="1" t="str">
        <f ca="1">IFERROR(__xludf.DUMMYFUNCTION("""COMPUTED_VALUE"""),"#N/A")</f>
        <v>#N/A</v>
      </c>
      <c r="AB272" s="1"/>
      <c r="AC272" s="1" t="str">
        <f ca="1">IFERROR(__xludf.DUMMYFUNCTION("""COMPUTED_VALUE""")," ")</f>
        <v xml:space="preserve"> </v>
      </c>
      <c r="AD272" s="1"/>
      <c r="AE272" s="1"/>
      <c r="AF272" s="1"/>
      <c r="AG272" s="1"/>
      <c r="AH272" s="1"/>
      <c r="AI272" s="1"/>
    </row>
    <row r="273" spans="1:35" x14ac:dyDescent="0.2">
      <c r="A273" s="3">
        <f ca="1">IFERROR(__xludf.DUMMYFUNCTION("""COMPUTED_VALUE"""),46054.856297743)</f>
        <v>46054.856297742997</v>
      </c>
      <c r="B273" s="1" t="str">
        <f ca="1">IFERROR(__xludf.DUMMYFUNCTION("""COMPUTED_VALUE"""),"ducviet0969@gmail.com")</f>
        <v>ducviet0969@gmail.com</v>
      </c>
      <c r="C273" s="1">
        <f ca="1">IFERROR(__xludf.DUMMYFUNCTION("""COMPUTED_VALUE"""),27217142150)</f>
        <v>27217142150</v>
      </c>
      <c r="D273" s="1" t="str">
        <f ca="1">IFERROR(__xludf.DUMMYFUNCTION("""COMPUTED_VALUE"""),"Trương Việt Đức")</f>
        <v>Trương Việt Đức</v>
      </c>
      <c r="E273" s="5">
        <f ca="1">IFERROR(__xludf.DUMMYFUNCTION("""COMPUTED_VALUE"""),37937)</f>
        <v>37937</v>
      </c>
      <c r="F273" s="1" t="str">
        <f ca="1">IFERROR(__xludf.DUMMYFUNCTION("""COMPUTED_VALUE"""),"K27PSU-DLK1")</f>
        <v>K27PSU-DLK1</v>
      </c>
      <c r="G273" s="1" t="str">
        <f ca="1">IFERROR(__xludf.DUMMYFUNCTION("""COMPUTED_VALUE"""),"Quản trị Du lịch &amp; Khách sạn chuẩn PSU")</f>
        <v>Quản trị Du lịch &amp; Khách sạn chuẩn PSU</v>
      </c>
      <c r="H273" s="1" t="str">
        <f ca="1">IFERROR(__xludf.DUMMYFUNCTION("""COMPUTED_VALUE"""),"K27")</f>
        <v>K27</v>
      </c>
      <c r="I273" s="1" t="str">
        <f ca="1">IFERROR(__xludf.DUMMYFUNCTION("""COMPUTED_VALUE"""),"0386565462")</f>
        <v>0386565462</v>
      </c>
      <c r="J273" s="1">
        <f ca="1">IFERROR(__xludf.DUMMYFUNCTION("""COMPUTED_VALUE"""),3.63)</f>
        <v>3.63</v>
      </c>
      <c r="K273" s="1">
        <f ca="1">IFERROR(__xludf.DUMMYFUNCTION("""COMPUTED_VALUE"""),129)</f>
        <v>129</v>
      </c>
      <c r="L273" s="1" t="str">
        <f ca="1">IFERROR(__xludf.DUMMYFUNCTION("""COMPUTED_VALUE"""),"Rồi")</f>
        <v>Rồi</v>
      </c>
      <c r="M273" s="1" t="str">
        <f ca="1">IFERROR(__xludf.DUMMYFUNCTION("""COMPUTED_VALUE"""),"Thực tập tốt nghiệp")</f>
        <v>Thực tập tốt nghiệp</v>
      </c>
      <c r="N273" s="1">
        <f ca="1">IFERROR(__xludf.DUMMYFUNCTION("""COMPUTED_VALUE"""),0)</f>
        <v>0</v>
      </c>
      <c r="O273" s="1" t="str">
        <f ca="1">IFERROR(__xludf.DUMMYFUNCTION("""COMPUTED_VALUE"""),"cam kết")</f>
        <v>cam kết</v>
      </c>
      <c r="P273" s="1" t="str">
        <f ca="1">IFERROR(__xludf.DUMMYFUNCTION("""COMPUTED_VALUE"""),"CHƯA NỘP")</f>
        <v>CHƯA NỘP</v>
      </c>
      <c r="Q273" s="1">
        <f ca="1">IFERROR(__xludf.DUMMYFUNCTION("""COMPUTED_VALUE"""),66)</f>
        <v>66</v>
      </c>
      <c r="R273" s="1"/>
      <c r="S273" s="1" t="str">
        <f ca="1">IFERROR(__xludf.DUMMYFUNCTION("""COMPUTED_VALUE"""),"thực tập TN, Thi TN")</f>
        <v>thực tập TN, Thi TN</v>
      </c>
      <c r="T273" s="1"/>
      <c r="U273" s="1"/>
      <c r="V273" s="1"/>
      <c r="W273" s="1" t="str">
        <f ca="1">IFERROR(__xludf.DUMMYFUNCTION("""COMPUTED_VALUE"""),"K27PSU-DLK1")</f>
        <v>K27PSU-DLK1</v>
      </c>
      <c r="X273" s="1"/>
      <c r="Y273" s="1" t="str">
        <f ca="1">IFERROR(__xludf.DUMMYFUNCTION("""COMPUTED_VALUE"""),"Renaissance Harbour View Hotel Hong kong")</f>
        <v>Renaissance Harbour View Hotel Hong kong</v>
      </c>
      <c r="Z273" s="1" t="str">
        <f ca="1">IFERROR(__xludf.DUMMYFUNCTION("""COMPUTED_VALUE"""),"Tiền sảnh")</f>
        <v>Tiền sảnh</v>
      </c>
      <c r="AA273" s="1" t="str">
        <f ca="1">IFERROR(__xludf.DUMMYFUNCTION("""COMPUTED_VALUE"""),"DUYỆT")</f>
        <v>DUYỆT</v>
      </c>
      <c r="AB273" s="1"/>
      <c r="AC273" s="1" t="str">
        <f ca="1">IFERROR(__xludf.DUMMYFUNCTION("""COMPUTED_VALUE"""),"BÁO CÁO THỰC TẬP TỐT NGHIỆP")</f>
        <v>BÁO CÁO THỰC TẬP TỐT NGHIỆP</v>
      </c>
      <c r="AD273" s="1" t="str">
        <f ca="1">IFERROR(__xludf.DUMMYFUNCTION("""COMPUTED_VALUE"""),"Mai Thị Thương")</f>
        <v>Mai Thị Thương</v>
      </c>
      <c r="AE273" s="1" t="str">
        <f ca="1">IFERROR(__xludf.DUMMYFUNCTION("""COMPUTED_VALUE"""),"Thạc sĩ")</f>
        <v>Thạc sĩ</v>
      </c>
      <c r="AF273" s="1" t="str">
        <f ca="1">IFERROR(__xludf.DUMMYFUNCTION("""COMPUTED_VALUE"""),"0905767050")</f>
        <v>0905767050</v>
      </c>
      <c r="AG273" s="1" t="str">
        <f ca="1">IFERROR(__xludf.DUMMYFUNCTION("""COMPUTED_VALUE"""),"maithithuong@dtu-hti.edu.vn")</f>
        <v>maithithuong@dtu-hti.edu.vn</v>
      </c>
      <c r="AH273" s="1" t="str">
        <f ca="1">IFERROR(__xludf.DUMMYFUNCTION("""COMPUTED_VALUE"""),"Báo cáo kết quả thực tập và thực trạng về các yếu tố ảnh hưởng đến chất lượng phục vụ tại bộ phận tiền sảnh khách sạn Renaissance Harbour View Hotel Hong Kong")</f>
        <v>Báo cáo kết quả thực tập và thực trạng về các yếu tố ảnh hưởng đến chất lượng phục vụ tại bộ phận tiền sảnh khách sạn Renaissance Harbour View Hotel Hong Kong</v>
      </c>
      <c r="AI273" s="1"/>
    </row>
    <row r="274" spans="1:3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6</vt:i4>
      </vt:variant>
    </vt:vector>
  </HeadingPairs>
  <TitlesOfParts>
    <vt:vector size="6" baseType="lpstr">
      <vt:lpstr>Form Responses 1</vt:lpstr>
      <vt:lpstr>Trang_tính1</vt:lpstr>
      <vt:lpstr>Trang_tính2</vt:lpstr>
      <vt:lpstr>Sheet2</vt:lpstr>
      <vt:lpstr>Sheet3</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2026-02-04T01:11:07Z</dcterms:created>
  <dcterms:modified xsi:type="dcterms:W3CDTF">2026-02-04T06:44:54Z</dcterms:modified>
</cp:coreProperties>
</file>